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ttings" sheetId="1" r:id="rId4"/>
    <sheet name="The List" sheetId="2" r:id="rId5"/>
    <sheet name="Team Comparison" sheetId="3" r:id="rId6"/>
    <sheet name="F" sheetId="4" r:id="rId7"/>
    <sheet name="C" sheetId="5" r:id="rId8"/>
    <sheet name="LW" sheetId="6" r:id="rId9"/>
    <sheet name="RW" sheetId="7" r:id="rId10"/>
    <sheet name="D" sheetId="8" r:id="rId11"/>
    <sheet name="G" sheetId="9" r:id="rId12"/>
    <sheet name="ADP" sheetId="10" r:id="rId13"/>
    <sheet name="Player Data" sheetId="11" r:id="rId14"/>
    <sheet name="Standard Deviations" sheetId="12" r:id="rId15"/>
  </sheets>
</workbook>
</file>

<file path=xl/sharedStrings.xml><?xml version="1.0" encoding="utf-8"?>
<sst xmlns="http://schemas.openxmlformats.org/spreadsheetml/2006/main" uniqueCount="968">
  <si>
    <t>Scoring System</t>
  </si>
  <si>
    <t>Points</t>
  </si>
  <si>
    <t>Categories</t>
  </si>
  <si>
    <t>Pos</t>
  </si>
  <si>
    <t>Players Selected Over Replacement</t>
  </si>
  <si>
    <t>Starting Lineup</t>
  </si>
  <si>
    <t>Position Based</t>
  </si>
  <si>
    <t>Draft Based</t>
  </si>
  <si>
    <t>Column</t>
  </si>
  <si>
    <t>Colour Legend</t>
  </si>
  <si>
    <t>Goals</t>
  </si>
  <si>
    <r>
      <rPr>
        <b val="1"/>
        <sz val="10"/>
        <color indexed="8"/>
        <rFont val="Helvetica Neue"/>
      </rPr>
      <t>C</t>
    </r>
  </si>
  <si>
    <t>Team</t>
  </si>
  <si>
    <t>Weak Defensive SOS for Skaters, Offensive SOS for Goalies</t>
  </si>
  <si>
    <t>Assists</t>
  </si>
  <si>
    <r>
      <rPr>
        <b val="1"/>
        <sz val="10"/>
        <color indexed="8"/>
        <rFont val="Helvetica Neue"/>
      </rPr>
      <t>LW</t>
    </r>
  </si>
  <si>
    <t>Strong Defensive SOS for Skaters, Offensive SOS for Goalies</t>
  </si>
  <si>
    <r>
      <rPr>
        <b val="1"/>
        <sz val="10"/>
        <color indexed="8"/>
        <rFont val="Helvetica Neue"/>
      </rPr>
      <t>RW</t>
    </r>
  </si>
  <si>
    <t>Off-day heavy (Sun, Mon, Wed, Fri)</t>
  </si>
  <si>
    <t>Shots</t>
  </si>
  <si>
    <r>
      <rPr>
        <b val="1"/>
        <sz val="10"/>
        <color indexed="8"/>
        <rFont val="Helvetica Neue"/>
      </rPr>
      <t>D</t>
    </r>
  </si>
  <si>
    <t>On-day heavy (Tue, Thu, Sat)</t>
  </si>
  <si>
    <t>Blocks</t>
  </si>
  <si>
    <r>
      <rPr>
        <b val="1"/>
        <sz val="10"/>
        <color indexed="8"/>
        <rFont val="Helvetica Neue"/>
      </rPr>
      <t>G</t>
    </r>
  </si>
  <si>
    <t>Hits</t>
  </si>
  <si>
    <t>Age</t>
  </si>
  <si>
    <t>Pre-Prime, chance to breakout</t>
  </si>
  <si>
    <t>Powerplay Goals</t>
  </si>
  <si>
    <t>Average Draft Position</t>
  </si>
  <si>
    <t>“Yahoo” or “ESPN” or “Fantrax” or “Average”</t>
  </si>
  <si>
    <t>Post-Prime, chance to decline</t>
  </si>
  <si>
    <t>Powerplay Points</t>
  </si>
  <si>
    <t>FANTRAX</t>
  </si>
  <si>
    <t>Shorthanded Goals</t>
  </si>
  <si>
    <t>Salary</t>
  </si>
  <si>
    <t>Contract Year</t>
  </si>
  <si>
    <t>Shorthanded Points</t>
  </si>
  <si>
    <t>Games Played Projection</t>
  </si>
  <si>
    <t>“Yes” or “No”</t>
  </si>
  <si>
    <t>Time On Ice</t>
  </si>
  <si>
    <t>Yes</t>
  </si>
  <si>
    <t>ADP Diff</t>
  </si>
  <si>
    <t>Steal (&gt;2 RD Difference)</t>
  </si>
  <si>
    <t>Defensemen Points</t>
  </si>
  <si>
    <t>Potential Steal (1-2 RD Difference)</t>
  </si>
  <si>
    <t>Plus-Minus</t>
  </si>
  <si>
    <t>League Type</t>
  </si>
  <si>
    <t>“Points” or “Categories”</t>
  </si>
  <si>
    <t>Potential Reach (1-2 RD Difference)</t>
  </si>
  <si>
    <t>Penalty Minutes</t>
  </si>
  <si>
    <t>Reach (&gt;2 RD Difference)</t>
  </si>
  <si>
    <t>Game-Winning Goals</t>
  </si>
  <si>
    <t>Faceoff Wins</t>
  </si>
  <si>
    <t>Forward Separation</t>
  </si>
  <si>
    <t>“C/LW/RW” or “Forwards”</t>
  </si>
  <si>
    <t>TOI</t>
  </si>
  <si>
    <t>Role Increase (&gt;1 min)</t>
  </si>
  <si>
    <t>Faceoff Losses</t>
  </si>
  <si>
    <t>C/LW/RW</t>
  </si>
  <si>
    <t>Role Decrease (&gt;1 min)</t>
  </si>
  <si>
    <t>Faceoff Percentage</t>
  </si>
  <si>
    <t>Replacement Level</t>
  </si>
  <si>
    <t>“Position” or “Draft” or “Blend”</t>
  </si>
  <si>
    <t>PPP</t>
  </si>
  <si>
    <t>PP1 (&gt;60% of TOI)</t>
  </si>
  <si>
    <t>Wins</t>
  </si>
  <si>
    <t>Draft</t>
  </si>
  <si>
    <t>PP1 (50-60% of TOI)</t>
  </si>
  <si>
    <t>Losses</t>
  </si>
  <si>
    <t>Overtime Losses</t>
  </si>
  <si>
    <t>Number of Teams</t>
  </si>
  <si>
    <t>Shutouts</t>
  </si>
  <si>
    <t xml:space="preserve">Saves </t>
  </si>
  <si>
    <t>Save Percentage</t>
  </si>
  <si>
    <t>Boost or Bust</t>
  </si>
  <si>
    <t>How much a player’s projection moves up or down based on subjective opinion</t>
  </si>
  <si>
    <t>Goals Against</t>
  </si>
  <si>
    <t>ON</t>
  </si>
  <si>
    <t>Goals Against Average</t>
  </si>
  <si>
    <t>+ + +</t>
  </si>
  <si>
    <t>“ON” or “OFF” to toggle subjective boosts/busts from Shayna and Dom</t>
  </si>
  <si>
    <t>Games Played</t>
  </si>
  <si>
    <t>+ +</t>
  </si>
  <si>
    <t>+</t>
  </si>
  <si>
    <t>Skater Stats Affected: G, A, PTS, SOG, PPG, PPP, +/-, GWG                                                    Goalie Stats Affected: W, L, SV, GA, SV%, GAA</t>
  </si>
  <si>
    <t>-</t>
  </si>
  <si>
    <t>- -</t>
  </si>
  <si>
    <t>- - -</t>
  </si>
  <si>
    <t>RK</t>
  </si>
  <si>
    <t>NAME</t>
  </si>
  <si>
    <t>KEEP?</t>
  </si>
  <si>
    <t>POS</t>
  </si>
  <si>
    <t>TEAM</t>
  </si>
  <si>
    <t>AGE</t>
  </si>
  <si>
    <t>SALARY</t>
  </si>
  <si>
    <t>FP</t>
  </si>
  <si>
    <t>/GP</t>
  </si>
  <si>
    <t>VORP</t>
  </si>
  <si>
    <t>/$</t>
  </si>
  <si>
    <t>ADP</t>
  </si>
  <si>
    <t>DIFF.</t>
  </si>
  <si>
    <t>ADJ</t>
  </si>
  <si>
    <t>GP</t>
  </si>
  <si>
    <t>G</t>
  </si>
  <si>
    <t>A</t>
  </si>
  <si>
    <t>PTS</t>
  </si>
  <si>
    <t>SOG</t>
  </si>
  <si>
    <t>PPG</t>
  </si>
  <si>
    <t>SHG</t>
  </si>
  <si>
    <t>SHP</t>
  </si>
  <si>
    <t>BLK</t>
  </si>
  <si>
    <t>HIT</t>
  </si>
  <si>
    <t>+/-</t>
  </si>
  <si>
    <t>PIM</t>
  </si>
  <si>
    <t>GWG</t>
  </si>
  <si>
    <t>FOW</t>
  </si>
  <si>
    <t>FOL</t>
  </si>
  <si>
    <t>FO%</t>
  </si>
  <si>
    <t>W</t>
  </si>
  <si>
    <t>L</t>
  </si>
  <si>
    <t>OTL</t>
  </si>
  <si>
    <t>SO</t>
  </si>
  <si>
    <t>SV</t>
  </si>
  <si>
    <t>GA</t>
  </si>
  <si>
    <t>SV%</t>
  </si>
  <si>
    <t>GAA</t>
  </si>
  <si>
    <t>Connor McDavid</t>
  </si>
  <si>
    <t>N</t>
  </si>
  <si>
    <r>
      <rPr>
        <sz val="10"/>
        <color indexed="8"/>
        <rFont val="Helvetica Neue Medium"/>
      </rPr>
      <t>C</t>
    </r>
  </si>
  <si>
    <r>
      <rPr>
        <sz val="10"/>
        <color indexed="8"/>
        <rFont val="Helvetica Neue Light"/>
      </rPr>
      <t>EDM</t>
    </r>
  </si>
  <si>
    <r>
      <rPr>
        <b val="1"/>
        <sz val="10"/>
        <color indexed="8"/>
        <rFont val="Helvetica Neue"/>
      </rPr>
      <t>+</t>
    </r>
  </si>
  <si>
    <t>Auston Matthews</t>
  </si>
  <si>
    <r>
      <rPr>
        <sz val="10"/>
        <color indexed="8"/>
        <rFont val="Helvetica Neue Light"/>
      </rPr>
      <t>TOR</t>
    </r>
  </si>
  <si>
    <t>Nathan MacKinnon</t>
  </si>
  <si>
    <r>
      <rPr>
        <b val="1"/>
        <sz val="10"/>
        <color indexed="8"/>
        <rFont val="Helvetica Neue"/>
      </rPr>
      <t>COL</t>
    </r>
  </si>
  <si>
    <t>Brady Tkachuk</t>
  </si>
  <si>
    <r>
      <rPr>
        <sz val="10"/>
        <color indexed="8"/>
        <rFont val="Helvetica Neue Medium"/>
      </rPr>
      <t>C/LW</t>
    </r>
  </si>
  <si>
    <r>
      <rPr>
        <i val="1"/>
        <sz val="10"/>
        <color indexed="8"/>
        <rFont val="Helvetica Neue"/>
      </rPr>
      <t>OTT</t>
    </r>
  </si>
  <si>
    <r>
      <rPr>
        <b val="1"/>
        <sz val="10"/>
        <color indexed="8"/>
        <rFont val="Helvetica Neue"/>
      </rPr>
      <t xml:space="preserve"> </t>
    </r>
  </si>
  <si>
    <t>Nikita Kucherov</t>
  </si>
  <si>
    <r>
      <rPr>
        <sz val="10"/>
        <color indexed="8"/>
        <rFont val="Helvetica Neue Medium"/>
      </rPr>
      <t>RW</t>
    </r>
  </si>
  <si>
    <r>
      <rPr>
        <i val="1"/>
        <sz val="10"/>
        <color indexed="8"/>
        <rFont val="Helvetica Neue"/>
      </rPr>
      <t>T.B</t>
    </r>
  </si>
  <si>
    <t>David Pastrnak</t>
  </si>
  <si>
    <r>
      <rPr>
        <i val="1"/>
        <sz val="10"/>
        <color indexed="8"/>
        <rFont val="Helvetica Neue"/>
      </rPr>
      <t>BOS</t>
    </r>
  </si>
  <si>
    <t>J.T. Miller</t>
  </si>
  <si>
    <r>
      <rPr>
        <sz val="10"/>
        <color indexed="8"/>
        <rFont val="Helvetica Neue Medium"/>
      </rPr>
      <t>C/RW</t>
    </r>
  </si>
  <si>
    <r>
      <rPr>
        <b val="1"/>
        <sz val="10"/>
        <color indexed="13"/>
        <rFont val="Helvetica Neue"/>
      </rPr>
      <t>VAN</t>
    </r>
  </si>
  <si>
    <t>Matthew Tkachuk</t>
  </si>
  <si>
    <r>
      <rPr>
        <sz val="10"/>
        <color indexed="8"/>
        <rFont val="Helvetica Neue Medium"/>
      </rPr>
      <t>LW/RW</t>
    </r>
  </si>
  <si>
    <r>
      <rPr>
        <sz val="10"/>
        <color indexed="8"/>
        <rFont val="Helvetica Neue Light"/>
      </rPr>
      <t>FLA</t>
    </r>
  </si>
  <si>
    <t>Leon Draisaitl</t>
  </si>
  <si>
    <t>Elias Pettersson</t>
  </si>
  <si>
    <t>Rasmus Dahlin</t>
  </si>
  <si>
    <r>
      <rPr>
        <sz val="10"/>
        <color indexed="8"/>
        <rFont val="Helvetica Neue Medium"/>
      </rPr>
      <t>D</t>
    </r>
  </si>
  <si>
    <r>
      <rPr>
        <sz val="10"/>
        <color indexed="8"/>
        <rFont val="Helvetica Neue Light"/>
      </rPr>
      <t>BUF</t>
    </r>
  </si>
  <si>
    <t>Moritz Seider</t>
  </si>
  <si>
    <r>
      <rPr>
        <sz val="10"/>
        <color indexed="8"/>
        <rFont val="Helvetica Neue Light"/>
      </rPr>
      <t>DET</t>
    </r>
  </si>
  <si>
    <r>
      <rPr>
        <sz val="10"/>
        <color indexed="8"/>
        <rFont val="Helvetica Neue Light"/>
      </rPr>
      <t>RFA</t>
    </r>
  </si>
  <si>
    <t>N/A</t>
  </si>
  <si>
    <t>Mikko Rantanen</t>
  </si>
  <si>
    <t>Igor Shesterkin</t>
  </si>
  <si>
    <r>
      <rPr>
        <sz val="10"/>
        <color indexed="8"/>
        <rFont val="Helvetica Neue Medium"/>
      </rPr>
      <t>G</t>
    </r>
  </si>
  <si>
    <r>
      <rPr>
        <b val="1"/>
        <sz val="10"/>
        <color indexed="8"/>
        <rFont val="Helvetica Neue"/>
      </rPr>
      <t>NYR</t>
    </r>
  </si>
  <si>
    <t>Cale Makar</t>
  </si>
  <si>
    <t>Juuse Saros</t>
  </si>
  <si>
    <r>
      <rPr>
        <sz val="10"/>
        <color indexed="8"/>
        <rFont val="Helvetica Neue Light"/>
      </rPr>
      <t>NSH</t>
    </r>
  </si>
  <si>
    <t>Mitch Marner</t>
  </si>
  <si>
    <t>Connor Hellebuyck</t>
  </si>
  <si>
    <r>
      <rPr>
        <b val="1"/>
        <sz val="10"/>
        <color indexed="8"/>
        <rFont val="Helvetica Neue"/>
      </rPr>
      <t>WPG</t>
    </r>
  </si>
  <si>
    <t>Vincent Trocheck</t>
  </si>
  <si>
    <r>
      <rPr>
        <b val="1"/>
        <sz val="10"/>
        <color indexed="13"/>
        <rFont val="Helvetica Neue"/>
      </rPr>
      <t>NYR</t>
    </r>
  </si>
  <si>
    <t>Sidney Crosby</t>
  </si>
  <si>
    <r>
      <rPr>
        <sz val="10"/>
        <color indexed="15"/>
        <rFont val="Helvetica Neue Light"/>
      </rPr>
      <t>PIT</t>
    </r>
  </si>
  <si>
    <t>MacKenzie Weegar</t>
  </si>
  <si>
    <r>
      <rPr>
        <sz val="10"/>
        <color indexed="8"/>
        <rFont val="Helvetica Neue Light"/>
      </rPr>
      <t>CGY</t>
    </r>
  </si>
  <si>
    <t>Jake Oettinger</t>
  </si>
  <si>
    <r>
      <rPr>
        <b val="1"/>
        <sz val="10"/>
        <color indexed="13"/>
        <rFont val="Helvetica Neue"/>
      </rPr>
      <t>DAL</t>
    </r>
  </si>
  <si>
    <t>Filip Forsberg</t>
  </si>
  <si>
    <r>
      <rPr>
        <sz val="10"/>
        <color indexed="8"/>
        <rFont val="Helvetica Neue Medium"/>
      </rPr>
      <t>LW</t>
    </r>
  </si>
  <si>
    <t>Roman Josi</t>
  </si>
  <si>
    <t>Andrei Vasilevskiy</t>
  </si>
  <si>
    <t>Kirill Kaprizov</t>
  </si>
  <si>
    <r>
      <rPr>
        <sz val="10"/>
        <color indexed="13"/>
        <rFont val="Helvetica Neue Light"/>
      </rPr>
      <t>MIN</t>
    </r>
  </si>
  <si>
    <t>William Nylander</t>
  </si>
  <si>
    <t>Evan Bouchard</t>
  </si>
  <si>
    <r>
      <rPr>
        <b val="1"/>
        <sz val="10"/>
        <color indexed="8"/>
        <rFont val="Helvetica Neue"/>
      </rPr>
      <t>+ +</t>
    </r>
  </si>
  <si>
    <t>Aleksander Barkov</t>
  </si>
  <si>
    <t>Stuart Skinner</t>
  </si>
  <si>
    <r>
      <rPr>
        <sz val="10"/>
        <color indexed="13"/>
        <rFont val="Helvetica Neue Light"/>
      </rPr>
      <t>EDM</t>
    </r>
  </si>
  <si>
    <t>Noah Dobson</t>
  </si>
  <si>
    <r>
      <rPr>
        <sz val="10"/>
        <color indexed="13"/>
        <rFont val="Helvetica Neue Light"/>
      </rPr>
      <t>NYI</t>
    </r>
  </si>
  <si>
    <t>Alex Ovechkin</t>
  </si>
  <si>
    <r>
      <rPr>
        <sz val="10"/>
        <color indexed="8"/>
        <rFont val="Helvetica Neue Light"/>
      </rPr>
      <t>WSH</t>
    </r>
  </si>
  <si>
    <t>Jack Hughes</t>
  </si>
  <si>
    <r>
      <rPr>
        <b val="1"/>
        <sz val="10"/>
        <color indexed="8"/>
        <rFont val="Helvetica Neue"/>
      </rPr>
      <t>N.J</t>
    </r>
  </si>
  <si>
    <t>Timo Meier</t>
  </si>
  <si>
    <t>Sam Reinhart</t>
  </si>
  <si>
    <t>Thatcher Demko</t>
  </si>
  <si>
    <t>Artemi Panarin</t>
  </si>
  <si>
    <t>Jacob Markstrom</t>
  </si>
  <si>
    <t>Jeremy Swayman</t>
  </si>
  <si>
    <r>
      <rPr>
        <i val="1"/>
        <sz val="10"/>
        <color indexed="15"/>
        <rFont val="Helvetica Neue"/>
      </rPr>
      <t>BOS</t>
    </r>
  </si>
  <si>
    <t>Charlie McAvoy</t>
  </si>
  <si>
    <t>Jason Robertson</t>
  </si>
  <si>
    <r>
      <rPr>
        <b val="1"/>
        <sz val="10"/>
        <color indexed="8"/>
        <rFont val="Helvetica Neue"/>
      </rPr>
      <t>DAL</t>
    </r>
  </si>
  <si>
    <t>Sergei Bobrovsky</t>
  </si>
  <si>
    <t>Ilya Sorokin</t>
  </si>
  <si>
    <r>
      <rPr>
        <sz val="10"/>
        <color indexed="8"/>
        <rFont val="Helvetica Neue Light"/>
      </rPr>
      <t>NYI</t>
    </r>
  </si>
  <si>
    <t>John Tavares</t>
  </si>
  <si>
    <t>Jake Guentzel</t>
  </si>
  <si>
    <t>Joel Eriksson Ek</t>
  </si>
  <si>
    <t>Alexandar Georgiev</t>
  </si>
  <si>
    <r>
      <rPr>
        <b val="1"/>
        <sz val="10"/>
        <color indexed="13"/>
        <rFont val="Helvetica Neue"/>
      </rPr>
      <t>COL</t>
    </r>
  </si>
  <si>
    <t>Tim Stützle</t>
  </si>
  <si>
    <t>Tage Thompson</t>
  </si>
  <si>
    <t>Jack Eichel</t>
  </si>
  <si>
    <r>
      <rPr>
        <b val="1"/>
        <sz val="10"/>
        <color indexed="8"/>
        <rFont val="Helvetica Neue"/>
      </rPr>
      <t>VGK</t>
    </r>
  </si>
  <si>
    <t>Jordan Binnington</t>
  </si>
  <si>
    <r>
      <rPr>
        <i val="1"/>
        <sz val="10"/>
        <color indexed="8"/>
        <rFont val="Helvetica Neue"/>
      </rPr>
      <t>STL</t>
    </r>
  </si>
  <si>
    <t>Zach Hyman</t>
  </si>
  <si>
    <t>Brayden Point</t>
  </si>
  <si>
    <t>Victor Hedman</t>
  </si>
  <si>
    <t>Morgan Rielly</t>
  </si>
  <si>
    <t>Adam Fox</t>
  </si>
  <si>
    <t>Adrian Kempe</t>
  </si>
  <si>
    <r>
      <rPr>
        <sz val="10"/>
        <color indexed="13"/>
        <rFont val="Helvetica Neue Light"/>
      </rPr>
      <t>L.A</t>
    </r>
  </si>
  <si>
    <t>Sebastian Aho</t>
  </si>
  <si>
    <r>
      <rPr>
        <sz val="10"/>
        <color indexed="13"/>
        <rFont val="Helvetica Neue Light"/>
      </rPr>
      <t>CAR</t>
    </r>
  </si>
  <si>
    <t>Andrei Svechnikov</t>
  </si>
  <si>
    <t>Mika Zibanejad</t>
  </si>
  <si>
    <t>Dylan Larkin</t>
  </si>
  <si>
    <t>Nico Hischier</t>
  </si>
  <si>
    <t>John Carlson</t>
  </si>
  <si>
    <t>Steven Stamkos</t>
  </si>
  <si>
    <t>Elias Lindholm</t>
  </si>
  <si>
    <r>
      <rPr>
        <b val="1"/>
        <sz val="10"/>
        <color indexed="8"/>
        <rFont val="Helvetica Neue"/>
      </rPr>
      <t>-</t>
    </r>
  </si>
  <si>
    <t>Seth Jarvis</t>
  </si>
  <si>
    <t>Chris Kreider</t>
  </si>
  <si>
    <t>Nick Suzuki</t>
  </si>
  <si>
    <r>
      <rPr>
        <i val="1"/>
        <sz val="10"/>
        <color indexed="8"/>
        <rFont val="Helvetica Neue"/>
      </rPr>
      <t>MTL</t>
    </r>
  </si>
  <si>
    <t>Bo Horvat</t>
  </si>
  <si>
    <t>Travis Konecny</t>
  </si>
  <si>
    <r>
      <rPr>
        <i val="1"/>
        <sz val="10"/>
        <color indexed="13"/>
        <rFont val="Helvetica Neue"/>
      </rPr>
      <t>PHI</t>
    </r>
  </si>
  <si>
    <t>Connor Bedard</t>
  </si>
  <si>
    <r>
      <rPr>
        <b val="1"/>
        <sz val="10"/>
        <color indexed="8"/>
        <rFont val="Helvetica Neue"/>
      </rPr>
      <t>CHI</t>
    </r>
  </si>
  <si>
    <t>Linus Ullmark</t>
  </si>
  <si>
    <t>Josh Morrissey</t>
  </si>
  <si>
    <t>Jesper Bratt</t>
  </si>
  <si>
    <t>Owen Tippett</t>
  </si>
  <si>
    <t>Wyatt Johnston</t>
  </si>
  <si>
    <t>Mathew Barzal</t>
  </si>
  <si>
    <t>Juraj Slafkovsky</t>
  </si>
  <si>
    <t>Alex Tuch</t>
  </si>
  <si>
    <t>Quinn Hughes</t>
  </si>
  <si>
    <t>Jacob Trouba</t>
  </si>
  <si>
    <t>Roope Hintz</t>
  </si>
  <si>
    <t>Tom Wilson</t>
  </si>
  <si>
    <t>Miro Heiskanen</t>
  </si>
  <si>
    <t>Tristan Jarry</t>
  </si>
  <si>
    <r>
      <rPr>
        <sz val="10"/>
        <color indexed="8"/>
        <rFont val="Helvetica Neue Light"/>
      </rPr>
      <t>PIT</t>
    </r>
  </si>
  <si>
    <t>Mikhail Sergachev</t>
  </si>
  <si>
    <r>
      <rPr>
        <b val="1"/>
        <sz val="10"/>
        <color indexed="8"/>
        <rFont val="Helvetica Neue"/>
      </rPr>
      <t>UTA</t>
    </r>
  </si>
  <si>
    <t>Brandon Hagel</t>
  </si>
  <si>
    <t>Connor Ingram</t>
  </si>
  <si>
    <r>
      <rPr>
        <b val="1"/>
        <sz val="10"/>
        <color indexed="13"/>
        <rFont val="Helvetica Neue"/>
      </rPr>
      <t>UTA</t>
    </r>
  </si>
  <si>
    <t>Adin Hill</t>
  </si>
  <si>
    <t>Darcy Kuemper</t>
  </si>
  <si>
    <r>
      <rPr>
        <sz val="10"/>
        <color indexed="8"/>
        <rFont val="Helvetica Neue Light"/>
      </rPr>
      <t>L.A</t>
    </r>
  </si>
  <si>
    <t>Kris Letang</t>
  </si>
  <si>
    <t>Dylan Cozens</t>
  </si>
  <si>
    <t>Robert Thomas</t>
  </si>
  <si>
    <r>
      <rPr>
        <i val="1"/>
        <sz val="10"/>
        <color indexed="15"/>
        <rFont val="Helvetica Neue"/>
      </rPr>
      <t>STL</t>
    </r>
  </si>
  <si>
    <t>Seth Jones</t>
  </si>
  <si>
    <t>Jake DeBrusk</t>
  </si>
  <si>
    <t>Filip Gustavsson</t>
  </si>
  <si>
    <r>
      <rPr>
        <sz val="10"/>
        <color indexed="8"/>
        <rFont val="Helvetica Neue Light"/>
      </rPr>
      <t>MIN</t>
    </r>
  </si>
  <si>
    <t>Sam Montembeault</t>
  </si>
  <si>
    <r>
      <rPr>
        <i val="1"/>
        <sz val="10"/>
        <color indexed="15"/>
        <rFont val="Helvetica Neue"/>
      </rPr>
      <t>MTL</t>
    </r>
  </si>
  <si>
    <t>Radko Gudas</t>
  </si>
  <si>
    <r>
      <rPr>
        <b val="1"/>
        <sz val="10"/>
        <color indexed="15"/>
        <rFont val="Helvetica Neue"/>
      </rPr>
      <t>ANA</t>
    </r>
  </si>
  <si>
    <t>Boone Jenner</t>
  </si>
  <si>
    <r>
      <rPr>
        <i val="1"/>
        <sz val="10"/>
        <color indexed="15"/>
        <rFont val="Helvetica Neue"/>
      </rPr>
      <t>CBJ</t>
    </r>
  </si>
  <si>
    <t>Mike Matheson</t>
  </si>
  <si>
    <t>Kevin Fiala</t>
  </si>
  <si>
    <t>Joseph Woll</t>
  </si>
  <si>
    <t>Kyle Connor</t>
  </si>
  <si>
    <t>Alex DeBrincat</t>
  </si>
  <si>
    <t>Brock Nelson</t>
  </si>
  <si>
    <t>Brad Marchand</t>
  </si>
  <si>
    <t>Ryan Nugent-Hopkins</t>
  </si>
  <si>
    <t>Nazem Kadri</t>
  </si>
  <si>
    <t>Jordan Kyrou</t>
  </si>
  <si>
    <t>Carter Verhaeghe</t>
  </si>
  <si>
    <t>Clayton Keller</t>
  </si>
  <si>
    <t>Erik Karlsson</t>
  </si>
  <si>
    <t>Mark Scheifele</t>
  </si>
  <si>
    <t>Jonathan Marchessault</t>
  </si>
  <si>
    <t>Tomas Hertl</t>
  </si>
  <si>
    <t>Bryan Rust</t>
  </si>
  <si>
    <t>Anze Kopitar</t>
  </si>
  <si>
    <t>Darnell Nurse</t>
  </si>
  <si>
    <t>Frank Vatrano</t>
  </si>
  <si>
    <t>Colton Parayko</t>
  </si>
  <si>
    <t>Jared McCann</t>
  </si>
  <si>
    <r>
      <rPr>
        <i val="1"/>
        <sz val="10"/>
        <color indexed="8"/>
        <rFont val="Helvetica Neue"/>
      </rPr>
      <t>SEA</t>
    </r>
  </si>
  <si>
    <t>Jamie Benn</t>
  </si>
  <si>
    <t>Lucas Raymond</t>
  </si>
  <si>
    <t>Justin Faulk</t>
  </si>
  <si>
    <t>Cole Caufield</t>
  </si>
  <si>
    <t>Alex Pietrangelo</t>
  </si>
  <si>
    <t>Matt Boldy</t>
  </si>
  <si>
    <t>Charlie Lindgren</t>
  </si>
  <si>
    <t>Sam Bennett</t>
  </si>
  <si>
    <t>Neal Pionk</t>
  </si>
  <si>
    <t>Brock Faber</t>
  </si>
  <si>
    <t>Pavel Buchnevich</t>
  </si>
  <si>
    <t>Elvis Merzlikins</t>
  </si>
  <si>
    <r>
      <rPr>
        <i val="1"/>
        <sz val="10"/>
        <color indexed="8"/>
        <rFont val="Helvetica Neue"/>
      </rPr>
      <t>CBJ</t>
    </r>
  </si>
  <si>
    <t>Drew Doughty</t>
  </si>
  <si>
    <t>Rasmus Andersson</t>
  </si>
  <si>
    <t>Joey Daccord</t>
  </si>
  <si>
    <t>Ukko-Pekka Luukkonen</t>
  </si>
  <si>
    <t>Matthew Knies</t>
  </si>
  <si>
    <t>Samuel Ersson</t>
  </si>
  <si>
    <r>
      <rPr>
        <i val="1"/>
        <sz val="10"/>
        <color indexed="15"/>
        <rFont val="Helvetica Neue"/>
      </rPr>
      <t>PHI</t>
    </r>
  </si>
  <si>
    <t>Jake McCabe</t>
  </si>
  <si>
    <t>Noah Hanifin</t>
  </si>
  <si>
    <t>Pierre-Luc Dubois</t>
  </si>
  <si>
    <t>Jake Neighbours</t>
  </si>
  <si>
    <t>Brayden Schenn</t>
  </si>
  <si>
    <t>Matt Roy</t>
  </si>
  <si>
    <t>Zach Werenski</t>
  </si>
  <si>
    <t>Yaroslav Askarov</t>
  </si>
  <si>
    <r>
      <rPr>
        <i val="1"/>
        <sz val="10"/>
        <color indexed="15"/>
        <rFont val="Helvetica Neue"/>
      </rPr>
      <t>S.J</t>
    </r>
  </si>
  <si>
    <t>Dylan Strome</t>
  </si>
  <si>
    <t>Mason McTavish</t>
  </si>
  <si>
    <t>Cam Talbot</t>
  </si>
  <si>
    <r>
      <rPr>
        <sz val="10"/>
        <color indexed="15"/>
        <rFont val="Helvetica Neue Light"/>
      </rPr>
      <t>DET</t>
    </r>
  </si>
  <si>
    <t>Alexis Lafrenière</t>
  </si>
  <si>
    <t>Dylan Guenther</t>
  </si>
  <si>
    <t>Gustav Forsling</t>
  </si>
  <si>
    <t>Frederik Andersen</t>
  </si>
  <si>
    <r>
      <rPr>
        <sz val="10"/>
        <color indexed="8"/>
        <rFont val="Helvetica Neue Light"/>
      </rPr>
      <t>CAR</t>
    </r>
  </si>
  <si>
    <t>Martin Necas</t>
  </si>
  <si>
    <t>Eeli Tolvanen</t>
  </si>
  <si>
    <t>Pyotr Kochetkov</t>
  </si>
  <si>
    <t>Travis Sanheim</t>
  </si>
  <si>
    <t>Charlie Coyle</t>
  </si>
  <si>
    <t>Dakota Joshua</t>
  </si>
  <si>
    <t>Jeremy Lauzon</t>
  </si>
  <si>
    <t>Kaiden Guhle</t>
  </si>
  <si>
    <t>Brandon Montour</t>
  </si>
  <si>
    <t>Logan Cooley</t>
  </si>
  <si>
    <t>Jean-Gabriel Pageau</t>
  </si>
  <si>
    <t>Brayden McNabb</t>
  </si>
  <si>
    <t>K'Andre Miller</t>
  </si>
  <si>
    <t>Drake Batherson</t>
  </si>
  <si>
    <t>Dougie Hamilton</t>
  </si>
  <si>
    <t>Brock Boeser</t>
  </si>
  <si>
    <t>Evgeni Malkin</t>
  </si>
  <si>
    <t>Ivan Barbashev</t>
  </si>
  <si>
    <t>Brady Skjei</t>
  </si>
  <si>
    <t>Jake Sanderson</t>
  </si>
  <si>
    <t>Nick Seeler</t>
  </si>
  <si>
    <t>John Gibson</t>
  </si>
  <si>
    <t>Ryan O'Reilly</t>
  </si>
  <si>
    <t>Blake Coleman</t>
  </si>
  <si>
    <t>Macklin Celebrini</t>
  </si>
  <si>
    <t>Jonathan Huberdeau</t>
  </si>
  <si>
    <t>Claude Giroux</t>
  </si>
  <si>
    <t>Pavel Zacha</t>
  </si>
  <si>
    <t>Dustin Wolf</t>
  </si>
  <si>
    <t>Shea Theodore</t>
  </si>
  <si>
    <t>Adam Larsson</t>
  </si>
  <si>
    <t>Nikolaj Ehlers</t>
  </si>
  <si>
    <t>Yegor Sharangovich</t>
  </si>
  <si>
    <t>Adam Fantilli</t>
  </si>
  <si>
    <t>Lawson Crouse</t>
  </si>
  <si>
    <t>Alex Romanov</t>
  </si>
  <si>
    <t>Trevor Moore</t>
  </si>
  <si>
    <t>Devon Toews</t>
  </si>
  <si>
    <t>William Karlsson</t>
  </si>
  <si>
    <t>Vince Dunn</t>
  </si>
  <si>
    <t>Tyler Toffoli</t>
  </si>
  <si>
    <t>Braden Schneider</t>
  </si>
  <si>
    <t>Phillip Danault</t>
  </si>
  <si>
    <t>Jake Walman</t>
  </si>
  <si>
    <t>Tyler Bertuzzi</t>
  </si>
  <si>
    <t>Aaron Ekblad</t>
  </si>
  <si>
    <t>Thomas Harley</t>
  </si>
  <si>
    <t>Quinton Byfield</t>
  </si>
  <si>
    <t>Adam Lowry</t>
  </si>
  <si>
    <t>Mattias Ekholm</t>
  </si>
  <si>
    <t>Matty Beniers</t>
  </si>
  <si>
    <t>Erik Cernak</t>
  </si>
  <si>
    <t>Dylan DeMelo</t>
  </si>
  <si>
    <t>Anthony Stolarz</t>
  </si>
  <si>
    <t>Garnet Hathaway</t>
  </si>
  <si>
    <t>Petr Mrazek</t>
  </si>
  <si>
    <r>
      <rPr>
        <b val="1"/>
        <sz val="10"/>
        <color indexed="15"/>
        <rFont val="Helvetica Neue"/>
      </rPr>
      <t>CHI</t>
    </r>
  </si>
  <si>
    <t>Tanner Jeannot</t>
  </si>
  <si>
    <t>Mario Ferraro</t>
  </si>
  <si>
    <t>Ryan Pulock</t>
  </si>
  <si>
    <t>JJ Peterka</t>
  </si>
  <si>
    <t>Troy Terry</t>
  </si>
  <si>
    <t>Nikita Zadorov</t>
  </si>
  <si>
    <t>Marcus Pettersson</t>
  </si>
  <si>
    <t>Esa Lindell</t>
  </si>
  <si>
    <t>Ben Chiarot</t>
  </si>
  <si>
    <t>Logan Couture</t>
  </si>
  <si>
    <t>Mark Stone</t>
  </si>
  <si>
    <t>Brent Burns</t>
  </si>
  <si>
    <t>Artturi Lehkonen</t>
  </si>
  <si>
    <t>Dan Vladar</t>
  </si>
  <si>
    <t>Ivan Provorov</t>
  </si>
  <si>
    <t>Michael Rasmussen</t>
  </si>
  <si>
    <t>Filip Hronek</t>
  </si>
  <si>
    <t>Thomas Chabot</t>
  </si>
  <si>
    <t>Jakob Chychrun</t>
  </si>
  <si>
    <t>Tyler Seguin</t>
  </si>
  <si>
    <t>Anthony Cirelli</t>
  </si>
  <si>
    <t>Jani Hakanpaa</t>
  </si>
  <si>
    <t>Josh Manson</t>
  </si>
  <si>
    <t>Martin Fehervary</t>
  </si>
  <si>
    <t>Michael Pezzetta</t>
  </si>
  <si>
    <t>Sean Durzi</t>
  </si>
  <si>
    <t>Martin Pospisil</t>
  </si>
  <si>
    <t>Michael Bunting</t>
  </si>
  <si>
    <r>
      <rPr>
        <b val="1"/>
        <sz val="10"/>
        <color indexed="8"/>
        <rFont val="Helvetica Neue"/>
      </rPr>
      <t>- -</t>
    </r>
  </si>
  <si>
    <t>Ross Colton</t>
  </si>
  <si>
    <t>Matvei Michkov</t>
  </si>
  <si>
    <t>Teuvo Teravainen</t>
  </si>
  <si>
    <t>Nick Schmaltz</t>
  </si>
  <si>
    <t>Brenden Dillon</t>
  </si>
  <si>
    <t>Jeff Petry</t>
  </si>
  <si>
    <t>Laurent Brossoit</t>
  </si>
  <si>
    <t>Shane Pinto</t>
  </si>
  <si>
    <t>Trent Frederic</t>
  </si>
  <si>
    <t>William Eklund</t>
  </si>
  <si>
    <t>Rickard Rakell</t>
  </si>
  <si>
    <t>Morgan Geekie</t>
  </si>
  <si>
    <t>Cam York</t>
  </si>
  <si>
    <t>Anders Lee</t>
  </si>
  <si>
    <t>Tyson Foerster</t>
  </si>
  <si>
    <t>Jamie Oleksiak</t>
  </si>
  <si>
    <t>Kyle Palmieri</t>
  </si>
  <si>
    <t>Patrick Kane</t>
  </si>
  <si>
    <t>Matt Duchene</t>
  </si>
  <si>
    <t>Patrik Laine</t>
  </si>
  <si>
    <t>Yanni Gourde</t>
  </si>
  <si>
    <t>Lukas Dostal</t>
  </si>
  <si>
    <t>Trevor Zegras</t>
  </si>
  <si>
    <t>Evander Kane</t>
  </si>
  <si>
    <t>Dawson Mercer</t>
  </si>
  <si>
    <t>Chris Tanev</t>
  </si>
  <si>
    <t>Vladimir Tarasenko</t>
  </si>
  <si>
    <t>Logan Thompson</t>
  </si>
  <si>
    <t>Mason Marchment</t>
  </si>
  <si>
    <t>Pavel Mintyukov</t>
  </si>
  <si>
    <t>Ilya Lyubushkin</t>
  </si>
  <si>
    <t>Keegan Kolesar</t>
  </si>
  <si>
    <t>Nino Niederreiter</t>
  </si>
  <si>
    <t>Beck Malenstyn</t>
  </si>
  <si>
    <t>Chandler Stephenson</t>
  </si>
  <si>
    <t>Jacob Middleton</t>
  </si>
  <si>
    <t>Sean Walker</t>
  </si>
  <si>
    <t>Luke Schenn</t>
  </si>
  <si>
    <t>Artem Zub</t>
  </si>
  <si>
    <t>Scott Laughton</t>
  </si>
  <si>
    <t>Morgan Frost</t>
  </si>
  <si>
    <t>Marcus Foligno</t>
  </si>
  <si>
    <t>Andrew Mangiapane</t>
  </si>
  <si>
    <t>Alex Lyon</t>
  </si>
  <si>
    <t>William Borgen</t>
  </si>
  <si>
    <t>Connor Clifton</t>
  </si>
  <si>
    <t>David Savard</t>
  </si>
  <si>
    <t>Hampus Lindholm</t>
  </si>
  <si>
    <t>Josh Norris</t>
  </si>
  <si>
    <t>Jaccob Slavin</t>
  </si>
  <si>
    <t>Ryan Hartman</t>
  </si>
  <si>
    <t>Nick Foligno</t>
  </si>
  <si>
    <t>Simon Benoit</t>
  </si>
  <si>
    <t>Mats Zuccarello</t>
  </si>
  <si>
    <t>Bobby McMann</t>
  </si>
  <si>
    <t>Dmitry Orlov</t>
  </si>
  <si>
    <t>Brandon Carlo</t>
  </si>
  <si>
    <t>Niko Mikkola</t>
  </si>
  <si>
    <t>Philipp Grubauer</t>
  </si>
  <si>
    <t>Connor Murphy</t>
  </si>
  <si>
    <t>Jason Dickinson</t>
  </si>
  <si>
    <t>Nick Bjugstad</t>
  </si>
  <si>
    <t>Mikey Anderson</t>
  </si>
  <si>
    <t>Devon Levi</t>
  </si>
  <si>
    <t>Adam Henrique</t>
  </si>
  <si>
    <t>Timothy Liljegren</t>
  </si>
  <si>
    <t>Oliver Bjorkstrand</t>
  </si>
  <si>
    <t>Owen Power</t>
  </si>
  <si>
    <t>Tyler Myers</t>
  </si>
  <si>
    <t>Eetu Luostarinen</t>
  </si>
  <si>
    <t>Jared Spurgeon</t>
  </si>
  <si>
    <t>Conor Garland</t>
  </si>
  <si>
    <t>Logan Stankoven</t>
  </si>
  <si>
    <t>Alex Killorn</t>
  </si>
  <si>
    <t>Jordan Staal</t>
  </si>
  <si>
    <t>Cody Ceci</t>
  </si>
  <si>
    <t>Jack McBain</t>
  </si>
  <si>
    <t>Jonas Brodin</t>
  </si>
  <si>
    <t>Nic Dowd</t>
  </si>
  <si>
    <t>Jack Quinn</t>
  </si>
  <si>
    <t>Will Cuylle</t>
  </si>
  <si>
    <t>Sean Monahan</t>
  </si>
  <si>
    <t>Dylan Holloway</t>
  </si>
  <si>
    <t>Nicolas Hague</t>
  </si>
  <si>
    <t>Ryan Graves</t>
  </si>
  <si>
    <t>Andrei Kuzmenko</t>
  </si>
  <si>
    <t>Erik Gudbranson</t>
  </si>
  <si>
    <t>Jeff Skinner</t>
  </si>
  <si>
    <t>Will Smith</t>
  </si>
  <si>
    <t>Cole Sillinger</t>
  </si>
  <si>
    <t>David Perron</t>
  </si>
  <si>
    <t>Gabriel Vilardi</t>
  </si>
  <si>
    <t>Mikael Backlund</t>
  </si>
  <si>
    <t>Alex Carrier</t>
  </si>
  <si>
    <t>Mikael Granlund</t>
  </si>
  <si>
    <t>Leo Carlsson</t>
  </si>
  <si>
    <t>Joel Farabee</t>
  </si>
  <si>
    <t>Adam Pelech</t>
  </si>
  <si>
    <t>Karel Vejmelka</t>
  </si>
  <si>
    <t>Fabian Zetterlund</t>
  </si>
  <si>
    <t>Jesperi Kotkaniemi</t>
  </si>
  <si>
    <t>Lane Hutson</t>
  </si>
  <si>
    <t>Anthony Duclair</t>
  </si>
  <si>
    <t>Nick Paul</t>
  </si>
  <si>
    <t>Matt Dumba</t>
  </si>
  <si>
    <t>Anton Forsberg</t>
  </si>
  <si>
    <t>Brandt Clarke</t>
  </si>
  <si>
    <t>Ridly Greig</t>
  </si>
  <si>
    <t>Anton Lundell</t>
  </si>
  <si>
    <t>Danton Heinen</t>
  </si>
  <si>
    <t>Kirill Marchenko</t>
  </si>
  <si>
    <t>Ryan McDonagh</t>
  </si>
  <si>
    <t>Ilya Samsonov</t>
  </si>
  <si>
    <t>Luke Hughes</t>
  </si>
  <si>
    <t>Yakov Trenin</t>
  </si>
  <si>
    <t>Cole Smith</t>
  </si>
  <si>
    <t>Gustav Nyquist</t>
  </si>
  <si>
    <t>Damon Severson</t>
  </si>
  <si>
    <t>Alex Nedeljkovic</t>
  </si>
  <si>
    <t>Simon Edvinsson</t>
  </si>
  <si>
    <t>Dmitry Kulikov</t>
  </si>
  <si>
    <t>Bowen Byram</t>
  </si>
  <si>
    <t>Samuel Girard</t>
  </si>
  <si>
    <t>Dmitri Voronkov</t>
  </si>
  <si>
    <t>J.T. Compher</t>
  </si>
  <si>
    <r>
      <rPr>
        <sz val="10"/>
        <color indexed="8"/>
        <rFont val="Helvetica Neue Medium"/>
      </rPr>
      <t>C/LW/RW</t>
    </r>
  </si>
  <si>
    <t>Carson Soucy</t>
  </si>
  <si>
    <t>Matias Maccelli</t>
  </si>
  <si>
    <t>Andrew Peeke</t>
  </si>
  <si>
    <t>Jordan Eberle</t>
  </si>
  <si>
    <t>Mattias Samuelsson</t>
  </si>
  <si>
    <t>Ty Emberson</t>
  </si>
  <si>
    <t>Rasmus Ristolainen</t>
  </si>
  <si>
    <t>Curtis Lazar</t>
  </si>
  <si>
    <t>Casey Cizikas</t>
  </si>
  <si>
    <t>Jonathan Drouin</t>
  </si>
  <si>
    <t>Vladislav Gavrikov</t>
  </si>
  <si>
    <t>Casey Mittelstadt</t>
  </si>
  <si>
    <t>Brandon Tanev</t>
  </si>
  <si>
    <t>Viktor Arvidsson</t>
  </si>
  <si>
    <t>Cam Fowler</t>
  </si>
  <si>
    <t>Jason Zucker</t>
  </si>
  <si>
    <t>MacKenzie Blackwood</t>
  </si>
  <si>
    <t>Warren Foegele</t>
  </si>
  <si>
    <t>Olen Zellweger</t>
  </si>
  <si>
    <t>Shane Wright</t>
  </si>
  <si>
    <t>Evan Rodrigues</t>
  </si>
  <si>
    <t>Ondrej Palat</t>
  </si>
  <si>
    <t>Reilly Smith</t>
  </si>
  <si>
    <t>Sean Couturier</t>
  </si>
  <si>
    <t>Shayne Gostisbehere</t>
  </si>
  <si>
    <t>Michael Eyssimont</t>
  </si>
  <si>
    <t>Erik Haula</t>
  </si>
  <si>
    <t>Zach Whitecloud</t>
  </si>
  <si>
    <t>Jordan Greenway</t>
  </si>
  <si>
    <t>Torey Krug</t>
  </si>
  <si>
    <t>Taylor Hall</t>
  </si>
  <si>
    <t>Marc-Andre Fleury</t>
  </si>
  <si>
    <t>Ian Cole</t>
  </si>
  <si>
    <t>Janis Moser</t>
  </si>
  <si>
    <t>Tye Kartye</t>
  </si>
  <si>
    <t>Nils Hoglander</t>
  </si>
  <si>
    <t>Alex Vlasic</t>
  </si>
  <si>
    <t>Stefan Noesen</t>
  </si>
  <si>
    <t>Connor McMichael</t>
  </si>
  <si>
    <t>Ryan Lindgren</t>
  </si>
  <si>
    <t>Barclay Goodrow</t>
  </si>
  <si>
    <t>Cutter Gauthier</t>
  </si>
  <si>
    <t>Sean Kuraly</t>
  </si>
  <si>
    <t>Dante Fabbro</t>
  </si>
  <si>
    <t>Cole Perfetti</t>
  </si>
  <si>
    <t>William Carrier</t>
  </si>
  <si>
    <t>Cayden Primeau</t>
  </si>
  <si>
    <t>Vladislav Namestnikov</t>
  </si>
  <si>
    <t>Noel Acciari</t>
  </si>
  <si>
    <t>Dylan Samberg</t>
  </si>
  <si>
    <t>Scott Mayfield</t>
  </si>
  <si>
    <t>Philip Broberg</t>
  </si>
  <si>
    <t>Valeri Nichushkin</t>
  </si>
  <si>
    <t>Alex Holtz</t>
  </si>
  <si>
    <t>Brett Pesce</t>
  </si>
  <si>
    <t>Kevin Bahl</t>
  </si>
  <si>
    <t>Nick Jensen</t>
  </si>
  <si>
    <t>Justus Annunen</t>
  </si>
  <si>
    <t>Nicolas Roy</t>
  </si>
  <si>
    <t>Mathieu Joseph</t>
  </si>
  <si>
    <t>Colton Sissons</t>
  </si>
  <si>
    <t>Jonas Siegenthaler</t>
  </si>
  <si>
    <t>Rutger McGroarty</t>
  </si>
  <si>
    <t>Josh Doan</t>
  </si>
  <si>
    <t>Logan O'Connor</t>
  </si>
  <si>
    <t>Erik Gustafsson (D)</t>
  </si>
  <si>
    <t>Semyon Varlamov</t>
  </si>
  <si>
    <t>Joe Veleno</t>
  </si>
  <si>
    <t>Ivan Fedotov</t>
  </si>
  <si>
    <t>Marco Rossi</t>
  </si>
  <si>
    <t>Alex Newhook</t>
  </si>
  <si>
    <t>Drew O'Connor</t>
  </si>
  <si>
    <t>Alec Martinez</t>
  </si>
  <si>
    <t>Zach Benson</t>
  </si>
  <si>
    <t>Joel Hofer</t>
  </si>
  <si>
    <t>Arber Xhekaj</t>
  </si>
  <si>
    <t>Rasmus Sandin</t>
  </si>
  <si>
    <t>Thomas Novak</t>
  </si>
  <si>
    <t>Paul Cotter</t>
  </si>
  <si>
    <t>Max Domi</t>
  </si>
  <si>
    <t>Kiefer Sherwood</t>
  </si>
  <si>
    <t>TJ Brodie</t>
  </si>
  <si>
    <t>Ryan Poehling</t>
  </si>
  <si>
    <t>Alex Kerfoot</t>
  </si>
  <si>
    <t>Nick Perbix</t>
  </si>
  <si>
    <t>Daniil Tarasov (G)</t>
  </si>
  <si>
    <t>Miles Wood</t>
  </si>
  <si>
    <t>Simon Nemec</t>
  </si>
  <si>
    <t>Brandon Duhaime</t>
  </si>
  <si>
    <t>Filip Chytil</t>
  </si>
  <si>
    <t>Jackson LaCombe</t>
  </si>
  <si>
    <t>David Rittich</t>
  </si>
  <si>
    <t>Darren Raddysh</t>
  </si>
  <si>
    <t>Joonas Korpisalo</t>
  </si>
  <si>
    <t>Parker Kelly</t>
  </si>
  <si>
    <t>Michael Kesselring</t>
  </si>
  <si>
    <t>Oliver Ekman-Larsson</t>
  </si>
  <si>
    <t>Daniel Sprong</t>
  </si>
  <si>
    <t>Jacob Bernard-Docker</t>
  </si>
  <si>
    <t>Philipp Kurashev</t>
  </si>
  <si>
    <t>John Marino</t>
  </si>
  <si>
    <t>Mark Kastelic</t>
  </si>
  <si>
    <t>Michael McCarron</t>
  </si>
  <si>
    <t>Calvin Pickard</t>
  </si>
  <si>
    <t>Jamie Drysdale</t>
  </si>
  <si>
    <t>Brandon Saad</t>
  </si>
  <si>
    <t>Vincent Desharnais</t>
  </si>
  <si>
    <t>Jack Roslovic</t>
  </si>
  <si>
    <t>Nicholas Robertson</t>
  </si>
  <si>
    <t>Derek Forbort</t>
  </si>
  <si>
    <t>Josh Anderson</t>
  </si>
  <si>
    <t>Yegor Chinakhov</t>
  </si>
  <si>
    <t>Jake Allen</t>
  </si>
  <si>
    <t>Calvin de Haan</t>
  </si>
  <si>
    <t>Jordan Spence</t>
  </si>
  <si>
    <t>Nick Leddy</t>
  </si>
  <si>
    <t>Carl Grundstrom</t>
  </si>
  <si>
    <t>Anthony Mantha</t>
  </si>
  <si>
    <t>Connor Zary</t>
  </si>
  <si>
    <t>Andrew Copp</t>
  </si>
  <si>
    <t>Noah Gregor</t>
  </si>
  <si>
    <t>Travis Hamonic</t>
  </si>
  <si>
    <t>Pavel Dorofeyev</t>
  </si>
  <si>
    <t>Luke Kunin</t>
  </si>
  <si>
    <t>Zach Bogosian</t>
  </si>
  <si>
    <t>Adam Boqvist</t>
  </si>
  <si>
    <t>Brayden Pachal</t>
  </si>
  <si>
    <t>Brett Kulak</t>
  </si>
  <si>
    <t>Jan Rutta</t>
  </si>
  <si>
    <t>Ryan Donato</t>
  </si>
  <si>
    <t>Alex Wennberg</t>
  </si>
  <si>
    <t>Brian Dumoulin</t>
  </si>
  <si>
    <t>Nathan Bastian</t>
  </si>
  <si>
    <t>Justin Barron</t>
  </si>
  <si>
    <t>Jaden Schwartz</t>
  </si>
  <si>
    <t>Henri Jokiharju</t>
  </si>
  <si>
    <t>Henry Thrun</t>
  </si>
  <si>
    <t>Jordan Martinook</t>
  </si>
  <si>
    <t>Alex Laferriere</t>
  </si>
  <si>
    <t>Erik Brannstrom</t>
  </si>
  <si>
    <t>Jalen Chatfield</t>
  </si>
  <si>
    <t>Jake Evans</t>
  </si>
  <si>
    <t>Teddy Blueger</t>
  </si>
  <si>
    <t>Luke Evangelista</t>
  </si>
  <si>
    <t>Radek Faksa</t>
  </si>
  <si>
    <t>Ryan McLeod</t>
  </si>
  <si>
    <t>Connor Dewar</t>
  </si>
  <si>
    <t>Alex Iafallo</t>
  </si>
  <si>
    <t>Lars Eller</t>
  </si>
  <si>
    <t>Mason Appleton</t>
  </si>
  <si>
    <t>Kevin Hayes</t>
  </si>
  <si>
    <t>Brendan Smith</t>
  </si>
  <si>
    <t>Joel Edmundson</t>
  </si>
  <si>
    <t>Justin Brazeau</t>
  </si>
  <si>
    <t>Spencer Knight</t>
  </si>
  <si>
    <t>Barrett Hayton</t>
  </si>
  <si>
    <t>Sam Lafferty</t>
  </si>
  <si>
    <t>Arturs Silovs</t>
  </si>
  <si>
    <t>Valtteri Puustinen</t>
  </si>
  <si>
    <t>Michael Amadio</t>
  </si>
  <si>
    <t>Kirby Dach</t>
  </si>
  <si>
    <t>Mathieu Olivier</t>
  </si>
  <si>
    <t>Blake Lizotte</t>
  </si>
  <si>
    <t>Aliaksei Protas</t>
  </si>
  <si>
    <t>Ryan Strome</t>
  </si>
  <si>
    <t>Brett Howden</t>
  </si>
  <si>
    <t>Tyler Motte</t>
  </si>
  <si>
    <t>Kaapo Kakko</t>
  </si>
  <si>
    <t>Pius Suter</t>
  </si>
  <si>
    <t>Ryan Suter</t>
  </si>
  <si>
    <t>Noah Cates</t>
  </si>
  <si>
    <t>Nicolas Aube-Kubel</t>
  </si>
  <si>
    <t>Juuso Valimaki</t>
  </si>
  <si>
    <t>Morgan Barron</t>
  </si>
  <si>
    <t>John Beecher</t>
  </si>
  <si>
    <t>Colin Miller</t>
  </si>
  <si>
    <t>Victor Olofsson</t>
  </si>
  <si>
    <t>Luke Glendening</t>
  </si>
  <si>
    <t>Olli Maatta</t>
  </si>
  <si>
    <t>Mason Lohrei</t>
  </si>
  <si>
    <t>Calle Jarnkrok</t>
  </si>
  <si>
    <t>Kevin Korchinski</t>
  </si>
  <si>
    <t>Juuso Parssinen</t>
  </si>
  <si>
    <t>Nico Sturm</t>
  </si>
  <si>
    <t>Mavrik Bourque</t>
  </si>
  <si>
    <t>Jakub Lauko</t>
  </si>
  <si>
    <t>Andre Burakovsky</t>
  </si>
  <si>
    <t>Trevor van Riemsdyk</t>
  </si>
  <si>
    <t>Christian Fischer</t>
  </si>
  <si>
    <t>Brendan Gallagher</t>
  </si>
  <si>
    <t>Philip Tomasino</t>
  </si>
  <si>
    <t>Justin Danforth</t>
  </si>
  <si>
    <t>Jimmy Vesey</t>
  </si>
  <si>
    <t>Matt Grzelcyk</t>
  </si>
  <si>
    <t>Logan Stanley</t>
  </si>
  <si>
    <t>Nate Schmidt</t>
  </si>
  <si>
    <t>Jordan Harris</t>
  </si>
  <si>
    <t>Robby Fabbri</t>
  </si>
  <si>
    <t>Scott Wedgewood</t>
  </si>
  <si>
    <t>Marc-Edouard Vlasic</t>
  </si>
  <si>
    <t>Jonathan Quick</t>
  </si>
  <si>
    <t>Zemgus Girgensons</t>
  </si>
  <si>
    <t>Ryan Lomberg</t>
  </si>
  <si>
    <t>Vasily Podkolzin</t>
  </si>
  <si>
    <t>Jonas Johansson</t>
  </si>
  <si>
    <t>Cam Atkinson</t>
  </si>
  <si>
    <t>Kent Johnson</t>
  </si>
  <si>
    <t>Oskar Sundqvist</t>
  </si>
  <si>
    <t>Anthony Beauvillier</t>
  </si>
  <si>
    <t>Bradly Nadeau</t>
  </si>
  <si>
    <t>David Kampf</t>
  </si>
  <si>
    <t>Marcus Johansson</t>
  </si>
  <si>
    <t>Parker Wotherspoon</t>
  </si>
  <si>
    <t>Kaapo Kahkonen</t>
  </si>
  <si>
    <t>Matthew Poitras</t>
  </si>
  <si>
    <t>Cody Glass</t>
  </si>
  <si>
    <t>Jesper Boqvist</t>
  </si>
  <si>
    <t>Brett Leason</t>
  </si>
  <si>
    <t>Jack Drury</t>
  </si>
  <si>
    <t>A.J. Greer</t>
  </si>
  <si>
    <t>Frederick Gaudreau</t>
  </si>
  <si>
    <t>Bobby Brink</t>
  </si>
  <si>
    <t>Tomas Tatar</t>
  </si>
  <si>
    <t>Justin Holl</t>
  </si>
  <si>
    <t>Ryker Evans</t>
  </si>
  <si>
    <t>Rafael Harvey-Pinard</t>
  </si>
  <si>
    <t>Jake Bean</t>
  </si>
  <si>
    <t>Arthur Kaliyev</t>
  </si>
  <si>
    <t>Alex Texier</t>
  </si>
  <si>
    <t>Kasperi Kapanen</t>
  </si>
  <si>
    <t>Matthew Kessel</t>
  </si>
  <si>
    <t>Sam Steel</t>
  </si>
  <si>
    <t>Evgeny Dadonov</t>
  </si>
  <si>
    <t>David Jiricek</t>
  </si>
  <si>
    <t>Jesper Fast</t>
  </si>
  <si>
    <t>Mitchell Chaffee</t>
  </si>
  <si>
    <t>Johnathan Kovacevic</t>
  </si>
  <si>
    <t>Kyle MacLean</t>
  </si>
  <si>
    <t>Mike Reilly</t>
  </si>
  <si>
    <t>Hendrix Lapierre</t>
  </si>
  <si>
    <t>Jack St. Ivany</t>
  </si>
  <si>
    <t>Scott Perunovich</t>
  </si>
  <si>
    <t>Haydn Fleury</t>
  </si>
  <si>
    <t>Jonatan Berggren</t>
  </si>
  <si>
    <t>Maxim Tsyplakov</t>
  </si>
  <si>
    <t>Matt Benning</t>
  </si>
  <si>
    <t>Nils Lundkvist</t>
  </si>
  <si>
    <t>Ilya Mikheyev</t>
  </si>
  <si>
    <t>Isac Lundestrom</t>
  </si>
  <si>
    <t>Sonny Milano</t>
  </si>
  <si>
    <t>Joel Armia</t>
  </si>
  <si>
    <t>Daniil Miromanov</t>
  </si>
  <si>
    <t>Joshua Roy</t>
  </si>
  <si>
    <t>Gabriel Landeskog</t>
  </si>
  <si>
    <t>Pontus Holmberg</t>
  </si>
  <si>
    <t>Christian Dvorak</t>
  </si>
  <si>
    <t>Ivan Miroshnichenko</t>
  </si>
  <si>
    <t>Kaedan Korczak</t>
  </si>
  <si>
    <t>Ty Dellandrea</t>
  </si>
  <si>
    <t>Simon Holmstrom</t>
  </si>
  <si>
    <t>Pierre Engvall</t>
  </si>
  <si>
    <t>Pierre-Olivier Joseph</t>
  </si>
  <si>
    <t>Colin Blackwell</t>
  </si>
  <si>
    <t>Brendan Brisson</t>
  </si>
  <si>
    <t>Patrick Maroon</t>
  </si>
  <si>
    <t>Andreas Athanasiou</t>
  </si>
  <si>
    <t>Conor Timmins</t>
  </si>
  <si>
    <t>Conor Sheary</t>
  </si>
  <si>
    <t>Max Jones</t>
  </si>
  <si>
    <t>Spencer Stastney</t>
  </si>
  <si>
    <t>Brock McGinn</t>
  </si>
  <si>
    <t>Thomas Bordeleau</t>
  </si>
  <si>
    <t>Corey Perry</t>
  </si>
  <si>
    <t>Michael Carcone</t>
  </si>
  <si>
    <t>Lukas Reichel</t>
  </si>
  <si>
    <t>Victor Soderstrom</t>
  </si>
  <si>
    <t>Derek Ryan</t>
  </si>
  <si>
    <t>Joey Anderson</t>
  </si>
  <si>
    <t>Wyatt Kaiser</t>
  </si>
  <si>
    <t>Jack Johnson</t>
  </si>
  <si>
    <t>Egor Zamula</t>
  </si>
  <si>
    <t>Kevin Rooney</t>
  </si>
  <si>
    <t>Samuel Bolduc</t>
  </si>
  <si>
    <t>Alex Turcotte</t>
  </si>
  <si>
    <t>Jonah Gadjovich</t>
  </si>
  <si>
    <t>Declan Chisholm</t>
  </si>
  <si>
    <t>Joel Kiviranta</t>
  </si>
  <si>
    <t>Tomas Nosek</t>
  </si>
  <si>
    <t>Hudson Fasching</t>
  </si>
  <si>
    <t>Nick Desimone</t>
  </si>
  <si>
    <t>Mark Jankowski</t>
  </si>
  <si>
    <t>Mattias Janmark</t>
  </si>
  <si>
    <t>Jonny Brodzinski</t>
  </si>
  <si>
    <t>Zac Jones</t>
  </si>
  <si>
    <t>Zachary Bolduc</t>
  </si>
  <si>
    <t>Santeri Hatakka</t>
  </si>
  <si>
    <t>Matt Coronato</t>
  </si>
  <si>
    <t>David Gustafsson</t>
  </si>
  <si>
    <t>Zack MacEwen</t>
  </si>
  <si>
    <t>Connor Brown</t>
  </si>
  <si>
    <t>Matt Rempe</t>
  </si>
  <si>
    <t>TEAM 1</t>
  </si>
  <si>
    <t>TEAMS</t>
  </si>
  <si>
    <t xml:space="preserve"> </t>
  </si>
  <si>
    <t>TEAM 2</t>
  </si>
  <si>
    <t>TEAM 3</t>
  </si>
  <si>
    <t>TEAM 4</t>
  </si>
  <si>
    <t>TEAM 5</t>
  </si>
  <si>
    <t>TEAM 6</t>
  </si>
  <si>
    <t>TEAM 7</t>
  </si>
  <si>
    <t>TEAM 8</t>
  </si>
  <si>
    <r>
      <rPr>
        <sz val="10"/>
        <color indexed="8"/>
        <rFont val="Helvetica Neue Light"/>
      </rPr>
      <t>T.B</t>
    </r>
  </si>
  <si>
    <t>TEAM 9</t>
  </si>
  <si>
    <t>TEAM 10</t>
  </si>
  <si>
    <t>TEAM 11</t>
  </si>
  <si>
    <t>TEAM 12</t>
  </si>
  <si>
    <r>
      <rPr>
        <sz val="10"/>
        <color indexed="8"/>
        <rFont val="Helvetica Neue Light"/>
      </rPr>
      <t>COL</t>
    </r>
  </si>
  <si>
    <t>TEAM 13</t>
  </si>
  <si>
    <t>TEAM 14</t>
  </si>
  <si>
    <t>TEAM 15</t>
  </si>
  <si>
    <t>TEAM 16</t>
  </si>
  <si>
    <t>TOTAL FP</t>
  </si>
  <si>
    <t>TOTAL VORP</t>
  </si>
  <si>
    <r>
      <rPr>
        <sz val="10"/>
        <color indexed="8"/>
        <rFont val="Helvetica Neue Light"/>
      </rPr>
      <t>NYR</t>
    </r>
  </si>
  <si>
    <r>
      <rPr>
        <sz val="10"/>
        <color indexed="8"/>
        <rFont val="Helvetica Neue Light"/>
      </rPr>
      <t>TEAM 1</t>
    </r>
  </si>
  <si>
    <r>
      <rPr>
        <sz val="10"/>
        <color indexed="8"/>
        <rFont val="Helvetica Neue Light"/>
      </rPr>
      <t>TEAM 2</t>
    </r>
  </si>
  <si>
    <r>
      <rPr>
        <sz val="10"/>
        <color indexed="8"/>
        <rFont val="Helvetica Neue Light"/>
      </rPr>
      <t>TEAM 3</t>
    </r>
  </si>
  <si>
    <r>
      <rPr>
        <sz val="10"/>
        <color indexed="8"/>
        <rFont val="Helvetica Neue Light"/>
      </rPr>
      <t>TEAM 4</t>
    </r>
  </si>
  <si>
    <r>
      <rPr>
        <sz val="10"/>
        <color indexed="8"/>
        <rFont val="Helvetica Neue Light"/>
      </rPr>
      <t>TEAM 5</t>
    </r>
  </si>
  <si>
    <r>
      <rPr>
        <sz val="10"/>
        <color indexed="8"/>
        <rFont val="Helvetica Neue Light"/>
      </rPr>
      <t>TEAM 6</t>
    </r>
  </si>
  <si>
    <r>
      <rPr>
        <sz val="10"/>
        <color indexed="8"/>
        <rFont val="Helvetica Neue Light"/>
      </rPr>
      <t>TEAM 7</t>
    </r>
  </si>
  <si>
    <r>
      <rPr>
        <sz val="10"/>
        <color indexed="8"/>
        <rFont val="Helvetica Neue Light"/>
      </rPr>
      <t>TEAM 8</t>
    </r>
  </si>
  <si>
    <r>
      <rPr>
        <sz val="10"/>
        <color indexed="8"/>
        <rFont val="Helvetica Neue Light"/>
      </rPr>
      <t>TEAM 9</t>
    </r>
  </si>
  <si>
    <r>
      <rPr>
        <sz val="10"/>
        <color indexed="8"/>
        <rFont val="Helvetica Neue Light"/>
      </rPr>
      <t>TEAM 10</t>
    </r>
  </si>
  <si>
    <r>
      <rPr>
        <sz val="10"/>
        <color indexed="8"/>
        <rFont val="Helvetica Neue Light"/>
      </rPr>
      <t>TEAM 11</t>
    </r>
  </si>
  <si>
    <r>
      <rPr>
        <sz val="10"/>
        <color indexed="8"/>
        <rFont val="Helvetica Neue Light"/>
      </rPr>
      <t>TEAM 12</t>
    </r>
  </si>
  <si>
    <r>
      <rPr>
        <sz val="10"/>
        <color indexed="8"/>
        <rFont val="Helvetica Neue Light"/>
      </rPr>
      <t>TEAM 13</t>
    </r>
  </si>
  <si>
    <r>
      <rPr>
        <sz val="10"/>
        <color indexed="8"/>
        <rFont val="Helvetica Neue Light"/>
      </rPr>
      <t>TEAM 14</t>
    </r>
  </si>
  <si>
    <r>
      <rPr>
        <sz val="10"/>
        <color indexed="8"/>
        <rFont val="Helvetica Neue Light"/>
      </rPr>
      <t>TEAM 15</t>
    </r>
  </si>
  <si>
    <r>
      <rPr>
        <sz val="10"/>
        <color indexed="8"/>
        <rFont val="Helvetica Neue Light"/>
      </rPr>
      <t>TEAM 16</t>
    </r>
  </si>
  <si>
    <t>Name</t>
  </si>
  <si>
    <t>F</t>
  </si>
  <si>
    <t>Fantasy Points</t>
  </si>
  <si>
    <t>Standard Deviation</t>
  </si>
  <si>
    <r>
      <rPr>
        <sz val="10"/>
        <color indexed="8"/>
        <rFont val="Helvetica Neue Light"/>
      </rPr>
      <t>BOS</t>
    </r>
  </si>
  <si>
    <r>
      <rPr>
        <sz val="10"/>
        <color indexed="8"/>
        <rFont val="Helvetica Neue Light"/>
      </rPr>
      <t>N.J</t>
    </r>
  </si>
  <si>
    <r>
      <rPr>
        <sz val="10"/>
        <color indexed="8"/>
        <rFont val="Helvetica Neue Light"/>
      </rPr>
      <t>VAN</t>
    </r>
  </si>
  <si>
    <r>
      <rPr>
        <sz val="10"/>
        <color indexed="8"/>
        <rFont val="Helvetica Neue Light"/>
      </rPr>
      <t>DAL</t>
    </r>
  </si>
  <si>
    <r>
      <rPr>
        <sz val="10"/>
        <color indexed="8"/>
        <rFont val="Helvetica Neue Light"/>
      </rPr>
      <t>VGK</t>
    </r>
  </si>
  <si>
    <r>
      <rPr>
        <sz val="10"/>
        <color indexed="8"/>
        <rFont val="Helvetica Neue Light"/>
      </rPr>
      <t>OTT</t>
    </r>
  </si>
  <si>
    <r>
      <rPr>
        <sz val="10"/>
        <color indexed="8"/>
        <rFont val="Helvetica Neue Light"/>
      </rPr>
      <t>CHI</t>
    </r>
  </si>
  <si>
    <r>
      <rPr>
        <sz val="10"/>
        <color indexed="8"/>
        <rFont val="Helvetica Neue Light"/>
      </rPr>
      <t>WPG</t>
    </r>
  </si>
  <si>
    <r>
      <rPr>
        <sz val="10"/>
        <color indexed="8"/>
        <rFont val="Helvetica Neue Light"/>
      </rPr>
      <t>STL</t>
    </r>
  </si>
  <si>
    <r>
      <rPr>
        <sz val="10"/>
        <color indexed="8"/>
        <rFont val="Helvetica Neue Light"/>
      </rPr>
      <t>UTA</t>
    </r>
  </si>
  <si>
    <r>
      <rPr>
        <sz val="10"/>
        <color indexed="8"/>
        <rFont val="Helvetica Neue Light"/>
      </rPr>
      <t>MTL</t>
    </r>
  </si>
  <si>
    <r>
      <rPr>
        <sz val="10"/>
        <color indexed="8"/>
        <rFont val="Helvetica Neue Light"/>
      </rPr>
      <t>PHI</t>
    </r>
  </si>
  <si>
    <r>
      <rPr>
        <sz val="10"/>
        <color indexed="8"/>
        <rFont val="Helvetica Neue Light"/>
      </rPr>
      <t>SEA</t>
    </r>
  </si>
  <si>
    <r>
      <rPr>
        <sz val="10"/>
        <color indexed="8"/>
        <rFont val="Helvetica Neue Light"/>
      </rPr>
      <t>ANA</t>
    </r>
  </si>
  <si>
    <r>
      <rPr>
        <sz val="10"/>
        <color indexed="8"/>
        <rFont val="Helvetica Neue Light"/>
      </rPr>
      <t>S.J</t>
    </r>
  </si>
  <si>
    <r>
      <rPr>
        <sz val="10"/>
        <color indexed="8"/>
        <rFont val="Helvetica Neue Light"/>
      </rPr>
      <t>CBJ</t>
    </r>
  </si>
  <si>
    <t>C</t>
  </si>
  <si>
    <t>LW</t>
  </si>
  <si>
    <t>RW</t>
  </si>
  <si>
    <t>D</t>
  </si>
  <si>
    <t>YAHOO ADP</t>
  </si>
  <si>
    <t>ESPN  ADP</t>
  </si>
  <si>
    <t>FANTRAX ADP</t>
  </si>
  <si>
    <t>AVG     ADP</t>
  </si>
  <si>
    <t>BOOST</t>
  </si>
  <si>
    <t>EDM</t>
  </si>
  <si>
    <t>COL</t>
  </si>
  <si>
    <t>TOR</t>
  </si>
  <si>
    <t>T.B</t>
  </si>
  <si>
    <t>BOS</t>
  </si>
  <si>
    <t>N.J</t>
  </si>
  <si>
    <t>NSH</t>
  </si>
  <si>
    <t>NYR</t>
  </si>
  <si>
    <t>FLA</t>
  </si>
  <si>
    <t>MIN</t>
  </si>
  <si>
    <t>BUF</t>
  </si>
  <si>
    <t>VAN</t>
  </si>
  <si>
    <t>NYI</t>
  </si>
  <si>
    <t>DAL</t>
  </si>
  <si>
    <t>WPG</t>
  </si>
  <si>
    <t>PIT</t>
  </si>
  <si>
    <t>OTT</t>
  </si>
  <si>
    <t>VGK</t>
  </si>
  <si>
    <t>DET</t>
  </si>
  <si>
    <t>RFA</t>
  </si>
  <si>
    <t>WSH</t>
  </si>
  <si>
    <t>CGY</t>
  </si>
  <si>
    <t>TBL</t>
  </si>
  <si>
    <t>CHI</t>
  </si>
  <si>
    <t>STL</t>
  </si>
  <si>
    <t>CAR</t>
  </si>
  <si>
    <t>L.A</t>
  </si>
  <si>
    <t>UTA</t>
  </si>
  <si>
    <t>CBJ</t>
  </si>
  <si>
    <t>NJD</t>
  </si>
  <si>
    <t>MTL</t>
  </si>
  <si>
    <t>SEA</t>
  </si>
  <si>
    <t>PHI</t>
  </si>
  <si>
    <t>—</t>
  </si>
  <si>
    <t>ANA</t>
  </si>
  <si>
    <t>S.J</t>
  </si>
  <si>
    <t>LAK</t>
  </si>
  <si>
    <t>SJS</t>
  </si>
  <si>
    <t>PLAYER STATS</t>
  </si>
  <si>
    <t>GOALIE STATS</t>
  </si>
  <si>
    <t>Player</t>
  </si>
  <si>
    <t>C/LW</t>
  </si>
  <si>
    <t>LW/RW</t>
  </si>
  <si>
    <t>C/RW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</si>
</sst>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$&quot;#,##0.0"/>
    <numFmt numFmtId="60" formatCode="#,##0.0"/>
    <numFmt numFmtId="61" formatCode="#,##0%"/>
    <numFmt numFmtId="62" formatCode="#,##0.000"/>
    <numFmt numFmtId="63" formatCode="0.0"/>
    <numFmt numFmtId="64" formatCode="&quot;$&quot;#,##0"/>
  </numFmts>
  <fonts count="21">
    <font>
      <sz val="10"/>
      <color indexed="8"/>
      <name val="Helvetica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  <font>
      <sz val="10"/>
      <color indexed="8"/>
      <name val="Helvetica Neue Light"/>
    </font>
    <font>
      <sz val="10"/>
      <color indexed="13"/>
      <name val="Helvetica Neue Light"/>
    </font>
    <font>
      <sz val="10"/>
      <color indexed="15"/>
      <name val="Helvetica Neue Light"/>
    </font>
    <font>
      <i val="1"/>
      <sz val="10"/>
      <color indexed="8"/>
      <name val="Helvetica Neue"/>
    </font>
    <font>
      <b val="1"/>
      <sz val="10"/>
      <color indexed="13"/>
      <name val="Helvetica Neue"/>
    </font>
    <font>
      <b val="1"/>
      <i val="1"/>
      <sz val="8"/>
      <color indexed="8"/>
      <name val="Helvetica Neue"/>
    </font>
    <font>
      <i val="1"/>
      <sz val="8"/>
      <color indexed="8"/>
      <name val="Helvetica Neue"/>
    </font>
    <font>
      <b val="1"/>
      <sz val="10"/>
      <color indexed="15"/>
      <name val="Helvetica Neue"/>
    </font>
    <font>
      <b val="1"/>
      <sz val="12"/>
      <color indexed="8"/>
      <name val="Helvetica Neue"/>
    </font>
    <font>
      <sz val="10"/>
      <color indexed="19"/>
      <name val="Helvetica Neue Medium"/>
    </font>
    <font>
      <sz val="10"/>
      <color indexed="8"/>
      <name val="Helvetica Neue Medium"/>
    </font>
    <font>
      <b val="1"/>
      <sz val="11"/>
      <color indexed="8"/>
      <name val="Helvetica Neue"/>
    </font>
    <font>
      <sz val="11"/>
      <color indexed="8"/>
      <name val="Helvetica Neue Light"/>
    </font>
    <font>
      <i val="1"/>
      <sz val="10"/>
      <color indexed="15"/>
      <name val="Helvetica Neue"/>
    </font>
    <font>
      <i val="1"/>
      <sz val="10"/>
      <color indexed="13"/>
      <name val="Helvetica Neue"/>
    </font>
    <font>
      <sz val="16"/>
      <color indexed="8"/>
      <name val="Helvetica Neue Light"/>
    </font>
    <font>
      <sz val="8"/>
      <color indexed="8"/>
      <name val="Helvetica Neue Light"/>
    </font>
  </fonts>
  <fills count="2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9"/>
      </bottom>
      <diagonal/>
    </border>
    <border>
      <left/>
      <right/>
      <top style="thin">
        <color indexed="10"/>
      </top>
      <bottom style="thin">
        <color indexed="9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10"/>
      </right>
      <top style="thin">
        <color indexed="9"/>
      </top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9"/>
      </bottom>
      <diagonal/>
    </border>
    <border>
      <left style="thin">
        <color indexed="10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9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9"/>
      </bottom>
      <diagonal/>
    </border>
    <border>
      <left/>
      <right style="thin">
        <color indexed="10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left" vertical="bottom" wrapText="1"/>
    </xf>
    <xf numFmtId="49" fontId="3" fillId="2" borderId="4" applyNumberFormat="1" applyFont="1" applyFill="1" applyBorder="1" applyAlignment="1" applyProtection="0">
      <alignment horizontal="left" vertical="bottom" wrapText="1"/>
    </xf>
    <xf numFmtId="49" fontId="4" fillId="3" borderId="5" applyNumberFormat="1" applyFont="1" applyFill="1" applyBorder="1" applyAlignment="1" applyProtection="0">
      <alignment horizontal="left" vertical="center"/>
    </xf>
    <xf numFmtId="0" fontId="4" fillId="3" borderId="6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0" fontId="4" fillId="3" borderId="8" applyNumberFormat="0" applyFont="1" applyFill="1" applyBorder="1" applyAlignment="1" applyProtection="0">
      <alignment horizontal="center" vertical="center"/>
    </xf>
    <xf numFmtId="49" fontId="3" fillId="4" borderId="8" applyNumberFormat="1" applyFont="1" applyFill="1" applyBorder="1" applyAlignment="1" applyProtection="0">
      <alignment horizontal="center" vertical="center"/>
    </xf>
    <xf numFmtId="0" fontId="3" fillId="3" borderId="8" applyNumberFormat="0" applyFont="1" applyFill="1" applyBorder="1" applyAlignment="1" applyProtection="0">
      <alignment horizontal="center" vertical="bottom"/>
    </xf>
    <xf numFmtId="49" fontId="4" fillId="3" borderId="6" applyNumberFormat="1" applyFont="1" applyFill="1" applyBorder="1" applyAlignment="1" applyProtection="0">
      <alignment horizontal="left" vertical="center"/>
    </xf>
    <xf numFmtId="49" fontId="5" fillId="3" borderId="9" applyNumberFormat="1" applyFont="1" applyFill="1" applyBorder="1" applyAlignment="1" applyProtection="0">
      <alignment horizontal="left" vertical="center"/>
    </xf>
    <xf numFmtId="49" fontId="3" fillId="5" borderId="8" applyNumberFormat="1" applyFont="1" applyFill="1" applyBorder="1" applyAlignment="1" applyProtection="0">
      <alignment horizontal="center" vertical="center"/>
    </xf>
    <xf numFmtId="49" fontId="6" fillId="3" borderId="9" applyNumberFormat="1" applyFont="1" applyFill="1" applyBorder="1" applyAlignment="1" applyProtection="0">
      <alignment horizontal="left" vertical="center"/>
    </xf>
    <xf numFmtId="0" fontId="4" fillId="3" borderId="6" applyNumberFormat="0" applyFont="1" applyFill="1" applyBorder="1" applyAlignment="1" applyProtection="0">
      <alignment horizontal="center" vertical="center"/>
    </xf>
    <xf numFmtId="49" fontId="3" fillId="6" borderId="8" applyNumberFormat="1" applyFont="1" applyFill="1" applyBorder="1" applyAlignment="1" applyProtection="0">
      <alignment horizontal="center" vertical="center"/>
    </xf>
    <xf numFmtId="49" fontId="3" fillId="3" borderId="9" applyNumberFormat="1" applyFont="1" applyFill="1" applyBorder="1" applyAlignment="1" applyProtection="0">
      <alignment horizontal="left" vertical="center"/>
    </xf>
    <xf numFmtId="49" fontId="3" fillId="7" borderId="8" applyNumberFormat="1" applyFont="1" applyFill="1" applyBorder="1" applyAlignment="1" applyProtection="0">
      <alignment horizontal="center" vertical="center"/>
    </xf>
    <xf numFmtId="49" fontId="7" fillId="3" borderId="9" applyNumberFormat="1" applyFont="1" applyFill="1" applyBorder="1" applyAlignment="1" applyProtection="0">
      <alignment horizontal="left" vertical="center"/>
    </xf>
    <xf numFmtId="49" fontId="3" fillId="8" borderId="8" applyNumberFormat="1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left" vertical="center"/>
    </xf>
    <xf numFmtId="0" fontId="4" fillId="3" borderId="9" applyNumberFormat="0" applyFont="1" applyFill="1" applyBorder="1" applyAlignment="1" applyProtection="0">
      <alignment horizontal="center" vertical="center"/>
    </xf>
    <xf numFmtId="0" fontId="4" fillId="3" borderId="10" applyNumberFormat="0" applyFont="1" applyFill="1" applyBorder="1" applyAlignment="1" applyProtection="0">
      <alignment horizontal="center" vertical="center"/>
    </xf>
    <xf numFmtId="49" fontId="8" fillId="3" borderId="9" applyNumberFormat="1" applyFont="1" applyFill="1" applyBorder="1" applyAlignment="1" applyProtection="0">
      <alignment horizontal="left" vertical="center"/>
    </xf>
    <xf numFmtId="49" fontId="3" fillId="2" borderId="8" applyNumberFormat="1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vertical="bottom"/>
    </xf>
    <xf numFmtId="0" fontId="9" fillId="3" borderId="8" applyNumberFormat="0" applyFont="1" applyFill="1" applyBorder="1" applyAlignment="1" applyProtection="0">
      <alignment horizontal="center" vertical="bottom" wrapText="1"/>
    </xf>
    <xf numFmtId="49" fontId="10" fillId="3" borderId="8" applyNumberFormat="1" applyFont="1" applyFill="1" applyBorder="1" applyAlignment="1" applyProtection="0">
      <alignment horizontal="center" vertical="center" wrapText="1"/>
    </xf>
    <xf numFmtId="49" fontId="11" fillId="3" borderId="9" applyNumberFormat="1" applyFont="1" applyFill="1" applyBorder="1" applyAlignment="1" applyProtection="0">
      <alignment horizontal="left" vertical="center"/>
    </xf>
    <xf numFmtId="49" fontId="4" fillId="3" borderId="8" applyNumberFormat="1" applyFont="1" applyFill="1" applyBorder="1" applyAlignment="1" applyProtection="0">
      <alignment horizontal="center" vertical="center"/>
    </xf>
    <xf numFmtId="0" fontId="10" fillId="3" borderId="8" applyNumberFormat="0" applyFont="1" applyFill="1" applyBorder="1" applyAlignment="1" applyProtection="0">
      <alignment horizontal="center" vertical="center" wrapText="1"/>
    </xf>
    <xf numFmtId="0" fontId="6" fillId="3" borderId="9" applyNumberFormat="0" applyFont="1" applyFill="1" applyBorder="1" applyAlignment="1" applyProtection="0">
      <alignment horizontal="left" vertical="center"/>
    </xf>
    <xf numFmtId="0" fontId="11" fillId="3" borderId="9" applyNumberFormat="0" applyFont="1" applyFill="1" applyBorder="1" applyAlignment="1" applyProtection="0">
      <alignment horizontal="left" vertical="center"/>
    </xf>
    <xf numFmtId="49" fontId="4" fillId="3" borderId="10" applyNumberFormat="1" applyFont="1" applyFill="1" applyBorder="1" applyAlignment="1" applyProtection="0">
      <alignment horizontal="left" vertical="center"/>
    </xf>
    <xf numFmtId="49" fontId="5" fillId="3" borderId="11" applyNumberFormat="1" applyFont="1" applyFill="1" applyBorder="1" applyAlignment="1" applyProtection="0">
      <alignment horizontal="left" vertical="center"/>
    </xf>
    <xf numFmtId="0" fontId="4" fillId="3" borderId="8" applyNumberFormat="0" applyFont="1" applyFill="1" applyBorder="1" applyAlignment="1" applyProtection="0">
      <alignment horizontal="left" vertical="center"/>
    </xf>
    <xf numFmtId="0" fontId="4" fillId="3" borderId="12" applyNumberFormat="0" applyFont="1" applyFill="1" applyBorder="1" applyAlignment="1" applyProtection="0">
      <alignment horizontal="center" vertical="center"/>
    </xf>
    <xf numFmtId="0" fontId="4" fillId="3" borderId="8" applyNumberFormat="1" applyFont="1" applyFill="1" applyBorder="1" applyAlignment="1" applyProtection="0">
      <alignment horizontal="center" vertical="center"/>
    </xf>
    <xf numFmtId="49" fontId="3" fillId="2" borderId="7" applyNumberFormat="1" applyFont="1" applyFill="1" applyBorder="1" applyAlignment="1" applyProtection="0">
      <alignment horizontal="center"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/>
    </xf>
    <xf numFmtId="0" fontId="0" fillId="3" borderId="10" applyNumberFormat="0" applyFont="1" applyFill="1" applyBorder="1" applyAlignment="1" applyProtection="0">
      <alignment vertical="bottom"/>
    </xf>
    <xf numFmtId="9" fontId="4" fillId="3" borderId="8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horizontal="left" vertical="center"/>
    </xf>
    <xf numFmtId="0" fontId="4" fillId="3" borderId="13" applyNumberFormat="0" applyFont="1" applyFill="1" applyBorder="1" applyAlignment="1" applyProtection="0">
      <alignment horizontal="center" vertical="center"/>
    </xf>
    <xf numFmtId="49" fontId="4" fillId="3" borderId="13" applyNumberFormat="1" applyFont="1" applyFill="1" applyBorder="1" applyAlignment="1" applyProtection="0">
      <alignment horizontal="center" vertical="center"/>
    </xf>
    <xf numFmtId="9" fontId="4" fillId="3" borderId="13" applyNumberFormat="1" applyFont="1" applyFill="1" applyBorder="1" applyAlignment="1" applyProtection="0">
      <alignment horizontal="center" vertical="center"/>
    </xf>
    <xf numFmtId="0" fontId="10" fillId="3" borderId="13" applyNumberFormat="0" applyFont="1" applyFill="1" applyBorder="1" applyAlignment="1" applyProtection="0">
      <alignment horizontal="center" vertical="center" wrapText="1"/>
    </xf>
    <xf numFmtId="0" fontId="10" fillId="3" borderId="13" applyNumberFormat="0" applyFont="1" applyFill="1" applyBorder="1" applyAlignment="1" applyProtection="0">
      <alignment horizontal="left" vertical="center" wrapText="1"/>
    </xf>
    <xf numFmtId="0" fontId="10" fillId="3" borderId="14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49" fontId="12" fillId="2" borderId="15" applyNumberFormat="1" applyFont="1" applyFill="1" applyBorder="1" applyAlignment="1" applyProtection="0">
      <alignment horizontal="left" vertical="center"/>
    </xf>
    <xf numFmtId="49" fontId="12" fillId="2" borderId="2" applyNumberFormat="1" applyFont="1" applyFill="1" applyBorder="1" applyAlignment="1" applyProtection="0">
      <alignment horizontal="left" vertical="center"/>
    </xf>
    <xf numFmtId="49" fontId="12" fillId="2" borderId="2" applyNumberFormat="1" applyFont="1" applyFill="1" applyBorder="1" applyAlignment="1" applyProtection="0">
      <alignment horizontal="center" vertical="center"/>
    </xf>
    <xf numFmtId="0" fontId="0" fillId="3" borderId="2" applyNumberFormat="0" applyFont="1" applyFill="1" applyBorder="1" applyAlignment="1" applyProtection="0">
      <alignment vertical="bottom"/>
    </xf>
    <xf numFmtId="49" fontId="12" fillId="2" borderId="3" applyNumberFormat="1" applyFont="1" applyFill="1" applyBorder="1" applyAlignment="1" applyProtection="0">
      <alignment horizontal="center" vertical="center"/>
    </xf>
    <xf numFmtId="49" fontId="12" fillId="2" borderId="2" applyNumberFormat="1" applyFont="1" applyFill="1" applyBorder="1" applyAlignment="1" applyProtection="0">
      <alignment horizontal="right" vertical="center"/>
    </xf>
    <xf numFmtId="0" fontId="12" fillId="2" borderId="2" applyNumberFormat="0" applyFont="1" applyFill="1" applyBorder="1" applyAlignment="1" applyProtection="0">
      <alignment horizontal="right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right" vertical="center"/>
    </xf>
    <xf numFmtId="0" fontId="12" fillId="2" borderId="4" applyNumberFormat="0" applyFont="1" applyFill="1" applyBorder="1" applyAlignment="1" applyProtection="0">
      <alignment horizontal="right" vertical="center"/>
    </xf>
    <xf numFmtId="3" fontId="4" fillId="3" borderId="16" applyNumberFormat="1" applyFont="1" applyFill="1" applyBorder="1" applyAlignment="1" applyProtection="0">
      <alignment horizontal="left" vertical="center"/>
    </xf>
    <xf numFmtId="49" fontId="13" fillId="3" borderId="6" applyNumberFormat="1" applyFont="1" applyFill="1" applyBorder="1" applyAlignment="1" applyProtection="0">
      <alignment horizontal="center" vertical="center"/>
    </xf>
    <xf numFmtId="49" fontId="14" fillId="9" borderId="6" applyNumberFormat="1" applyFont="1" applyFill="1" applyBorder="1" applyAlignment="1" applyProtection="0">
      <alignment horizontal="right" vertical="center"/>
    </xf>
    <xf numFmtId="3" fontId="14" fillId="9" borderId="6" applyNumberFormat="1" applyFont="1" applyFill="1" applyBorder="1" applyAlignment="1" applyProtection="0">
      <alignment horizontal="left" vertical="center"/>
    </xf>
    <xf numFmtId="49" fontId="4" fillId="3" borderId="7" applyNumberFormat="1" applyFont="1" applyFill="1" applyBorder="1" applyAlignment="1" applyProtection="0">
      <alignment horizontal="center" vertical="center"/>
    </xf>
    <xf numFmtId="59" fontId="4" fillId="3" borderId="6" applyNumberFormat="1" applyFont="1" applyFill="1" applyBorder="1" applyAlignment="1" applyProtection="0">
      <alignment horizontal="center" vertical="center"/>
    </xf>
    <xf numFmtId="60" fontId="15" fillId="3" borderId="6" applyNumberFormat="1" applyFont="1" applyFill="1" applyBorder="1" applyAlignment="1" applyProtection="0">
      <alignment horizontal="right" vertical="center"/>
    </xf>
    <xf numFmtId="60" fontId="16" fillId="3" borderId="6" applyNumberFormat="1" applyFont="1" applyFill="1" applyBorder="1" applyAlignment="1" applyProtection="0">
      <alignment horizontal="center" vertical="center"/>
    </xf>
    <xf numFmtId="60" fontId="16" fillId="3" borderId="6" applyNumberFormat="1" applyFont="1" applyFill="1" applyBorder="1" applyAlignment="1" applyProtection="0">
      <alignment horizontal="right" vertical="center"/>
    </xf>
    <xf numFmtId="60" fontId="4" fillId="3" borderId="6" applyNumberFormat="1" applyFont="1" applyFill="1" applyBorder="1" applyAlignment="1" applyProtection="0">
      <alignment horizontal="right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3" fontId="4" fillId="3" borderId="6" applyNumberFormat="1" applyFont="1" applyFill="1" applyBorder="1" applyAlignment="1" applyProtection="0">
      <alignment horizontal="right" vertical="center"/>
    </xf>
    <xf numFmtId="3" fontId="8" fillId="3" borderId="6" applyNumberFormat="1" applyFont="1" applyFill="1" applyBorder="1" applyAlignment="1" applyProtection="0">
      <alignment horizontal="right" vertical="center"/>
    </xf>
    <xf numFmtId="61" fontId="4" fillId="3" borderId="6" applyNumberFormat="1" applyFont="1" applyFill="1" applyBorder="1" applyAlignment="1" applyProtection="0">
      <alignment horizontal="right" vertical="center"/>
    </xf>
    <xf numFmtId="62" fontId="4" fillId="3" borderId="6" applyNumberFormat="1" applyFont="1" applyFill="1" applyBorder="1" applyAlignment="1" applyProtection="0">
      <alignment horizontal="right" vertical="center"/>
    </xf>
    <xf numFmtId="4" fontId="4" fillId="3" borderId="6" applyNumberFormat="1" applyFont="1" applyFill="1" applyBorder="1" applyAlignment="1" applyProtection="0">
      <alignment horizontal="right" vertical="center"/>
    </xf>
    <xf numFmtId="60" fontId="4" fillId="3" borderId="9" applyNumberFormat="1" applyFont="1" applyFill="1" applyBorder="1" applyAlignment="1" applyProtection="0">
      <alignment horizontal="right" vertical="center"/>
    </xf>
    <xf numFmtId="3" fontId="4" fillId="3" borderId="5" applyNumberFormat="1" applyFont="1" applyFill="1" applyBorder="1" applyAlignment="1" applyProtection="0">
      <alignment horizontal="left" vertical="center"/>
    </xf>
    <xf numFmtId="49" fontId="4" fillId="3" borderId="6" applyNumberFormat="1" applyFont="1" applyFill="1" applyBorder="1" applyAlignment="1" applyProtection="0">
      <alignment horizontal="center" vertical="center"/>
    </xf>
    <xf numFmtId="3" fontId="14" fillId="10" borderId="6" applyNumberFormat="1" applyFont="1" applyFill="1" applyBorder="1" applyAlignment="1" applyProtection="0">
      <alignment horizontal="left" vertical="center"/>
    </xf>
    <xf numFmtId="49" fontId="7" fillId="3" borderId="6" applyNumberFormat="1" applyFont="1" applyFill="1" applyBorder="1" applyAlignment="1" applyProtection="0">
      <alignment horizontal="center" vertical="center"/>
    </xf>
    <xf numFmtId="1" fontId="4" fillId="3" borderId="6" applyNumberFormat="1" applyFont="1" applyFill="1" applyBorder="1" applyAlignment="1" applyProtection="0">
      <alignment horizontal="right" vertical="center"/>
    </xf>
    <xf numFmtId="3" fontId="14" fillId="11" borderId="6" applyNumberFormat="1" applyFont="1" applyFill="1" applyBorder="1" applyAlignment="1" applyProtection="0">
      <alignment horizontal="left" vertical="center"/>
    </xf>
    <xf numFmtId="0" fontId="11" fillId="3" borderId="6" applyNumberFormat="1" applyFont="1" applyFill="1" applyBorder="1" applyAlignment="1" applyProtection="0">
      <alignment horizontal="center" vertical="center"/>
    </xf>
    <xf numFmtId="49" fontId="8" fillId="3" borderId="6" applyNumberFormat="1" applyFont="1" applyFill="1" applyBorder="1" applyAlignment="1" applyProtection="0">
      <alignment horizontal="center" vertical="center"/>
    </xf>
    <xf numFmtId="1" fontId="4" fillId="3" borderId="9" applyNumberFormat="1" applyFont="1" applyFill="1" applyBorder="1" applyAlignment="1" applyProtection="0">
      <alignment horizontal="right" vertical="center"/>
    </xf>
    <xf numFmtId="59" fontId="8" fillId="3" borderId="6" applyNumberFormat="1" applyFont="1" applyFill="1" applyBorder="1" applyAlignment="1" applyProtection="0">
      <alignment horizontal="center" vertical="center"/>
    </xf>
    <xf numFmtId="3" fontId="14" fillId="12" borderId="6" applyNumberFormat="1" applyFont="1" applyFill="1" applyBorder="1" applyAlignment="1" applyProtection="0">
      <alignment horizontal="left" vertical="center"/>
    </xf>
    <xf numFmtId="0" fontId="8" fillId="3" borderId="6" applyNumberFormat="1" applyFont="1" applyFill="1" applyBorder="1" applyAlignment="1" applyProtection="0">
      <alignment horizontal="center" vertical="center"/>
    </xf>
    <xf numFmtId="49" fontId="16" fillId="3" borderId="6" applyNumberFormat="1" applyFont="1" applyFill="1" applyBorder="1" applyAlignment="1" applyProtection="0">
      <alignment horizontal="right" vertical="center"/>
    </xf>
    <xf numFmtId="60" fontId="8" fillId="3" borderId="6" applyNumberFormat="1" applyFont="1" applyFill="1" applyBorder="1" applyAlignment="1" applyProtection="0">
      <alignment horizontal="right" vertical="center"/>
    </xf>
    <xf numFmtId="3" fontId="14" fillId="13" borderId="6" applyNumberFormat="1" applyFont="1" applyFill="1" applyBorder="1" applyAlignment="1" applyProtection="0">
      <alignment horizontal="left" vertical="center"/>
    </xf>
    <xf numFmtId="49" fontId="6" fillId="3" borderId="6" applyNumberFormat="1" applyFont="1" applyFill="1" applyBorder="1" applyAlignment="1" applyProtection="0">
      <alignment horizontal="center" vertical="center"/>
    </xf>
    <xf numFmtId="3" fontId="5" fillId="3" borderId="6" applyNumberFormat="1" applyFont="1" applyFill="1" applyBorder="1" applyAlignment="1" applyProtection="0">
      <alignment horizontal="right" vertical="center"/>
    </xf>
    <xf numFmtId="3" fontId="14" fillId="14" borderId="6" applyNumberFormat="1" applyFont="1" applyFill="1" applyBorder="1" applyAlignment="1" applyProtection="0">
      <alignment horizontal="left" vertical="center"/>
    </xf>
    <xf numFmtId="49" fontId="5" fillId="3" borderId="6" applyNumberFormat="1" applyFont="1" applyFill="1" applyBorder="1" applyAlignment="1" applyProtection="0">
      <alignment horizontal="center" vertical="center"/>
    </xf>
    <xf numFmtId="49" fontId="17" fillId="3" borderId="6" applyNumberFormat="1" applyFont="1" applyFill="1" applyBorder="1" applyAlignment="1" applyProtection="0">
      <alignment horizontal="center" vertical="center"/>
    </xf>
    <xf numFmtId="0" fontId="4" fillId="3" borderId="6" applyNumberFormat="0" applyFont="1" applyFill="1" applyBorder="1" applyAlignment="1" applyProtection="0">
      <alignment horizontal="right" vertical="center"/>
    </xf>
    <xf numFmtId="49" fontId="18" fillId="3" borderId="6" applyNumberFormat="1" applyFont="1" applyFill="1" applyBorder="1" applyAlignment="1" applyProtection="0">
      <alignment horizontal="center" vertical="center"/>
    </xf>
    <xf numFmtId="49" fontId="11" fillId="3" borderId="6" applyNumberFormat="1" applyFont="1" applyFill="1" applyBorder="1" applyAlignment="1" applyProtection="0">
      <alignment horizontal="center" vertical="center"/>
    </xf>
    <xf numFmtId="60" fontId="11" fillId="3" borderId="6" applyNumberFormat="1" applyFont="1" applyFill="1" applyBorder="1" applyAlignment="1" applyProtection="0">
      <alignment horizontal="right" vertical="center"/>
    </xf>
    <xf numFmtId="0" fontId="4" fillId="3" borderId="6" applyNumberFormat="1" applyFont="1" applyFill="1" applyBorder="1" applyAlignment="1" applyProtection="0">
      <alignment horizontal="right" vertical="center"/>
    </xf>
    <xf numFmtId="0" fontId="13" fillId="3" borderId="6" applyNumberFormat="0" applyFont="1" applyFill="1" applyBorder="1" applyAlignment="1" applyProtection="0">
      <alignment horizontal="center" vertical="center"/>
    </xf>
    <xf numFmtId="3" fontId="3" fillId="3" borderId="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49" fontId="12" fillId="2" borderId="1" applyNumberFormat="1" applyFont="1" applyFill="1" applyBorder="1" applyAlignment="1" applyProtection="0">
      <alignment horizontal="left" vertical="center"/>
    </xf>
    <xf numFmtId="0" fontId="4" fillId="3" borderId="3" applyNumberFormat="0" applyFont="1" applyFill="1" applyBorder="1" applyAlignment="1" applyProtection="0">
      <alignment horizontal="right" vertical="center"/>
    </xf>
    <xf numFmtId="0" fontId="3" fillId="3" borderId="3" applyNumberFormat="0" applyFont="1" applyFill="1" applyBorder="1" applyAlignment="1" applyProtection="0">
      <alignment horizontal="right" vertical="center"/>
    </xf>
    <xf numFmtId="49" fontId="12" fillId="2" borderId="4" applyNumberFormat="1" applyFont="1" applyFill="1" applyBorder="1" applyAlignment="1" applyProtection="0">
      <alignment horizontal="right" vertical="center"/>
    </xf>
    <xf numFmtId="49" fontId="14" fillId="15" borderId="6" applyNumberFormat="1" applyFont="1" applyFill="1" applyBorder="1" applyAlignment="1" applyProtection="0">
      <alignment horizontal="right" vertical="center"/>
    </xf>
    <xf numFmtId="3" fontId="14" fillId="15" borderId="6" applyNumberFormat="1" applyFont="1" applyFill="1" applyBorder="1" applyAlignment="1" applyProtection="0">
      <alignment horizontal="left" vertical="center"/>
    </xf>
    <xf numFmtId="3" fontId="4" fillId="3" borderId="6" applyNumberFormat="1" applyFont="1" applyFill="1" applyBorder="1" applyAlignment="1" applyProtection="0">
      <alignment horizontal="center" vertical="center"/>
    </xf>
    <xf numFmtId="0" fontId="4" fillId="3" borderId="8" applyNumberFormat="0" applyFont="1" applyFill="1" applyBorder="1" applyAlignment="1" applyProtection="0">
      <alignment horizontal="right" vertical="center"/>
    </xf>
    <xf numFmtId="61" fontId="4" fillId="3" borderId="8" applyNumberFormat="1" applyFont="1" applyFill="1" applyBorder="1" applyAlignment="1" applyProtection="0">
      <alignment horizontal="right" vertical="center"/>
    </xf>
    <xf numFmtId="60" fontId="15" fillId="3" borderId="9" applyNumberFormat="1" applyFont="1" applyFill="1" applyBorder="1" applyAlignment="1" applyProtection="0">
      <alignment horizontal="right" vertical="center"/>
    </xf>
    <xf numFmtId="49" fontId="14" fillId="15" borderId="6" applyNumberFormat="1" applyFont="1" applyFill="1" applyBorder="1" applyAlignment="1" applyProtection="0">
      <alignment horizontal="left" vertical="center"/>
    </xf>
    <xf numFmtId="49" fontId="15" fillId="3" borderId="6" applyNumberFormat="1" applyFont="1" applyFill="1" applyBorder="1" applyAlignment="1" applyProtection="0">
      <alignment horizontal="right" vertical="center"/>
    </xf>
    <xf numFmtId="49" fontId="4" fillId="3" borderId="6" applyNumberFormat="1" applyFont="1" applyFill="1" applyBorder="1" applyAlignment="1" applyProtection="0">
      <alignment horizontal="right" vertical="center"/>
    </xf>
    <xf numFmtId="49" fontId="14" fillId="16" borderId="6" applyNumberFormat="1" applyFont="1" applyFill="1" applyBorder="1" applyAlignment="1" applyProtection="0">
      <alignment horizontal="right" vertical="center"/>
    </xf>
    <xf numFmtId="3" fontId="14" fillId="16" borderId="6" applyNumberFormat="1" applyFont="1" applyFill="1" applyBorder="1" applyAlignment="1" applyProtection="0">
      <alignment horizontal="left" vertical="center"/>
    </xf>
    <xf numFmtId="49" fontId="14" fillId="16" borderId="6" applyNumberFormat="1" applyFont="1" applyFill="1" applyBorder="1" applyAlignment="1" applyProtection="0">
      <alignment horizontal="left" vertical="center"/>
    </xf>
    <xf numFmtId="49" fontId="14" fillId="17" borderId="6" applyNumberFormat="1" applyFont="1" applyFill="1" applyBorder="1" applyAlignment="1" applyProtection="0">
      <alignment horizontal="right" vertical="center"/>
    </xf>
    <xf numFmtId="3" fontId="14" fillId="17" borderId="6" applyNumberFormat="1" applyFont="1" applyFill="1" applyBorder="1" applyAlignment="1" applyProtection="0">
      <alignment horizontal="left" vertical="center"/>
    </xf>
    <xf numFmtId="49" fontId="14" fillId="17" borderId="6" applyNumberFormat="1" applyFont="1" applyFill="1" applyBorder="1" applyAlignment="1" applyProtection="0">
      <alignment horizontal="left" vertical="center"/>
    </xf>
    <xf numFmtId="49" fontId="14" fillId="18" borderId="6" applyNumberFormat="1" applyFont="1" applyFill="1" applyBorder="1" applyAlignment="1" applyProtection="0">
      <alignment horizontal="right" vertical="center"/>
    </xf>
    <xf numFmtId="3" fontId="14" fillId="18" borderId="6" applyNumberFormat="1" applyFont="1" applyFill="1" applyBorder="1" applyAlignment="1" applyProtection="0">
      <alignment horizontal="left" vertical="center"/>
    </xf>
    <xf numFmtId="49" fontId="14" fillId="18" borderId="6" applyNumberFormat="1" applyFont="1" applyFill="1" applyBorder="1" applyAlignment="1" applyProtection="0">
      <alignment horizontal="left" vertical="center"/>
    </xf>
    <xf numFmtId="61" fontId="4" fillId="3" borderId="10" applyNumberFormat="1" applyFont="1" applyFill="1" applyBorder="1" applyAlignment="1" applyProtection="0">
      <alignment horizontal="right" vertical="center"/>
    </xf>
    <xf numFmtId="61" fontId="4" fillId="3" borderId="11" applyNumberFormat="1" applyFont="1" applyFill="1" applyBorder="1" applyAlignment="1" applyProtection="0">
      <alignment horizontal="right" vertical="center"/>
    </xf>
    <xf numFmtId="0" fontId="4" fillId="3" borderId="17" applyNumberFormat="0" applyFont="1" applyFill="1" applyBorder="1" applyAlignment="1" applyProtection="0">
      <alignment horizontal="left" vertical="center"/>
    </xf>
    <xf numFmtId="49" fontId="14" fillId="18" borderId="18" applyNumberFormat="1" applyFont="1" applyFill="1" applyBorder="1" applyAlignment="1" applyProtection="0">
      <alignment horizontal="right" vertical="center"/>
    </xf>
    <xf numFmtId="49" fontId="14" fillId="18" borderId="18" applyNumberFormat="1" applyFont="1" applyFill="1" applyBorder="1" applyAlignment="1" applyProtection="0">
      <alignment horizontal="left" vertical="center"/>
    </xf>
    <xf numFmtId="49" fontId="4" fillId="3" borderId="18" applyNumberFormat="1" applyFont="1" applyFill="1" applyBorder="1" applyAlignment="1" applyProtection="0">
      <alignment horizontal="center" vertical="center"/>
    </xf>
    <xf numFmtId="49" fontId="15" fillId="3" borderId="18" applyNumberFormat="1" applyFont="1" applyFill="1" applyBorder="1" applyAlignment="1" applyProtection="0">
      <alignment horizontal="right" vertical="center"/>
    </xf>
    <xf numFmtId="60" fontId="4" fillId="3" borderId="18" applyNumberFormat="1" applyFont="1" applyFill="1" applyBorder="1" applyAlignment="1" applyProtection="0">
      <alignment horizontal="right" vertical="center"/>
    </xf>
    <xf numFmtId="49" fontId="4" fillId="3" borderId="18" applyNumberFormat="1" applyFont="1" applyFill="1" applyBorder="1" applyAlignment="1" applyProtection="0">
      <alignment horizontal="right" vertical="center"/>
    </xf>
    <xf numFmtId="61" fontId="4" fillId="3" borderId="12" applyNumberFormat="1" applyFont="1" applyFill="1" applyBorder="1" applyAlignment="1" applyProtection="0">
      <alignment horizontal="right" vertical="center"/>
    </xf>
    <xf numFmtId="0" fontId="4" fillId="3" borderId="19" applyNumberFormat="0" applyFont="1" applyFill="1" applyBorder="1" applyAlignment="1" applyProtection="0">
      <alignment horizontal="left" vertical="center"/>
    </xf>
    <xf numFmtId="0" fontId="14" fillId="3" borderId="20" applyNumberFormat="0" applyFont="1" applyFill="1" applyBorder="1" applyAlignment="1" applyProtection="0">
      <alignment horizontal="right" vertical="center"/>
    </xf>
    <xf numFmtId="0" fontId="14" fillId="3" borderId="20" applyNumberFormat="0" applyFont="1" applyFill="1" applyBorder="1" applyAlignment="1" applyProtection="0">
      <alignment horizontal="left" vertical="center"/>
    </xf>
    <xf numFmtId="0" fontId="4" fillId="3" borderId="20" applyNumberFormat="0" applyFont="1" applyFill="1" applyBorder="1" applyAlignment="1" applyProtection="0">
      <alignment horizontal="center" vertical="center"/>
    </xf>
    <xf numFmtId="63" fontId="4" fillId="3" borderId="20" applyNumberFormat="1" applyFont="1" applyFill="1" applyBorder="1" applyAlignment="1" applyProtection="0">
      <alignment horizontal="center" vertical="center"/>
    </xf>
    <xf numFmtId="60" fontId="15" fillId="3" borderId="20" applyNumberFormat="1" applyFont="1" applyFill="1" applyBorder="1" applyAlignment="1" applyProtection="0">
      <alignment horizontal="right" vertical="center"/>
    </xf>
    <xf numFmtId="60" fontId="3" fillId="3" borderId="20" applyNumberFormat="1" applyFont="1" applyFill="1" applyBorder="1" applyAlignment="1" applyProtection="0">
      <alignment horizontal="right" vertical="center"/>
    </xf>
    <xf numFmtId="3" fontId="3" fillId="3" borderId="20" applyNumberFormat="1" applyFont="1" applyFill="1" applyBorder="1" applyAlignment="1" applyProtection="0">
      <alignment horizontal="right" vertical="center"/>
    </xf>
    <xf numFmtId="61" fontId="3" fillId="3" borderId="20" applyNumberFormat="1" applyFont="1" applyFill="1" applyBorder="1" applyAlignment="1" applyProtection="0">
      <alignment horizontal="right" vertical="center"/>
    </xf>
    <xf numFmtId="61" fontId="3" fillId="3" borderId="8" applyNumberFormat="1" applyFont="1" applyFill="1" applyBorder="1" applyAlignment="1" applyProtection="0">
      <alignment horizontal="right" vertical="center"/>
    </xf>
    <xf numFmtId="61" fontId="3" fillId="3" borderId="12" applyNumberFormat="1" applyFont="1" applyFill="1" applyBorder="1" applyAlignment="1" applyProtection="0">
      <alignment horizontal="right" vertical="center"/>
    </xf>
    <xf numFmtId="0" fontId="4" fillId="3" borderId="21" applyNumberFormat="0" applyFont="1" applyFill="1" applyBorder="1" applyAlignment="1" applyProtection="0">
      <alignment horizontal="left" vertical="center"/>
    </xf>
    <xf numFmtId="0" fontId="14" fillId="3" borderId="8" applyNumberFormat="0" applyFont="1" applyFill="1" applyBorder="1" applyAlignment="1" applyProtection="0">
      <alignment horizontal="right" vertical="center"/>
    </xf>
    <xf numFmtId="0" fontId="14" fillId="3" borderId="8" applyNumberFormat="0" applyFont="1" applyFill="1" applyBorder="1" applyAlignment="1" applyProtection="0">
      <alignment horizontal="left" vertical="center"/>
    </xf>
    <xf numFmtId="0" fontId="15" fillId="3" borderId="8" applyNumberFormat="0" applyFont="1" applyFill="1" applyBorder="1" applyAlignment="1" applyProtection="0">
      <alignment horizontal="right" vertical="center"/>
    </xf>
    <xf numFmtId="60" fontId="15" fillId="3" borderId="8" applyNumberFormat="1" applyFont="1" applyFill="1" applyBorder="1" applyAlignment="1" applyProtection="0">
      <alignment horizontal="right" vertical="center"/>
    </xf>
    <xf numFmtId="60" fontId="4" fillId="3" borderId="8" applyNumberFormat="1" applyFont="1" applyFill="1" applyBorder="1" applyAlignment="1" applyProtection="0">
      <alignment horizontal="right" vertical="center"/>
    </xf>
    <xf numFmtId="3" fontId="4" fillId="3" borderId="8" applyNumberFormat="1" applyFont="1" applyFill="1" applyBorder="1" applyAlignment="1" applyProtection="0">
      <alignment horizontal="right" vertical="center"/>
    </xf>
    <xf numFmtId="49" fontId="12" fillId="2" borderId="21" applyNumberFormat="1" applyFont="1" applyFill="1" applyBorder="1" applyAlignment="1" applyProtection="0">
      <alignment horizontal="left" vertical="center"/>
    </xf>
    <xf numFmtId="49" fontId="12" fillId="2" borderId="8" applyNumberFormat="1" applyFont="1" applyFill="1" applyBorder="1" applyAlignment="1" applyProtection="0">
      <alignment horizontal="center" vertical="center"/>
    </xf>
    <xf numFmtId="49" fontId="12" fillId="2" borderId="8" applyNumberFormat="1" applyFont="1" applyFill="1" applyBorder="1" applyAlignment="1" applyProtection="0">
      <alignment horizontal="right" vertical="center"/>
    </xf>
    <xf numFmtId="0" fontId="12" fillId="2" borderId="8" applyNumberFormat="0" applyFont="1" applyFill="1" applyBorder="1" applyAlignment="1" applyProtection="0">
      <alignment horizontal="right" vertical="center"/>
    </xf>
    <xf numFmtId="49" fontId="3" fillId="2" borderId="8" applyNumberFormat="1" applyFont="1" applyFill="1" applyBorder="1" applyAlignment="1" applyProtection="0">
      <alignment horizontal="right" vertical="center"/>
    </xf>
    <xf numFmtId="0" fontId="4" fillId="3" borderId="12" applyNumberFormat="0" applyFont="1" applyFill="1" applyBorder="1" applyAlignment="1" applyProtection="0">
      <alignment horizontal="right" vertical="center"/>
    </xf>
    <xf numFmtId="49" fontId="4" fillId="3" borderId="16" applyNumberFormat="1" applyFont="1" applyFill="1" applyBorder="1" applyAlignment="1" applyProtection="0">
      <alignment horizontal="left" vertical="center"/>
    </xf>
    <xf numFmtId="49" fontId="14" fillId="8" borderId="7" applyNumberFormat="1" applyFont="1" applyFill="1" applyBorder="1" applyAlignment="1" applyProtection="0">
      <alignment horizontal="right" vertical="center"/>
    </xf>
    <xf numFmtId="3" fontId="14" fillId="19" borderId="7" applyNumberFormat="1" applyFont="1" applyFill="1" applyBorder="1" applyAlignment="1" applyProtection="0">
      <alignment horizontal="left" vertical="center"/>
    </xf>
    <xf numFmtId="3" fontId="4" fillId="3" borderId="7" applyNumberFormat="1" applyFont="1" applyFill="1" applyBorder="1" applyAlignment="1" applyProtection="0">
      <alignment horizontal="center" vertical="center"/>
    </xf>
    <xf numFmtId="60" fontId="15" fillId="3" borderId="7" applyNumberFormat="1" applyFont="1" applyFill="1" applyBorder="1" applyAlignment="1" applyProtection="0">
      <alignment horizontal="right" vertical="center"/>
    </xf>
    <xf numFmtId="60" fontId="4" fillId="3" borderId="7" applyNumberFormat="1" applyFont="1" applyFill="1" applyBorder="1" applyAlignment="1" applyProtection="0">
      <alignment horizontal="right" vertical="center"/>
    </xf>
    <xf numFmtId="3" fontId="4" fillId="3" borderId="7" applyNumberFormat="1" applyFont="1" applyFill="1" applyBorder="1" applyAlignment="1" applyProtection="0">
      <alignment horizontal="right" vertical="center"/>
    </xf>
    <xf numFmtId="62" fontId="4" fillId="3" borderId="7" applyNumberFormat="1" applyFont="1" applyFill="1" applyBorder="1" applyAlignment="1" applyProtection="0">
      <alignment horizontal="right" vertical="center"/>
    </xf>
    <xf numFmtId="4" fontId="4" fillId="3" borderId="7" applyNumberFormat="1" applyFont="1" applyFill="1" applyBorder="1" applyAlignment="1" applyProtection="0">
      <alignment horizontal="right" vertical="center"/>
    </xf>
    <xf numFmtId="49" fontId="4" fillId="3" borderId="8" applyNumberFormat="1" applyFont="1" applyFill="1" applyBorder="1" applyAlignment="1" applyProtection="0">
      <alignment horizontal="right" vertical="center"/>
    </xf>
    <xf numFmtId="60" fontId="19" fillId="3" borderId="8" applyNumberFormat="1" applyFont="1" applyFill="1" applyBorder="1" applyAlignment="1" applyProtection="0">
      <alignment horizontal="center" vertical="center"/>
    </xf>
    <xf numFmtId="49" fontId="14" fillId="8" borderId="6" applyNumberFormat="1" applyFont="1" applyFill="1" applyBorder="1" applyAlignment="1" applyProtection="0">
      <alignment horizontal="right" vertical="center"/>
    </xf>
    <xf numFmtId="49" fontId="14" fillId="19" borderId="6" applyNumberFormat="1" applyFont="1" applyFill="1" applyBorder="1" applyAlignment="1" applyProtection="0">
      <alignment horizontal="left" vertical="center"/>
    </xf>
    <xf numFmtId="49" fontId="14" fillId="8" borderId="18" applyNumberFormat="1" applyFont="1" applyFill="1" applyBorder="1" applyAlignment="1" applyProtection="0">
      <alignment horizontal="right" vertical="center"/>
    </xf>
    <xf numFmtId="49" fontId="14" fillId="19" borderId="18" applyNumberFormat="1" applyFont="1" applyFill="1" applyBorder="1" applyAlignment="1" applyProtection="0">
      <alignment horizontal="left" vertical="center"/>
    </xf>
    <xf numFmtId="62" fontId="3" fillId="3" borderId="20" applyNumberFormat="1" applyFont="1" applyFill="1" applyBorder="1" applyAlignment="1" applyProtection="0">
      <alignment horizontal="right" vertical="center"/>
    </xf>
    <xf numFmtId="4" fontId="3" fillId="3" borderId="20" applyNumberFormat="1" applyFont="1" applyFill="1" applyBorder="1" applyAlignment="1" applyProtection="0">
      <alignment horizontal="right" vertical="center"/>
    </xf>
    <xf numFmtId="49" fontId="12" fillId="2" borderId="16" applyNumberFormat="1" applyFont="1" applyFill="1" applyBorder="1" applyAlignment="1" applyProtection="0">
      <alignment horizontal="left" vertical="center"/>
    </xf>
    <xf numFmtId="49" fontId="12" fillId="2" borderId="7" applyNumberFormat="1" applyFont="1" applyFill="1" applyBorder="1" applyAlignment="1" applyProtection="0">
      <alignment horizontal="center" vertical="center"/>
    </xf>
    <xf numFmtId="49" fontId="12" fillId="2" borderId="7" applyNumberFormat="1" applyFont="1" applyFill="1" applyBorder="1" applyAlignment="1" applyProtection="0">
      <alignment horizontal="right" vertical="center"/>
    </xf>
    <xf numFmtId="0" fontId="12" fillId="2" borderId="7" applyNumberFormat="0" applyFont="1" applyFill="1" applyBorder="1" applyAlignment="1" applyProtection="0">
      <alignment horizontal="right" vertical="center"/>
    </xf>
    <xf numFmtId="49" fontId="3" fillId="2" borderId="7" applyNumberFormat="1" applyFont="1" applyFill="1" applyBorder="1" applyAlignment="1" applyProtection="0">
      <alignment horizontal="right" vertical="center"/>
    </xf>
    <xf numFmtId="0" fontId="3" fillId="3" borderId="8" applyNumberFormat="0" applyFont="1" applyFill="1" applyBorder="1" applyAlignment="1" applyProtection="0">
      <alignment horizontal="right" vertical="center"/>
    </xf>
    <xf numFmtId="0" fontId="3" fillId="3" borderId="12" applyNumberFormat="0" applyFont="1" applyFill="1" applyBorder="1" applyAlignment="1" applyProtection="0">
      <alignment horizontal="right" vertical="center"/>
    </xf>
    <xf numFmtId="49" fontId="4" fillId="3" borderId="20" applyNumberFormat="1" applyFont="1" applyFill="1" applyBorder="1" applyAlignment="1" applyProtection="0">
      <alignment horizontal="center" vertical="center"/>
    </xf>
    <xf numFmtId="0" fontId="4" fillId="3" borderId="16" applyNumberFormat="0" applyFont="1" applyFill="1" applyBorder="1" applyAlignment="1" applyProtection="0">
      <alignment horizontal="left" vertical="center"/>
    </xf>
    <xf numFmtId="49" fontId="14" fillId="19" borderId="7" applyNumberFormat="1" applyFont="1" applyFill="1" applyBorder="1" applyAlignment="1" applyProtection="0">
      <alignment horizontal="left" vertical="center"/>
    </xf>
    <xf numFmtId="49" fontId="15" fillId="3" borderId="7" applyNumberFormat="1" applyFont="1" applyFill="1" applyBorder="1" applyAlignment="1" applyProtection="0">
      <alignment horizontal="right" vertical="center"/>
    </xf>
    <xf numFmtId="49" fontId="4" fillId="3" borderId="7" applyNumberFormat="1" applyFont="1" applyFill="1" applyBorder="1" applyAlignment="1" applyProtection="0">
      <alignment horizontal="right" vertical="center"/>
    </xf>
    <xf numFmtId="0" fontId="4" fillId="3" borderId="22" applyNumberFormat="0" applyFont="1" applyFill="1" applyBorder="1" applyAlignment="1" applyProtection="0">
      <alignment horizontal="left" vertical="center"/>
    </xf>
    <xf numFmtId="0" fontId="14" fillId="3" borderId="13" applyNumberFormat="0" applyFont="1" applyFill="1" applyBorder="1" applyAlignment="1" applyProtection="0">
      <alignment horizontal="right" vertical="center"/>
    </xf>
    <xf numFmtId="0" fontId="14" fillId="3" borderId="13" applyNumberFormat="0" applyFont="1" applyFill="1" applyBorder="1" applyAlignment="1" applyProtection="0">
      <alignment horizontal="left" vertical="center"/>
    </xf>
    <xf numFmtId="0" fontId="15" fillId="3" borderId="13" applyNumberFormat="0" applyFont="1" applyFill="1" applyBorder="1" applyAlignment="1" applyProtection="0">
      <alignment horizontal="right" vertical="center"/>
    </xf>
    <xf numFmtId="60" fontId="15" fillId="3" borderId="13" applyNumberFormat="1" applyFont="1" applyFill="1" applyBorder="1" applyAlignment="1" applyProtection="0">
      <alignment horizontal="right" vertical="center"/>
    </xf>
    <xf numFmtId="60" fontId="4" fillId="3" borderId="13" applyNumberFormat="1" applyFont="1" applyFill="1" applyBorder="1" applyAlignment="1" applyProtection="0">
      <alignment horizontal="right" vertical="center"/>
    </xf>
    <xf numFmtId="3" fontId="4" fillId="3" borderId="13" applyNumberFormat="1" applyFont="1" applyFill="1" applyBorder="1" applyAlignment="1" applyProtection="0">
      <alignment horizontal="right" vertical="center"/>
    </xf>
    <xf numFmtId="0" fontId="4" fillId="3" borderId="13" applyNumberFormat="0" applyFont="1" applyFill="1" applyBorder="1" applyAlignment="1" applyProtection="0">
      <alignment horizontal="right" vertical="center"/>
    </xf>
    <xf numFmtId="61" fontId="4" fillId="3" borderId="13" applyNumberFormat="1" applyFont="1" applyFill="1" applyBorder="1" applyAlignment="1" applyProtection="0">
      <alignment horizontal="right" vertical="center"/>
    </xf>
    <xf numFmtId="61" fontId="4" fillId="3" borderId="14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49" fontId="3" fillId="2" borderId="15" applyNumberFormat="1" applyFont="1" applyFill="1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horizontal="right" vertical="bottom"/>
    </xf>
    <xf numFmtId="0" fontId="3" fillId="2" borderId="3" applyNumberFormat="0" applyFont="1" applyFill="1" applyBorder="1" applyAlignment="1" applyProtection="0">
      <alignment horizontal="left" vertical="bottom"/>
    </xf>
    <xf numFmtId="49" fontId="3" fillId="2" borderId="3" applyNumberFormat="1" applyFont="1" applyFill="1" applyBorder="1" applyAlignment="1" applyProtection="0">
      <alignment horizontal="right" vertical="bottom" wrapText="1"/>
    </xf>
    <xf numFmtId="0" fontId="3" fillId="2" borderId="3" applyNumberFormat="0" applyFont="1" applyFill="1" applyBorder="1" applyAlignment="1" applyProtection="0">
      <alignment horizontal="right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3" fillId="2" borderId="23" applyNumberFormat="1" applyFont="1" applyFill="1" applyBorder="1" applyAlignment="1" applyProtection="0">
      <alignment horizontal="right" vertical="bottom"/>
    </xf>
    <xf numFmtId="49" fontId="20" fillId="2" borderId="16" applyNumberFormat="1" applyFont="1" applyFill="1" applyBorder="1" applyAlignment="1" applyProtection="0">
      <alignment horizontal="left" vertical="top"/>
    </xf>
    <xf numFmtId="0" fontId="20" fillId="2" borderId="7" applyNumberFormat="1" applyFont="1" applyFill="1" applyBorder="1" applyAlignment="1" applyProtection="0">
      <alignment horizontal="right" vertical="top"/>
    </xf>
    <xf numFmtId="0" fontId="20" fillId="2" borderId="7" applyNumberFormat="0" applyFont="1" applyFill="1" applyBorder="1" applyAlignment="1" applyProtection="0">
      <alignment horizontal="left" vertical="top"/>
    </xf>
    <xf numFmtId="0" fontId="20" fillId="2" borderId="7" applyNumberFormat="0" applyFont="1" applyFill="1" applyBorder="1" applyAlignment="1" applyProtection="0">
      <alignment horizontal="center" vertical="top"/>
    </xf>
    <xf numFmtId="0" fontId="20" fillId="2" borderId="7" applyNumberFormat="0" applyFont="1" applyFill="1" applyBorder="1" applyAlignment="1" applyProtection="0">
      <alignment horizontal="right" vertical="top"/>
    </xf>
    <xf numFmtId="0" fontId="20" fillId="2" borderId="24" applyNumberFormat="0" applyFont="1" applyFill="1" applyBorder="1" applyAlignment="1" applyProtection="0">
      <alignment horizontal="right" vertical="top"/>
    </xf>
    <xf numFmtId="49" fontId="14" fillId="10" borderId="6" applyNumberFormat="1" applyFont="1" applyFill="1" applyBorder="1" applyAlignment="1" applyProtection="0">
      <alignment horizontal="right" vertical="center"/>
    </xf>
    <xf numFmtId="3" fontId="14" fillId="20" borderId="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  <xf numFmtId="0" fontId="20" fillId="2" borderId="8" applyNumberFormat="0" applyFont="1" applyFill="1" applyBorder="1" applyAlignment="1" applyProtection="0">
      <alignment horizontal="center" vertical="top"/>
    </xf>
    <xf numFmtId="0" fontId="20" fillId="2" borderId="12" applyNumberFormat="0" applyFont="1" applyFill="1" applyBorder="1" applyAlignment="1" applyProtection="0">
      <alignment horizontal="right" vertical="top"/>
    </xf>
    <xf numFmtId="3" fontId="14" fillId="20" borderId="7" applyNumberFormat="1" applyFont="1" applyFill="1" applyBorder="1" applyAlignment="1" applyProtection="0">
      <alignment horizontal="center" vertical="center"/>
    </xf>
    <xf numFmtId="60" fontId="4" fillId="3" borderId="24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0" fillId="2" borderId="8" applyNumberFormat="0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top" wrapText="1"/>
    </xf>
    <xf numFmtId="49" fontId="14" fillId="7" borderId="6" applyNumberFormat="1" applyFont="1" applyFill="1" applyBorder="1" applyAlignment="1" applyProtection="0">
      <alignment horizontal="right" vertical="center"/>
    </xf>
    <xf numFmtId="3" fontId="14" fillId="7" borderId="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top" wrapText="1"/>
    </xf>
    <xf numFmtId="3" fontId="14" fillId="8" borderId="6" applyNumberFormat="1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top" wrapText="1"/>
    </xf>
    <xf numFmtId="49" fontId="3" fillId="2" borderId="2" applyNumberFormat="1" applyFont="1" applyFill="1" applyBorder="1" applyAlignment="1" applyProtection="0">
      <alignment horizontal="right" vertical="bottom" wrapText="1"/>
    </xf>
    <xf numFmtId="0" fontId="3" fillId="2" borderId="2" applyNumberFormat="0" applyFont="1" applyFill="1" applyBorder="1" applyAlignment="1" applyProtection="0">
      <alignment horizontal="right" vertical="bottom" wrapText="1"/>
    </xf>
    <xf numFmtId="0" fontId="3" fillId="2" borderId="4" applyNumberFormat="0" applyFont="1" applyFill="1" applyBorder="1" applyAlignment="1" applyProtection="0">
      <alignment horizontal="right" vertical="bottom" wrapText="1"/>
    </xf>
    <xf numFmtId="63" fontId="4" fillId="3" borderId="6" applyNumberFormat="1" applyFont="1" applyFill="1" applyBorder="1" applyAlignment="1" applyProtection="0">
      <alignment horizontal="right" vertical="center"/>
    </xf>
    <xf numFmtId="63" fontId="4" fillId="3" borderId="7" applyNumberFormat="1" applyFont="1" applyFill="1" applyBorder="1" applyAlignment="1" applyProtection="0">
      <alignment horizontal="right" vertical="center"/>
    </xf>
    <xf numFmtId="64" fontId="4" fillId="3" borderId="6" applyNumberFormat="1" applyFont="1" applyFill="1" applyBorder="1" applyAlignment="1" applyProtection="0">
      <alignment horizontal="right" vertical="center"/>
    </xf>
    <xf numFmtId="64" fontId="4" fillId="3" borderId="9" applyNumberFormat="1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top" wrapText="1"/>
    </xf>
    <xf numFmtId="0" fontId="12" fillId="2" borderId="15" applyNumberFormat="0" applyFont="1" applyFill="1" applyBorder="1" applyAlignment="1" applyProtection="0">
      <alignment horizontal="left" vertical="bottom"/>
    </xf>
    <xf numFmtId="0" fontId="12" fillId="2" borderId="3" applyNumberFormat="0" applyFont="1" applyFill="1" applyBorder="1" applyAlignment="1" applyProtection="0">
      <alignment horizontal="center" vertical="bottom"/>
    </xf>
    <xf numFmtId="1" fontId="12" fillId="2" borderId="25" applyNumberFormat="1" applyFont="1" applyFill="1" applyBorder="1" applyAlignment="1" applyProtection="0">
      <alignment horizontal="center" vertical="bottom"/>
    </xf>
    <xf numFmtId="49" fontId="12" fillId="2" borderId="25" applyNumberFormat="1" applyFont="1" applyFill="1" applyBorder="1" applyAlignment="1" applyProtection="0">
      <alignment horizontal="center" vertical="bottom"/>
    </xf>
    <xf numFmtId="0" fontId="0" fillId="3" borderId="25" applyNumberFormat="0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left" vertical="bottom"/>
    </xf>
    <xf numFmtId="49" fontId="3" fillId="2" borderId="27" applyNumberFormat="1" applyFont="1" applyFill="1" applyBorder="1" applyAlignment="1" applyProtection="0">
      <alignment horizontal="center" vertical="bottom"/>
    </xf>
    <xf numFmtId="0" fontId="3" fillId="2" borderId="7" applyNumberFormat="0" applyFont="1" applyFill="1" applyBorder="1" applyAlignment="1" applyProtection="0">
      <alignment horizontal="center" vertical="bottom"/>
    </xf>
    <xf numFmtId="49" fontId="3" fillId="2" borderId="28" applyNumberFormat="1" applyFont="1" applyFill="1" applyBorder="1" applyAlignment="1" applyProtection="0">
      <alignment horizontal="center" vertical="bottom"/>
    </xf>
    <xf numFmtId="49" fontId="14" fillId="20" borderId="6" applyNumberFormat="1" applyFont="1" applyFill="1" applyBorder="1" applyAlignment="1" applyProtection="0">
      <alignment horizontal="center" vertical="center"/>
    </xf>
    <xf numFmtId="1" fontId="14" fillId="20" borderId="6" applyNumberFormat="1" applyFont="1" applyFill="1" applyBorder="1" applyAlignment="1" applyProtection="0">
      <alignment horizontal="center" vertical="center"/>
    </xf>
    <xf numFmtId="60" fontId="4" fillId="3" borderId="6" applyNumberFormat="1" applyFont="1" applyFill="1" applyBorder="1" applyAlignment="1" applyProtection="0">
      <alignment horizontal="center" vertical="center"/>
    </xf>
    <xf numFmtId="4" fontId="4" fillId="3" borderId="6" applyNumberFormat="1" applyFont="1" applyFill="1" applyBorder="1" applyAlignment="1" applyProtection="0">
      <alignment horizontal="center" vertical="center"/>
    </xf>
    <xf numFmtId="62" fontId="4" fillId="3" borderId="6" applyNumberFormat="1" applyFont="1" applyFill="1" applyBorder="1" applyAlignment="1" applyProtection="0">
      <alignment horizontal="center" vertical="center"/>
    </xf>
    <xf numFmtId="4" fontId="4" fillId="3" borderId="9" applyNumberFormat="1" applyFont="1" applyFill="1" applyBorder="1" applyAlignment="1" applyProtection="0">
      <alignment horizontal="center" vertical="center"/>
    </xf>
    <xf numFmtId="0" fontId="14" fillId="20" borderId="6" applyNumberFormat="0" applyFont="1" applyFill="1" applyBorder="1" applyAlignment="1" applyProtection="0">
      <alignment horizontal="center" vertical="center"/>
    </xf>
    <xf numFmtId="4" fontId="14" fillId="20" borderId="6" applyNumberFormat="1" applyFont="1" applyFill="1" applyBorder="1" applyAlignment="1" applyProtection="0">
      <alignment horizontal="center" vertical="center"/>
    </xf>
    <xf numFmtId="0" fontId="14" fillId="20" borderId="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53"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165778"/>
      </font>
    </dxf>
    <dxf>
      <font>
        <color rgb="ffad1915"/>
      </font>
    </dxf>
    <dxf>
      <font>
        <b val="1"/>
        <color rgb="ff165778"/>
      </font>
    </dxf>
    <dxf>
      <font>
        <b val="1"/>
        <color rgb="ffad1915"/>
      </font>
    </dxf>
    <dxf>
      <font>
        <color rgb="ffd5d5d5"/>
      </font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  <dxf>
      <font>
        <color rgb="ff000000"/>
      </font>
      <fill>
        <patternFill patternType="solid">
          <fgColor indexed="21"/>
          <bgColor indexed="22"/>
        </patternFill>
      </fill>
    </dxf>
    <dxf>
      <font>
        <color rgb="ff000000"/>
      </font>
      <fill>
        <patternFill patternType="solid">
          <fgColor indexed="21"/>
          <bgColor indexed="23"/>
        </patternFill>
      </fill>
    </dxf>
    <dxf>
      <font>
        <color rgb="ff000000"/>
      </font>
      <fill>
        <patternFill patternType="solid">
          <fgColor indexed="21"/>
          <bgColor indexed="24"/>
        </patternFill>
      </fill>
    </dxf>
    <dxf>
      <font>
        <color rgb="ff000000"/>
      </font>
      <fill>
        <patternFill patternType="solid">
          <fgColor indexed="21"/>
          <bgColor indexed="25"/>
        </patternFill>
      </fill>
    </dxf>
    <dxf>
      <font>
        <color rgb="ff000000"/>
      </font>
      <fill>
        <patternFill patternType="solid">
          <fgColor indexed="21"/>
          <bgColor indexed="26"/>
        </patternFill>
      </fill>
    </dxf>
    <dxf>
      <font>
        <color rgb="ff000000"/>
      </font>
      <fill>
        <patternFill patternType="solid">
          <fgColor indexed="21"/>
          <bgColor indexed="2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aeaea"/>
      <rgbColor rgb="ffaaaaaa"/>
      <rgbColor rgb="ffffffff"/>
      <rgbColor rgb="ff94d06f"/>
      <rgbColor rgb="ff165778"/>
      <rgbColor rgb="fff5dd6b"/>
      <rgbColor rgb="ffad1915"/>
      <rgbColor rgb="ffff6861"/>
      <rgbColor rgb="ff7bb4d7"/>
      <rgbColor rgb="ffb778ca"/>
      <rgbColor rgb="ffbfbfbf"/>
      <rgbColor rgb="ff92d069"/>
      <rgbColor rgb="00000000"/>
      <rgbColor rgb="ffffa93a"/>
      <rgbColor rgb="ff6dc037"/>
      <rgbColor rgb="ff489bc9"/>
      <rgbColor rgb="fff1d030"/>
      <rgbColor rgb="ffff2c21"/>
      <rgbColor rgb="ff9d44b8"/>
      <rgbColor rgb="ffd5d5d5"/>
      <rgbColor rgb="ffffbe6b"/>
      <rgbColor rgb="ffff6158"/>
      <rgbColor rgb="ff76b4d6"/>
      <rgbColor rgb="ffb573c9"/>
      <rgbColor rgb="fff4dc64"/>
      <rgbColor rgb="ffa1ce7a"/>
      <rgbColor rgb="fff1dd7c"/>
      <rgbColor rgb="ffed7266"/>
      <rgbColor rgb="ff87b2d4"/>
      <rgbColor rgb="ffae7bc6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33"/>
  <sheetViews>
    <sheetView workbookViewId="0" showGridLines="0" defaultGridColor="1"/>
  </sheetViews>
  <sheetFormatPr defaultColWidth="8" defaultRowHeight="16.25" customHeight="1" outlineLevelRow="0" outlineLevelCol="0"/>
  <cols>
    <col min="1" max="1" width="18.8516" style="1" customWidth="1"/>
    <col min="2" max="3" width="9.5" style="1" customWidth="1"/>
    <col min="4" max="4" width="4.67188" style="1" customWidth="1"/>
    <col min="5" max="5" width="9.5" style="1" customWidth="1"/>
    <col min="6" max="6" width="18.8516" style="1" customWidth="1"/>
    <col min="7" max="7" width="4.67188" style="1" customWidth="1"/>
    <col min="8" max="10" width="9.5" style="1" customWidth="1"/>
    <col min="11" max="11" width="4.67188" style="1" customWidth="1"/>
    <col min="12" max="12" width="18.8516" style="1" customWidth="1"/>
    <col min="13" max="13" width="47.3516" style="1" customWidth="1"/>
    <col min="14" max="16384" width="8" style="1" customWidth="1"/>
  </cols>
  <sheetData>
    <row r="1" ht="42.5" customHeight="1">
      <c r="A1" t="s" s="2">
        <v>0</v>
      </c>
      <c r="B1" t="s" s="3">
        <v>1</v>
      </c>
      <c r="C1" t="s" s="4">
        <v>2</v>
      </c>
      <c r="D1" s="5"/>
      <c r="E1" t="s" s="4">
        <v>3</v>
      </c>
      <c r="F1" t="s" s="6">
        <v>4</v>
      </c>
      <c r="G1" s="5"/>
      <c r="H1" t="s" s="7">
        <v>5</v>
      </c>
      <c r="I1" t="s" s="7">
        <v>6</v>
      </c>
      <c r="J1" t="s" s="7">
        <v>7</v>
      </c>
      <c r="K1" s="5"/>
      <c r="L1" t="s" s="8">
        <v>8</v>
      </c>
      <c r="M1" t="s" s="9">
        <v>9</v>
      </c>
    </row>
    <row r="2" ht="21.25" customHeight="1">
      <c r="A2" t="s" s="10">
        <v>10</v>
      </c>
      <c r="B2" s="11">
        <v>2</v>
      </c>
      <c r="C2" s="12">
        <v>1</v>
      </c>
      <c r="D2" s="13"/>
      <c r="E2" t="s" s="14">
        <v>11</v>
      </c>
      <c r="F2" s="11">
        <f>ROUND(IF(E$21="Position",I2,IF(E$21="Draft",ROUND(J2*(H2/2)*($E$24/12),0),AVERAGE(I2,ROUND(J2*(H2/2)*($E$24/12),0)))),0)</f>
        <v>29</v>
      </c>
      <c r="G2" s="15"/>
      <c r="H2" s="12">
        <v>3</v>
      </c>
      <c r="I2" s="12">
        <f>H2*E$24</f>
        <v>30</v>
      </c>
      <c r="J2" s="12">
        <v>23</v>
      </c>
      <c r="K2" s="15"/>
      <c r="L2" t="s" s="16">
        <v>12</v>
      </c>
      <c r="M2" t="s" s="17">
        <v>13</v>
      </c>
    </row>
    <row r="3" ht="21.25" customHeight="1">
      <c r="A3" t="s" s="10">
        <v>14</v>
      </c>
      <c r="B3" s="11">
        <v>1.25</v>
      </c>
      <c r="C3" s="11">
        <v>1</v>
      </c>
      <c r="D3" s="13"/>
      <c r="E3" t="s" s="18">
        <v>15</v>
      </c>
      <c r="F3" s="11">
        <f>ROUND(IF(E$21="Position",I3,IF(E$21="Draft",ROUND(J3*(H3/2)*($E$24/12),0),AVERAGE(I3,ROUND(J3*(H3/2)*($E$24/12),0)))),0)</f>
        <v>19</v>
      </c>
      <c r="G3" s="15"/>
      <c r="H3" s="11">
        <v>2.333</v>
      </c>
      <c r="I3" s="11">
        <f>H3*E$24</f>
        <v>23.33</v>
      </c>
      <c r="J3" s="11">
        <v>20</v>
      </c>
      <c r="K3" s="15"/>
      <c r="L3" t="s" s="16">
        <v>12</v>
      </c>
      <c r="M3" t="s" s="19">
        <v>16</v>
      </c>
    </row>
    <row r="4" ht="21.25" customHeight="1">
      <c r="A4" t="s" s="10">
        <v>1</v>
      </c>
      <c r="B4" s="11">
        <v>1</v>
      </c>
      <c r="C4" s="20"/>
      <c r="D4" s="13"/>
      <c r="E4" t="s" s="21">
        <v>17</v>
      </c>
      <c r="F4" s="11">
        <f>ROUND(IF(E$21="Position",I4,IF(E$21="Draft",ROUND(J4*(H4/2)*($E$24/12),0),AVERAGE(I4,ROUND(J4*(H4/2)*($E$24/12),0)))),0)</f>
        <v>19</v>
      </c>
      <c r="G4" s="15"/>
      <c r="H4" s="11">
        <v>2.333</v>
      </c>
      <c r="I4" s="11">
        <f>H4*E$24</f>
        <v>23.33</v>
      </c>
      <c r="J4" s="11">
        <v>20</v>
      </c>
      <c r="K4" s="15"/>
      <c r="L4" t="s" s="16">
        <v>12</v>
      </c>
      <c r="M4" t="s" s="22">
        <v>18</v>
      </c>
    </row>
    <row r="5" ht="21.25" customHeight="1">
      <c r="A5" t="s" s="10">
        <v>19</v>
      </c>
      <c r="B5" s="11">
        <v>0.25</v>
      </c>
      <c r="C5" s="11">
        <v>1</v>
      </c>
      <c r="D5" s="13"/>
      <c r="E5" t="s" s="23">
        <v>20</v>
      </c>
      <c r="F5" s="11">
        <f>ROUND(IF(E$21="Position",I5,IF(E$21="Draft",ROUND(J5*(H5/4)*($E$24/12),0),AVERAGE(I5,ROUND(J5*(H5/4)*($E$24/12),0)))),0)</f>
        <v>16</v>
      </c>
      <c r="G5" s="15"/>
      <c r="H5" s="11">
        <v>4.333</v>
      </c>
      <c r="I5" s="11">
        <f>H5*E$24</f>
        <v>43.33</v>
      </c>
      <c r="J5" s="11">
        <v>18</v>
      </c>
      <c r="K5" s="15"/>
      <c r="L5" t="s" s="16">
        <v>12</v>
      </c>
      <c r="M5" t="s" s="24">
        <v>21</v>
      </c>
    </row>
    <row r="6" ht="21.25" customHeight="1">
      <c r="A6" t="s" s="10">
        <v>22</v>
      </c>
      <c r="B6" s="11">
        <v>0.7</v>
      </c>
      <c r="C6" s="11">
        <v>1</v>
      </c>
      <c r="D6" s="13"/>
      <c r="E6" t="s" s="25">
        <v>23</v>
      </c>
      <c r="F6" s="11">
        <f>ROUND(IF(E$21="Position",I6,IF(E$21="Draft",ROUND(J6*(H6/2)*($E$24/12),0),AVERAGE(I6,ROUND(J6*(H6/2)*($E$24/12),0)))),0)</f>
        <v>16</v>
      </c>
      <c r="G6" s="15"/>
      <c r="H6" s="11">
        <v>2</v>
      </c>
      <c r="I6" s="11">
        <f>H6*E$24</f>
        <v>20</v>
      </c>
      <c r="J6" s="11">
        <v>19</v>
      </c>
      <c r="K6" s="15"/>
      <c r="L6" s="26"/>
      <c r="M6" s="27"/>
    </row>
    <row r="7" ht="21.25" customHeight="1">
      <c r="A7" t="s" s="10">
        <v>24</v>
      </c>
      <c r="B7" s="11">
        <v>0.55</v>
      </c>
      <c r="C7" s="20"/>
      <c r="D7" s="13"/>
      <c r="E7" s="13"/>
      <c r="F7" s="28"/>
      <c r="G7" s="15"/>
      <c r="H7" s="28"/>
      <c r="I7" s="28"/>
      <c r="J7" s="28"/>
      <c r="K7" s="15"/>
      <c r="L7" t="s" s="16">
        <v>25</v>
      </c>
      <c r="M7" t="s" s="29">
        <v>26</v>
      </c>
    </row>
    <row r="8" ht="21.25" customHeight="1">
      <c r="A8" t="s" s="10">
        <v>27</v>
      </c>
      <c r="B8" s="20"/>
      <c r="C8" s="20"/>
      <c r="D8" s="13"/>
      <c r="E8" t="s" s="30">
        <v>28</v>
      </c>
      <c r="F8" s="31"/>
      <c r="G8" s="32"/>
      <c r="H8" t="s" s="33">
        <v>29</v>
      </c>
      <c r="I8" s="31"/>
      <c r="J8" s="31"/>
      <c r="K8" s="32"/>
      <c r="L8" t="s" s="16">
        <v>25</v>
      </c>
      <c r="M8" t="s" s="34">
        <v>30</v>
      </c>
    </row>
    <row r="9" ht="21.25" customHeight="1">
      <c r="A9" t="s" s="10">
        <v>31</v>
      </c>
      <c r="B9" s="11">
        <v>0.3</v>
      </c>
      <c r="C9" s="11">
        <v>1</v>
      </c>
      <c r="D9" s="13"/>
      <c r="E9" t="s" s="35">
        <v>32</v>
      </c>
      <c r="F9" s="31"/>
      <c r="G9" s="32"/>
      <c r="H9" s="36"/>
      <c r="I9" s="36"/>
      <c r="J9" s="36"/>
      <c r="K9" s="32"/>
      <c r="L9" s="26"/>
      <c r="M9" s="37"/>
    </row>
    <row r="10" ht="21.25" customHeight="1">
      <c r="A10" t="s" s="10">
        <v>33</v>
      </c>
      <c r="B10" s="20"/>
      <c r="C10" s="20"/>
      <c r="D10" s="13"/>
      <c r="E10" s="13"/>
      <c r="F10" s="13"/>
      <c r="G10" s="32"/>
      <c r="H10" s="36"/>
      <c r="I10" s="36"/>
      <c r="J10" s="36"/>
      <c r="K10" s="32"/>
      <c r="L10" t="s" s="16">
        <v>34</v>
      </c>
      <c r="M10" t="s" s="29">
        <v>35</v>
      </c>
    </row>
    <row r="11" ht="21.25" customHeight="1">
      <c r="A11" t="s" s="10">
        <v>36</v>
      </c>
      <c r="B11" s="11">
        <v>3</v>
      </c>
      <c r="C11" s="20"/>
      <c r="D11" s="13"/>
      <c r="E11" t="s" s="30">
        <v>37</v>
      </c>
      <c r="F11" s="31"/>
      <c r="G11" s="32"/>
      <c r="H11" t="s" s="33">
        <v>38</v>
      </c>
      <c r="I11" s="31"/>
      <c r="J11" s="31"/>
      <c r="K11" s="32"/>
      <c r="L11" s="26"/>
      <c r="M11" s="27"/>
    </row>
    <row r="12" ht="21.25" customHeight="1">
      <c r="A12" t="s" s="10">
        <v>39</v>
      </c>
      <c r="B12" s="20"/>
      <c r="C12" s="20"/>
      <c r="D12" s="13"/>
      <c r="E12" t="s" s="35">
        <v>40</v>
      </c>
      <c r="F12" s="31"/>
      <c r="G12" s="32"/>
      <c r="H12" s="36"/>
      <c r="I12" s="36"/>
      <c r="J12" s="36"/>
      <c r="K12" s="32"/>
      <c r="L12" t="s" s="16">
        <v>41</v>
      </c>
      <c r="M12" t="s" s="29">
        <v>42</v>
      </c>
    </row>
    <row r="13" ht="21.25" customHeight="1">
      <c r="A13" t="s" s="10">
        <v>43</v>
      </c>
      <c r="B13" s="20"/>
      <c r="C13" s="20"/>
      <c r="D13" s="13"/>
      <c r="E13" s="13"/>
      <c r="F13" s="13"/>
      <c r="G13" s="32"/>
      <c r="H13" s="36"/>
      <c r="I13" s="36"/>
      <c r="J13" s="36"/>
      <c r="K13" s="32"/>
      <c r="L13" t="s" s="16">
        <v>41</v>
      </c>
      <c r="M13" t="s" s="17">
        <v>44</v>
      </c>
    </row>
    <row r="14" ht="21.25" customHeight="1">
      <c r="A14" t="s" s="10">
        <v>45</v>
      </c>
      <c r="B14" s="20"/>
      <c r="C14" s="11">
        <v>1</v>
      </c>
      <c r="D14" s="13"/>
      <c r="E14" t="s" s="30">
        <v>46</v>
      </c>
      <c r="F14" s="31"/>
      <c r="G14" s="32"/>
      <c r="H14" t="s" s="33">
        <v>47</v>
      </c>
      <c r="I14" s="31"/>
      <c r="J14" s="31"/>
      <c r="K14" s="32"/>
      <c r="L14" t="s" s="16">
        <v>41</v>
      </c>
      <c r="M14" t="s" s="19">
        <v>48</v>
      </c>
    </row>
    <row r="15" ht="21.25" customHeight="1">
      <c r="A15" t="s" s="10">
        <v>49</v>
      </c>
      <c r="B15" s="20"/>
      <c r="C15" s="20"/>
      <c r="D15" s="13"/>
      <c r="E15" t="s" s="35">
        <v>1</v>
      </c>
      <c r="F15" s="31"/>
      <c r="G15" s="32"/>
      <c r="H15" s="36"/>
      <c r="I15" s="36"/>
      <c r="J15" s="36"/>
      <c r="K15" s="32"/>
      <c r="L15" t="s" s="16">
        <v>41</v>
      </c>
      <c r="M15" t="s" s="34">
        <v>50</v>
      </c>
    </row>
    <row r="16" ht="21.25" customHeight="1">
      <c r="A16" t="s" s="10">
        <v>51</v>
      </c>
      <c r="B16" s="11">
        <v>0.6</v>
      </c>
      <c r="C16" s="20"/>
      <c r="D16" s="13"/>
      <c r="E16" s="13"/>
      <c r="F16" s="13"/>
      <c r="G16" s="36"/>
      <c r="H16" s="36"/>
      <c r="I16" s="36"/>
      <c r="J16" s="36"/>
      <c r="K16" s="36"/>
      <c r="L16" s="26"/>
      <c r="M16" s="38"/>
    </row>
    <row r="17" ht="21.25" customHeight="1">
      <c r="A17" t="s" s="10">
        <v>52</v>
      </c>
      <c r="B17" s="11">
        <v>0.05</v>
      </c>
      <c r="C17" s="20"/>
      <c r="D17" s="13"/>
      <c r="E17" t="s" s="30">
        <v>53</v>
      </c>
      <c r="F17" s="31"/>
      <c r="G17" s="36"/>
      <c r="H17" t="s" s="33">
        <v>54</v>
      </c>
      <c r="I17" s="31"/>
      <c r="J17" s="31"/>
      <c r="K17" s="36"/>
      <c r="L17" t="s" s="16">
        <v>55</v>
      </c>
      <c r="M17" t="s" s="29">
        <v>56</v>
      </c>
    </row>
    <row r="18" ht="21.25" customHeight="1">
      <c r="A18" t="s" s="10">
        <v>57</v>
      </c>
      <c r="B18" s="11">
        <v>-0.05</v>
      </c>
      <c r="C18" s="20"/>
      <c r="D18" s="13"/>
      <c r="E18" t="s" s="35">
        <v>58</v>
      </c>
      <c r="F18" s="31"/>
      <c r="G18" s="36"/>
      <c r="H18" s="36"/>
      <c r="I18" s="36"/>
      <c r="J18" s="36"/>
      <c r="K18" s="36"/>
      <c r="L18" t="s" s="16">
        <v>55</v>
      </c>
      <c r="M18" t="s" s="34">
        <v>59</v>
      </c>
    </row>
    <row r="19" ht="21.25" customHeight="1">
      <c r="A19" t="s" s="10">
        <v>60</v>
      </c>
      <c r="B19" s="20"/>
      <c r="C19" s="20"/>
      <c r="D19" s="13"/>
      <c r="E19" s="13"/>
      <c r="F19" s="13"/>
      <c r="G19" s="36"/>
      <c r="H19" s="36"/>
      <c r="I19" s="36"/>
      <c r="J19" s="36"/>
      <c r="K19" s="36"/>
      <c r="L19" s="26"/>
      <c r="M19" s="38"/>
    </row>
    <row r="20" ht="21.25" customHeight="1">
      <c r="A20" s="10"/>
      <c r="B20" s="20"/>
      <c r="C20" s="20"/>
      <c r="D20" s="13"/>
      <c r="E20" t="s" s="30">
        <v>61</v>
      </c>
      <c r="F20" s="31"/>
      <c r="G20" s="36"/>
      <c r="H20" t="s" s="33">
        <v>62</v>
      </c>
      <c r="I20" s="31"/>
      <c r="J20" s="31"/>
      <c r="K20" s="36"/>
      <c r="L20" t="s" s="16">
        <v>63</v>
      </c>
      <c r="M20" t="s" s="29">
        <v>64</v>
      </c>
    </row>
    <row r="21" ht="21.25" customHeight="1">
      <c r="A21" t="s" s="10">
        <v>65</v>
      </c>
      <c r="B21" s="11">
        <v>2.2</v>
      </c>
      <c r="C21" s="11">
        <v>1</v>
      </c>
      <c r="D21" s="13"/>
      <c r="E21" t="s" s="35">
        <v>66</v>
      </c>
      <c r="F21" s="31"/>
      <c r="G21" s="36"/>
      <c r="H21" s="36"/>
      <c r="I21" s="36"/>
      <c r="J21" s="36"/>
      <c r="K21" s="36"/>
      <c r="L21" t="s" s="39">
        <v>63</v>
      </c>
      <c r="M21" t="s" s="40">
        <v>67</v>
      </c>
    </row>
    <row r="22" ht="21.25" customHeight="1">
      <c r="A22" t="s" s="10">
        <v>68</v>
      </c>
      <c r="B22" s="20"/>
      <c r="C22" s="20"/>
      <c r="D22" s="13"/>
      <c r="E22" s="13"/>
      <c r="F22" s="13"/>
      <c r="G22" s="36"/>
      <c r="H22" s="36"/>
      <c r="I22" s="36"/>
      <c r="J22" s="36"/>
      <c r="K22" s="36"/>
      <c r="L22" s="41"/>
      <c r="M22" s="42"/>
    </row>
    <row r="23" ht="21.25" customHeight="1">
      <c r="A23" t="s" s="10">
        <v>69</v>
      </c>
      <c r="B23" s="20"/>
      <c r="C23" s="20"/>
      <c r="D23" s="13"/>
      <c r="E23" t="s" s="30">
        <v>70</v>
      </c>
      <c r="F23" s="31"/>
      <c r="G23" s="13"/>
      <c r="H23" s="13"/>
      <c r="I23" s="13"/>
      <c r="J23" s="13"/>
      <c r="K23" s="13"/>
      <c r="L23" s="41"/>
      <c r="M23" s="42"/>
    </row>
    <row r="24" ht="21.25" customHeight="1">
      <c r="A24" t="s" s="10">
        <v>71</v>
      </c>
      <c r="B24" s="11">
        <v>5</v>
      </c>
      <c r="C24" s="11">
        <v>1</v>
      </c>
      <c r="D24" s="13"/>
      <c r="E24" s="43">
        <v>10</v>
      </c>
      <c r="F24" s="31"/>
      <c r="G24" s="13"/>
      <c r="H24" s="13"/>
      <c r="I24" s="13"/>
      <c r="J24" s="13"/>
      <c r="K24" s="13"/>
      <c r="L24" s="41"/>
      <c r="M24" s="42"/>
    </row>
    <row r="25" ht="21.25" customHeight="1">
      <c r="A25" t="s" s="10">
        <v>72</v>
      </c>
      <c r="B25" s="11">
        <v>0.23</v>
      </c>
      <c r="C25" s="20"/>
      <c r="D25" s="13"/>
      <c r="E25" s="13"/>
      <c r="F25" s="13"/>
      <c r="G25" s="13"/>
      <c r="H25" s="13"/>
      <c r="I25" s="13"/>
      <c r="J25" s="13"/>
      <c r="K25" s="13"/>
      <c r="L25" s="41"/>
      <c r="M25" s="42"/>
    </row>
    <row r="26" ht="21.25" customHeight="1">
      <c r="A26" t="s" s="10">
        <v>73</v>
      </c>
      <c r="B26" s="20"/>
      <c r="C26" s="11">
        <v>1</v>
      </c>
      <c r="D26" s="13"/>
      <c r="E26" t="s" s="44">
        <v>74</v>
      </c>
      <c r="F26" s="45"/>
      <c r="G26" s="13"/>
      <c r="H26" t="s" s="33">
        <v>75</v>
      </c>
      <c r="I26" s="31"/>
      <c r="J26" s="31"/>
      <c r="K26" s="13"/>
      <c r="L26" s="36"/>
      <c r="M26" s="46"/>
    </row>
    <row r="27" ht="21.25" customHeight="1">
      <c r="A27" t="s" s="10">
        <v>76</v>
      </c>
      <c r="B27" s="11">
        <v>-0.8</v>
      </c>
      <c r="C27" s="20"/>
      <c r="D27" s="13"/>
      <c r="E27" t="s" s="47">
        <v>77</v>
      </c>
      <c r="F27" s="48"/>
      <c r="G27" s="13"/>
      <c r="H27" s="31"/>
      <c r="I27" s="31"/>
      <c r="J27" s="31"/>
      <c r="K27" s="13"/>
      <c r="L27" s="31"/>
      <c r="M27" s="46"/>
    </row>
    <row r="28" ht="21.25" customHeight="1">
      <c r="A28" t="s" s="10">
        <v>78</v>
      </c>
      <c r="B28" s="20"/>
      <c r="C28" s="11">
        <v>1</v>
      </c>
      <c r="D28" s="13"/>
      <c r="E28" t="s" s="35">
        <v>79</v>
      </c>
      <c r="F28" s="49">
        <v>0.2</v>
      </c>
      <c r="G28" s="13"/>
      <c r="H28" t="s" s="33">
        <v>80</v>
      </c>
      <c r="I28" s="31"/>
      <c r="J28" s="31"/>
      <c r="K28" s="13"/>
      <c r="L28" s="36"/>
      <c r="M28" s="46"/>
    </row>
    <row r="29" ht="21.25" customHeight="1">
      <c r="A29" t="s" s="10">
        <v>81</v>
      </c>
      <c r="B29" s="20"/>
      <c r="C29" s="20"/>
      <c r="D29" s="13"/>
      <c r="E29" t="s" s="35">
        <v>82</v>
      </c>
      <c r="F29" s="49">
        <v>0.1</v>
      </c>
      <c r="G29" s="13"/>
      <c r="H29" s="31"/>
      <c r="I29" s="31"/>
      <c r="J29" s="31"/>
      <c r="K29" s="13"/>
      <c r="L29" s="31"/>
      <c r="M29" s="46"/>
    </row>
    <row r="30" ht="21.25" customHeight="1">
      <c r="A30" s="50"/>
      <c r="B30" s="20"/>
      <c r="C30" s="20"/>
      <c r="D30" s="13"/>
      <c r="E30" t="s" s="35">
        <v>83</v>
      </c>
      <c r="F30" s="49">
        <v>0.05</v>
      </c>
      <c r="G30" s="13"/>
      <c r="H30" t="s" s="33">
        <v>84</v>
      </c>
      <c r="I30" s="31"/>
      <c r="J30" s="31"/>
      <c r="K30" s="13"/>
      <c r="L30" s="36"/>
      <c r="M30" s="46"/>
    </row>
    <row r="31" ht="21.25" customHeight="1">
      <c r="A31" s="50"/>
      <c r="B31" s="20"/>
      <c r="C31" s="20"/>
      <c r="D31" s="13"/>
      <c r="E31" t="s" s="35">
        <v>85</v>
      </c>
      <c r="F31" s="49">
        <v>-0.05</v>
      </c>
      <c r="G31" s="13"/>
      <c r="H31" s="31"/>
      <c r="I31" s="31"/>
      <c r="J31" s="31"/>
      <c r="K31" s="13"/>
      <c r="L31" s="31"/>
      <c r="M31" s="46"/>
    </row>
    <row r="32" ht="21.25" customHeight="1">
      <c r="A32" s="50"/>
      <c r="B32" s="20"/>
      <c r="C32" s="20"/>
      <c r="D32" s="13"/>
      <c r="E32" t="s" s="35">
        <v>86</v>
      </c>
      <c r="F32" s="49">
        <v>-0.1</v>
      </c>
      <c r="G32" s="13"/>
      <c r="H32" s="31"/>
      <c r="I32" s="31"/>
      <c r="J32" s="31"/>
      <c r="K32" s="13"/>
      <c r="L32" s="31"/>
      <c r="M32" s="46"/>
    </row>
    <row r="33" ht="21.25" customHeight="1">
      <c r="A33" s="50"/>
      <c r="B33" s="20"/>
      <c r="C33" s="20"/>
      <c r="D33" s="51"/>
      <c r="E33" t="s" s="52">
        <v>87</v>
      </c>
      <c r="F33" s="53">
        <v>-0.2</v>
      </c>
      <c r="G33" s="51"/>
      <c r="H33" s="54"/>
      <c r="I33" s="54"/>
      <c r="J33" s="54"/>
      <c r="K33" s="51"/>
      <c r="L33" s="55"/>
      <c r="M33" s="56"/>
    </row>
  </sheetData>
  <mergeCells count="25">
    <mergeCell ref="L26:M27"/>
    <mergeCell ref="L28:M29"/>
    <mergeCell ref="L30:M32"/>
    <mergeCell ref="E26:F26"/>
    <mergeCell ref="H26:J27"/>
    <mergeCell ref="H28:J29"/>
    <mergeCell ref="H30:J32"/>
    <mergeCell ref="E27:F27"/>
    <mergeCell ref="E23:F23"/>
    <mergeCell ref="E24:F24"/>
    <mergeCell ref="E20:F20"/>
    <mergeCell ref="E21:F21"/>
    <mergeCell ref="H20:J20"/>
    <mergeCell ref="E15:F15"/>
    <mergeCell ref="E17:F17"/>
    <mergeCell ref="E18:F18"/>
    <mergeCell ref="H8:J8"/>
    <mergeCell ref="H11:J11"/>
    <mergeCell ref="H14:J14"/>
    <mergeCell ref="H17:J17"/>
    <mergeCell ref="E8:F8"/>
    <mergeCell ref="E9:F9"/>
    <mergeCell ref="E11:F11"/>
    <mergeCell ref="E12:F12"/>
    <mergeCell ref="E14:F1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65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237" customWidth="1"/>
    <col min="2" max="6" width="9.5" style="237" customWidth="1"/>
    <col min="7" max="9" width="11.8516" style="237" customWidth="1"/>
    <col min="10" max="16384" width="8" style="237" customWidth="1"/>
  </cols>
  <sheetData>
    <row r="1" ht="42.5" customHeight="1">
      <c r="A1" t="s" s="2">
        <v>89</v>
      </c>
      <c r="B1" t="s" s="238">
        <v>919</v>
      </c>
      <c r="C1" t="s" s="238">
        <v>920</v>
      </c>
      <c r="D1" t="s" s="212">
        <v>921</v>
      </c>
      <c r="E1" t="s" s="238">
        <v>922</v>
      </c>
      <c r="F1" s="239"/>
      <c r="G1" t="s" s="238">
        <v>94</v>
      </c>
      <c r="H1" t="s" s="238">
        <v>923</v>
      </c>
      <c r="I1" s="240"/>
    </row>
    <row r="2" ht="21.25" customHeight="1">
      <c r="A2" t="s" s="10">
        <v>126</v>
      </c>
      <c r="B2" s="241">
        <v>1</v>
      </c>
      <c r="C2" s="241"/>
      <c r="D2" s="242"/>
      <c r="E2" s="241">
        <f>_xlfn.IFERROR(AVERAGE(B2:D2),"—")</f>
        <v>1</v>
      </c>
      <c r="F2" t="s" s="125">
        <v>924</v>
      </c>
      <c r="G2" s="243">
        <v>12500000</v>
      </c>
      <c r="H2" t="s" s="125">
        <v>83</v>
      </c>
      <c r="I2" s="244"/>
    </row>
    <row r="3" ht="21.25" customHeight="1">
      <c r="A3" t="s" s="10">
        <v>133</v>
      </c>
      <c r="B3" s="241">
        <v>2</v>
      </c>
      <c r="C3" s="241"/>
      <c r="D3" s="241"/>
      <c r="E3" s="241">
        <f>_xlfn.IFERROR(AVERAGE(B3:D3),"—")</f>
        <v>2</v>
      </c>
      <c r="F3" t="s" s="125">
        <v>925</v>
      </c>
      <c r="G3" s="243">
        <v>12600000</v>
      </c>
      <c r="H3" t="s" s="125">
        <v>83</v>
      </c>
      <c r="I3" s="244"/>
    </row>
    <row r="4" ht="21.25" customHeight="1">
      <c r="A4" t="s" s="10">
        <v>131</v>
      </c>
      <c r="B4" s="241">
        <v>4.7</v>
      </c>
      <c r="C4" s="241"/>
      <c r="D4" s="241"/>
      <c r="E4" s="241">
        <f>_xlfn.IFERROR(AVERAGE(B4:D4),"—")</f>
        <v>4.7</v>
      </c>
      <c r="F4" t="s" s="125">
        <v>926</v>
      </c>
      <c r="G4" s="243">
        <v>13250000</v>
      </c>
      <c r="H4" t="s" s="125">
        <v>83</v>
      </c>
      <c r="I4" s="244"/>
    </row>
    <row r="5" ht="21.25" customHeight="1">
      <c r="A5" t="s" s="10">
        <v>139</v>
      </c>
      <c r="B5" s="241">
        <v>4</v>
      </c>
      <c r="C5" s="241"/>
      <c r="D5" s="241"/>
      <c r="E5" s="241">
        <f>_xlfn.IFERROR(AVERAGE(B5:D5),"—")</f>
        <v>4</v>
      </c>
      <c r="F5" t="s" s="125">
        <v>927</v>
      </c>
      <c r="G5" s="243">
        <v>9500000</v>
      </c>
      <c r="H5" t="s" s="125">
        <v>858</v>
      </c>
      <c r="I5" s="244"/>
    </row>
    <row r="6" ht="21.25" customHeight="1">
      <c r="A6" t="s" s="10">
        <v>142</v>
      </c>
      <c r="B6" s="241">
        <v>5.6</v>
      </c>
      <c r="C6" s="241"/>
      <c r="D6" s="241"/>
      <c r="E6" s="241">
        <f>_xlfn.IFERROR(AVERAGE(B6:D6),"—")</f>
        <v>5.6</v>
      </c>
      <c r="F6" t="s" s="125">
        <v>928</v>
      </c>
      <c r="G6" s="243">
        <v>11250000</v>
      </c>
      <c r="H6" t="s" s="125">
        <v>858</v>
      </c>
      <c r="I6" s="244"/>
    </row>
    <row r="7" ht="21.25" customHeight="1">
      <c r="A7" t="s" s="10">
        <v>150</v>
      </c>
      <c r="B7" s="241">
        <v>4.9</v>
      </c>
      <c r="C7" s="241"/>
      <c r="D7" s="241"/>
      <c r="E7" s="241">
        <f>_xlfn.IFERROR(AVERAGE(B7:D7),"—")</f>
        <v>4.9</v>
      </c>
      <c r="F7" t="s" s="125">
        <v>924</v>
      </c>
      <c r="G7" s="243">
        <v>8500000</v>
      </c>
      <c r="H7" t="s" s="125">
        <v>83</v>
      </c>
      <c r="I7" s="244"/>
    </row>
    <row r="8" ht="21.25" customHeight="1">
      <c r="A8" t="s" s="10">
        <v>163</v>
      </c>
      <c r="B8" s="241">
        <v>10</v>
      </c>
      <c r="C8" s="241"/>
      <c r="D8" s="241"/>
      <c r="E8" s="241">
        <f>_xlfn.IFERROR(AVERAGE(B8:D8),"—")</f>
        <v>10</v>
      </c>
      <c r="F8" t="s" s="125">
        <v>925</v>
      </c>
      <c r="G8" s="243">
        <v>9000000</v>
      </c>
      <c r="H8" t="s" s="125">
        <v>858</v>
      </c>
      <c r="I8" s="244"/>
    </row>
    <row r="9" ht="21.25" customHeight="1">
      <c r="A9" t="s" s="10">
        <v>193</v>
      </c>
      <c r="B9" s="241">
        <v>12.2</v>
      </c>
      <c r="C9" s="241"/>
      <c r="D9" s="241"/>
      <c r="E9" s="241">
        <f>_xlfn.IFERROR(AVERAGE(B9:D9),"—")</f>
        <v>12.2</v>
      </c>
      <c r="F9" t="s" s="125">
        <v>929</v>
      </c>
      <c r="G9" s="243">
        <v>8000000</v>
      </c>
      <c r="H9" t="s" s="125">
        <v>858</v>
      </c>
      <c r="I9" s="244"/>
    </row>
    <row r="10" ht="21.25" customHeight="1">
      <c r="A10" t="s" s="10">
        <v>179</v>
      </c>
      <c r="B10" s="241">
        <v>26.9</v>
      </c>
      <c r="C10" s="241"/>
      <c r="D10" s="241"/>
      <c r="E10" s="241">
        <f>_xlfn.IFERROR(AVERAGE(B10:D10),"—")</f>
        <v>26.9</v>
      </c>
      <c r="F10" t="s" s="125">
        <v>930</v>
      </c>
      <c r="G10" s="243">
        <v>9059000</v>
      </c>
      <c r="H10" t="s" s="125">
        <v>858</v>
      </c>
      <c r="I10" s="244"/>
    </row>
    <row r="11" ht="21.25" customHeight="1">
      <c r="A11" t="s" s="10">
        <v>159</v>
      </c>
      <c r="B11" s="241">
        <v>9</v>
      </c>
      <c r="C11" s="241"/>
      <c r="D11" s="241"/>
      <c r="E11" s="241">
        <f>_xlfn.IFERROR(AVERAGE(B11:D11),"—")</f>
        <v>9</v>
      </c>
      <c r="F11" t="s" s="125">
        <v>925</v>
      </c>
      <c r="G11" s="243">
        <v>9250000</v>
      </c>
      <c r="H11" t="s" s="125">
        <v>83</v>
      </c>
      <c r="I11" s="244"/>
    </row>
    <row r="12" ht="21.25" customHeight="1">
      <c r="A12" t="s" s="10">
        <v>198</v>
      </c>
      <c r="B12" s="241">
        <v>13</v>
      </c>
      <c r="C12" s="241"/>
      <c r="D12" s="241"/>
      <c r="E12" s="241">
        <f>_xlfn.IFERROR(AVERAGE(B12:D12),"—")</f>
        <v>13</v>
      </c>
      <c r="F12" t="s" s="125">
        <v>931</v>
      </c>
      <c r="G12" s="243">
        <v>11642857</v>
      </c>
      <c r="H12" t="s" s="125">
        <v>858</v>
      </c>
      <c r="I12" s="244"/>
    </row>
    <row r="13" ht="21.25" customHeight="1">
      <c r="A13" t="s" s="10">
        <v>147</v>
      </c>
      <c r="B13" s="241">
        <v>9.800000000000001</v>
      </c>
      <c r="C13" s="241"/>
      <c r="D13" s="241"/>
      <c r="E13" s="241">
        <f>_xlfn.IFERROR(AVERAGE(B13:D13),"—")</f>
        <v>9.800000000000001</v>
      </c>
      <c r="F13" t="s" s="125">
        <v>932</v>
      </c>
      <c r="G13" s="243">
        <v>9500000</v>
      </c>
      <c r="H13" t="s" s="125">
        <v>83</v>
      </c>
      <c r="I13" s="244"/>
    </row>
    <row r="14" ht="21.25" customHeight="1">
      <c r="A14" t="s" s="10">
        <v>183</v>
      </c>
      <c r="B14" s="241">
        <v>15.2</v>
      </c>
      <c r="C14" s="241"/>
      <c r="D14" s="241"/>
      <c r="E14" s="241">
        <f>_xlfn.IFERROR(AVERAGE(B14:D14),"—")</f>
        <v>15.2</v>
      </c>
      <c r="F14" t="s" s="125">
        <v>926</v>
      </c>
      <c r="G14" s="243">
        <v>11500000</v>
      </c>
      <c r="H14" t="s" s="125">
        <v>858</v>
      </c>
      <c r="I14" s="244"/>
    </row>
    <row r="15" ht="21.25" customHeight="1">
      <c r="A15" t="s" s="10">
        <v>184</v>
      </c>
      <c r="B15" s="241">
        <v>23.4</v>
      </c>
      <c r="C15" s="241"/>
      <c r="D15" s="241"/>
      <c r="E15" s="241">
        <f>_xlfn.IFERROR(AVERAGE(B15:D15),"—")</f>
        <v>23.4</v>
      </c>
      <c r="F15" t="s" s="125">
        <v>924</v>
      </c>
      <c r="G15" s="243">
        <v>3900000</v>
      </c>
      <c r="H15" t="s" s="125">
        <v>82</v>
      </c>
      <c r="I15" s="244"/>
    </row>
    <row r="16" ht="21.25" customHeight="1">
      <c r="A16" t="s" s="10">
        <v>166</v>
      </c>
      <c r="B16" s="241">
        <v>31.4</v>
      </c>
      <c r="C16" s="241"/>
      <c r="D16" s="241"/>
      <c r="E16" s="241">
        <f>_xlfn.IFERROR(AVERAGE(B16:D16),"—")</f>
        <v>31.4</v>
      </c>
      <c r="F16" t="s" s="125">
        <v>926</v>
      </c>
      <c r="G16" s="243">
        <v>10903000</v>
      </c>
      <c r="H16" t="s" s="125">
        <v>83</v>
      </c>
      <c r="I16" s="244"/>
    </row>
    <row r="17" ht="21.25" customHeight="1">
      <c r="A17" t="s" s="10">
        <v>181</v>
      </c>
      <c r="B17" s="241">
        <v>15</v>
      </c>
      <c r="C17" s="241"/>
      <c r="D17" s="241"/>
      <c r="E17" s="241">
        <f>_xlfn.IFERROR(AVERAGE(B17:D17),"—")</f>
        <v>15</v>
      </c>
      <c r="F17" t="s" s="125">
        <v>933</v>
      </c>
      <c r="G17" s="243">
        <v>9000000</v>
      </c>
      <c r="H17" t="s" s="125">
        <v>858</v>
      </c>
      <c r="I17" s="244"/>
    </row>
    <row r="18" ht="21.25" customHeight="1">
      <c r="A18" t="s" s="10">
        <v>152</v>
      </c>
      <c r="B18" s="241">
        <v>36</v>
      </c>
      <c r="C18" s="241"/>
      <c r="D18" s="241"/>
      <c r="E18" s="241">
        <f>_xlfn.IFERROR(AVERAGE(B18:D18),"—")</f>
        <v>36</v>
      </c>
      <c r="F18" t="s" s="125">
        <v>934</v>
      </c>
      <c r="G18" s="243">
        <v>11000000</v>
      </c>
      <c r="H18" t="s" s="125">
        <v>83</v>
      </c>
      <c r="I18" s="244"/>
    </row>
    <row r="19" ht="21.25" customHeight="1">
      <c r="A19" t="s" s="10">
        <v>151</v>
      </c>
      <c r="B19" s="241">
        <v>18.2</v>
      </c>
      <c r="C19" s="241"/>
      <c r="D19" s="241"/>
      <c r="E19" s="241">
        <f>_xlfn.IFERROR(AVERAGE(B19:D19),"—")</f>
        <v>18.2</v>
      </c>
      <c r="F19" t="s" s="125">
        <v>935</v>
      </c>
      <c r="G19" s="243">
        <v>11600000</v>
      </c>
      <c r="H19" t="s" s="125">
        <v>83</v>
      </c>
      <c r="I19" s="244"/>
    </row>
    <row r="20" ht="21.25" customHeight="1">
      <c r="A20" t="s" s="10">
        <v>253</v>
      </c>
      <c r="B20" s="241">
        <v>22.6</v>
      </c>
      <c r="C20" s="241"/>
      <c r="D20" s="241"/>
      <c r="E20" s="241">
        <f>_xlfn.IFERROR(AVERAGE(B20:D20),"—")</f>
        <v>22.6</v>
      </c>
      <c r="F20" t="s" s="125">
        <v>935</v>
      </c>
      <c r="G20" s="243">
        <v>7850000</v>
      </c>
      <c r="H20" t="s" s="125">
        <v>83</v>
      </c>
      <c r="I20" s="244"/>
    </row>
    <row r="21" ht="21.25" customHeight="1">
      <c r="A21" t="s" s="10">
        <v>189</v>
      </c>
      <c r="B21" s="241">
        <v>67.7</v>
      </c>
      <c r="C21" s="241"/>
      <c r="D21" s="241"/>
      <c r="E21" s="241">
        <f>_xlfn.IFERROR(AVERAGE(B21:D21),"—")</f>
        <v>67.7</v>
      </c>
      <c r="F21" t="s" s="125">
        <v>936</v>
      </c>
      <c r="G21" s="243">
        <v>4000000</v>
      </c>
      <c r="H21" t="s" s="125">
        <v>858</v>
      </c>
      <c r="I21" s="244"/>
    </row>
    <row r="22" ht="21.25" customHeight="1">
      <c r="A22" t="s" s="10">
        <v>203</v>
      </c>
      <c r="B22" s="241">
        <v>28.1</v>
      </c>
      <c r="C22" s="241"/>
      <c r="D22" s="241"/>
      <c r="E22" s="241">
        <f>_xlfn.IFERROR(AVERAGE(B22:D22),"—")</f>
        <v>28.1</v>
      </c>
      <c r="F22" t="s" s="125">
        <v>937</v>
      </c>
      <c r="G22" s="243">
        <v>7750000</v>
      </c>
      <c r="H22" t="s" s="125">
        <v>858</v>
      </c>
      <c r="I22" s="244"/>
    </row>
    <row r="23" ht="21.25" customHeight="1">
      <c r="A23" t="s" s="10">
        <v>160</v>
      </c>
      <c r="B23" s="241">
        <v>16</v>
      </c>
      <c r="C23" s="241"/>
      <c r="D23" s="241"/>
      <c r="E23" s="241">
        <f>_xlfn.IFERROR(AVERAGE(B23:D23),"—")</f>
        <v>16</v>
      </c>
      <c r="F23" t="s" s="125">
        <v>931</v>
      </c>
      <c r="G23" s="243">
        <v>5666700</v>
      </c>
      <c r="H23" t="s" s="125">
        <v>83</v>
      </c>
      <c r="I23" s="244"/>
    </row>
    <row r="24" ht="21.25" customHeight="1">
      <c r="A24" t="s" s="10">
        <v>167</v>
      </c>
      <c r="B24" s="241">
        <v>26.3</v>
      </c>
      <c r="C24" s="241"/>
      <c r="D24" s="241"/>
      <c r="E24" s="241">
        <f>_xlfn.IFERROR(AVERAGE(B24:D24),"—")</f>
        <v>26.3</v>
      </c>
      <c r="F24" t="s" s="125">
        <v>938</v>
      </c>
      <c r="G24" s="243">
        <v>8500000</v>
      </c>
      <c r="H24" t="s" s="125">
        <v>858</v>
      </c>
      <c r="I24" s="244"/>
    </row>
    <row r="25" ht="21.25" customHeight="1">
      <c r="A25" t="s" s="10">
        <v>177</v>
      </c>
      <c r="B25" s="241">
        <v>19.7</v>
      </c>
      <c r="C25" s="241"/>
      <c r="D25" s="241"/>
      <c r="E25" s="241">
        <f>_xlfn.IFERROR(AVERAGE(B25:D25),"—")</f>
        <v>19.7</v>
      </c>
      <c r="F25" t="s" s="125">
        <v>930</v>
      </c>
      <c r="G25" s="243">
        <v>8500000</v>
      </c>
      <c r="H25" t="s" s="125">
        <v>858</v>
      </c>
      <c r="I25" s="244"/>
    </row>
    <row r="26" ht="21.25" customHeight="1">
      <c r="A26" t="s" s="10">
        <v>164</v>
      </c>
      <c r="B26" s="241">
        <v>30.9</v>
      </c>
      <c r="C26" s="241"/>
      <c r="D26" s="241"/>
      <c r="E26" s="241">
        <f>_xlfn.IFERROR(AVERAGE(B26:D26),"—")</f>
        <v>30.9</v>
      </c>
      <c r="F26" t="s" s="125">
        <v>930</v>
      </c>
      <c r="G26" s="243">
        <v>5000000</v>
      </c>
      <c r="H26" t="s" s="125">
        <v>83</v>
      </c>
      <c r="I26" s="244"/>
    </row>
    <row r="27" ht="21.25" customHeight="1">
      <c r="A27" t="s" s="10">
        <v>209</v>
      </c>
      <c r="B27" s="241">
        <v>39</v>
      </c>
      <c r="C27" s="241"/>
      <c r="D27" s="241"/>
      <c r="E27" s="241">
        <f>_xlfn.IFERROR(AVERAGE(B27:D27),"—")</f>
        <v>39</v>
      </c>
      <c r="F27" t="s" s="125">
        <v>927</v>
      </c>
      <c r="G27" s="243">
        <v>9000000</v>
      </c>
      <c r="H27" t="s" s="125">
        <v>83</v>
      </c>
      <c r="I27" s="244"/>
    </row>
    <row r="28" ht="21.25" customHeight="1">
      <c r="A28" t="s" s="10">
        <v>223</v>
      </c>
      <c r="B28" s="241">
        <v>39.3</v>
      </c>
      <c r="C28" s="241"/>
      <c r="D28" s="241"/>
      <c r="E28" s="241">
        <f>_xlfn.IFERROR(AVERAGE(B28:D28),"—")</f>
        <v>39.3</v>
      </c>
      <c r="F28" t="s" s="125">
        <v>931</v>
      </c>
      <c r="G28" s="243">
        <v>9500000</v>
      </c>
      <c r="H28" t="s" s="125">
        <v>858</v>
      </c>
      <c r="I28" s="244"/>
    </row>
    <row r="29" ht="21.25" customHeight="1">
      <c r="A29" t="s" s="10">
        <v>171</v>
      </c>
      <c r="B29" s="241">
        <v>25.9</v>
      </c>
      <c r="C29" s="241"/>
      <c r="D29" s="241"/>
      <c r="E29" s="241">
        <f>_xlfn.IFERROR(AVERAGE(B29:D29),"—")</f>
        <v>25.9</v>
      </c>
      <c r="F29" t="s" s="125">
        <v>939</v>
      </c>
      <c r="G29" s="243">
        <v>8700000</v>
      </c>
      <c r="H29" t="s" s="125">
        <v>83</v>
      </c>
      <c r="I29" s="244"/>
    </row>
    <row r="30" ht="21.25" customHeight="1">
      <c r="A30" t="s" s="10">
        <v>221</v>
      </c>
      <c r="B30" s="241">
        <v>43.1</v>
      </c>
      <c r="C30" s="241"/>
      <c r="D30" s="241"/>
      <c r="E30" s="241">
        <f>_xlfn.IFERROR(AVERAGE(B30:D30),"—")</f>
        <v>43.1</v>
      </c>
      <c r="F30" t="s" s="125">
        <v>927</v>
      </c>
      <c r="G30" s="243">
        <v>7975000</v>
      </c>
      <c r="H30" t="s" s="125">
        <v>858</v>
      </c>
      <c r="I30" s="244"/>
    </row>
    <row r="31" ht="21.25" customHeight="1">
      <c r="A31" t="s" s="10">
        <v>135</v>
      </c>
      <c r="B31" s="241">
        <v>9.300000000000001</v>
      </c>
      <c r="C31" s="241"/>
      <c r="D31" s="241"/>
      <c r="E31" s="241">
        <f>_xlfn.IFERROR(AVERAGE(B31:D31),"—")</f>
        <v>9.300000000000001</v>
      </c>
      <c r="F31" t="s" s="125">
        <v>940</v>
      </c>
      <c r="G31" s="243">
        <v>8205714</v>
      </c>
      <c r="H31" t="s" s="125">
        <v>858</v>
      </c>
      <c r="I31" s="244"/>
    </row>
    <row r="32" ht="21.25" customHeight="1">
      <c r="A32" t="s" s="10">
        <v>257</v>
      </c>
      <c r="B32" s="241">
        <v>59.2</v>
      </c>
      <c r="C32" s="241"/>
      <c r="D32" s="241"/>
      <c r="E32" s="241">
        <f>_xlfn.IFERROR(AVERAGE(B32:D32),"—")</f>
        <v>59.2</v>
      </c>
      <c r="F32" t="s" s="125">
        <v>937</v>
      </c>
      <c r="G32" s="243">
        <v>8450000</v>
      </c>
      <c r="H32" t="s" s="125">
        <v>83</v>
      </c>
      <c r="I32" s="244"/>
    </row>
    <row r="33" ht="21.25" customHeight="1">
      <c r="A33" t="s" s="10">
        <v>214</v>
      </c>
      <c r="B33" s="241">
        <v>47.3</v>
      </c>
      <c r="C33" s="241"/>
      <c r="D33" s="241"/>
      <c r="E33" s="241">
        <f>_xlfn.IFERROR(AVERAGE(B33:D33),"—")</f>
        <v>47.3</v>
      </c>
      <c r="F33" t="s" s="125">
        <v>934</v>
      </c>
      <c r="G33" s="243">
        <v>7142857</v>
      </c>
      <c r="H33" t="s" s="125">
        <v>858</v>
      </c>
      <c r="I33" s="244"/>
    </row>
    <row r="34" ht="21.25" customHeight="1">
      <c r="A34" t="s" s="10">
        <v>144</v>
      </c>
      <c r="B34" s="241">
        <v>10.1</v>
      </c>
      <c r="C34" s="241"/>
      <c r="D34" s="241"/>
      <c r="E34" s="241">
        <f>_xlfn.IFERROR(AVERAGE(B34:D34),"—")</f>
        <v>10.1</v>
      </c>
      <c r="F34" t="s" s="125">
        <v>935</v>
      </c>
      <c r="G34" s="243">
        <v>8000000</v>
      </c>
      <c r="H34" t="s" s="125">
        <v>858</v>
      </c>
      <c r="I34" s="244"/>
    </row>
    <row r="35" ht="21.25" customHeight="1">
      <c r="A35" t="s" s="10">
        <v>222</v>
      </c>
      <c r="B35" s="241">
        <v>83.8</v>
      </c>
      <c r="C35" s="241"/>
      <c r="D35" s="241"/>
      <c r="E35" s="241">
        <f>_xlfn.IFERROR(AVERAGE(B35:D35),"—")</f>
        <v>83.8</v>
      </c>
      <c r="F35" t="s" s="125">
        <v>926</v>
      </c>
      <c r="G35" s="243">
        <v>7500000</v>
      </c>
      <c r="H35" t="s" s="125">
        <v>858</v>
      </c>
      <c r="I35" s="244"/>
    </row>
    <row r="36" ht="21.25" customHeight="1">
      <c r="A36" t="s" s="10">
        <v>196</v>
      </c>
      <c r="B36" s="241">
        <v>22.1</v>
      </c>
      <c r="C36" s="241"/>
      <c r="D36" s="241"/>
      <c r="E36" s="241">
        <f>_xlfn.IFERROR(AVERAGE(B36:D36),"—")</f>
        <v>22.1</v>
      </c>
      <c r="F36" t="s" s="125">
        <v>932</v>
      </c>
      <c r="G36" s="243">
        <v>8625000</v>
      </c>
      <c r="H36" t="s" s="125">
        <v>858</v>
      </c>
      <c r="I36" s="244"/>
    </row>
    <row r="37" ht="21.25" customHeight="1">
      <c r="A37" t="s" s="10">
        <v>215</v>
      </c>
      <c r="B37" s="241">
        <v>35.3</v>
      </c>
      <c r="C37" s="241"/>
      <c r="D37" s="241"/>
      <c r="E37" s="241">
        <f>_xlfn.IFERROR(AVERAGE(B37:D37),"—")</f>
        <v>35.3</v>
      </c>
      <c r="F37" t="s" s="125">
        <v>941</v>
      </c>
      <c r="G37" s="243">
        <v>10000000</v>
      </c>
      <c r="H37" t="s" s="125">
        <v>858</v>
      </c>
      <c r="I37" s="244"/>
    </row>
    <row r="38" ht="21.25" customHeight="1">
      <c r="A38" t="s" s="10">
        <v>220</v>
      </c>
      <c r="B38" s="241">
        <v>36.8</v>
      </c>
      <c r="C38" s="241"/>
      <c r="D38" s="241"/>
      <c r="E38" s="241">
        <f>_xlfn.IFERROR(AVERAGE(B38:D38),"—")</f>
        <v>36.8</v>
      </c>
      <c r="F38" t="s" s="125">
        <v>927</v>
      </c>
      <c r="G38" s="243">
        <v>9500000</v>
      </c>
      <c r="H38" t="s" s="125">
        <v>858</v>
      </c>
      <c r="I38" s="244"/>
    </row>
    <row r="39" ht="21.25" customHeight="1">
      <c r="A39" t="s" s="10">
        <v>294</v>
      </c>
      <c r="B39" s="241">
        <v>99.8</v>
      </c>
      <c r="C39" s="241"/>
      <c r="D39" s="241"/>
      <c r="E39" s="241">
        <f>_xlfn.IFERROR(AVERAGE(B39:D39),"—")</f>
        <v>99.8</v>
      </c>
      <c r="F39" t="s" s="125">
        <v>939</v>
      </c>
      <c r="G39" s="243">
        <v>10000000</v>
      </c>
      <c r="H39" t="s" s="125">
        <v>858</v>
      </c>
      <c r="I39" s="244"/>
    </row>
    <row r="40" ht="21.25" customHeight="1">
      <c r="A40" t="s" s="10">
        <v>155</v>
      </c>
      <c r="B40" s="241">
        <v>88.90000000000001</v>
      </c>
      <c r="C40" s="241"/>
      <c r="D40" s="241"/>
      <c r="E40" s="241">
        <f>_xlfn.IFERROR(AVERAGE(B40:D40),"—")</f>
        <v>88.90000000000001</v>
      </c>
      <c r="F40" t="s" s="125">
        <v>942</v>
      </c>
      <c r="G40" t="s" s="125">
        <v>943</v>
      </c>
      <c r="H40" t="s" s="125">
        <v>858</v>
      </c>
      <c r="I40" s="244"/>
    </row>
    <row r="41" ht="21.25" customHeight="1">
      <c r="A41" t="s" s="10">
        <v>250</v>
      </c>
      <c r="B41" s="241">
        <v>72</v>
      </c>
      <c r="C41" s="241"/>
      <c r="D41" s="241"/>
      <c r="E41" s="241">
        <f>_xlfn.IFERROR(AVERAGE(B41:D41),"—")</f>
        <v>72</v>
      </c>
      <c r="F41" t="s" s="125">
        <v>936</v>
      </c>
      <c r="G41" s="243">
        <v>9150000</v>
      </c>
      <c r="H41" t="s" s="125">
        <v>83</v>
      </c>
      <c r="I41" s="244"/>
    </row>
    <row r="42" ht="21.25" customHeight="1">
      <c r="A42" t="s" s="10">
        <v>175</v>
      </c>
      <c r="B42" s="241">
        <v>32.6</v>
      </c>
      <c r="C42" s="241"/>
      <c r="D42" s="241"/>
      <c r="E42" s="241">
        <f>_xlfn.IFERROR(AVERAGE(B42:D42),"—")</f>
        <v>32.6</v>
      </c>
      <c r="F42" t="s" s="125">
        <v>937</v>
      </c>
      <c r="G42" s="243">
        <v>4000000</v>
      </c>
      <c r="H42" t="s" s="125">
        <v>858</v>
      </c>
      <c r="I42" s="244"/>
    </row>
    <row r="43" ht="21.25" customHeight="1">
      <c r="A43" t="s" s="10">
        <v>285</v>
      </c>
      <c r="B43" s="241">
        <v>38</v>
      </c>
      <c r="C43" s="241"/>
      <c r="D43" s="241"/>
      <c r="E43" s="241">
        <f>_xlfn.IFERROR(AVERAGE(B43:D43),"—")</f>
        <v>38</v>
      </c>
      <c r="F43" t="s" s="125">
        <v>938</v>
      </c>
      <c r="G43" s="243">
        <v>7142857</v>
      </c>
      <c r="H43" t="s" s="125">
        <v>858</v>
      </c>
      <c r="I43" s="244"/>
    </row>
    <row r="44" ht="21.25" customHeight="1">
      <c r="A44" t="s" s="10">
        <v>195</v>
      </c>
      <c r="B44" s="241">
        <v>79.2</v>
      </c>
      <c r="C44" s="241"/>
      <c r="D44" s="241"/>
      <c r="E44" s="241">
        <f>_xlfn.IFERROR(AVERAGE(B44:D44),"—")</f>
        <v>79.2</v>
      </c>
      <c r="F44" t="s" s="125">
        <v>929</v>
      </c>
      <c r="G44" s="243">
        <v>8800000</v>
      </c>
      <c r="H44" t="s" s="125">
        <v>858</v>
      </c>
      <c r="I44" s="244"/>
    </row>
    <row r="45" ht="21.25" customHeight="1">
      <c r="A45" t="s" s="10">
        <v>191</v>
      </c>
      <c r="B45" s="241">
        <v>44.6</v>
      </c>
      <c r="C45" s="241"/>
      <c r="D45" s="241"/>
      <c r="E45" s="241">
        <f>_xlfn.IFERROR(AVERAGE(B45:D45),"—")</f>
        <v>44.6</v>
      </c>
      <c r="F45" t="s" s="125">
        <v>944</v>
      </c>
      <c r="G45" s="243">
        <v>9500000</v>
      </c>
      <c r="H45" t="s" s="125">
        <v>858</v>
      </c>
      <c r="I45" s="244"/>
    </row>
    <row r="46" ht="21.25" customHeight="1">
      <c r="A46" t="s" s="10">
        <v>246</v>
      </c>
      <c r="B46" s="241">
        <v>53.9</v>
      </c>
      <c r="C46" s="241"/>
      <c r="D46" s="241"/>
      <c r="E46" s="241">
        <f>_xlfn.IFERROR(AVERAGE(B46:D46),"—")</f>
        <v>53.9</v>
      </c>
      <c r="F46" t="s" s="125">
        <v>938</v>
      </c>
      <c r="G46" s="243">
        <v>6250000</v>
      </c>
      <c r="H46" t="s" s="125">
        <v>858</v>
      </c>
      <c r="I46" s="244"/>
    </row>
    <row r="47" ht="21.25" customHeight="1">
      <c r="A47" t="s" s="10">
        <v>247</v>
      </c>
      <c r="B47" s="241">
        <v>47.3</v>
      </c>
      <c r="C47" s="241"/>
      <c r="D47" s="241"/>
      <c r="E47" s="241">
        <f>_xlfn.IFERROR(AVERAGE(B47:D47),"—")</f>
        <v>47.3</v>
      </c>
      <c r="F47" t="s" s="125">
        <v>929</v>
      </c>
      <c r="G47" s="243">
        <v>7850000</v>
      </c>
      <c r="H47" t="s" s="125">
        <v>85</v>
      </c>
      <c r="I47" s="244"/>
    </row>
    <row r="48" ht="21.25" customHeight="1">
      <c r="A48" t="s" s="10">
        <v>173</v>
      </c>
      <c r="B48" s="241">
        <v>85.90000000000001</v>
      </c>
      <c r="C48" s="241"/>
      <c r="D48" s="241"/>
      <c r="E48" s="241">
        <f>_xlfn.IFERROR(AVERAGE(B48:D48),"—")</f>
        <v>85.90000000000001</v>
      </c>
      <c r="F48" t="s" s="125">
        <v>945</v>
      </c>
      <c r="G48" s="243">
        <v>6250000</v>
      </c>
      <c r="H48" t="s" s="125">
        <v>858</v>
      </c>
      <c r="I48" s="244"/>
    </row>
    <row r="49" ht="21.25" customHeight="1">
      <c r="A49" t="s" s="10">
        <v>186</v>
      </c>
      <c r="B49" s="241">
        <v>52</v>
      </c>
      <c r="C49" s="241"/>
      <c r="D49" s="241"/>
      <c r="E49" s="241">
        <f>_xlfn.IFERROR(AVERAGE(B49:D49),"—")</f>
        <v>52</v>
      </c>
      <c r="F49" t="s" s="125">
        <v>932</v>
      </c>
      <c r="G49" s="243">
        <v>10000000</v>
      </c>
      <c r="H49" t="s" s="125">
        <v>858</v>
      </c>
      <c r="I49" s="244"/>
    </row>
    <row r="50" ht="21.25" customHeight="1">
      <c r="A50" t="s" s="10">
        <v>180</v>
      </c>
      <c r="B50" s="241">
        <v>44.3</v>
      </c>
      <c r="C50" s="241"/>
      <c r="D50" s="241"/>
      <c r="E50" s="241">
        <f>_xlfn.IFERROR(AVERAGE(B50:D50),"—")</f>
        <v>44.3</v>
      </c>
      <c r="F50" t="s" s="125">
        <v>946</v>
      </c>
      <c r="G50" s="243">
        <v>9500000</v>
      </c>
      <c r="H50" t="s" s="125">
        <v>858</v>
      </c>
      <c r="I50" s="244"/>
    </row>
    <row r="51" ht="21.25" customHeight="1">
      <c r="A51" t="s" s="10">
        <v>243</v>
      </c>
      <c r="B51" s="241">
        <v>49.8</v>
      </c>
      <c r="C51" s="241"/>
      <c r="D51" s="241"/>
      <c r="E51" s="241">
        <f>_xlfn.IFERROR(AVERAGE(B51:D51),"—")</f>
        <v>49.8</v>
      </c>
      <c r="F51" t="s" s="125">
        <v>947</v>
      </c>
      <c r="G51" s="243">
        <v>950000</v>
      </c>
      <c r="H51" t="s" s="125">
        <v>858</v>
      </c>
      <c r="I51" s="244"/>
    </row>
    <row r="52" ht="21.25" customHeight="1">
      <c r="A52" t="s" s="10">
        <v>233</v>
      </c>
      <c r="B52" s="241">
        <v>45.6</v>
      </c>
      <c r="C52" s="241"/>
      <c r="D52" s="241"/>
      <c r="E52" s="241">
        <f>_xlfn.IFERROR(AVERAGE(B52:D52),"—")</f>
        <v>45.6</v>
      </c>
      <c r="F52" t="s" s="125">
        <v>930</v>
      </c>
      <c r="G52" s="243">
        <v>8000000</v>
      </c>
      <c r="H52" t="s" s="125">
        <v>858</v>
      </c>
      <c r="I52" s="244"/>
    </row>
    <row r="53" ht="21.25" customHeight="1">
      <c r="A53" t="s" s="10">
        <v>219</v>
      </c>
      <c r="B53" s="241">
        <v>19.4</v>
      </c>
      <c r="C53" s="241"/>
      <c r="D53" s="241"/>
      <c r="E53" s="241">
        <f>_xlfn.IFERROR(AVERAGE(B53:D53),"—")</f>
        <v>19.4</v>
      </c>
      <c r="F53" t="s" s="125">
        <v>924</v>
      </c>
      <c r="G53" s="243">
        <v>5500000</v>
      </c>
      <c r="H53" t="s" s="125">
        <v>858</v>
      </c>
      <c r="I53" s="244"/>
    </row>
    <row r="54" ht="21.25" customHeight="1">
      <c r="A54" t="s" s="10">
        <v>213</v>
      </c>
      <c r="B54" s="241">
        <v>60</v>
      </c>
      <c r="C54" s="241"/>
      <c r="D54" s="241"/>
      <c r="E54" s="241">
        <f>_xlfn.IFERROR(AVERAGE(B54:D54),"—")</f>
        <v>60</v>
      </c>
      <c r="F54" t="s" s="125">
        <v>940</v>
      </c>
      <c r="G54" s="243">
        <v>8350000</v>
      </c>
      <c r="H54" t="s" s="125">
        <v>858</v>
      </c>
      <c r="I54" s="244"/>
    </row>
    <row r="55" ht="21.25" customHeight="1">
      <c r="A55" t="s" s="10">
        <v>232</v>
      </c>
      <c r="B55" s="241">
        <v>118.6</v>
      </c>
      <c r="C55" s="241"/>
      <c r="D55" s="241"/>
      <c r="E55" s="241">
        <f>_xlfn.IFERROR(AVERAGE(B55:D55),"—")</f>
        <v>118.6</v>
      </c>
      <c r="F55" t="s" s="125">
        <v>944</v>
      </c>
      <c r="G55" s="243">
        <v>8000000</v>
      </c>
      <c r="H55" t="s" s="125">
        <v>858</v>
      </c>
      <c r="I55" s="244"/>
    </row>
    <row r="56" ht="21.25" customHeight="1">
      <c r="A56" t="s" s="10">
        <v>202</v>
      </c>
      <c r="B56" s="241">
        <v>72.3</v>
      </c>
      <c r="C56" s="241"/>
      <c r="D56" s="241"/>
      <c r="E56" s="241">
        <f>_xlfn.IFERROR(AVERAGE(B56:D56),"—")</f>
        <v>72.3</v>
      </c>
      <c r="F56" t="s" s="125">
        <v>928</v>
      </c>
      <c r="G56" s="243">
        <v>9500000</v>
      </c>
      <c r="H56" t="s" s="125">
        <v>858</v>
      </c>
      <c r="I56" s="244"/>
    </row>
    <row r="57" ht="21.25" customHeight="1">
      <c r="A57" t="s" s="10">
        <v>291</v>
      </c>
      <c r="B57" s="241">
        <v>130.4</v>
      </c>
      <c r="C57" s="241"/>
      <c r="D57" s="241"/>
      <c r="E57" s="241">
        <f>_xlfn.IFERROR(AVERAGE(B57:D57),"—")</f>
        <v>130.4</v>
      </c>
      <c r="F57" t="s" s="125">
        <v>948</v>
      </c>
      <c r="G57" s="243">
        <v>8125000</v>
      </c>
      <c r="H57" t="s" s="125">
        <v>858</v>
      </c>
      <c r="I57" s="244"/>
    </row>
    <row r="58" ht="21.25" customHeight="1">
      <c r="A58" t="s" s="10">
        <v>226</v>
      </c>
      <c r="B58" s="241">
        <v>41.7</v>
      </c>
      <c r="C58" s="241"/>
      <c r="D58" s="241"/>
      <c r="E58" s="241">
        <f>_xlfn.IFERROR(AVERAGE(B58:D58),"—")</f>
        <v>41.7</v>
      </c>
      <c r="F58" t="s" s="125">
        <v>949</v>
      </c>
      <c r="G58" s="243">
        <v>9750000</v>
      </c>
      <c r="H58" t="s" s="125">
        <v>858</v>
      </c>
      <c r="I58" s="244"/>
    </row>
    <row r="59" ht="21.25" customHeight="1">
      <c r="A59" t="s" s="10">
        <v>283</v>
      </c>
      <c r="B59" s="241">
        <v>86.90000000000001</v>
      </c>
      <c r="C59" s="241"/>
      <c r="D59" s="241"/>
      <c r="E59" s="241">
        <f>_xlfn.IFERROR(AVERAGE(B59:D59),"—")</f>
        <v>86.90000000000001</v>
      </c>
      <c r="F59" t="s" s="125">
        <v>950</v>
      </c>
      <c r="G59" s="243">
        <v>7875000</v>
      </c>
      <c r="H59" t="s" s="125">
        <v>858</v>
      </c>
      <c r="I59" s="244"/>
    </row>
    <row r="60" ht="21.25" customHeight="1">
      <c r="A60" t="s" s="10">
        <v>293</v>
      </c>
      <c r="B60" s="241">
        <v>73.40000000000001</v>
      </c>
      <c r="C60" s="241"/>
      <c r="D60" s="241"/>
      <c r="E60" s="241">
        <f>_xlfn.IFERROR(AVERAGE(B60:D60),"—")</f>
        <v>73.40000000000001</v>
      </c>
      <c r="F60" t="s" s="125">
        <v>951</v>
      </c>
      <c r="G60" s="243">
        <v>7150000</v>
      </c>
      <c r="H60" t="s" s="125">
        <v>858</v>
      </c>
      <c r="I60" s="244"/>
    </row>
    <row r="61" ht="21.25" customHeight="1">
      <c r="A61" t="s" s="10">
        <v>230</v>
      </c>
      <c r="B61" s="241">
        <v>87.09999999999999</v>
      </c>
      <c r="C61" s="241"/>
      <c r="D61" s="241"/>
      <c r="E61" s="241">
        <f>_xlfn.IFERROR(AVERAGE(B61:D61),"—")</f>
        <v>87.09999999999999</v>
      </c>
      <c r="F61" t="s" s="125">
        <v>942</v>
      </c>
      <c r="G61" s="243">
        <v>8700000</v>
      </c>
      <c r="H61" t="s" s="125">
        <v>858</v>
      </c>
      <c r="I61" s="244"/>
    </row>
    <row r="62" ht="21.25" customHeight="1">
      <c r="A62" t="s" s="10">
        <v>229</v>
      </c>
      <c r="B62" s="241">
        <v>73.7</v>
      </c>
      <c r="C62" s="241"/>
      <c r="D62" s="241"/>
      <c r="E62" s="241">
        <f>_xlfn.IFERROR(AVERAGE(B62:D62),"—")</f>
        <v>73.7</v>
      </c>
      <c r="F62" t="s" s="125">
        <v>931</v>
      </c>
      <c r="G62" s="243">
        <v>8500000</v>
      </c>
      <c r="H62" t="s" s="125">
        <v>858</v>
      </c>
      <c r="I62" s="244"/>
    </row>
    <row r="63" ht="21.25" customHeight="1">
      <c r="A63" t="s" s="10">
        <v>249</v>
      </c>
      <c r="B63" s="241">
        <v>57.7</v>
      </c>
      <c r="C63" s="241"/>
      <c r="D63" s="241"/>
      <c r="E63" s="241">
        <f>_xlfn.IFERROR(AVERAGE(B63:D63),"—")</f>
        <v>57.7</v>
      </c>
      <c r="F63" t="s" s="125">
        <v>937</v>
      </c>
      <c r="G63" s="243">
        <v>894167</v>
      </c>
      <c r="H63" t="s" s="125">
        <v>858</v>
      </c>
      <c r="I63" s="244"/>
    </row>
    <row r="64" ht="21.25" customHeight="1">
      <c r="A64" t="s" s="10">
        <v>187</v>
      </c>
      <c r="B64" s="241">
        <v>50.7</v>
      </c>
      <c r="C64" s="241"/>
      <c r="D64" s="241"/>
      <c r="E64" s="241">
        <f>_xlfn.IFERROR(AVERAGE(B64:D64),"—")</f>
        <v>50.7</v>
      </c>
      <c r="F64" t="s" s="125">
        <v>924</v>
      </c>
      <c r="G64" s="243">
        <v>2600000</v>
      </c>
      <c r="H64" t="s" s="125">
        <v>858</v>
      </c>
      <c r="I64" s="244"/>
    </row>
    <row r="65" ht="21.25" customHeight="1">
      <c r="A65" t="s" s="10">
        <v>200</v>
      </c>
      <c r="B65" s="241">
        <v>30.7</v>
      </c>
      <c r="C65" s="241"/>
      <c r="D65" s="241"/>
      <c r="E65" s="241">
        <f>_xlfn.IFERROR(AVERAGE(B65:D65),"—")</f>
        <v>30.7</v>
      </c>
      <c r="F65" t="s" s="125">
        <v>928</v>
      </c>
      <c r="G65" t="s" s="125">
        <v>943</v>
      </c>
      <c r="H65" t="s" s="125">
        <v>858</v>
      </c>
      <c r="I65" s="244"/>
    </row>
    <row r="66" ht="21.25" customHeight="1">
      <c r="A66" t="s" s="10">
        <v>331</v>
      </c>
      <c r="B66" s="241">
        <v>114.9</v>
      </c>
      <c r="C66" s="241"/>
      <c r="D66" s="241"/>
      <c r="E66" s="241">
        <f>_xlfn.IFERROR(AVERAGE(B66:D66),"—")</f>
        <v>114.9</v>
      </c>
      <c r="F66" t="s" s="125">
        <v>952</v>
      </c>
      <c r="G66" s="243">
        <v>9583330</v>
      </c>
      <c r="H66" t="s" s="125">
        <v>858</v>
      </c>
      <c r="I66" s="244"/>
    </row>
    <row r="67" ht="21.25" customHeight="1">
      <c r="A67" t="s" s="10">
        <v>289</v>
      </c>
      <c r="B67" s="241">
        <v>65.40000000000001</v>
      </c>
      <c r="C67" s="241"/>
      <c r="D67" s="241"/>
      <c r="E67" s="241">
        <f>_xlfn.IFERROR(AVERAGE(B67:D67),"—")</f>
        <v>65.40000000000001</v>
      </c>
      <c r="F67" t="s" s="125">
        <v>924</v>
      </c>
      <c r="G67" s="243">
        <v>5125000</v>
      </c>
      <c r="H67" t="s" s="125">
        <v>858</v>
      </c>
      <c r="I67" s="244"/>
    </row>
    <row r="68" ht="21.25" customHeight="1">
      <c r="A68" t="s" s="10">
        <v>199</v>
      </c>
      <c r="B68" s="241">
        <v>59.1</v>
      </c>
      <c r="C68" s="241"/>
      <c r="D68" s="241"/>
      <c r="E68" s="241">
        <f>_xlfn.IFERROR(AVERAGE(B68:D68),"—")</f>
        <v>59.1</v>
      </c>
      <c r="F68" t="s" s="125">
        <v>953</v>
      </c>
      <c r="G68" s="243">
        <v>4125000</v>
      </c>
      <c r="H68" t="s" s="125">
        <v>83</v>
      </c>
      <c r="I68" s="244"/>
    </row>
    <row r="69" ht="21.25" customHeight="1">
      <c r="A69" t="s" s="10">
        <v>197</v>
      </c>
      <c r="B69" s="241">
        <v>44.4</v>
      </c>
      <c r="C69" s="241"/>
      <c r="D69" s="241"/>
      <c r="E69" s="241">
        <f>_xlfn.IFERROR(AVERAGE(B69:D69),"—")</f>
        <v>44.4</v>
      </c>
      <c r="F69" t="s" s="125">
        <v>935</v>
      </c>
      <c r="G69" s="243">
        <v>5000000</v>
      </c>
      <c r="H69" t="s" s="125">
        <v>858</v>
      </c>
      <c r="I69" s="244"/>
    </row>
    <row r="70" ht="21.25" customHeight="1">
      <c r="A70" t="s" s="10">
        <v>308</v>
      </c>
      <c r="B70" s="241">
        <v>83.40000000000001</v>
      </c>
      <c r="C70" s="241"/>
      <c r="D70" s="241"/>
      <c r="E70" s="241">
        <f>_xlfn.IFERROR(AVERAGE(B70:D70),"—")</f>
        <v>83.40000000000001</v>
      </c>
      <c r="F70" t="s" s="125">
        <v>954</v>
      </c>
      <c r="G70" s="243">
        <v>7850000</v>
      </c>
      <c r="H70" t="s" s="125">
        <v>83</v>
      </c>
      <c r="I70" s="244"/>
    </row>
    <row r="71" ht="21.25" customHeight="1">
      <c r="A71" t="s" s="10">
        <v>260</v>
      </c>
      <c r="B71" s="241">
        <v>66.8</v>
      </c>
      <c r="C71" s="241"/>
      <c r="D71" s="241"/>
      <c r="E71" s="241">
        <f>_xlfn.IFERROR(AVERAGE(B71:D71),"—")</f>
        <v>66.8</v>
      </c>
      <c r="F71" t="s" s="125">
        <v>951</v>
      </c>
      <c r="G71" s="243">
        <v>8500000</v>
      </c>
      <c r="H71" t="s" s="125">
        <v>858</v>
      </c>
      <c r="I71" s="244"/>
    </row>
    <row r="72" ht="21.25" customHeight="1">
      <c r="A72" t="s" s="10">
        <v>231</v>
      </c>
      <c r="B72" s="241">
        <v>113</v>
      </c>
      <c r="C72" s="241"/>
      <c r="D72" s="241"/>
      <c r="E72" s="241">
        <f>_xlfn.IFERROR(AVERAGE(B72:D72),"—")</f>
        <v>113</v>
      </c>
      <c r="F72" t="s" s="125">
        <v>929</v>
      </c>
      <c r="G72" s="243">
        <v>7250000</v>
      </c>
      <c r="H72" t="s" s="125">
        <v>858</v>
      </c>
      <c r="I72" s="244"/>
    </row>
    <row r="73" ht="21.25" customHeight="1">
      <c r="A73" t="s" s="10">
        <v>206</v>
      </c>
      <c r="B73" s="241">
        <v>45</v>
      </c>
      <c r="C73" s="241"/>
      <c r="D73" s="241"/>
      <c r="E73" s="241">
        <f>_xlfn.IFERROR(AVERAGE(B73:D73),"—")</f>
        <v>45</v>
      </c>
      <c r="F73" t="s" s="125">
        <v>936</v>
      </c>
      <c r="G73" s="243">
        <v>8250000</v>
      </c>
      <c r="H73" t="s" s="125">
        <v>858</v>
      </c>
      <c r="I73" s="244"/>
    </row>
    <row r="74" ht="21.25" customHeight="1">
      <c r="A74" t="s" s="10">
        <v>292</v>
      </c>
      <c r="B74" s="241">
        <v>57.9</v>
      </c>
      <c r="C74" s="241"/>
      <c r="D74" s="241"/>
      <c r="E74" s="241">
        <f>_xlfn.IFERROR(AVERAGE(B74:D74),"—")</f>
        <v>57.9</v>
      </c>
      <c r="F74" t="s" s="125">
        <v>932</v>
      </c>
      <c r="G74" s="243">
        <v>4166700</v>
      </c>
      <c r="H74" t="s" s="125">
        <v>85</v>
      </c>
      <c r="I74" s="244"/>
    </row>
    <row r="75" ht="21.25" customHeight="1">
      <c r="A75" t="s" s="10">
        <v>270</v>
      </c>
      <c r="B75" s="241">
        <v>114.9</v>
      </c>
      <c r="C75" s="241"/>
      <c r="D75" s="241"/>
      <c r="E75" s="241">
        <f>_xlfn.IFERROR(AVERAGE(B75:D75),"—")</f>
        <v>114.9</v>
      </c>
      <c r="F75" t="s" s="125">
        <v>948</v>
      </c>
      <c r="G75" s="243">
        <v>8125000</v>
      </c>
      <c r="H75" t="s" s="125">
        <v>858</v>
      </c>
      <c r="I75" s="244"/>
    </row>
    <row r="76" ht="21.25" customHeight="1">
      <c r="A76" t="s" s="10">
        <v>208</v>
      </c>
      <c r="B76" s="241">
        <v>104.1</v>
      </c>
      <c r="C76" s="241"/>
      <c r="D76" s="241"/>
      <c r="E76" s="241">
        <f>_xlfn.IFERROR(AVERAGE(B76:D76),"—")</f>
        <v>104.1</v>
      </c>
      <c r="F76" t="s" s="125">
        <v>926</v>
      </c>
      <c r="G76" s="243">
        <v>11000000</v>
      </c>
      <c r="H76" t="s" s="125">
        <v>858</v>
      </c>
      <c r="I76" s="244"/>
    </row>
    <row r="77" ht="21.25" customHeight="1">
      <c r="A77" t="s" s="10">
        <v>169</v>
      </c>
      <c r="B77" s="241">
        <v>58.1</v>
      </c>
      <c r="C77" s="241"/>
      <c r="D77" s="241"/>
      <c r="E77" s="241">
        <f>_xlfn.IFERROR(AVERAGE(B77:D77),"—")</f>
        <v>58.1</v>
      </c>
      <c r="F77" t="s" s="125">
        <v>931</v>
      </c>
      <c r="G77" s="243">
        <v>5625000</v>
      </c>
      <c r="H77" t="s" s="125">
        <v>858</v>
      </c>
      <c r="I77" s="244"/>
    </row>
    <row r="78" ht="21.25" customHeight="1">
      <c r="A78" t="s" s="10">
        <v>224</v>
      </c>
      <c r="B78" s="241">
        <v>46</v>
      </c>
      <c r="C78" s="241"/>
      <c r="D78" s="241"/>
      <c r="E78" s="241">
        <f>_xlfn.IFERROR(AVERAGE(B78:D78),"—")</f>
        <v>46</v>
      </c>
      <c r="F78" t="s" s="125">
        <v>950</v>
      </c>
      <c r="G78" s="243">
        <v>5500000</v>
      </c>
      <c r="H78" t="s" s="125">
        <v>858</v>
      </c>
      <c r="I78" s="244"/>
    </row>
    <row r="79" ht="21.25" customHeight="1">
      <c r="A79" t="s" s="10">
        <v>238</v>
      </c>
      <c r="B79" s="241">
        <v>121.7</v>
      </c>
      <c r="C79" s="241"/>
      <c r="D79" s="241"/>
      <c r="E79" s="241">
        <f>_xlfn.IFERROR(AVERAGE(B79:D79),"—")</f>
        <v>121.7</v>
      </c>
      <c r="F79" t="s" s="125">
        <v>954</v>
      </c>
      <c r="G79" s="243">
        <v>7875000</v>
      </c>
      <c r="H79" t="s" s="125">
        <v>858</v>
      </c>
      <c r="I79" s="244"/>
    </row>
    <row r="80" ht="21.25" customHeight="1">
      <c r="A80" t="s" s="10">
        <v>282</v>
      </c>
      <c r="B80" s="241">
        <v>125.4</v>
      </c>
      <c r="C80" s="241"/>
      <c r="D80" s="241"/>
      <c r="E80" s="241">
        <f>_xlfn.IFERROR(AVERAGE(B80:D80),"—")</f>
        <v>125.4</v>
      </c>
      <c r="F80" t="s" s="125">
        <v>954</v>
      </c>
      <c r="G80" s="243">
        <v>4875000</v>
      </c>
      <c r="H80" t="s" s="125">
        <v>858</v>
      </c>
      <c r="I80" s="244"/>
    </row>
    <row r="81" ht="21.25" customHeight="1">
      <c r="A81" t="s" s="10">
        <v>372</v>
      </c>
      <c r="B81" s="241">
        <v>119.7</v>
      </c>
      <c r="C81" s="241"/>
      <c r="D81" s="241"/>
      <c r="E81" s="241">
        <f>_xlfn.IFERROR(AVERAGE(B81:D81),"—")</f>
        <v>119.7</v>
      </c>
      <c r="F81" t="s" s="125">
        <v>941</v>
      </c>
      <c r="G81" s="243">
        <v>5200000</v>
      </c>
      <c r="H81" t="s" s="125">
        <v>858</v>
      </c>
      <c r="I81" s="244"/>
    </row>
    <row r="82" ht="21.25" customHeight="1">
      <c r="A82" t="s" s="10">
        <v>272</v>
      </c>
      <c r="B82" s="241">
        <v>145.6</v>
      </c>
      <c r="C82" s="241"/>
      <c r="D82" s="241"/>
      <c r="E82" s="241">
        <f>_xlfn.IFERROR(AVERAGE(B82:D82),"—")</f>
        <v>145.6</v>
      </c>
      <c r="F82" t="s" s="125">
        <v>947</v>
      </c>
      <c r="G82" s="243">
        <v>9500000</v>
      </c>
      <c r="H82" t="s" s="125">
        <v>858</v>
      </c>
      <c r="I82" s="244"/>
    </row>
    <row r="83" ht="21.25" customHeight="1">
      <c r="A83" t="s" s="10">
        <v>252</v>
      </c>
      <c r="B83" s="241">
        <v>117.1</v>
      </c>
      <c r="C83" s="241"/>
      <c r="D83" s="241"/>
      <c r="E83" s="241">
        <f>_xlfn.IFERROR(AVERAGE(B83:D83),"—")</f>
        <v>117.1</v>
      </c>
      <c r="F83" t="s" s="125">
        <v>934</v>
      </c>
      <c r="G83" s="243">
        <v>4750000</v>
      </c>
      <c r="H83" t="s" s="125">
        <v>858</v>
      </c>
      <c r="I83" s="244"/>
    </row>
    <row r="84" ht="21.25" customHeight="1">
      <c r="A84" t="s" s="10">
        <v>237</v>
      </c>
      <c r="B84" s="241">
        <v>30.2</v>
      </c>
      <c r="C84" s="241"/>
      <c r="D84" s="241"/>
      <c r="E84" s="241">
        <f>_xlfn.IFERROR(AVERAGE(B84:D84),"—")</f>
        <v>30.2</v>
      </c>
      <c r="F84" t="s" s="125">
        <v>931</v>
      </c>
      <c r="G84" s="243">
        <v>6500000</v>
      </c>
      <c r="H84" t="s" s="125">
        <v>858</v>
      </c>
      <c r="I84" s="244"/>
    </row>
    <row r="85" ht="21.25" customHeight="1">
      <c r="A85" t="s" s="10">
        <v>310</v>
      </c>
      <c r="B85" s="241">
        <v>75.8</v>
      </c>
      <c r="C85" s="241"/>
      <c r="D85" s="241"/>
      <c r="E85" s="241">
        <f>_xlfn.IFERROR(AVERAGE(B85:D85),"—")</f>
        <v>75.8</v>
      </c>
      <c r="F85" t="s" s="125">
        <v>933</v>
      </c>
      <c r="G85" s="243">
        <v>7000000</v>
      </c>
      <c r="H85" t="s" s="125">
        <v>83</v>
      </c>
      <c r="I85" s="244"/>
    </row>
    <row r="86" ht="21.25" customHeight="1">
      <c r="A86" t="s" s="10">
        <v>315</v>
      </c>
      <c r="B86" s="241">
        <v>153</v>
      </c>
      <c r="C86" s="241"/>
      <c r="D86" s="241"/>
      <c r="E86" s="241">
        <f>_xlfn.IFERROR(AVERAGE(B86:D86),"—")</f>
        <v>153</v>
      </c>
      <c r="F86" t="s" s="125">
        <v>948</v>
      </c>
      <c r="G86" s="243">
        <v>5800000</v>
      </c>
      <c r="H86" t="s" s="125">
        <v>858</v>
      </c>
      <c r="I86" s="244"/>
    </row>
    <row r="87" ht="21.25" customHeight="1">
      <c r="A87" t="s" s="10">
        <v>205</v>
      </c>
      <c r="B87" s="241">
        <v>42</v>
      </c>
      <c r="C87" s="241"/>
      <c r="D87" s="241"/>
      <c r="E87" s="241">
        <f>_xlfn.IFERROR(AVERAGE(B87:D87),"—")</f>
        <v>42</v>
      </c>
      <c r="F87" t="s" s="125">
        <v>932</v>
      </c>
      <c r="G87" s="243">
        <v>10000000</v>
      </c>
      <c r="H87" t="s" s="125">
        <v>858</v>
      </c>
      <c r="I87" s="244"/>
    </row>
    <row r="88" ht="21.25" customHeight="1">
      <c r="A88" t="s" s="10">
        <v>286</v>
      </c>
      <c r="B88" s="241">
        <v>91.3</v>
      </c>
      <c r="C88" s="241"/>
      <c r="D88" s="241"/>
      <c r="E88" s="241">
        <f>_xlfn.IFERROR(AVERAGE(B88:D88),"—")</f>
        <v>91.3</v>
      </c>
      <c r="F88" t="s" s="125">
        <v>942</v>
      </c>
      <c r="G88" s="243">
        <v>7875000</v>
      </c>
      <c r="H88" t="s" s="125">
        <v>858</v>
      </c>
      <c r="I88" s="244"/>
    </row>
    <row r="89" ht="21.25" customHeight="1">
      <c r="A89" t="s" s="10">
        <v>303</v>
      </c>
      <c r="B89" s="241">
        <v>150.1</v>
      </c>
      <c r="C89" s="241"/>
      <c r="D89" s="241"/>
      <c r="E89" s="241">
        <f>_xlfn.IFERROR(AVERAGE(B89:D89),"—")</f>
        <v>150.1</v>
      </c>
      <c r="F89" t="s" s="125">
        <v>955</v>
      </c>
      <c r="G89" s="243">
        <v>5000000</v>
      </c>
      <c r="H89" t="s" s="125">
        <v>858</v>
      </c>
      <c r="I89" s="244"/>
    </row>
    <row r="90" ht="21.25" customHeight="1">
      <c r="A90" t="s" s="10">
        <v>262</v>
      </c>
      <c r="B90" s="241">
        <v>112.6</v>
      </c>
      <c r="C90" s="241"/>
      <c r="D90" s="241"/>
      <c r="E90" s="241">
        <f>_xlfn.IFERROR(AVERAGE(B90:D90),"—")</f>
        <v>112.6</v>
      </c>
      <c r="F90" t="s" s="125">
        <v>927</v>
      </c>
      <c r="G90" s="243">
        <v>6500000</v>
      </c>
      <c r="H90" t="s" s="125">
        <v>83</v>
      </c>
      <c r="I90" s="244"/>
    </row>
    <row r="91" ht="21.25" customHeight="1">
      <c r="A91" t="s" s="10">
        <v>357</v>
      </c>
      <c r="B91" s="241">
        <v>64.8</v>
      </c>
      <c r="C91" s="241"/>
      <c r="D91" s="241"/>
      <c r="E91" s="241">
        <f>_xlfn.IFERROR(AVERAGE(B91:D91),"—")</f>
        <v>64.8</v>
      </c>
      <c r="F91" t="s" s="125">
        <v>929</v>
      </c>
      <c r="G91" s="243">
        <v>9000000</v>
      </c>
      <c r="H91" t="s" s="125">
        <v>858</v>
      </c>
      <c r="I91" s="244"/>
    </row>
    <row r="92" ht="21.25" customHeight="1">
      <c r="A92" t="s" s="10">
        <v>290</v>
      </c>
      <c r="B92" s="241">
        <v>151.3</v>
      </c>
      <c r="C92" s="241"/>
      <c r="D92" s="241"/>
      <c r="E92" s="241">
        <f>_xlfn.IFERROR(AVERAGE(B92:D92),"—")</f>
        <v>151.3</v>
      </c>
      <c r="F92" t="s" s="125">
        <v>945</v>
      </c>
      <c r="G92" s="243">
        <v>7000000</v>
      </c>
      <c r="H92" t="s" s="125">
        <v>858</v>
      </c>
      <c r="I92" s="244"/>
    </row>
    <row r="93" ht="21.25" customHeight="1">
      <c r="A93" t="s" s="10">
        <v>241</v>
      </c>
      <c r="B93" s="241">
        <v>75.8</v>
      </c>
      <c r="C93" s="241"/>
      <c r="D93" s="241"/>
      <c r="E93" s="241">
        <f>_xlfn.IFERROR(AVERAGE(B93:D93),"—")</f>
        <v>75.8</v>
      </c>
      <c r="F93" t="s" s="125">
        <v>956</v>
      </c>
      <c r="G93" s="243">
        <v>5500000</v>
      </c>
      <c r="H93" t="s" s="125">
        <v>858</v>
      </c>
      <c r="I93" s="244"/>
    </row>
    <row r="94" ht="21.25" customHeight="1">
      <c r="A94" t="s" s="10">
        <v>240</v>
      </c>
      <c r="B94" s="241">
        <v>148.8</v>
      </c>
      <c r="C94" s="241"/>
      <c r="D94" s="241"/>
      <c r="E94" s="241">
        <f>_xlfn.IFERROR(AVERAGE(B94:D94),"—")</f>
        <v>148.8</v>
      </c>
      <c r="F94" t="s" s="125">
        <v>936</v>
      </c>
      <c r="G94" s="243">
        <v>8500000</v>
      </c>
      <c r="H94" t="s" s="125">
        <v>858</v>
      </c>
      <c r="I94" s="244"/>
    </row>
    <row r="95" ht="21.25" customHeight="1">
      <c r="A95" t="s" s="10">
        <v>314</v>
      </c>
      <c r="B95" s="241">
        <v>109.2</v>
      </c>
      <c r="C95" s="241"/>
      <c r="D95" s="241"/>
      <c r="E95" s="241">
        <f>_xlfn.IFERROR(AVERAGE(B95:D95),"—")</f>
        <v>109.2</v>
      </c>
      <c r="F95" t="s" s="125">
        <v>933</v>
      </c>
      <c r="G95" s="243">
        <v>925000</v>
      </c>
      <c r="H95" t="s" s="125">
        <v>858</v>
      </c>
      <c r="I95" s="244"/>
    </row>
    <row r="96" ht="21.25" customHeight="1">
      <c r="A96" t="s" s="10">
        <v>287</v>
      </c>
      <c r="B96" s="241">
        <v>160.3</v>
      </c>
      <c r="C96" s="241"/>
      <c r="D96" s="241"/>
      <c r="E96" s="241">
        <f>_xlfn.IFERROR(AVERAGE(B96:D96),"—")</f>
        <v>160.3</v>
      </c>
      <c r="F96" t="s" s="125">
        <v>936</v>
      </c>
      <c r="G96" s="243">
        <v>6000000</v>
      </c>
      <c r="H96" t="s" s="125">
        <v>858</v>
      </c>
      <c r="I96" s="244"/>
    </row>
    <row r="97" ht="21.25" customHeight="1">
      <c r="A97" t="s" s="10">
        <v>255</v>
      </c>
      <c r="B97" s="241">
        <v>90.7</v>
      </c>
      <c r="C97" s="241"/>
      <c r="D97" s="241"/>
      <c r="E97" s="241">
        <f>_xlfn.IFERROR(AVERAGE(B97:D97),"—")</f>
        <v>90.7</v>
      </c>
      <c r="F97" t="s" s="125">
        <v>937</v>
      </c>
      <c r="G97" s="243">
        <v>8450000</v>
      </c>
      <c r="H97" t="s" s="125">
        <v>858</v>
      </c>
      <c r="I97" s="244"/>
    </row>
    <row r="98" ht="21.25" customHeight="1">
      <c r="A98" t="s" s="10">
        <v>236</v>
      </c>
      <c r="B98" s="241">
        <v>78.7</v>
      </c>
      <c r="C98" s="241"/>
      <c r="D98" s="241"/>
      <c r="E98" s="241">
        <f>_xlfn.IFERROR(AVERAGE(B98:D98),"—")</f>
        <v>78.7</v>
      </c>
      <c r="F98" t="s" s="125">
        <v>949</v>
      </c>
      <c r="G98" t="s" s="125">
        <v>943</v>
      </c>
      <c r="H98" t="s" s="125">
        <v>83</v>
      </c>
      <c r="I98" s="244"/>
    </row>
    <row r="99" ht="21.25" customHeight="1">
      <c r="A99" t="s" s="10">
        <v>288</v>
      </c>
      <c r="B99" s="241">
        <v>58.7</v>
      </c>
      <c r="C99" s="241"/>
      <c r="D99" s="241"/>
      <c r="E99" s="241">
        <f>_xlfn.IFERROR(AVERAGE(B99:D99),"—")</f>
        <v>58.7</v>
      </c>
      <c r="F99" t="s" s="125">
        <v>928</v>
      </c>
      <c r="G99" s="243">
        <v>6125000</v>
      </c>
      <c r="H99" t="s" s="125">
        <v>858</v>
      </c>
      <c r="I99" s="244"/>
    </row>
    <row r="100" ht="21.25" customHeight="1">
      <c r="A100" t="s" s="10">
        <v>211</v>
      </c>
      <c r="B100" s="241">
        <v>52</v>
      </c>
      <c r="C100" s="241"/>
      <c r="D100" s="241"/>
      <c r="E100" s="241">
        <f>_xlfn.IFERROR(AVERAGE(B100:D100),"—")</f>
        <v>52</v>
      </c>
      <c r="F100" t="s" s="125">
        <v>925</v>
      </c>
      <c r="G100" s="243">
        <v>3400000</v>
      </c>
      <c r="H100" t="s" s="125">
        <v>858</v>
      </c>
      <c r="I100" s="244"/>
    </row>
    <row r="101" ht="21.25" customHeight="1">
      <c r="A101" t="s" s="10">
        <v>319</v>
      </c>
      <c r="B101" s="241">
        <v>165.5</v>
      </c>
      <c r="C101" s="241"/>
      <c r="D101" s="241"/>
      <c r="E101" s="241">
        <f>_xlfn.IFERROR(AVERAGE(B101:D101),"—")</f>
        <v>165.5</v>
      </c>
      <c r="F101" t="s" s="125">
        <v>945</v>
      </c>
      <c r="G101" s="243">
        <v>4550000</v>
      </c>
      <c r="H101" t="s" s="125">
        <v>858</v>
      </c>
      <c r="I101" s="244"/>
    </row>
    <row r="102" ht="21.25" customHeight="1">
      <c r="A102" t="s" s="10">
        <v>326</v>
      </c>
      <c r="B102" s="241">
        <v>114.4</v>
      </c>
      <c r="C102" s="241"/>
      <c r="D102" s="241"/>
      <c r="E102" s="241">
        <f>_xlfn.IFERROR(AVERAGE(B102:D102),"—")</f>
        <v>114.4</v>
      </c>
      <c r="F102" t="s" s="125">
        <v>941</v>
      </c>
      <c r="G102" s="243">
        <v>7350000</v>
      </c>
      <c r="H102" t="s" s="125">
        <v>858</v>
      </c>
      <c r="I102" s="244"/>
    </row>
    <row r="103" ht="21.25" customHeight="1">
      <c r="A103" t="s" s="10">
        <v>306</v>
      </c>
      <c r="B103" s="241">
        <v>110.9</v>
      </c>
      <c r="C103" s="241"/>
      <c r="D103" s="241"/>
      <c r="E103" s="241">
        <f>_xlfn.IFERROR(AVERAGE(B103:D103),"—")</f>
        <v>110.9</v>
      </c>
      <c r="F103" t="s" s="125">
        <v>942</v>
      </c>
      <c r="G103" t="s" s="125">
        <v>943</v>
      </c>
      <c r="H103" t="s" s="125">
        <v>83</v>
      </c>
      <c r="I103" s="244"/>
    </row>
    <row r="104" ht="21.25" customHeight="1">
      <c r="A104" t="s" s="10">
        <v>228</v>
      </c>
      <c r="B104" s="241">
        <v>45.2</v>
      </c>
      <c r="C104" s="241"/>
      <c r="D104" s="241"/>
      <c r="E104" s="241">
        <f>_xlfn.IFERROR(AVERAGE(B104:D104),"—")</f>
        <v>45.2</v>
      </c>
      <c r="F104" t="s" s="125">
        <v>949</v>
      </c>
      <c r="G104" s="243">
        <v>7750000</v>
      </c>
      <c r="H104" t="s" s="125">
        <v>858</v>
      </c>
      <c r="I104" s="244"/>
    </row>
    <row r="105" ht="21.25" customHeight="1">
      <c r="A105" t="s" s="10">
        <v>307</v>
      </c>
      <c r="B105" s="241">
        <v>171.5</v>
      </c>
      <c r="C105" s="241"/>
      <c r="D105" s="241"/>
      <c r="E105" s="241">
        <f>_xlfn.IFERROR(AVERAGE(B105:D105),"—")</f>
        <v>171.5</v>
      </c>
      <c r="F105" t="s" s="125">
        <v>948</v>
      </c>
      <c r="G105" s="243">
        <v>6500000</v>
      </c>
      <c r="H105" t="s" s="125">
        <v>858</v>
      </c>
      <c r="I105" s="244"/>
    </row>
    <row r="106" ht="21.25" customHeight="1">
      <c r="A106" t="s" s="10">
        <v>210</v>
      </c>
      <c r="B106" s="241">
        <v>62.3</v>
      </c>
      <c r="C106" s="241"/>
      <c r="D106" s="241"/>
      <c r="E106" s="241">
        <f>_xlfn.IFERROR(AVERAGE(B106:D106),"—")</f>
        <v>62.3</v>
      </c>
      <c r="F106" t="s" s="125">
        <v>933</v>
      </c>
      <c r="G106" s="243">
        <v>5250000</v>
      </c>
      <c r="H106" t="s" s="125">
        <v>858</v>
      </c>
      <c r="I106" s="244"/>
    </row>
    <row r="107" ht="21.25" customHeight="1">
      <c r="A107" t="s" s="10">
        <v>296</v>
      </c>
      <c r="B107" s="241">
        <v>91.8</v>
      </c>
      <c r="C107" s="241"/>
      <c r="D107" s="241"/>
      <c r="E107" s="241">
        <f>_xlfn.IFERROR(AVERAGE(B107:D107),"—")</f>
        <v>91.8</v>
      </c>
      <c r="F107" t="s" s="125">
        <v>930</v>
      </c>
      <c r="G107" s="243">
        <v>5500000</v>
      </c>
      <c r="H107" t="s" s="125">
        <v>85</v>
      </c>
      <c r="I107" s="244"/>
    </row>
    <row r="108" ht="21.25" customHeight="1">
      <c r="A108" t="s" s="10">
        <v>298</v>
      </c>
      <c r="B108" s="241">
        <v>148.8</v>
      </c>
      <c r="C108" s="241"/>
      <c r="D108" s="241"/>
      <c r="E108" s="241">
        <f>_xlfn.IFERROR(AVERAGE(B108:D108),"—")</f>
        <v>148.8</v>
      </c>
      <c r="F108" t="s" s="125">
        <v>939</v>
      </c>
      <c r="G108" s="243">
        <v>5125000</v>
      </c>
      <c r="H108" t="s" s="125">
        <v>858</v>
      </c>
      <c r="I108" s="244"/>
    </row>
    <row r="109" ht="21.25" customHeight="1">
      <c r="A109" t="s" s="10">
        <v>309</v>
      </c>
      <c r="B109" s="241">
        <v>142.6</v>
      </c>
      <c r="C109" s="241"/>
      <c r="D109" s="241"/>
      <c r="E109" s="241">
        <f>_xlfn.IFERROR(AVERAGE(B109:D109),"—")</f>
        <v>142.6</v>
      </c>
      <c r="F109" t="s" s="125">
        <v>941</v>
      </c>
      <c r="G109" s="243">
        <v>8800000</v>
      </c>
      <c r="H109" t="s" s="125">
        <v>858</v>
      </c>
      <c r="I109" s="244"/>
    </row>
    <row r="110" ht="21.25" customHeight="1">
      <c r="A110" t="s" s="10">
        <v>374</v>
      </c>
      <c r="B110" s="241">
        <v>135.1</v>
      </c>
      <c r="C110" s="241"/>
      <c r="D110" s="241"/>
      <c r="E110" s="241">
        <f>_xlfn.IFERROR(AVERAGE(B110:D110),"—")</f>
        <v>135.1</v>
      </c>
      <c r="F110" t="s" s="125">
        <v>938</v>
      </c>
      <c r="G110" s="243">
        <v>6000000</v>
      </c>
      <c r="H110" t="s" s="125">
        <v>858</v>
      </c>
      <c r="I110" s="244"/>
    </row>
    <row r="111" ht="21.25" customHeight="1">
      <c r="A111" t="s" s="10">
        <v>217</v>
      </c>
      <c r="B111" s="241">
        <v>88</v>
      </c>
      <c r="C111" s="241"/>
      <c r="D111" s="241"/>
      <c r="E111" s="241">
        <f>_xlfn.IFERROR(AVERAGE(B111:D111),"—")</f>
        <v>88</v>
      </c>
      <c r="F111" t="s" s="125">
        <v>948</v>
      </c>
      <c r="G111" s="243">
        <v>6000000</v>
      </c>
      <c r="H111" t="s" s="125">
        <v>858</v>
      </c>
      <c r="I111" s="244"/>
    </row>
    <row r="112" ht="21.25" customHeight="1">
      <c r="A112" t="s" s="10">
        <v>269</v>
      </c>
      <c r="B112" s="241">
        <v>169.4</v>
      </c>
      <c r="C112" s="241"/>
      <c r="D112" s="241"/>
      <c r="E112" s="241">
        <f>_xlfn.IFERROR(AVERAGE(B112:D112),"—")</f>
        <v>169.4</v>
      </c>
      <c r="F112" t="s" s="125">
        <v>934</v>
      </c>
      <c r="G112" s="243">
        <v>7100000</v>
      </c>
      <c r="H112" t="s" s="125">
        <v>858</v>
      </c>
      <c r="I112" s="244"/>
    </row>
    <row r="113" ht="21.25" customHeight="1">
      <c r="A113" t="s" s="10">
        <v>361</v>
      </c>
      <c r="B113" s="241">
        <v>138.1</v>
      </c>
      <c r="C113" s="241"/>
      <c r="D113" s="241"/>
      <c r="E113" s="241">
        <f>_xlfn.IFERROR(AVERAGE(B113:D113),"—")</f>
        <v>138.1</v>
      </c>
      <c r="F113" t="s" s="125">
        <v>930</v>
      </c>
      <c r="G113" s="243">
        <v>7000000</v>
      </c>
      <c r="H113" t="s" s="125">
        <v>858</v>
      </c>
      <c r="I113" s="244"/>
    </row>
    <row r="114" ht="21.25" customHeight="1">
      <c r="A114" t="s" s="10">
        <v>318</v>
      </c>
      <c r="B114" s="241">
        <v>109.1</v>
      </c>
      <c r="C114" s="241"/>
      <c r="D114" s="241"/>
      <c r="E114" s="241">
        <f>_xlfn.IFERROR(AVERAGE(B114:D114),"—")</f>
        <v>109.1</v>
      </c>
      <c r="F114" t="s" s="125">
        <v>950</v>
      </c>
      <c r="G114" s="243">
        <v>11000000</v>
      </c>
      <c r="H114" t="s" s="125">
        <v>858</v>
      </c>
      <c r="I114" s="244"/>
    </row>
    <row r="115" ht="21.25" customHeight="1">
      <c r="A115" t="s" s="10">
        <v>268</v>
      </c>
      <c r="B115" s="241">
        <v>143.8</v>
      </c>
      <c r="C115" s="241"/>
      <c r="D115" s="241"/>
      <c r="E115" s="241">
        <f>_xlfn.IFERROR(AVERAGE(B115:D115),"—")</f>
        <v>143.8</v>
      </c>
      <c r="F115" t="s" s="125">
        <v>939</v>
      </c>
      <c r="G115" s="243">
        <v>6100000</v>
      </c>
      <c r="H115" t="s" s="125">
        <v>858</v>
      </c>
      <c r="I115" s="244"/>
    </row>
    <row r="116" ht="21.25" customHeight="1">
      <c r="A116" t="s" s="10">
        <v>339</v>
      </c>
      <c r="B116" s="241">
        <v>175</v>
      </c>
      <c r="C116" s="241"/>
      <c r="D116" s="241"/>
      <c r="E116" s="241">
        <f>_xlfn.IFERROR(AVERAGE(B116:D116),"—")</f>
        <v>175</v>
      </c>
      <c r="F116" t="s" s="125">
        <v>951</v>
      </c>
      <c r="G116" s="243">
        <v>894167</v>
      </c>
      <c r="H116" t="s" s="125">
        <v>85</v>
      </c>
      <c r="I116" s="244"/>
    </row>
    <row r="117" ht="21.25" customHeight="1">
      <c r="A117" t="s" s="10">
        <v>362</v>
      </c>
      <c r="B117" s="241">
        <v>131.3</v>
      </c>
      <c r="C117" s="241"/>
      <c r="D117" s="241"/>
      <c r="E117" s="241">
        <f>_xlfn.IFERROR(AVERAGE(B117:D117),"—")</f>
        <v>131.3</v>
      </c>
      <c r="F117" t="s" s="125">
        <v>940</v>
      </c>
      <c r="G117" s="243">
        <v>8050000</v>
      </c>
      <c r="H117" t="s" s="125">
        <v>858</v>
      </c>
      <c r="I117" s="244"/>
    </row>
    <row r="118" ht="21.25" customHeight="1">
      <c r="A118" t="s" s="10">
        <v>248</v>
      </c>
      <c r="B118" s="241">
        <v>73.8</v>
      </c>
      <c r="C118" s="241"/>
      <c r="D118" s="241"/>
      <c r="E118" s="241">
        <f>_xlfn.IFERROR(AVERAGE(B118:D118),"—")</f>
        <v>73.8</v>
      </c>
      <c r="F118" t="s" s="125">
        <v>956</v>
      </c>
      <c r="G118" s="243">
        <v>6200000</v>
      </c>
      <c r="H118" t="s" s="125">
        <v>858</v>
      </c>
      <c r="I118" s="244"/>
    </row>
    <row r="119" ht="21.25" customHeight="1">
      <c r="A119" t="s" s="10">
        <v>295</v>
      </c>
      <c r="B119" s="241">
        <v>132.2</v>
      </c>
      <c r="C119" s="241"/>
      <c r="D119" s="241"/>
      <c r="E119" s="241">
        <f>_xlfn.IFERROR(AVERAGE(B119:D119),"—")</f>
        <v>132.2</v>
      </c>
      <c r="F119" t="s" s="125">
        <v>938</v>
      </c>
      <c r="G119" s="243">
        <v>8500000</v>
      </c>
      <c r="H119" t="s" s="125">
        <v>858</v>
      </c>
      <c r="I119" s="244"/>
    </row>
    <row r="120" ht="21.25" customHeight="1">
      <c r="A120" t="s" s="10">
        <v>245</v>
      </c>
      <c r="B120" s="241">
        <v>89.3</v>
      </c>
      <c r="C120" s="241"/>
      <c r="D120" s="241"/>
      <c r="E120" s="241">
        <f>_xlfn.IFERROR(AVERAGE(B120:D120),"—")</f>
        <v>89.3</v>
      </c>
      <c r="F120" t="s" s="125">
        <v>940</v>
      </c>
      <c r="G120" s="243">
        <v>5000000</v>
      </c>
      <c r="H120" t="s" s="125">
        <v>858</v>
      </c>
      <c r="I120" s="244"/>
    </row>
    <row r="121" ht="21.25" customHeight="1">
      <c r="A121" t="s" s="10">
        <v>234</v>
      </c>
      <c r="B121" s="241">
        <v>123.4</v>
      </c>
      <c r="C121" s="241"/>
      <c r="D121" s="241"/>
      <c r="E121" s="241">
        <f>_xlfn.IFERROR(AVERAGE(B121:D121),"—")</f>
        <v>123.4</v>
      </c>
      <c r="F121" t="s" s="125">
        <v>928</v>
      </c>
      <c r="G121" s="243">
        <v>7750000</v>
      </c>
      <c r="H121" t="s" s="125">
        <v>85</v>
      </c>
      <c r="I121" s="244"/>
    </row>
    <row r="122" ht="21.25" customHeight="1">
      <c r="A122" t="s" s="10">
        <v>382</v>
      </c>
      <c r="B122" s="241">
        <v>113.4</v>
      </c>
      <c r="C122" s="241"/>
      <c r="D122" s="241"/>
      <c r="E122" s="241">
        <f>_xlfn.IFERROR(AVERAGE(B122:D122),"—")</f>
        <v>113.4</v>
      </c>
      <c r="F122" t="s" s="125">
        <v>955</v>
      </c>
      <c r="G122" s="243">
        <v>7350000</v>
      </c>
      <c r="H122" t="s" s="125">
        <v>858</v>
      </c>
      <c r="I122" s="244"/>
    </row>
    <row r="123" ht="21.25" customHeight="1">
      <c r="A123" t="s" s="10">
        <v>334</v>
      </c>
      <c r="B123" s="241">
        <v>182</v>
      </c>
      <c r="C123" s="241"/>
      <c r="D123" s="241"/>
      <c r="E123" s="241">
        <f>_xlfn.IFERROR(AVERAGE(B123:D123),"—")</f>
        <v>182</v>
      </c>
      <c r="F123" t="s" s="125">
        <v>944</v>
      </c>
      <c r="G123" s="243">
        <v>5000000</v>
      </c>
      <c r="H123" t="s" s="125">
        <v>858</v>
      </c>
      <c r="I123" s="244"/>
    </row>
    <row r="124" ht="21.25" customHeight="1">
      <c r="A124" t="s" s="10">
        <v>411</v>
      </c>
      <c r="B124" s="241">
        <v>118.3</v>
      </c>
      <c r="C124" s="241"/>
      <c r="D124" s="241"/>
      <c r="E124" s="241">
        <f>_xlfn.IFERROR(AVERAGE(B124:D124),"—")</f>
        <v>118.3</v>
      </c>
      <c r="F124" t="s" s="125">
        <v>949</v>
      </c>
      <c r="G124" s="243">
        <v>5280000</v>
      </c>
      <c r="H124" t="s" s="125">
        <v>858</v>
      </c>
      <c r="I124" s="244"/>
    </row>
    <row r="125" ht="21.25" customHeight="1">
      <c r="A125" t="s" s="10">
        <v>251</v>
      </c>
      <c r="B125" s="241">
        <v>112.6</v>
      </c>
      <c r="C125" s="241"/>
      <c r="D125" s="241"/>
      <c r="E125" s="241">
        <f>_xlfn.IFERROR(AVERAGE(B125:D125),"—")</f>
        <v>112.6</v>
      </c>
      <c r="F125" t="s" s="125">
        <v>954</v>
      </c>
      <c r="G125" s="243">
        <v>950000</v>
      </c>
      <c r="H125" t="s" s="125">
        <v>82</v>
      </c>
      <c r="I125" s="244"/>
    </row>
    <row r="126" ht="21.25" customHeight="1">
      <c r="A126" t="s" s="10">
        <v>351</v>
      </c>
      <c r="B126" s="241">
        <v>85.59999999999999</v>
      </c>
      <c r="C126" s="241"/>
      <c r="D126" s="241"/>
      <c r="E126" s="241">
        <f>_xlfn.IFERROR(AVERAGE(B126:D126),"—")</f>
        <v>85.59999999999999</v>
      </c>
      <c r="F126" t="s" s="125">
        <v>955</v>
      </c>
      <c r="G126" s="243">
        <v>7142857</v>
      </c>
      <c r="H126" t="s" s="125">
        <v>858</v>
      </c>
      <c r="I126" s="244"/>
    </row>
    <row r="127" ht="21.25" customHeight="1">
      <c r="A127" t="s" s="10">
        <v>273</v>
      </c>
      <c r="B127" s="241">
        <v>153.5</v>
      </c>
      <c r="C127" s="241"/>
      <c r="D127" s="241"/>
      <c r="E127" s="241">
        <f>_xlfn.IFERROR(AVERAGE(B127:D127),"—")</f>
        <v>153.5</v>
      </c>
      <c r="F127" t="s" s="125">
        <v>935</v>
      </c>
      <c r="G127" s="243">
        <v>5500000</v>
      </c>
      <c r="H127" t="s" s="125">
        <v>858</v>
      </c>
      <c r="I127" s="244"/>
    </row>
    <row r="128" ht="21.25" customHeight="1">
      <c r="A128" t="s" s="10">
        <v>343</v>
      </c>
      <c r="B128" s="241">
        <v>114.2</v>
      </c>
      <c r="C128" s="241"/>
      <c r="D128" s="241"/>
      <c r="E128" s="241">
        <f>_xlfn.IFERROR(AVERAGE(B128:D128),"—")</f>
        <v>114.2</v>
      </c>
      <c r="F128" t="s" s="125">
        <v>949</v>
      </c>
      <c r="G128" s="243">
        <v>6500000</v>
      </c>
      <c r="H128" t="s" s="125">
        <v>858</v>
      </c>
      <c r="I128" s="244"/>
    </row>
    <row r="129" ht="21.25" customHeight="1">
      <c r="A129" t="s" s="10">
        <v>368</v>
      </c>
      <c r="B129" t="s" s="125">
        <v>957</v>
      </c>
      <c r="C129" s="241"/>
      <c r="D129" s="241"/>
      <c r="E129" t="s" s="125">
        <f>_xlfn.IFERROR(AVERAGE(B129:D129),"—")</f>
        <v>957</v>
      </c>
      <c r="F129" t="s" s="125">
        <v>945</v>
      </c>
      <c r="G129" s="243">
        <v>10500000</v>
      </c>
      <c r="H129" t="s" s="125">
        <v>858</v>
      </c>
      <c r="I129" s="244"/>
    </row>
    <row r="130" ht="21.25" customHeight="1">
      <c r="A130" t="s" s="10">
        <v>340</v>
      </c>
      <c r="B130" s="241">
        <v>94.7</v>
      </c>
      <c r="C130" s="241"/>
      <c r="D130" s="241"/>
      <c r="E130" s="241">
        <f>_xlfn.IFERROR(AVERAGE(B130:D130),"—")</f>
        <v>94.7</v>
      </c>
      <c r="F130" t="s" s="125">
        <v>932</v>
      </c>
      <c r="G130" s="243">
        <v>5750000</v>
      </c>
      <c r="H130" t="s" s="125">
        <v>858</v>
      </c>
      <c r="I130" s="244"/>
    </row>
    <row r="131" ht="21.25" customHeight="1">
      <c r="A131" t="s" s="10">
        <v>359</v>
      </c>
      <c r="B131" s="241">
        <v>186</v>
      </c>
      <c r="C131" s="241"/>
      <c r="D131" s="241"/>
      <c r="E131" s="241">
        <f>_xlfn.IFERROR(AVERAGE(B131:D131),"—")</f>
        <v>186</v>
      </c>
      <c r="F131" t="s" s="125">
        <v>939</v>
      </c>
      <c r="G131" s="243">
        <v>6100000</v>
      </c>
      <c r="H131" t="s" s="125">
        <v>858</v>
      </c>
      <c r="I131" s="244"/>
    </row>
    <row r="132" ht="21.25" customHeight="1">
      <c r="A132" t="s" s="10">
        <v>358</v>
      </c>
      <c r="B132" s="241">
        <v>60.4</v>
      </c>
      <c r="C132" s="241"/>
      <c r="D132" s="241"/>
      <c r="E132" s="241">
        <f>_xlfn.IFERROR(AVERAGE(B132:D132),"—")</f>
        <v>60.4</v>
      </c>
      <c r="F132" t="s" s="125">
        <v>935</v>
      </c>
      <c r="G132" s="243">
        <v>6500000</v>
      </c>
      <c r="H132" t="s" s="125">
        <v>858</v>
      </c>
      <c r="I132" s="244"/>
    </row>
    <row r="133" ht="21.25" customHeight="1">
      <c r="A133" t="s" s="10">
        <v>404</v>
      </c>
      <c r="B133" s="241">
        <v>171</v>
      </c>
      <c r="C133" s="241"/>
      <c r="D133" s="241"/>
      <c r="E133" s="241">
        <f>_xlfn.IFERROR(AVERAGE(B133:D133),"—")</f>
        <v>171</v>
      </c>
      <c r="F133" t="s" s="125">
        <v>958</v>
      </c>
      <c r="G133" s="243">
        <v>7000000</v>
      </c>
      <c r="H133" t="s" s="125">
        <v>858</v>
      </c>
      <c r="I133" s="244"/>
    </row>
    <row r="134" ht="21.25" customHeight="1">
      <c r="A134" t="s" s="10">
        <v>403</v>
      </c>
      <c r="B134" s="241">
        <v>158</v>
      </c>
      <c r="C134" s="241"/>
      <c r="D134" s="241"/>
      <c r="E134" s="241">
        <f>_xlfn.IFERROR(AVERAGE(B134:D134),"—")</f>
        <v>158</v>
      </c>
      <c r="F134" t="s" s="125">
        <v>934</v>
      </c>
      <c r="G134" s="243">
        <v>855833</v>
      </c>
      <c r="H134" t="s" s="125">
        <v>858</v>
      </c>
      <c r="I134" s="244"/>
    </row>
    <row r="135" ht="21.25" customHeight="1">
      <c r="A135" t="s" s="10">
        <v>375</v>
      </c>
      <c r="B135" s="241">
        <v>177</v>
      </c>
      <c r="C135" s="241"/>
      <c r="D135" s="241"/>
      <c r="E135" s="241">
        <f>_xlfn.IFERROR(AVERAGE(B135:D135),"—")</f>
        <v>177</v>
      </c>
      <c r="F135" t="s" s="125">
        <v>945</v>
      </c>
      <c r="G135" s="243">
        <v>3100000</v>
      </c>
      <c r="H135" t="s" s="125">
        <v>858</v>
      </c>
      <c r="I135" s="244"/>
    </row>
    <row r="136" ht="21.25" customHeight="1">
      <c r="A136" t="s" s="10">
        <v>327</v>
      </c>
      <c r="B136" s="241">
        <v>175</v>
      </c>
      <c r="C136" s="241"/>
      <c r="D136" s="241"/>
      <c r="E136" s="241">
        <f>_xlfn.IFERROR(AVERAGE(B136:D136),"—")</f>
        <v>175</v>
      </c>
      <c r="F136" t="s" s="125">
        <v>944</v>
      </c>
      <c r="G136" s="243">
        <v>8500000</v>
      </c>
      <c r="H136" t="s" s="125">
        <v>858</v>
      </c>
      <c r="I136" s="244"/>
    </row>
    <row r="137" ht="21.25" customHeight="1">
      <c r="A137" t="s" s="10">
        <v>352</v>
      </c>
      <c r="B137" t="s" s="125">
        <v>957</v>
      </c>
      <c r="C137" s="241"/>
      <c r="D137" s="241"/>
      <c r="E137" t="s" s="125">
        <f>_xlfn.IFERROR(AVERAGE(B137:D137),"—")</f>
        <v>957</v>
      </c>
      <c r="F137" t="s" s="125">
        <v>951</v>
      </c>
      <c r="G137" s="243">
        <v>950000</v>
      </c>
      <c r="H137" t="s" s="125">
        <v>858</v>
      </c>
      <c r="I137" s="244"/>
    </row>
    <row r="138" ht="21.25" customHeight="1">
      <c r="A138" t="s" s="10">
        <v>446</v>
      </c>
      <c r="B138" s="241">
        <v>121.3</v>
      </c>
      <c r="C138" s="241"/>
      <c r="D138" s="241"/>
      <c r="E138" s="241">
        <f>_xlfn.IFERROR(AVERAGE(B138:D138),"—")</f>
        <v>121.3</v>
      </c>
      <c r="F138" t="s" s="125">
        <v>942</v>
      </c>
      <c r="G138" s="243">
        <v>4000000</v>
      </c>
      <c r="H138" t="s" s="125">
        <v>858</v>
      </c>
      <c r="I138" s="244"/>
    </row>
    <row r="139" ht="21.25" customHeight="1">
      <c r="A139" t="s" s="10">
        <v>380</v>
      </c>
      <c r="B139" s="241">
        <v>99</v>
      </c>
      <c r="C139" s="241"/>
      <c r="D139" s="241"/>
      <c r="E139" s="241">
        <f>_xlfn.IFERROR(AVERAGE(B139:D139),"—")</f>
        <v>99</v>
      </c>
      <c r="F139" t="s" s="125">
        <v>925</v>
      </c>
      <c r="G139" s="243">
        <v>7250000</v>
      </c>
      <c r="H139" t="s" s="125">
        <v>858</v>
      </c>
      <c r="I139" s="244"/>
    </row>
    <row r="140" ht="21.25" customHeight="1">
      <c r="A140" t="s" s="10">
        <v>299</v>
      </c>
      <c r="B140" s="241">
        <v>169.9</v>
      </c>
      <c r="C140" s="241"/>
      <c r="D140" s="241"/>
      <c r="E140" s="241">
        <f>_xlfn.IFERROR(AVERAGE(B140:D140),"—")</f>
        <v>169.9</v>
      </c>
      <c r="F140" t="s" s="125">
        <v>950</v>
      </c>
      <c r="G140" s="243">
        <v>7000000</v>
      </c>
      <c r="H140" t="s" s="125">
        <v>858</v>
      </c>
      <c r="I140" s="244"/>
    </row>
    <row r="141" ht="21.25" customHeight="1">
      <c r="A141" t="s" s="10">
        <v>389</v>
      </c>
      <c r="B141" s="241">
        <v>132</v>
      </c>
      <c r="C141" s="241"/>
      <c r="D141" s="241"/>
      <c r="E141" s="241">
        <f>_xlfn.IFERROR(AVERAGE(B141:D141),"—")</f>
        <v>132</v>
      </c>
      <c r="F141" t="s" s="125">
        <v>937</v>
      </c>
      <c r="G141" t="s" s="125">
        <v>943</v>
      </c>
      <c r="H141" t="s" s="125">
        <v>858</v>
      </c>
      <c r="I141" s="244"/>
    </row>
    <row r="142" ht="21.25" customHeight="1">
      <c r="A142" t="s" s="10">
        <v>383</v>
      </c>
      <c r="B142" s="241">
        <v>153.3</v>
      </c>
      <c r="C142" s="241"/>
      <c r="D142" s="241"/>
      <c r="E142" s="241">
        <f>_xlfn.IFERROR(AVERAGE(B142:D142),"—")</f>
        <v>153.3</v>
      </c>
      <c r="F142" t="s" s="125">
        <v>959</v>
      </c>
      <c r="G142" s="243">
        <v>6000000</v>
      </c>
      <c r="H142" t="s" s="125">
        <v>858</v>
      </c>
      <c r="I142" s="244"/>
    </row>
    <row r="143" ht="21.25" customHeight="1">
      <c r="A143" t="s" s="10">
        <v>305</v>
      </c>
      <c r="B143" s="241">
        <v>158</v>
      </c>
      <c r="C143" s="241"/>
      <c r="D143" s="241"/>
      <c r="E143" s="241">
        <f>_xlfn.IFERROR(AVERAGE(B143:D143),"—")</f>
        <v>158</v>
      </c>
      <c r="F143" t="s" s="125">
        <v>937</v>
      </c>
      <c r="G143" s="243">
        <v>9500000</v>
      </c>
      <c r="H143" t="s" s="125">
        <v>858</v>
      </c>
      <c r="I143" s="244"/>
    </row>
    <row r="144" ht="21.25" customHeight="1">
      <c r="A144" t="s" s="10">
        <v>386</v>
      </c>
      <c r="B144" t="s" s="125">
        <v>957</v>
      </c>
      <c r="C144" s="241"/>
      <c r="D144" s="241"/>
      <c r="E144" t="s" s="125">
        <f>_xlfn.IFERROR(AVERAGE(B144:D144),"—")</f>
        <v>957</v>
      </c>
      <c r="F144" t="s" s="125">
        <v>959</v>
      </c>
      <c r="G144" s="243">
        <v>3400000</v>
      </c>
      <c r="H144" t="s" s="125">
        <v>858</v>
      </c>
      <c r="I144" s="244"/>
    </row>
    <row r="145" ht="21.25" customHeight="1">
      <c r="A145" t="s" s="10">
        <v>297</v>
      </c>
      <c r="B145" s="241">
        <v>134</v>
      </c>
      <c r="C145" s="241"/>
      <c r="D145" s="241"/>
      <c r="E145" s="241">
        <f>_xlfn.IFERROR(AVERAGE(B145:D145),"—")</f>
        <v>134</v>
      </c>
      <c r="F145" t="s" s="125">
        <v>941</v>
      </c>
      <c r="G145" s="243">
        <v>6750000</v>
      </c>
      <c r="H145" t="s" s="125">
        <v>858</v>
      </c>
      <c r="I145" s="244"/>
    </row>
    <row r="146" ht="21.25" customHeight="1">
      <c r="A146" t="s" s="10">
        <v>258</v>
      </c>
      <c r="B146" s="241">
        <v>137.9</v>
      </c>
      <c r="C146" s="241"/>
      <c r="D146" s="241"/>
      <c r="E146" s="241">
        <f>_xlfn.IFERROR(AVERAGE(B146:D146),"—")</f>
        <v>137.9</v>
      </c>
      <c r="F146" t="s" s="125">
        <v>939</v>
      </c>
      <c r="G146" s="243">
        <v>5375000</v>
      </c>
      <c r="H146" t="s" s="125">
        <v>858</v>
      </c>
      <c r="I146" s="244"/>
    </row>
    <row r="147" ht="21.25" customHeight="1">
      <c r="A147" t="s" s="10">
        <v>365</v>
      </c>
      <c r="B147" s="241">
        <v>172.2</v>
      </c>
      <c r="C147" s="241"/>
      <c r="D147" s="241"/>
      <c r="E147" s="241">
        <f>_xlfn.IFERROR(AVERAGE(B147:D147),"—")</f>
        <v>172.2</v>
      </c>
      <c r="F147" t="s" s="125">
        <v>930</v>
      </c>
      <c r="G147" s="243">
        <v>4500000</v>
      </c>
      <c r="H147" t="s" s="125">
        <v>83</v>
      </c>
      <c r="I147" s="244"/>
    </row>
    <row r="148" ht="21.25" customHeight="1">
      <c r="A148" t="s" s="10">
        <v>265</v>
      </c>
      <c r="B148" s="241">
        <v>78.8</v>
      </c>
      <c r="C148" s="241"/>
      <c r="D148" s="241"/>
      <c r="E148" s="241">
        <f>_xlfn.IFERROR(AVERAGE(B148:D148),"—")</f>
        <v>78.8</v>
      </c>
      <c r="F148" t="s" s="125">
        <v>941</v>
      </c>
      <c r="G148" s="243">
        <v>4900000</v>
      </c>
      <c r="H148" t="s" s="125">
        <v>858</v>
      </c>
      <c r="I148" s="244"/>
    </row>
    <row r="149" ht="21.25" customHeight="1">
      <c r="A149" t="s" s="10">
        <v>432</v>
      </c>
      <c r="B149" t="s" s="125">
        <v>957</v>
      </c>
      <c r="C149" s="241"/>
      <c r="D149" s="241"/>
      <c r="E149" t="s" s="125">
        <f>_xlfn.IFERROR(AVERAGE(B149:D149),"—")</f>
        <v>957</v>
      </c>
      <c r="F149" t="s" s="125">
        <v>951</v>
      </c>
      <c r="G149" s="243">
        <v>5850000</v>
      </c>
      <c r="H149" t="s" s="125">
        <v>858</v>
      </c>
      <c r="I149" s="244"/>
    </row>
    <row r="150" ht="21.25" customHeight="1">
      <c r="A150" t="s" s="10">
        <v>338</v>
      </c>
      <c r="B150" t="s" s="125">
        <v>957</v>
      </c>
      <c r="C150" s="241"/>
      <c r="D150" s="241"/>
      <c r="E150" t="s" s="125">
        <f>_xlfn.IFERROR(AVERAGE(B150:D150),"—")</f>
        <v>957</v>
      </c>
      <c r="F150" t="s" s="125">
        <v>931</v>
      </c>
      <c r="G150" s="243">
        <v>2325000</v>
      </c>
      <c r="H150" t="s" s="125">
        <v>83</v>
      </c>
      <c r="I150" s="244"/>
    </row>
    <row r="151" ht="21.25" customHeight="1">
      <c r="A151" t="s" s="10">
        <v>302</v>
      </c>
      <c r="B151" t="s" s="125">
        <v>957</v>
      </c>
      <c r="C151" s="241"/>
      <c r="D151" s="241"/>
      <c r="E151" t="s" s="125">
        <f>_xlfn.IFERROR(AVERAGE(B151:D151),"—")</f>
        <v>957</v>
      </c>
      <c r="F151" t="s" s="125">
        <v>948</v>
      </c>
      <c r="G151" s="243">
        <v>6500000</v>
      </c>
      <c r="H151" t="s" s="125">
        <v>858</v>
      </c>
      <c r="I151" s="244"/>
    </row>
    <row r="152" ht="21.25" customHeight="1">
      <c r="A152" t="s" s="10">
        <v>369</v>
      </c>
      <c r="B152" s="241">
        <v>179.8</v>
      </c>
      <c r="C152" s="241"/>
      <c r="D152" s="241"/>
      <c r="E152" s="241">
        <f>_xlfn.IFERROR(AVERAGE(B152:D152),"—")</f>
        <v>179.8</v>
      </c>
      <c r="F152" t="s" s="125">
        <v>940</v>
      </c>
      <c r="G152" s="243">
        <v>6500000</v>
      </c>
      <c r="H152" t="s" s="125">
        <v>858</v>
      </c>
      <c r="I152" s="244"/>
    </row>
    <row r="153" ht="21.25" customHeight="1">
      <c r="A153" t="s" s="10">
        <v>301</v>
      </c>
      <c r="B153" s="241">
        <v>147</v>
      </c>
      <c r="C153" s="241"/>
      <c r="D153" s="241"/>
      <c r="E153" s="241">
        <f>_xlfn.IFERROR(AVERAGE(B153:D153),"—")</f>
        <v>147</v>
      </c>
      <c r="F153" t="s" s="125">
        <v>958</v>
      </c>
      <c r="G153" s="243">
        <v>3650000</v>
      </c>
      <c r="H153" t="s" s="125">
        <v>858</v>
      </c>
      <c r="I153" s="244"/>
    </row>
    <row r="154" ht="21.25" customHeight="1">
      <c r="A154" t="s" s="10">
        <v>263</v>
      </c>
      <c r="B154" s="241">
        <v>144.3</v>
      </c>
      <c r="C154" s="241"/>
      <c r="D154" s="241"/>
      <c r="E154" s="241">
        <f>_xlfn.IFERROR(AVERAGE(B154:D154),"—")</f>
        <v>144.3</v>
      </c>
      <c r="F154" t="s" s="125">
        <v>951</v>
      </c>
      <c r="G154" s="243">
        <v>1950000</v>
      </c>
      <c r="H154" t="s" s="125">
        <v>858</v>
      </c>
      <c r="I154" s="244"/>
    </row>
    <row r="155" ht="21.25" customHeight="1">
      <c r="A155" t="s" s="10">
        <v>388</v>
      </c>
      <c r="B155" s="241">
        <v>121.7</v>
      </c>
      <c r="C155" s="241"/>
      <c r="D155" s="241"/>
      <c r="E155" s="241">
        <f>_xlfn.IFERROR(AVERAGE(B155:D155),"—")</f>
        <v>121.7</v>
      </c>
      <c r="F155" t="s" s="125">
        <v>932</v>
      </c>
      <c r="G155" s="243">
        <v>7500000</v>
      </c>
      <c r="H155" t="s" s="125">
        <v>858</v>
      </c>
      <c r="I155" s="244"/>
    </row>
    <row r="156" ht="21.25" customHeight="1">
      <c r="A156" t="s" s="10">
        <v>346</v>
      </c>
      <c r="B156" s="241">
        <v>162.4</v>
      </c>
      <c r="C156" s="241"/>
      <c r="D156" s="241"/>
      <c r="E156" s="241">
        <f>_xlfn.IFERROR(AVERAGE(B156:D156),"—")</f>
        <v>162.4</v>
      </c>
      <c r="F156" t="s" s="125">
        <v>956</v>
      </c>
      <c r="G156" s="243">
        <v>6250000</v>
      </c>
      <c r="H156" t="s" s="125">
        <v>858</v>
      </c>
      <c r="I156" s="244"/>
    </row>
    <row r="157" ht="21.25" customHeight="1">
      <c r="A157" t="s" s="10">
        <v>448</v>
      </c>
      <c r="B157" s="241">
        <v>149</v>
      </c>
      <c r="C157" s="241"/>
      <c r="D157" s="241"/>
      <c r="E157" s="241">
        <f>_xlfn.IFERROR(AVERAGE(B157:D157),"—")</f>
        <v>149</v>
      </c>
      <c r="F157" t="s" s="125">
        <v>954</v>
      </c>
      <c r="G157" s="243">
        <v>8700000</v>
      </c>
      <c r="H157" t="s" s="125">
        <v>83</v>
      </c>
      <c r="I157" s="244"/>
    </row>
    <row r="158" ht="21.25" customHeight="1">
      <c r="A158" t="s" s="10">
        <v>417</v>
      </c>
      <c r="B158" s="241">
        <v>156.4</v>
      </c>
      <c r="C158" s="241"/>
      <c r="D158" s="241"/>
      <c r="E158" s="241">
        <f>_xlfn.IFERROR(AVERAGE(B158:D158),"—")</f>
        <v>156.4</v>
      </c>
      <c r="F158" t="s" s="125">
        <v>940</v>
      </c>
      <c r="G158" s="243">
        <v>8000000</v>
      </c>
      <c r="H158" t="s" s="125">
        <v>858</v>
      </c>
      <c r="I158" s="244"/>
    </row>
    <row r="159" ht="21.25" customHeight="1">
      <c r="A159" t="s" s="10">
        <v>418</v>
      </c>
      <c r="B159" s="241">
        <v>148.1</v>
      </c>
      <c r="C159" s="241"/>
      <c r="D159" s="241"/>
      <c r="E159" s="241">
        <f>_xlfn.IFERROR(AVERAGE(B159:D159),"—")</f>
        <v>148.1</v>
      </c>
      <c r="F159" t="s" s="125">
        <v>944</v>
      </c>
      <c r="G159" s="243">
        <v>4600000</v>
      </c>
      <c r="H159" t="s" s="125">
        <v>858</v>
      </c>
      <c r="I159" s="244"/>
    </row>
    <row r="160" ht="21.25" customHeight="1">
      <c r="A160" t="s" s="10">
        <v>300</v>
      </c>
      <c r="B160" s="241">
        <v>142.3</v>
      </c>
      <c r="C160" s="241"/>
      <c r="D160" s="241"/>
      <c r="E160" s="241">
        <f>_xlfn.IFERROR(AVERAGE(B160:D160),"—")</f>
        <v>142.3</v>
      </c>
      <c r="F160" t="s" s="125">
        <v>924</v>
      </c>
      <c r="G160" s="243">
        <v>9250000</v>
      </c>
      <c r="H160" t="s" s="125">
        <v>858</v>
      </c>
      <c r="I160" s="244"/>
    </row>
    <row r="161" ht="21.25" customHeight="1">
      <c r="A161" t="s" s="10">
        <v>280</v>
      </c>
      <c r="B161" s="241">
        <v>169</v>
      </c>
      <c r="C161" s="241"/>
      <c r="D161" s="241"/>
      <c r="E161" s="241">
        <f>_xlfn.IFERROR(AVERAGE(B161:D161),"—")</f>
        <v>169</v>
      </c>
      <c r="F161" t="s" s="125">
        <v>952</v>
      </c>
      <c r="G161" s="243">
        <v>3750000</v>
      </c>
      <c r="H161" t="s" s="125">
        <v>858</v>
      </c>
      <c r="I161" s="244"/>
    </row>
    <row r="162" ht="21.25" customHeight="1">
      <c r="A162" t="s" s="10">
        <v>356</v>
      </c>
      <c r="B162" s="241">
        <v>94.8</v>
      </c>
      <c r="C162" s="241"/>
      <c r="D162" s="105"/>
      <c r="E162" s="241">
        <f>_xlfn.IFERROR(AVERAGE(B162:D162),"—")</f>
        <v>94.8</v>
      </c>
      <c r="F162" t="s" s="125">
        <v>940</v>
      </c>
      <c r="G162" s="243">
        <v>4975000</v>
      </c>
      <c r="H162" t="s" s="125">
        <v>858</v>
      </c>
      <c r="I162" s="244"/>
    </row>
    <row r="163" ht="21.25" customHeight="1">
      <c r="A163" t="s" s="10">
        <v>284</v>
      </c>
      <c r="B163" s="241">
        <v>76.90000000000001</v>
      </c>
      <c r="C163" s="241"/>
      <c r="D163" s="241"/>
      <c r="E163" s="241">
        <f>_xlfn.IFERROR(AVERAGE(B163:D163),"—")</f>
        <v>76.90000000000001</v>
      </c>
      <c r="F163" t="s" s="125">
        <v>926</v>
      </c>
      <c r="G163" s="243">
        <v>766667</v>
      </c>
      <c r="H163" t="s" s="125">
        <v>83</v>
      </c>
      <c r="I163" s="244"/>
    </row>
    <row r="164" ht="21.25" customHeight="1">
      <c r="A164" t="s" s="10">
        <v>427</v>
      </c>
      <c r="B164" t="s" s="125">
        <v>957</v>
      </c>
      <c r="C164" s="241"/>
      <c r="D164" s="241"/>
      <c r="E164" t="s" s="125">
        <f>_xlfn.IFERROR(AVERAGE(B164:D164),"—")</f>
        <v>957</v>
      </c>
      <c r="F164" t="s" s="125">
        <v>939</v>
      </c>
      <c r="G164" s="243">
        <v>4500000</v>
      </c>
      <c r="H164" t="s" s="125">
        <v>86</v>
      </c>
      <c r="I164" s="244"/>
    </row>
    <row r="165" ht="21.25" customHeight="1">
      <c r="A165" t="s" s="10">
        <v>431</v>
      </c>
      <c r="B165" s="241">
        <v>172.7</v>
      </c>
      <c r="C165" s="241"/>
      <c r="D165" s="241"/>
      <c r="E165" s="241">
        <f>_xlfn.IFERROR(AVERAGE(B165:D165),"—")</f>
        <v>172.7</v>
      </c>
      <c r="F165" t="s" s="125">
        <v>947</v>
      </c>
      <c r="G165" s="243">
        <v>5400000</v>
      </c>
      <c r="H165" t="s" s="125">
        <v>858</v>
      </c>
      <c r="I165" s="244"/>
    </row>
    <row r="166" ht="21.25" customHeight="1">
      <c r="A166" t="s" s="10">
        <v>335</v>
      </c>
      <c r="B166" t="s" s="125">
        <v>957</v>
      </c>
      <c r="C166" s="241"/>
      <c r="D166" s="241"/>
      <c r="E166" t="s" s="125">
        <f>_xlfn.IFERROR(AVERAGE(B166:D166),"—")</f>
        <v>957</v>
      </c>
      <c r="F166" t="s" s="125">
        <v>958</v>
      </c>
      <c r="G166" s="243">
        <v>894167</v>
      </c>
      <c r="H166" t="s" s="125">
        <v>858</v>
      </c>
      <c r="I166" s="244"/>
    </row>
    <row r="167" ht="21.25" customHeight="1">
      <c r="A167" t="s" s="10">
        <v>542</v>
      </c>
      <c r="B167" s="241">
        <v>106.2</v>
      </c>
      <c r="C167" s="241"/>
      <c r="D167" s="241"/>
      <c r="E167" s="241">
        <f>_xlfn.IFERROR(AVERAGE(B167:D167),"—")</f>
        <v>106.2</v>
      </c>
      <c r="F167" t="s" s="125">
        <v>929</v>
      </c>
      <c r="G167" s="243">
        <v>925000</v>
      </c>
      <c r="H167" t="s" s="125">
        <v>858</v>
      </c>
      <c r="I167" s="244"/>
    </row>
    <row r="168" ht="21.25" customHeight="1">
      <c r="A168" t="s" s="10">
        <v>266</v>
      </c>
      <c r="B168" s="241">
        <v>105.7</v>
      </c>
      <c r="C168" s="241"/>
      <c r="D168" s="241"/>
      <c r="E168" s="241">
        <f>_xlfn.IFERROR(AVERAGE(B168:D168),"—")</f>
        <v>105.7</v>
      </c>
      <c r="F168" t="s" s="125">
        <v>960</v>
      </c>
      <c r="G168" s="243">
        <v>5250000</v>
      </c>
      <c r="H168" t="s" s="125">
        <v>858</v>
      </c>
      <c r="I168" s="244"/>
    </row>
    <row r="169" ht="21.25" customHeight="1">
      <c r="A169" t="s" s="10">
        <v>274</v>
      </c>
      <c r="B169" s="241">
        <v>158.9</v>
      </c>
      <c r="C169" s="241"/>
      <c r="D169" s="241"/>
      <c r="E169" s="241">
        <f>_xlfn.IFERROR(AVERAGE(B169:D169),"—")</f>
        <v>158.9</v>
      </c>
      <c r="F169" t="s" s="125">
        <v>933</v>
      </c>
      <c r="G169" s="243">
        <v>3750000</v>
      </c>
      <c r="H169" t="s" s="125">
        <v>85</v>
      </c>
      <c r="I169" s="244"/>
    </row>
    <row r="170" ht="21.25" customHeight="1">
      <c r="A170" t="s" s="10">
        <v>416</v>
      </c>
      <c r="B170" s="241">
        <v>134.9</v>
      </c>
      <c r="C170" s="241"/>
      <c r="D170" s="241"/>
      <c r="E170" s="241">
        <f>_xlfn.IFERROR(AVERAGE(B170:D170),"—")</f>
        <v>134.9</v>
      </c>
      <c r="F170" t="s" s="125">
        <v>935</v>
      </c>
      <c r="G170" s="243">
        <v>7250000</v>
      </c>
      <c r="H170" t="s" s="125">
        <v>858</v>
      </c>
      <c r="I170" s="244"/>
    </row>
    <row r="171" ht="21.25" customHeight="1">
      <c r="A171" t="s" s="10">
        <v>387</v>
      </c>
      <c r="B171" t="s" s="125">
        <v>957</v>
      </c>
      <c r="C171" s="241"/>
      <c r="D171" s="241"/>
      <c r="E171" t="s" s="125">
        <f>_xlfn.IFERROR(AVERAGE(B171:D171),"—")</f>
        <v>957</v>
      </c>
      <c r="F171" t="s" s="125">
        <v>947</v>
      </c>
      <c r="G171" s="243">
        <v>5500000</v>
      </c>
      <c r="H171" t="s" s="125">
        <v>83</v>
      </c>
      <c r="I171" s="244"/>
    </row>
    <row r="172" ht="21.25" customHeight="1">
      <c r="A172" t="s" s="10">
        <v>425</v>
      </c>
      <c r="B172" s="241">
        <v>164.8</v>
      </c>
      <c r="C172" s="241"/>
      <c r="D172" s="241"/>
      <c r="E172" s="241">
        <f>_xlfn.IFERROR(AVERAGE(B172:D172),"—")</f>
        <v>164.8</v>
      </c>
      <c r="F172" t="s" s="125">
        <v>951</v>
      </c>
      <c r="G172" s="243">
        <v>6000000</v>
      </c>
      <c r="H172" t="s" s="125">
        <v>858</v>
      </c>
      <c r="I172" s="244"/>
    </row>
    <row r="173" ht="21.25" customHeight="1">
      <c r="A173" t="s" s="10">
        <v>254</v>
      </c>
      <c r="B173" s="241">
        <v>152</v>
      </c>
      <c r="C173" s="241"/>
      <c r="D173" s="241"/>
      <c r="E173" s="241">
        <f>_xlfn.IFERROR(AVERAGE(B173:D173),"—")</f>
        <v>152</v>
      </c>
      <c r="F173" t="s" s="125">
        <v>931</v>
      </c>
      <c r="G173" s="243">
        <v>8000000</v>
      </c>
      <c r="H173" t="s" s="125">
        <v>858</v>
      </c>
      <c r="I173" s="244"/>
    </row>
    <row r="174" ht="21.25" customHeight="1">
      <c r="A174" t="s" s="10">
        <v>367</v>
      </c>
      <c r="B174" s="241">
        <v>137.7</v>
      </c>
      <c r="C174" s="241"/>
      <c r="D174" s="241"/>
      <c r="E174" s="241">
        <f>_xlfn.IFERROR(AVERAGE(B174:D174),"—")</f>
        <v>137.7</v>
      </c>
      <c r="F174" t="s" s="125">
        <v>959</v>
      </c>
      <c r="G174" s="243">
        <v>975000</v>
      </c>
      <c r="H174" t="s" s="125">
        <v>858</v>
      </c>
      <c r="I174" s="244"/>
    </row>
    <row r="175" ht="21.25" customHeight="1">
      <c r="A175" t="s" s="10">
        <v>410</v>
      </c>
      <c r="B175" s="241">
        <v>137.7</v>
      </c>
      <c r="C175" s="241"/>
      <c r="D175" s="241"/>
      <c r="E175" s="241">
        <f>_xlfn.IFERROR(AVERAGE(B175:D175),"—")</f>
        <v>137.7</v>
      </c>
      <c r="F175" t="s" s="125">
        <v>941</v>
      </c>
      <c r="G175" s="243">
        <v>9500000</v>
      </c>
      <c r="H175" t="s" s="125">
        <v>858</v>
      </c>
      <c r="I175" s="244"/>
    </row>
    <row r="176" ht="21.25" customHeight="1">
      <c r="A176" t="s" s="10">
        <v>276</v>
      </c>
      <c r="B176" s="241">
        <v>163</v>
      </c>
      <c r="C176" s="241"/>
      <c r="D176" s="241"/>
      <c r="E176" s="241">
        <f>_xlfn.IFERROR(AVERAGE(B176:D176),"—")</f>
        <v>163</v>
      </c>
      <c r="F176" t="s" s="125">
        <v>954</v>
      </c>
      <c r="G176" s="243">
        <v>3150000</v>
      </c>
      <c r="H176" t="s" s="125">
        <v>85</v>
      </c>
      <c r="I176" s="244"/>
    </row>
    <row r="177" ht="21.25" customHeight="1">
      <c r="A177" t="s" s="10">
        <v>482</v>
      </c>
      <c r="B177" s="241">
        <v>138.9</v>
      </c>
      <c r="C177" s="241"/>
      <c r="D177" s="241"/>
      <c r="E177" s="241">
        <f>_xlfn.IFERROR(AVERAGE(B177:D177),"—")</f>
        <v>138.9</v>
      </c>
      <c r="F177" t="s" s="125">
        <v>933</v>
      </c>
      <c r="G177" s="243">
        <v>4125000</v>
      </c>
      <c r="H177" t="s" s="125">
        <v>858</v>
      </c>
      <c r="I177" s="244"/>
    </row>
    <row r="178" ht="21.25" customHeight="1">
      <c r="A178" t="s" s="10">
        <v>390</v>
      </c>
      <c r="B178" s="241">
        <v>152.1</v>
      </c>
      <c r="C178" s="241"/>
      <c r="D178" s="241"/>
      <c r="E178" s="241">
        <f>_xlfn.IFERROR(AVERAGE(B178:D178),"—")</f>
        <v>152.1</v>
      </c>
      <c r="F178" t="s" s="125">
        <v>950</v>
      </c>
      <c r="G178" s="243">
        <v>6250000</v>
      </c>
      <c r="H178" t="s" s="125">
        <v>858</v>
      </c>
      <c r="I178" s="244"/>
    </row>
    <row r="179" ht="21.25" customHeight="1">
      <c r="A179" t="s" s="10">
        <v>476</v>
      </c>
      <c r="B179" s="241">
        <v>180.7</v>
      </c>
      <c r="C179" s="241"/>
      <c r="D179" s="241"/>
      <c r="E179" s="241">
        <f>_xlfn.IFERROR(AVERAGE(B179:D179),"—")</f>
        <v>180.7</v>
      </c>
      <c r="F179" t="s" s="125">
        <v>928</v>
      </c>
      <c r="G179" s="243">
        <v>6500000</v>
      </c>
      <c r="H179" t="s" s="125">
        <v>858</v>
      </c>
      <c r="I179" s="244"/>
    </row>
    <row r="180" ht="21.25" customHeight="1">
      <c r="A180" t="s" s="10">
        <v>447</v>
      </c>
      <c r="B180" s="241">
        <v>168.4</v>
      </c>
      <c r="C180" s="241"/>
      <c r="D180" s="241"/>
      <c r="E180" s="241">
        <f>_xlfn.IFERROR(AVERAGE(B180:D180),"—")</f>
        <v>168.4</v>
      </c>
      <c r="F180" t="s" s="125">
        <v>937</v>
      </c>
      <c r="G180" s="243">
        <v>3000000</v>
      </c>
      <c r="H180" t="s" s="125">
        <v>858</v>
      </c>
      <c r="I180" s="244"/>
    </row>
    <row r="181" ht="21.25" customHeight="1">
      <c r="A181" t="s" s="10">
        <v>329</v>
      </c>
      <c r="B181" t="s" s="125">
        <v>957</v>
      </c>
      <c r="C181" s="241"/>
      <c r="D181" s="241"/>
      <c r="E181" t="s" s="125">
        <f>_xlfn.IFERROR(AVERAGE(B181:D181),"—")</f>
        <v>957</v>
      </c>
      <c r="F181" t="s" s="125">
        <v>948</v>
      </c>
      <c r="G181" s="243">
        <v>6500000</v>
      </c>
      <c r="H181" t="s" s="125">
        <v>858</v>
      </c>
      <c r="I181" s="244"/>
    </row>
    <row r="182" ht="21.25" customHeight="1">
      <c r="A182" t="s" s="10">
        <v>516</v>
      </c>
      <c r="B182" s="241">
        <v>149.3</v>
      </c>
      <c r="C182" s="241"/>
      <c r="D182" s="241"/>
      <c r="E182" s="241">
        <f>_xlfn.IFERROR(AVERAGE(B182:D182),"—")</f>
        <v>149.3</v>
      </c>
      <c r="F182" t="s" s="125">
        <v>924</v>
      </c>
      <c r="G182" s="243">
        <v>3000000</v>
      </c>
      <c r="H182" t="s" s="125">
        <v>858</v>
      </c>
      <c r="I182" s="244"/>
    </row>
    <row r="183" ht="21.25" customHeight="1">
      <c r="A183" t="s" s="10">
        <v>478</v>
      </c>
      <c r="B183" s="241">
        <v>174.7</v>
      </c>
      <c r="C183" s="241"/>
      <c r="D183" s="241"/>
      <c r="E183" s="241">
        <f>_xlfn.IFERROR(AVERAGE(B183:D183),"—")</f>
        <v>174.7</v>
      </c>
      <c r="F183" t="s" s="125">
        <v>949</v>
      </c>
      <c r="G183" s="243">
        <v>5300000</v>
      </c>
      <c r="H183" t="s" s="125">
        <v>858</v>
      </c>
      <c r="I183" s="244"/>
    </row>
    <row r="184" ht="21.25" customHeight="1">
      <c r="A184" t="s" s="10">
        <v>379</v>
      </c>
      <c r="B184" s="241">
        <v>162.7</v>
      </c>
      <c r="C184" s="241"/>
      <c r="D184" s="241"/>
      <c r="E184" s="241">
        <f>_xlfn.IFERROR(AVERAGE(B184:D184),"—")</f>
        <v>162.7</v>
      </c>
      <c r="F184" t="s" s="125">
        <v>950</v>
      </c>
      <c r="G184" s="243">
        <v>4200000</v>
      </c>
      <c r="H184" t="s" s="125">
        <v>858</v>
      </c>
      <c r="I184" s="244"/>
    </row>
    <row r="185" ht="21.25" customHeight="1">
      <c r="A185" t="s" s="10">
        <v>392</v>
      </c>
      <c r="B185" s="241">
        <v>107.3</v>
      </c>
      <c r="C185" s="241"/>
      <c r="D185" s="241"/>
      <c r="E185" s="241">
        <f>_xlfn.IFERROR(AVERAGE(B185:D185),"—")</f>
        <v>107.3</v>
      </c>
      <c r="F185" t="s" s="125">
        <v>924</v>
      </c>
      <c r="G185" s="243">
        <v>6000000</v>
      </c>
      <c r="H185" t="s" s="125">
        <v>858</v>
      </c>
      <c r="I185" s="244"/>
    </row>
    <row r="186" ht="21.25" customHeight="1">
      <c r="A186" t="s" s="10">
        <v>412</v>
      </c>
      <c r="B186" s="241">
        <v>168.6</v>
      </c>
      <c r="C186" s="241"/>
      <c r="D186" s="241"/>
      <c r="E186" s="241">
        <f>_xlfn.IFERROR(AVERAGE(B186:D186),"—")</f>
        <v>168.6</v>
      </c>
      <c r="F186" t="s" s="125">
        <v>925</v>
      </c>
      <c r="G186" s="243">
        <v>4500000</v>
      </c>
      <c r="H186" t="s" s="125">
        <v>83</v>
      </c>
      <c r="I186" s="244"/>
    </row>
    <row r="187" ht="21.25" customHeight="1">
      <c r="A187" t="s" s="10">
        <v>496</v>
      </c>
      <c r="B187" s="241">
        <v>157</v>
      </c>
      <c r="C187" s="241"/>
      <c r="D187" s="105"/>
      <c r="E187" s="241">
        <f>_xlfn.IFERROR(AVERAGE(B187:D187),"—")</f>
        <v>157</v>
      </c>
      <c r="F187" t="s" s="125">
        <v>934</v>
      </c>
      <c r="G187" s="243">
        <v>8350000</v>
      </c>
      <c r="H187" t="s" s="125">
        <v>858</v>
      </c>
      <c r="I187" s="244"/>
    </row>
    <row r="188" ht="21.25" customHeight="1">
      <c r="A188" t="s" s="10">
        <v>393</v>
      </c>
      <c r="B188" t="s" s="125">
        <v>957</v>
      </c>
      <c r="C188" s="241"/>
      <c r="D188" s="241"/>
      <c r="E188" t="s" s="125">
        <f>_xlfn.IFERROR(AVERAGE(B188:D188),"—")</f>
        <v>957</v>
      </c>
      <c r="F188" t="s" s="125">
        <v>955</v>
      </c>
      <c r="G188" s="243">
        <v>7142857</v>
      </c>
      <c r="H188" t="s" s="125">
        <v>858</v>
      </c>
      <c r="I188" s="244"/>
    </row>
    <row r="189" ht="21.25" customHeight="1">
      <c r="A189" t="s" s="10">
        <v>313</v>
      </c>
      <c r="B189" s="241">
        <v>168.6</v>
      </c>
      <c r="C189" s="241"/>
      <c r="D189" s="241"/>
      <c r="E189" s="241">
        <f>_xlfn.IFERROR(AVERAGE(B189:D189),"—")</f>
        <v>168.6</v>
      </c>
      <c r="F189" t="s" s="125">
        <v>938</v>
      </c>
      <c r="G189" s="243">
        <v>5875000</v>
      </c>
      <c r="H189" t="s" s="125">
        <v>858</v>
      </c>
      <c r="I189" s="244"/>
    </row>
    <row r="190" ht="21.25" customHeight="1">
      <c r="A190" t="s" s="10">
        <v>579</v>
      </c>
      <c r="B190" s="241">
        <v>159.1</v>
      </c>
      <c r="C190" s="241"/>
      <c r="D190" s="241"/>
      <c r="E190" s="241">
        <f>_xlfn.IFERROR(AVERAGE(B190:D190),"—")</f>
        <v>159.1</v>
      </c>
      <c r="F190" t="s" s="125">
        <v>949</v>
      </c>
      <c r="G190" s="243">
        <v>3200000</v>
      </c>
      <c r="H190" t="s" s="125">
        <v>858</v>
      </c>
      <c r="I190" s="244"/>
    </row>
    <row r="191" ht="21.25" customHeight="1">
      <c r="A191" t="s" s="10">
        <v>451</v>
      </c>
      <c r="B191" t="s" s="125">
        <v>957</v>
      </c>
      <c r="C191" s="241"/>
      <c r="D191" s="105"/>
      <c r="E191" t="s" s="125">
        <f>_xlfn.IFERROR(AVERAGE(B191:D191),"—")</f>
        <v>957</v>
      </c>
      <c r="F191" t="s" s="125">
        <v>958</v>
      </c>
      <c r="G191" s="243">
        <v>5750000</v>
      </c>
      <c r="H191" t="s" s="125">
        <v>83</v>
      </c>
      <c r="I191" s="244"/>
    </row>
    <row r="192" ht="21.25" customHeight="1">
      <c r="A192" t="s" s="10">
        <v>381</v>
      </c>
      <c r="B192" s="241">
        <v>186</v>
      </c>
      <c r="C192" s="241"/>
      <c r="D192" s="241"/>
      <c r="E192" s="241">
        <f>_xlfn.IFERROR(AVERAGE(B192:D192),"—")</f>
        <v>186</v>
      </c>
      <c r="F192" t="s" s="125">
        <v>941</v>
      </c>
      <c r="G192" s="243">
        <v>5900000</v>
      </c>
      <c r="H192" t="s" s="125">
        <v>858</v>
      </c>
      <c r="I192" s="244"/>
    </row>
    <row r="193" ht="21.25" customHeight="1">
      <c r="A193" t="s" s="10">
        <v>376</v>
      </c>
      <c r="B193" t="s" s="125">
        <v>957</v>
      </c>
      <c r="C193" s="241"/>
      <c r="D193" s="241"/>
      <c r="E193" t="s" s="125">
        <f>_xlfn.IFERROR(AVERAGE(B193:D193),"—")</f>
        <v>957</v>
      </c>
      <c r="F193" t="s" s="125">
        <v>952</v>
      </c>
      <c r="G193" s="243">
        <v>950000</v>
      </c>
      <c r="H193" t="s" s="125">
        <v>858</v>
      </c>
      <c r="I193" s="244"/>
    </row>
    <row r="194" ht="21.25" customHeight="1">
      <c r="A194" t="s" s="10">
        <v>350</v>
      </c>
      <c r="B194" s="241">
        <v>184</v>
      </c>
      <c r="C194" s="241"/>
      <c r="D194" s="241"/>
      <c r="E194" s="241">
        <f>_xlfn.IFERROR(AVERAGE(B194:D194),"—")</f>
        <v>184</v>
      </c>
      <c r="F194" t="s" s="125">
        <v>954</v>
      </c>
      <c r="G194" s="243">
        <v>863333</v>
      </c>
      <c r="H194" t="s" s="125">
        <v>858</v>
      </c>
      <c r="I194" s="244"/>
    </row>
    <row r="195" ht="21.25" customHeight="1">
      <c r="A195" t="s" s="10">
        <v>311</v>
      </c>
      <c r="B195" s="241">
        <v>131</v>
      </c>
      <c r="C195" s="241"/>
      <c r="D195" s="241"/>
      <c r="E195" s="241">
        <f>_xlfn.IFERROR(AVERAGE(B195:D195),"—")</f>
        <v>131</v>
      </c>
      <c r="F195" t="s" s="125">
        <v>944</v>
      </c>
      <c r="G195" s="243">
        <v>1100000</v>
      </c>
      <c r="H195" t="s" s="125">
        <v>858</v>
      </c>
      <c r="I195" s="244"/>
    </row>
    <row r="196" ht="21.25" customHeight="1">
      <c r="A196" t="s" s="10">
        <v>414</v>
      </c>
      <c r="B196" t="s" s="125">
        <v>957</v>
      </c>
      <c r="C196" s="241"/>
      <c r="D196" s="241"/>
      <c r="E196" t="s" s="125">
        <f>_xlfn.IFERROR(AVERAGE(B196:D196),"—")</f>
        <v>957</v>
      </c>
      <c r="F196" t="s" s="125">
        <v>952</v>
      </c>
      <c r="G196" s="243">
        <v>4725000</v>
      </c>
      <c r="H196" t="s" s="125">
        <v>858</v>
      </c>
      <c r="I196" s="244"/>
    </row>
    <row r="197" ht="21.25" customHeight="1">
      <c r="A197" t="s" s="10">
        <v>330</v>
      </c>
      <c r="B197" t="s" s="125">
        <v>957</v>
      </c>
      <c r="C197" s="241"/>
      <c r="D197" s="241"/>
      <c r="E197" t="s" s="125">
        <f>_xlfn.IFERROR(AVERAGE(B197:D197),"—")</f>
        <v>957</v>
      </c>
      <c r="F197" t="s" s="125">
        <v>944</v>
      </c>
      <c r="G197" s="243">
        <v>5750000</v>
      </c>
      <c r="H197" t="s" s="125">
        <v>858</v>
      </c>
      <c r="I197" s="244"/>
    </row>
    <row r="198" ht="21.25" customHeight="1">
      <c r="A198" t="s" s="10">
        <v>355</v>
      </c>
      <c r="B198" t="s" s="125">
        <v>957</v>
      </c>
      <c r="C198" s="241"/>
      <c r="D198" s="241"/>
      <c r="E198" t="s" s="125">
        <f>_xlfn.IFERROR(AVERAGE(B198:D198),"—")</f>
        <v>957</v>
      </c>
      <c r="F198" t="s" s="125">
        <v>931</v>
      </c>
      <c r="G198" s="243">
        <v>3872000</v>
      </c>
      <c r="H198" t="s" s="125">
        <v>858</v>
      </c>
      <c r="I198" s="244"/>
    </row>
    <row r="199" ht="21.25" customHeight="1">
      <c r="A199" t="s" s="10">
        <v>320</v>
      </c>
      <c r="B199" s="241">
        <v>174.3</v>
      </c>
      <c r="C199" s="241"/>
      <c r="D199" s="241"/>
      <c r="E199" s="241">
        <f>_xlfn.IFERROR(AVERAGE(B199:D199),"—")</f>
        <v>174.3</v>
      </c>
      <c r="F199" t="s" s="125">
        <v>955</v>
      </c>
      <c r="G199" s="243">
        <v>1200000</v>
      </c>
      <c r="H199" t="s" s="125">
        <v>858</v>
      </c>
      <c r="I199" s="244"/>
    </row>
    <row r="200" ht="21.25" customHeight="1">
      <c r="A200" t="s" s="10">
        <v>514</v>
      </c>
      <c r="B200" s="241">
        <v>110.1</v>
      </c>
      <c r="C200" s="241"/>
      <c r="D200" s="241"/>
      <c r="E200" s="241">
        <f>_xlfn.IFERROR(AVERAGE(B200:D200),"—")</f>
        <v>110.1</v>
      </c>
      <c r="F200" t="s" s="125">
        <v>945</v>
      </c>
      <c r="G200" s="243">
        <v>5500000</v>
      </c>
      <c r="H200" t="s" s="125">
        <v>858</v>
      </c>
      <c r="I200" s="244"/>
    </row>
    <row r="201" ht="21.25" customHeight="1">
      <c r="A201" t="s" s="10">
        <v>328</v>
      </c>
      <c r="B201" s="241">
        <v>170.8</v>
      </c>
      <c r="C201" s="241"/>
      <c r="D201" s="241"/>
      <c r="E201" s="241">
        <f>_xlfn.IFERROR(AVERAGE(B201:D201),"—")</f>
        <v>170.8</v>
      </c>
      <c r="F201" t="s" s="125">
        <v>948</v>
      </c>
      <c r="G201" s="243">
        <v>835833</v>
      </c>
      <c r="H201" t="s" s="125">
        <v>858</v>
      </c>
      <c r="I201" s="244"/>
    </row>
    <row r="202" ht="21.25" customHeight="1">
      <c r="A202" t="s" s="10">
        <v>556</v>
      </c>
      <c r="B202" t="s" s="125">
        <v>957</v>
      </c>
      <c r="C202" s="241"/>
      <c r="D202" s="241"/>
      <c r="E202" t="s" s="125">
        <f>_xlfn.IFERROR(AVERAGE(B202:D202),"—")</f>
        <v>957</v>
      </c>
      <c r="F202" t="s" s="125">
        <v>951</v>
      </c>
      <c r="G202" s="243">
        <v>3425000</v>
      </c>
      <c r="H202" t="s" s="125">
        <v>858</v>
      </c>
      <c r="I202" s="244"/>
    </row>
    <row r="203" ht="21.25" customHeight="1">
      <c r="A203" t="s" s="10">
        <v>438</v>
      </c>
      <c r="B203" t="s" s="125">
        <v>957</v>
      </c>
      <c r="C203" s="241"/>
      <c r="D203" s="241"/>
      <c r="E203" t="s" s="125">
        <f>_xlfn.IFERROR(AVERAGE(B203:D203),"—")</f>
        <v>957</v>
      </c>
      <c r="F203" t="s" s="125">
        <v>959</v>
      </c>
      <c r="G203" s="243">
        <v>863333</v>
      </c>
      <c r="H203" t="s" s="125">
        <v>858</v>
      </c>
      <c r="I203" s="244"/>
    </row>
    <row r="204" ht="21.25" customHeight="1">
      <c r="A204" t="s" s="10">
        <v>458</v>
      </c>
      <c r="B204" s="241">
        <v>185.3</v>
      </c>
      <c r="C204" s="241"/>
      <c r="D204" s="105"/>
      <c r="E204" s="241">
        <f>_xlfn.IFERROR(AVERAGE(B204:D204),"—")</f>
        <v>185.3</v>
      </c>
      <c r="F204" t="s" s="125">
        <v>958</v>
      </c>
      <c r="G204" s="243">
        <v>918333</v>
      </c>
      <c r="H204" t="s" s="125">
        <v>858</v>
      </c>
      <c r="I204" s="244"/>
    </row>
    <row r="205" ht="21.25" customHeight="1">
      <c r="A205" t="s" s="10">
        <v>370</v>
      </c>
      <c r="B205" t="s" s="125">
        <v>957</v>
      </c>
      <c r="C205" s="241"/>
      <c r="D205" s="241"/>
      <c r="E205" t="s" s="125">
        <f>_xlfn.IFERROR(AVERAGE(B205:D205),"—")</f>
        <v>957</v>
      </c>
      <c r="F205" t="s" s="125">
        <v>928</v>
      </c>
      <c r="G205" s="243">
        <v>4750000</v>
      </c>
      <c r="H205" t="s" s="125">
        <v>85</v>
      </c>
      <c r="I205" s="244"/>
    </row>
    <row r="206" ht="21.25" customHeight="1">
      <c r="A206" t="s" s="10">
        <v>441</v>
      </c>
      <c r="B206" t="s" s="125">
        <v>957</v>
      </c>
      <c r="C206" s="241"/>
      <c r="D206" s="241"/>
      <c r="E206" t="s" s="125">
        <f>_xlfn.IFERROR(AVERAGE(B206:D206),"—")</f>
        <v>957</v>
      </c>
      <c r="F206" t="s" s="125">
        <v>956</v>
      </c>
      <c r="G206" s="243">
        <v>1600000</v>
      </c>
      <c r="H206" t="s" s="125">
        <v>858</v>
      </c>
      <c r="I206" s="244"/>
    </row>
    <row r="207" ht="21.25" customHeight="1">
      <c r="A207" t="s" s="10">
        <v>407</v>
      </c>
      <c r="B207" t="s" s="125">
        <v>957</v>
      </c>
      <c r="C207" s="241"/>
      <c r="D207" s="241"/>
      <c r="E207" t="s" s="125">
        <f>_xlfn.IFERROR(AVERAGE(B207:D207),"—")</f>
        <v>957</v>
      </c>
      <c r="F207" t="s" s="125">
        <v>937</v>
      </c>
      <c r="G207" s="243">
        <v>5800000</v>
      </c>
      <c r="H207" t="s" s="125">
        <v>858</v>
      </c>
      <c r="I207" s="244"/>
    </row>
    <row r="208" ht="21.25" customHeight="1">
      <c r="A208" t="s" s="10">
        <v>419</v>
      </c>
      <c r="B208" s="241">
        <v>185</v>
      </c>
      <c r="C208" s="241"/>
      <c r="D208" s="241"/>
      <c r="E208" s="241">
        <f>_xlfn.IFERROR(AVERAGE(B208:D208),"—")</f>
        <v>185</v>
      </c>
      <c r="F208" t="s" s="125">
        <v>937</v>
      </c>
      <c r="G208" s="243">
        <v>9850000</v>
      </c>
      <c r="H208" t="s" s="125">
        <v>858</v>
      </c>
      <c r="I208" s="244"/>
    </row>
    <row r="209" ht="21.25" customHeight="1">
      <c r="A209" t="s" s="10">
        <v>506</v>
      </c>
      <c r="B209" t="s" s="125">
        <v>957</v>
      </c>
      <c r="C209" s="241"/>
      <c r="D209" s="105"/>
      <c r="E209" t="s" s="125">
        <f>_xlfn.IFERROR(AVERAGE(B209:D209),"—")</f>
        <v>957</v>
      </c>
      <c r="F209" t="s" s="125">
        <v>933</v>
      </c>
      <c r="G209" s="243">
        <v>6000000</v>
      </c>
      <c r="H209" t="s" s="125">
        <v>858</v>
      </c>
      <c r="I209" s="244"/>
    </row>
    <row r="210" ht="21.25" customHeight="1">
      <c r="A210" t="s" s="10">
        <v>499</v>
      </c>
      <c r="B210" t="s" s="125">
        <v>957</v>
      </c>
      <c r="C210" s="241"/>
      <c r="D210" s="241"/>
      <c r="E210" t="s" s="125">
        <f>_xlfn.IFERROR(AVERAGE(B210:D210),"—")</f>
        <v>957</v>
      </c>
      <c r="F210" t="s" s="125">
        <v>933</v>
      </c>
      <c r="G210" s="243">
        <v>7575000</v>
      </c>
      <c r="H210" t="s" s="125">
        <v>858</v>
      </c>
      <c r="I210" s="244"/>
    </row>
    <row r="211" ht="21.25" customHeight="1">
      <c r="A211" t="s" s="10">
        <v>500</v>
      </c>
      <c r="B211" t="s" s="125">
        <v>957</v>
      </c>
      <c r="C211" s="241"/>
      <c r="D211" s="241"/>
      <c r="E211" t="s" s="125">
        <f>_xlfn.IFERROR(AVERAGE(B211:D211),"—")</f>
        <v>957</v>
      </c>
      <c r="F211" t="s" s="125">
        <v>935</v>
      </c>
      <c r="G211" s="243">
        <v>4950000</v>
      </c>
      <c r="H211" t="s" s="125">
        <v>858</v>
      </c>
      <c r="I211" s="244"/>
    </row>
    <row r="212" ht="21.25" customHeight="1">
      <c r="A212" t="s" s="10">
        <v>322</v>
      </c>
      <c r="B212" t="s" s="125">
        <v>957</v>
      </c>
      <c r="C212" s="241"/>
      <c r="D212" s="241"/>
      <c r="E212" t="s" s="125">
        <f>_xlfn.IFERROR(AVERAGE(B212:D212),"—")</f>
        <v>957</v>
      </c>
      <c r="F212" t="s" s="125">
        <v>926</v>
      </c>
      <c r="G212" s="243">
        <v>925000</v>
      </c>
      <c r="H212" t="s" s="125">
        <v>858</v>
      </c>
      <c r="I212" s="244"/>
    </row>
    <row r="213" ht="21.25" customHeight="1">
      <c r="A213" t="s" s="10">
        <v>569</v>
      </c>
      <c r="B213" t="s" s="125">
        <v>957</v>
      </c>
      <c r="C213" s="241"/>
      <c r="D213" s="241"/>
      <c r="E213" t="s" s="125">
        <f>_xlfn.IFERROR(AVERAGE(B213:D213),"—")</f>
        <v>957</v>
      </c>
      <c r="F213" t="s" s="125">
        <v>958</v>
      </c>
      <c r="G213" s="243">
        <v>6500000</v>
      </c>
      <c r="H213" t="s" s="125">
        <v>858</v>
      </c>
      <c r="I213" s="244"/>
    </row>
    <row r="214" ht="21.25" customHeight="1">
      <c r="A214" t="s" s="10">
        <v>524</v>
      </c>
      <c r="B214" t="s" s="125">
        <v>957</v>
      </c>
      <c r="C214" s="241"/>
      <c r="D214" s="105"/>
      <c r="E214" t="s" s="125">
        <f>_xlfn.IFERROR(AVERAGE(B214:D214),"—")</f>
        <v>957</v>
      </c>
      <c r="F214" t="s" s="125">
        <v>958</v>
      </c>
      <c r="G214" s="243">
        <v>950000</v>
      </c>
      <c r="H214" t="s" s="125">
        <v>858</v>
      </c>
      <c r="I214" s="244"/>
    </row>
    <row r="215" ht="21.25" customHeight="1">
      <c r="A215" t="s" s="10">
        <v>530</v>
      </c>
      <c r="B215" s="241"/>
      <c r="C215" s="241"/>
      <c r="D215" s="241"/>
      <c r="E215" t="s" s="125">
        <f>_xlfn.IFERROR(AVERAGE(B215:D215),"—")</f>
        <v>957</v>
      </c>
      <c r="F215" t="s" s="125">
        <v>954</v>
      </c>
      <c r="G215" s="243">
        <v>950000</v>
      </c>
      <c r="H215" s="105"/>
      <c r="I215" s="244"/>
    </row>
    <row r="216" ht="21.25" customHeight="1">
      <c r="A216" t="s" s="10">
        <v>321</v>
      </c>
      <c r="B216" s="241">
        <v>86.59999999999999</v>
      </c>
      <c r="C216" s="241"/>
      <c r="D216" s="241"/>
      <c r="E216" s="241">
        <f>_xlfn.IFERROR(AVERAGE(B216:D216),"—")</f>
        <v>86.59999999999999</v>
      </c>
      <c r="F216" t="s" s="125">
        <v>934</v>
      </c>
      <c r="G216" s="243">
        <v>4750000</v>
      </c>
      <c r="H216" t="s" s="125">
        <v>85</v>
      </c>
      <c r="I216" s="244"/>
    </row>
    <row r="217" ht="21.25" customHeight="1">
      <c r="A217" t="s" s="10">
        <v>445</v>
      </c>
      <c r="B217" t="s" s="125">
        <v>957</v>
      </c>
      <c r="C217" s="241"/>
      <c r="D217" s="105"/>
      <c r="E217" t="s" s="125">
        <f>_xlfn.IFERROR(AVERAGE(B217:D217),"—")</f>
        <v>957</v>
      </c>
      <c r="F217" t="s" s="125">
        <v>936</v>
      </c>
      <c r="G217" s="243">
        <v>5000000</v>
      </c>
      <c r="H217" t="s" s="125">
        <v>858</v>
      </c>
      <c r="I217" s="244"/>
    </row>
    <row r="218" ht="21.25" customHeight="1">
      <c r="A218" t="s" s="10">
        <v>520</v>
      </c>
      <c r="B218" s="241">
        <v>171.2</v>
      </c>
      <c r="C218" s="241"/>
      <c r="D218" s="241"/>
      <c r="E218" s="241">
        <f>_xlfn.IFERROR(AVERAGE(B218:D218),"—")</f>
        <v>171.2</v>
      </c>
      <c r="F218" t="s" s="125">
        <v>938</v>
      </c>
      <c r="G218" s="243">
        <v>3437500</v>
      </c>
      <c r="H218" t="s" s="125">
        <v>858</v>
      </c>
      <c r="I218" s="244"/>
    </row>
    <row r="219" ht="21.25" customHeight="1">
      <c r="A219" t="s" s="10">
        <v>430</v>
      </c>
      <c r="B219" s="241">
        <v>164.4</v>
      </c>
      <c r="C219" s="241"/>
      <c r="D219" s="241"/>
      <c r="E219" s="241">
        <f>_xlfn.IFERROR(AVERAGE(B219:D219),"—")</f>
        <v>164.4</v>
      </c>
      <c r="F219" t="s" s="125">
        <v>956</v>
      </c>
      <c r="G219" s="243">
        <v>950000</v>
      </c>
      <c r="H219" t="s" s="125">
        <v>858</v>
      </c>
      <c r="I219" s="244"/>
    </row>
    <row r="220" ht="21.25" customHeight="1">
      <c r="A220" t="s" s="10">
        <v>341</v>
      </c>
      <c r="B220" s="241">
        <v>76</v>
      </c>
      <c r="C220" s="241"/>
      <c r="D220" s="241"/>
      <c r="E220" s="241">
        <f>_xlfn.IFERROR(AVERAGE(B220:D220),"—")</f>
        <v>76</v>
      </c>
      <c r="F220" t="s" s="125">
        <v>949</v>
      </c>
      <c r="G220" s="243">
        <v>3400000</v>
      </c>
      <c r="H220" t="s" s="125">
        <v>858</v>
      </c>
      <c r="I220" s="244"/>
    </row>
    <row r="221" ht="21.25" customHeight="1">
      <c r="A221" t="s" s="10">
        <v>564</v>
      </c>
      <c r="B221" t="s" s="125">
        <v>957</v>
      </c>
      <c r="C221" s="241"/>
      <c r="D221" s="241"/>
      <c r="E221" t="s" s="125">
        <f>_xlfn.IFERROR(AVERAGE(B221:D221),"—")</f>
        <v>957</v>
      </c>
      <c r="F221" t="s" s="125">
        <v>925</v>
      </c>
      <c r="G221" s="243">
        <v>2500000</v>
      </c>
      <c r="H221" t="s" s="125">
        <v>83</v>
      </c>
      <c r="I221" s="244"/>
    </row>
    <row r="222" ht="21.25" customHeight="1">
      <c r="A222" t="s" s="10">
        <v>256</v>
      </c>
      <c r="B222" s="241">
        <v>181.5</v>
      </c>
      <c r="C222" s="241"/>
      <c r="D222" s="241"/>
      <c r="E222" s="241">
        <f>_xlfn.IFERROR(AVERAGE(B222:D222),"—")</f>
        <v>181.5</v>
      </c>
      <c r="F222" t="s" s="125">
        <v>944</v>
      </c>
      <c r="G222" s="243">
        <v>6500000</v>
      </c>
      <c r="H222" t="s" s="125">
        <v>858</v>
      </c>
      <c r="I222" s="244"/>
    </row>
    <row r="223" ht="21.25" customHeight="1">
      <c r="A223" t="s" s="10">
        <v>406</v>
      </c>
      <c r="B223" t="s" s="125">
        <v>957</v>
      </c>
      <c r="C223" s="241"/>
      <c r="D223" s="241"/>
      <c r="E223" t="s" s="125">
        <f>_xlfn.IFERROR(AVERAGE(B223:D223),"—")</f>
        <v>957</v>
      </c>
      <c r="F223" t="s" s="125">
        <v>939</v>
      </c>
      <c r="G223" s="243">
        <v>4025000</v>
      </c>
      <c r="H223" t="s" s="125">
        <v>858</v>
      </c>
      <c r="I223" s="244"/>
    </row>
    <row r="224" ht="21.25" customHeight="1">
      <c r="A224" t="s" s="10">
        <v>402</v>
      </c>
      <c r="B224" t="s" s="125">
        <v>957</v>
      </c>
      <c r="C224" s="241"/>
      <c r="D224" s="241"/>
      <c r="E224" t="s" s="125">
        <f>_xlfn.IFERROR(AVERAGE(B224:D224),"—")</f>
        <v>957</v>
      </c>
      <c r="F224" t="s" s="125">
        <v>936</v>
      </c>
      <c r="G224" s="243">
        <v>6150000</v>
      </c>
      <c r="H224" t="s" s="125">
        <v>858</v>
      </c>
      <c r="I224" s="244"/>
    </row>
    <row r="225" ht="21.25" customHeight="1">
      <c r="A225" t="s" s="10">
        <v>568</v>
      </c>
      <c r="B225" s="241">
        <v>146.8</v>
      </c>
      <c r="C225" s="241"/>
      <c r="D225" s="105"/>
      <c r="E225" s="241">
        <f>_xlfn.IFERROR(AVERAGE(B225:D225),"—")</f>
        <v>146.8</v>
      </c>
      <c r="F225" t="s" s="125">
        <v>924</v>
      </c>
      <c r="G225" s="243">
        <v>4000000</v>
      </c>
      <c r="H225" t="s" s="125">
        <v>858</v>
      </c>
      <c r="I225" s="244"/>
    </row>
    <row r="226" ht="21.25" customHeight="1">
      <c r="A226" t="s" s="10">
        <v>312</v>
      </c>
      <c r="B226" t="s" s="125">
        <v>957</v>
      </c>
      <c r="C226" s="241"/>
      <c r="D226" s="241"/>
      <c r="E226" t="s" s="125">
        <f>_xlfn.IFERROR(AVERAGE(B226:D226),"—")</f>
        <v>957</v>
      </c>
      <c r="F226" t="s" s="125">
        <v>932</v>
      </c>
      <c r="G226" s="243">
        <v>4400000</v>
      </c>
      <c r="H226" t="s" s="125">
        <v>858</v>
      </c>
      <c r="I226" s="244"/>
    </row>
    <row r="227" ht="21.25" customHeight="1">
      <c r="A227" t="s" s="10">
        <v>366</v>
      </c>
      <c r="B227" s="241">
        <v>148</v>
      </c>
      <c r="C227" s="241"/>
      <c r="D227" s="105"/>
      <c r="E227" s="241">
        <f>_xlfn.IFERROR(AVERAGE(B227:D227),"—")</f>
        <v>148</v>
      </c>
      <c r="F227" t="s" s="125">
        <v>945</v>
      </c>
      <c r="G227" s="243">
        <v>4900000</v>
      </c>
      <c r="H227" t="s" s="125">
        <v>858</v>
      </c>
      <c r="I227" s="244"/>
    </row>
    <row r="228" ht="21.25" customHeight="1">
      <c r="A228" t="s" s="10">
        <v>495</v>
      </c>
      <c r="B228" s="241">
        <v>168</v>
      </c>
      <c r="C228" s="241"/>
      <c r="D228" s="241"/>
      <c r="E228" s="241">
        <f>_xlfn.IFERROR(AVERAGE(B228:D228),"—")</f>
        <v>168</v>
      </c>
      <c r="F228" t="s" s="125">
        <v>955</v>
      </c>
      <c r="G228" s="243">
        <v>5400000</v>
      </c>
      <c r="H228" t="s" s="125">
        <v>858</v>
      </c>
      <c r="I228" s="244"/>
    </row>
    <row r="229" ht="21.25" customHeight="1">
      <c r="A229" t="s" s="10">
        <v>558</v>
      </c>
      <c r="B229" t="s" s="125">
        <v>957</v>
      </c>
      <c r="C229" s="241"/>
      <c r="D229" s="241"/>
      <c r="E229" t="s" s="125">
        <f>_xlfn.IFERROR(AVERAGE(B229:D229),"—")</f>
        <v>957</v>
      </c>
      <c r="F229" t="s" s="125">
        <v>955</v>
      </c>
      <c r="G229" s="243">
        <v>4750000</v>
      </c>
      <c r="H229" t="s" s="125">
        <v>858</v>
      </c>
      <c r="I229" s="244"/>
    </row>
    <row r="230" ht="21.25" customHeight="1">
      <c r="A230" t="s" s="10">
        <v>546</v>
      </c>
      <c r="B230" t="s" s="125">
        <v>957</v>
      </c>
      <c r="C230" s="241"/>
      <c r="D230" s="241"/>
      <c r="E230" t="s" s="125">
        <f>_xlfn.IFERROR(AVERAGE(B230:D230),"—")</f>
        <v>957</v>
      </c>
      <c r="F230" t="s" s="125">
        <v>952</v>
      </c>
      <c r="G230" s="243">
        <v>6250000</v>
      </c>
      <c r="H230" t="s" s="125">
        <v>858</v>
      </c>
      <c r="I230" s="244"/>
    </row>
    <row r="231" ht="21.25" customHeight="1">
      <c r="A231" t="s" s="10">
        <v>332</v>
      </c>
      <c r="B231" s="241"/>
      <c r="C231" s="241"/>
      <c r="D231" s="241"/>
      <c r="E231" t="s" s="125">
        <f>_xlfn.IFERROR(AVERAGE(B231:D231),"—")</f>
        <v>957</v>
      </c>
      <c r="F231" t="s" s="125">
        <v>961</v>
      </c>
      <c r="G231" s="243">
        <v>925000</v>
      </c>
      <c r="H231" s="105"/>
      <c r="I231" s="244"/>
    </row>
    <row r="232" ht="21.25" customHeight="1">
      <c r="A232" t="s" s="10">
        <v>535</v>
      </c>
      <c r="B232" t="s" s="125">
        <v>957</v>
      </c>
      <c r="C232" s="241"/>
      <c r="D232" s="241"/>
      <c r="E232" t="s" s="125">
        <f>_xlfn.IFERROR(AVERAGE(B232:D232),"—")</f>
        <v>957</v>
      </c>
      <c r="F232" t="s" s="125">
        <v>950</v>
      </c>
      <c r="G232" s="243">
        <v>863000</v>
      </c>
      <c r="H232" t="s" s="125">
        <v>858</v>
      </c>
      <c r="I232" s="244"/>
    </row>
    <row r="233" ht="21.25" customHeight="1">
      <c r="A233" t="s" s="10">
        <v>453</v>
      </c>
      <c r="B233" s="241">
        <v>176.3</v>
      </c>
      <c r="C233" s="241"/>
      <c r="D233" s="241"/>
      <c r="E233" s="241">
        <f>_xlfn.IFERROR(AVERAGE(B233:D233),"—")</f>
        <v>176.3</v>
      </c>
      <c r="F233" t="s" s="125">
        <v>929</v>
      </c>
      <c r="G233" t="s" s="125">
        <v>943</v>
      </c>
      <c r="H233" t="s" s="125">
        <v>83</v>
      </c>
      <c r="I233" s="244"/>
    </row>
    <row r="234" ht="21.25" customHeight="1">
      <c r="A234" t="s" s="10">
        <v>316</v>
      </c>
      <c r="B234" s="241">
        <v>184</v>
      </c>
      <c r="C234" s="241"/>
      <c r="D234" s="105"/>
      <c r="E234" s="241">
        <f>_xlfn.IFERROR(AVERAGE(B234:D234),"—")</f>
        <v>184</v>
      </c>
      <c r="F234" t="s" s="125">
        <v>952</v>
      </c>
      <c r="G234" s="243">
        <v>5400000</v>
      </c>
      <c r="H234" t="s" s="125">
        <v>858</v>
      </c>
      <c r="I234" s="244"/>
    </row>
    <row r="235" ht="21.25" customHeight="1">
      <c r="A235" t="s" s="10">
        <v>531</v>
      </c>
      <c r="B235" t="s" s="125">
        <v>957</v>
      </c>
      <c r="C235" s="241"/>
      <c r="D235" s="241"/>
      <c r="E235" t="s" s="125">
        <f>_xlfn.IFERROR(AVERAGE(B235:D235),"—")</f>
        <v>957</v>
      </c>
      <c r="F235" t="s" s="125">
        <v>936</v>
      </c>
      <c r="G235" s="243">
        <v>3500000</v>
      </c>
      <c r="H235" t="s" s="125">
        <v>858</v>
      </c>
      <c r="I235" s="244"/>
    </row>
    <row r="236" ht="21.25" customHeight="1">
      <c r="A236" t="s" s="10">
        <v>385</v>
      </c>
      <c r="B236" s="241">
        <v>153</v>
      </c>
      <c r="C236" s="241"/>
      <c r="D236" s="241"/>
      <c r="E236" s="241">
        <f>_xlfn.IFERROR(AVERAGE(B236:D236),"—")</f>
        <v>153</v>
      </c>
      <c r="F236" t="s" s="125">
        <v>950</v>
      </c>
      <c r="G236" s="243">
        <v>5500000</v>
      </c>
      <c r="H236" t="s" s="125">
        <v>858</v>
      </c>
      <c r="I236" s="244"/>
    </row>
    <row r="237" ht="21.25" customHeight="1">
      <c r="A237" t="s" s="10">
        <v>336</v>
      </c>
      <c r="B237" s="241">
        <v>171.7</v>
      </c>
      <c r="C237" s="241"/>
      <c r="D237" s="241"/>
      <c r="E237" s="241">
        <f>_xlfn.IFERROR(AVERAGE(B237:D237),"—")</f>
        <v>171.7</v>
      </c>
      <c r="F237" t="s" s="125">
        <v>942</v>
      </c>
      <c r="G237" s="243">
        <v>2500000</v>
      </c>
      <c r="H237" t="s" s="125">
        <v>85</v>
      </c>
      <c r="I237" s="244"/>
    </row>
    <row r="238" ht="21.25" customHeight="1">
      <c r="A238" t="s" s="10">
        <v>545</v>
      </c>
      <c r="B238" s="241">
        <v>169</v>
      </c>
      <c r="C238" s="241"/>
      <c r="D238" s="241"/>
      <c r="E238" s="241">
        <f>_xlfn.IFERROR(AVERAGE(B238:D238),"—")</f>
        <v>169</v>
      </c>
      <c r="F238" t="s" s="125">
        <v>930</v>
      </c>
      <c r="G238" s="243">
        <v>3185000</v>
      </c>
      <c r="H238" t="s" s="125">
        <v>858</v>
      </c>
      <c r="I238" s="244"/>
    </row>
    <row r="239" ht="21.25" customHeight="1">
      <c r="A239" t="s" s="10">
        <v>409</v>
      </c>
      <c r="B239" t="s" s="125">
        <v>957</v>
      </c>
      <c r="C239" s="241"/>
      <c r="D239" s="241"/>
      <c r="E239" t="s" s="125">
        <f>_xlfn.IFERROR(AVERAGE(B239:D239),"—")</f>
        <v>957</v>
      </c>
      <c r="F239" t="s" s="125">
        <v>959</v>
      </c>
      <c r="G239" s="243">
        <v>8000000</v>
      </c>
      <c r="H239" t="s" s="125">
        <v>858</v>
      </c>
      <c r="I239" s="244"/>
    </row>
    <row r="240" ht="21.25" customHeight="1">
      <c r="A240" t="s" s="10">
        <v>436</v>
      </c>
      <c r="B240" t="s" s="125">
        <v>957</v>
      </c>
      <c r="C240" s="241"/>
      <c r="D240" s="241"/>
      <c r="E240" t="s" s="125">
        <f>_xlfn.IFERROR(AVERAGE(B240:D240),"—")</f>
        <v>957</v>
      </c>
      <c r="F240" t="s" s="125">
        <v>940</v>
      </c>
      <c r="G240" s="243">
        <v>3750000</v>
      </c>
      <c r="H240" t="s" s="125">
        <v>858</v>
      </c>
      <c r="I240" s="244"/>
    </row>
    <row r="241" ht="21.25" customHeight="1">
      <c r="A241" t="s" s="10">
        <v>573</v>
      </c>
      <c r="B241" t="s" s="125">
        <v>957</v>
      </c>
      <c r="C241" s="241"/>
      <c r="D241" s="241"/>
      <c r="E241" t="s" s="125">
        <f>_xlfn.IFERROR(AVERAGE(B241:D241),"—")</f>
        <v>957</v>
      </c>
      <c r="F241" t="s" s="125">
        <v>958</v>
      </c>
      <c r="G241" s="243">
        <v>844000</v>
      </c>
      <c r="H241" t="s" s="125">
        <v>858</v>
      </c>
      <c r="I241" s="244"/>
    </row>
    <row r="242" ht="21.25" customHeight="1">
      <c r="A242" t="s" s="10">
        <v>345</v>
      </c>
      <c r="B242" s="241">
        <v>83.09999999999999</v>
      </c>
      <c r="C242" s="241"/>
      <c r="D242" s="241"/>
      <c r="E242" s="241">
        <f>_xlfn.IFERROR(AVERAGE(B242:D242),"—")</f>
        <v>83.09999999999999</v>
      </c>
      <c r="F242" t="s" s="125">
        <v>949</v>
      </c>
      <c r="G242" s="243">
        <v>2000000</v>
      </c>
      <c r="H242" t="s" s="125">
        <v>858</v>
      </c>
      <c r="I242" s="244"/>
    </row>
    <row r="243" ht="21.25" customHeight="1">
      <c r="A243" t="s" s="10">
        <v>455</v>
      </c>
      <c r="B243" s="241">
        <v>175.3</v>
      </c>
      <c r="C243" s="241"/>
      <c r="D243" s="105"/>
      <c r="E243" s="241">
        <f>_xlfn.IFERROR(AVERAGE(B243:D243),"—")</f>
        <v>175.3</v>
      </c>
      <c r="F243" t="s" s="125">
        <v>942</v>
      </c>
      <c r="G243" s="243">
        <v>4750000</v>
      </c>
      <c r="H243" t="s" s="125">
        <v>858</v>
      </c>
      <c r="I243" s="244"/>
    </row>
    <row r="244" ht="21.25" customHeight="1">
      <c r="A244" t="s" s="10">
        <v>521</v>
      </c>
      <c r="B244" s="241">
        <v>162.8</v>
      </c>
      <c r="C244" s="241"/>
      <c r="D244" s="241"/>
      <c r="E244" s="241">
        <f>_xlfn.IFERROR(AVERAGE(B244:D244),"—")</f>
        <v>162.8</v>
      </c>
      <c r="F244" t="s" s="125">
        <v>945</v>
      </c>
      <c r="G244" s="243">
        <v>4500000</v>
      </c>
      <c r="H244" t="s" s="125">
        <v>858</v>
      </c>
      <c r="I244" s="244"/>
    </row>
    <row r="245" ht="21.25" customHeight="1">
      <c r="A245" t="s" s="10">
        <v>373</v>
      </c>
      <c r="B245" t="s" s="125">
        <v>957</v>
      </c>
      <c r="C245" s="241"/>
      <c r="D245" s="105"/>
      <c r="E245" t="s" s="125">
        <f>_xlfn.IFERROR(AVERAGE(B245:D245),"—")</f>
        <v>957</v>
      </c>
      <c r="F245" t="s" s="125">
        <v>955</v>
      </c>
      <c r="G245" s="243">
        <v>4000000</v>
      </c>
      <c r="H245" t="s" s="125">
        <v>858</v>
      </c>
      <c r="I245" s="244"/>
    </row>
    <row r="246" ht="21.25" customHeight="1">
      <c r="A246" t="s" s="10">
        <v>484</v>
      </c>
      <c r="B246" s="241">
        <v>158</v>
      </c>
      <c r="C246" s="241"/>
      <c r="D246" s="105"/>
      <c r="E246" s="241">
        <f>_xlfn.IFERROR(AVERAGE(B246:D246),"—")</f>
        <v>158</v>
      </c>
      <c r="F246" t="s" s="125">
        <v>949</v>
      </c>
      <c r="G246" s="243">
        <v>7750000</v>
      </c>
      <c r="H246" t="s" s="125">
        <v>858</v>
      </c>
      <c r="I246" s="244"/>
    </row>
    <row r="247" ht="21.25" customHeight="1">
      <c r="A247" t="s" s="10">
        <v>401</v>
      </c>
      <c r="B247" t="s" s="125">
        <v>957</v>
      </c>
      <c r="C247" s="241"/>
      <c r="D247" s="105"/>
      <c r="E247" t="s" s="125">
        <f>_xlfn.IFERROR(AVERAGE(B247:D247),"—")</f>
        <v>957</v>
      </c>
      <c r="F247" t="s" s="125">
        <v>959</v>
      </c>
      <c r="G247" s="243">
        <v>3250000</v>
      </c>
      <c r="H247" t="s" s="125">
        <v>858</v>
      </c>
      <c r="I247" s="244"/>
    </row>
    <row r="248" ht="21.25" customHeight="1">
      <c r="A248" t="s" s="10">
        <v>454</v>
      </c>
      <c r="B248" t="s" s="125">
        <v>957</v>
      </c>
      <c r="C248" s="241"/>
      <c r="D248" s="105"/>
      <c r="E248" t="s" s="125">
        <f>_xlfn.IFERROR(AVERAGE(B248:D248),"—")</f>
        <v>957</v>
      </c>
      <c r="F248" t="s" s="125">
        <v>926</v>
      </c>
      <c r="G248" s="243">
        <v>4500000</v>
      </c>
      <c r="H248" t="s" s="125">
        <v>858</v>
      </c>
      <c r="I248" s="244"/>
    </row>
    <row r="249" ht="21.25" customHeight="1">
      <c r="A249" t="s" s="10">
        <v>457</v>
      </c>
      <c r="B249" s="241">
        <v>164</v>
      </c>
      <c r="C249" s="241"/>
      <c r="D249" s="105"/>
      <c r="E249" s="241">
        <f>_xlfn.IFERROR(AVERAGE(B249:D249),"—")</f>
        <v>164</v>
      </c>
      <c r="F249" t="s" s="125">
        <v>937</v>
      </c>
      <c r="G249" s="243">
        <v>4500000</v>
      </c>
      <c r="H249" t="s" s="125">
        <v>858</v>
      </c>
      <c r="I249" s="244"/>
    </row>
    <row r="250" ht="21.25" customHeight="1">
      <c r="A250" t="s" s="10">
        <v>585</v>
      </c>
      <c r="B250" t="s" s="125">
        <v>957</v>
      </c>
      <c r="C250" s="241"/>
      <c r="D250" s="241"/>
      <c r="E250" t="s" s="125">
        <f>_xlfn.IFERROR(AVERAGE(B250:D250),"—")</f>
        <v>957</v>
      </c>
      <c r="F250" t="s" s="125">
        <v>947</v>
      </c>
      <c r="G250" s="243">
        <v>6000000</v>
      </c>
      <c r="H250" t="s" s="125">
        <v>858</v>
      </c>
      <c r="I250" s="244"/>
    </row>
    <row r="251" ht="21.25" customHeight="1">
      <c r="A251" t="s" s="10">
        <v>471</v>
      </c>
      <c r="B251" t="s" s="125">
        <v>957</v>
      </c>
      <c r="C251" s="241"/>
      <c r="D251" s="241"/>
      <c r="E251" t="s" s="125">
        <f>_xlfn.IFERROR(AVERAGE(B251:D251),"—")</f>
        <v>957</v>
      </c>
      <c r="F251" t="s" s="125">
        <v>944</v>
      </c>
      <c r="G251" s="243">
        <v>5800000</v>
      </c>
      <c r="H251" t="s" s="125">
        <v>858</v>
      </c>
      <c r="I251" s="244"/>
    </row>
    <row r="252" ht="21.25" customHeight="1">
      <c r="A252" t="s" s="10">
        <v>620</v>
      </c>
      <c r="B252" t="s" s="125">
        <v>957</v>
      </c>
      <c r="C252" s="241"/>
      <c r="D252" s="241"/>
      <c r="E252" t="s" s="125">
        <f>_xlfn.IFERROR(AVERAGE(B252:D252),"—")</f>
        <v>957</v>
      </c>
      <c r="F252" t="s" s="125">
        <v>942</v>
      </c>
      <c r="G252" s="243">
        <v>2000000</v>
      </c>
      <c r="H252" t="s" s="125">
        <v>858</v>
      </c>
      <c r="I252" s="244"/>
    </row>
    <row r="253" ht="21.25" customHeight="1">
      <c r="A253" t="s" s="10">
        <v>323</v>
      </c>
      <c r="B253" s="241">
        <v>175.5</v>
      </c>
      <c r="C253" s="241"/>
      <c r="D253" s="105"/>
      <c r="E253" s="241">
        <f>_xlfn.IFERROR(AVERAGE(B253:D253),"—")</f>
        <v>175.5</v>
      </c>
      <c r="F253" t="s" s="125">
        <v>956</v>
      </c>
      <c r="G253" s="243">
        <v>1450000</v>
      </c>
      <c r="H253" t="s" s="125">
        <v>858</v>
      </c>
      <c r="I253" s="244"/>
    </row>
    <row r="254" ht="21.25" customHeight="1">
      <c r="A254" t="s" s="10">
        <v>599</v>
      </c>
      <c r="B254" t="s" s="125">
        <v>957</v>
      </c>
      <c r="C254" s="241"/>
      <c r="D254" s="105"/>
      <c r="E254" t="s" s="125">
        <f>_xlfn.IFERROR(AVERAGE(B254:D254),"—")</f>
        <v>957</v>
      </c>
      <c r="F254" t="s" s="125">
        <v>938</v>
      </c>
      <c r="G254" t="s" s="125">
        <v>943</v>
      </c>
      <c r="H254" t="s" s="125">
        <v>858</v>
      </c>
      <c r="I254" s="244"/>
    </row>
    <row r="255" ht="21.25" customHeight="1">
      <c r="A255" t="s" s="10">
        <v>502</v>
      </c>
      <c r="B255" s="241">
        <v>167</v>
      </c>
      <c r="C255" s="241"/>
      <c r="D255" s="241"/>
      <c r="E255" s="241">
        <f>_xlfn.IFERROR(AVERAGE(B255:D255),"—")</f>
        <v>167</v>
      </c>
      <c r="F255" t="s" s="125">
        <v>958</v>
      </c>
      <c r="G255" s="243">
        <v>6242000</v>
      </c>
      <c r="H255" t="s" s="125">
        <v>858</v>
      </c>
      <c r="I255" s="244"/>
    </row>
    <row r="256" ht="21.25" customHeight="1">
      <c r="A256" t="s" s="10">
        <v>347</v>
      </c>
      <c r="B256" t="s" s="125">
        <v>957</v>
      </c>
      <c r="C256" s="241"/>
      <c r="D256" s="241"/>
      <c r="E256" t="s" s="125">
        <f>_xlfn.IFERROR(AVERAGE(B256:D256),"—")</f>
        <v>957</v>
      </c>
      <c r="F256" t="s" s="125">
        <v>928</v>
      </c>
      <c r="G256" s="243">
        <v>5250000</v>
      </c>
      <c r="H256" t="s" s="125">
        <v>858</v>
      </c>
      <c r="I256" s="244"/>
    </row>
    <row r="257" ht="21.25" customHeight="1">
      <c r="A257" t="s" s="10">
        <v>609</v>
      </c>
      <c r="B257" t="s" s="125">
        <v>957</v>
      </c>
      <c r="C257" s="241"/>
      <c r="D257" s="105"/>
      <c r="E257" t="s" s="125">
        <f>_xlfn.IFERROR(AVERAGE(B257:D257),"—")</f>
        <v>957</v>
      </c>
      <c r="F257" t="s" s="125">
        <v>929</v>
      </c>
      <c r="G257" s="243">
        <v>5500000</v>
      </c>
      <c r="H257" t="s" s="125">
        <v>858</v>
      </c>
      <c r="I257" s="244"/>
    </row>
    <row r="258" ht="21.25" customHeight="1">
      <c r="A258" t="s" s="10">
        <v>479</v>
      </c>
      <c r="B258" t="s" s="125">
        <v>957</v>
      </c>
      <c r="C258" s="241"/>
      <c r="D258" s="241"/>
      <c r="E258" t="s" s="125">
        <f>_xlfn.IFERROR(AVERAGE(B258:D258),"—")</f>
        <v>957</v>
      </c>
      <c r="F258" t="s" s="125">
        <v>933</v>
      </c>
      <c r="G258" s="243">
        <v>4000000</v>
      </c>
      <c r="H258" t="s" s="125">
        <v>858</v>
      </c>
      <c r="I258" s="244"/>
    </row>
    <row r="259" ht="21.25" customHeight="1">
      <c r="A259" t="s" s="10">
        <v>360</v>
      </c>
      <c r="B259" t="s" s="125">
        <v>957</v>
      </c>
      <c r="C259" s="241"/>
      <c r="D259" s="105"/>
      <c r="E259" t="s" s="125">
        <f>_xlfn.IFERROR(AVERAGE(B259:D259),"—")</f>
        <v>957</v>
      </c>
      <c r="F259" t="s" s="125">
        <v>941</v>
      </c>
      <c r="G259" s="243">
        <v>5000000</v>
      </c>
      <c r="H259" t="s" s="125">
        <v>858</v>
      </c>
      <c r="I259" s="244"/>
    </row>
    <row r="260" ht="21.25" customHeight="1">
      <c r="A260" t="s" s="10">
        <v>420</v>
      </c>
      <c r="B260" t="s" s="125">
        <v>957</v>
      </c>
      <c r="C260" s="241"/>
      <c r="D260" s="241"/>
      <c r="E260" t="s" s="125">
        <f>_xlfn.IFERROR(AVERAGE(B260:D260),"—")</f>
        <v>957</v>
      </c>
      <c r="F260" t="s" s="125">
        <v>927</v>
      </c>
      <c r="G260" s="243">
        <v>6250000</v>
      </c>
      <c r="H260" t="s" s="125">
        <v>858</v>
      </c>
      <c r="I260" s="244"/>
    </row>
    <row r="261" ht="21.25" customHeight="1">
      <c r="A261" t="s" s="10">
        <v>465</v>
      </c>
      <c r="B261" s="241">
        <v>142</v>
      </c>
      <c r="C261" s="241"/>
      <c r="D261" s="105"/>
      <c r="E261" s="241">
        <f>_xlfn.IFERROR(AVERAGE(B261:D261),"—")</f>
        <v>142</v>
      </c>
      <c r="F261" t="s" s="125">
        <v>949</v>
      </c>
      <c r="G261" s="243">
        <v>3600000</v>
      </c>
      <c r="H261" t="s" s="125">
        <v>83</v>
      </c>
      <c r="I261" s="244"/>
    </row>
    <row r="262" ht="21.25" customHeight="1">
      <c r="A262" t="s" s="10">
        <v>508</v>
      </c>
      <c r="B262" s="241">
        <v>190</v>
      </c>
      <c r="C262" s="241"/>
      <c r="D262" s="241"/>
      <c r="E262" s="241">
        <f>_xlfn.IFERROR(AVERAGE(B262:D262),"—")</f>
        <v>190</v>
      </c>
      <c r="F262" t="s" s="125">
        <v>934</v>
      </c>
      <c r="G262" s="243">
        <v>863333</v>
      </c>
      <c r="H262" t="s" s="125">
        <v>858</v>
      </c>
      <c r="I262" s="244"/>
    </row>
    <row r="263" ht="21.25" customHeight="1">
      <c r="A263" t="s" s="10">
        <v>378</v>
      </c>
      <c r="B263" t="s" s="125">
        <v>957</v>
      </c>
      <c r="C263" s="241"/>
      <c r="D263" s="105"/>
      <c r="E263" t="s" s="125">
        <f>_xlfn.IFERROR(AVERAGE(B263:D263),"—")</f>
        <v>957</v>
      </c>
      <c r="F263" t="s" s="125">
        <v>936</v>
      </c>
      <c r="G263" s="243">
        <v>2500000</v>
      </c>
      <c r="H263" t="s" s="125">
        <v>858</v>
      </c>
      <c r="I263" s="244"/>
    </row>
    <row r="264" ht="21.25" customHeight="1">
      <c r="A264" t="s" s="10">
        <v>395</v>
      </c>
      <c r="B264" s="241">
        <v>189</v>
      </c>
      <c r="C264" s="241"/>
      <c r="D264" s="105"/>
      <c r="E264" s="241">
        <f>_xlfn.IFERROR(AVERAGE(B264:D264),"—")</f>
        <v>189</v>
      </c>
      <c r="F264" t="s" s="125">
        <v>938</v>
      </c>
      <c r="G264" s="243">
        <v>4900000</v>
      </c>
      <c r="H264" t="s" s="125">
        <v>858</v>
      </c>
      <c r="I264" s="244"/>
    </row>
    <row r="265" ht="21.25" customHeight="1">
      <c r="A265" t="s" s="10">
        <v>540</v>
      </c>
      <c r="B265" t="s" s="125">
        <v>957</v>
      </c>
      <c r="C265" s="241"/>
      <c r="D265" s="241"/>
      <c r="E265" t="s" s="125">
        <f>_xlfn.IFERROR(AVERAGE(B265:D265),"—")</f>
        <v>957</v>
      </c>
      <c r="F265" t="s" s="125">
        <v>927</v>
      </c>
      <c r="G265" s="243">
        <v>6750000</v>
      </c>
      <c r="H265" t="s" s="125">
        <v>858</v>
      </c>
      <c r="I265" s="244"/>
    </row>
    <row r="266" ht="21.25" customHeight="1">
      <c r="A266" t="s" s="10">
        <v>537</v>
      </c>
      <c r="B266" t="s" s="125">
        <v>957</v>
      </c>
      <c r="C266" s="241"/>
      <c r="D266" s="105"/>
      <c r="E266" t="s" s="125">
        <f>_xlfn.IFERROR(AVERAGE(B266:D266),"—")</f>
        <v>957</v>
      </c>
      <c r="F266" t="s" s="125">
        <v>932</v>
      </c>
      <c r="G266" s="243">
        <v>5000000</v>
      </c>
      <c r="H266" t="s" s="125">
        <v>858</v>
      </c>
      <c r="I266" s="244"/>
    </row>
    <row r="267" ht="21.25" customHeight="1">
      <c r="A267" t="s" s="10">
        <v>539</v>
      </c>
      <c r="B267" t="s" s="125">
        <v>957</v>
      </c>
      <c r="C267" s="241"/>
      <c r="D267" s="105"/>
      <c r="E267" t="s" s="125">
        <f>_xlfn.IFERROR(AVERAGE(B267:D267),"—")</f>
        <v>957</v>
      </c>
      <c r="F267" t="s" s="125">
        <v>952</v>
      </c>
      <c r="G267" s="243">
        <v>3850000</v>
      </c>
      <c r="H267" t="s" s="125">
        <v>858</v>
      </c>
      <c r="I267" s="244"/>
    </row>
    <row r="268" ht="21.25" customHeight="1">
      <c r="A268" t="s" s="10">
        <v>439</v>
      </c>
      <c r="B268" t="s" s="125">
        <v>957</v>
      </c>
      <c r="C268" s="241"/>
      <c r="D268" s="241"/>
      <c r="E268" t="s" s="125">
        <f>_xlfn.IFERROR(AVERAGE(B268:D268),"—")</f>
        <v>957</v>
      </c>
      <c r="F268" t="s" s="125">
        <v>939</v>
      </c>
      <c r="G268" s="243">
        <v>5000000</v>
      </c>
      <c r="H268" t="s" s="125">
        <v>858</v>
      </c>
      <c r="I268" s="244"/>
    </row>
    <row r="269" ht="21.25" customHeight="1">
      <c r="A269" t="s" s="10">
        <v>523</v>
      </c>
      <c r="B269" t="s" s="125">
        <v>957</v>
      </c>
      <c r="C269" s="241"/>
      <c r="D269" s="105"/>
      <c r="E269" t="s" s="125">
        <f>_xlfn.IFERROR(AVERAGE(B269:D269),"—")</f>
        <v>957</v>
      </c>
      <c r="F269" t="s" s="125">
        <v>959</v>
      </c>
      <c r="G269" s="243">
        <v>5000000</v>
      </c>
      <c r="H269" t="s" s="125">
        <v>858</v>
      </c>
      <c r="I269" s="244"/>
    </row>
    <row r="270" ht="21.25" customHeight="1">
      <c r="A270" t="s" s="10">
        <v>325</v>
      </c>
      <c r="B270" s="241">
        <v>176</v>
      </c>
      <c r="C270" s="241"/>
      <c r="D270" s="241"/>
      <c r="E270" s="241">
        <f>_xlfn.IFERROR(AVERAGE(B270:D270),"—")</f>
        <v>176</v>
      </c>
      <c r="F270" t="s" s="125">
        <v>926</v>
      </c>
      <c r="G270" s="243">
        <v>2000000</v>
      </c>
      <c r="H270" t="s" s="125">
        <v>858</v>
      </c>
      <c r="I270" s="244"/>
    </row>
    <row r="271" ht="21.25" customHeight="1">
      <c r="A271" t="s" s="10">
        <v>510</v>
      </c>
      <c r="B271" t="s" s="125">
        <v>957</v>
      </c>
      <c r="C271" s="241"/>
      <c r="D271" s="241"/>
      <c r="E271" t="s" s="125">
        <f>_xlfn.IFERROR(AVERAGE(B271:D271),"—")</f>
        <v>957</v>
      </c>
      <c r="F271" t="s" s="125">
        <v>952</v>
      </c>
      <c r="G271" s="243">
        <v>5500000</v>
      </c>
      <c r="H271" t="s" s="125">
        <v>858</v>
      </c>
      <c r="I271" s="244"/>
    </row>
    <row r="272" ht="21.25" customHeight="1">
      <c r="A272" t="s" s="10">
        <v>566</v>
      </c>
      <c r="B272" t="s" s="125">
        <v>957</v>
      </c>
      <c r="C272" s="241"/>
      <c r="D272" s="241"/>
      <c r="E272" t="s" s="125">
        <f>_xlfn.IFERROR(AVERAGE(B272:D272),"—")</f>
        <v>957</v>
      </c>
      <c r="F272" t="s" s="125">
        <v>925</v>
      </c>
      <c r="G272" s="243">
        <v>5750000</v>
      </c>
      <c r="H272" t="s" s="125">
        <v>858</v>
      </c>
      <c r="I272" s="244"/>
    </row>
    <row r="273" ht="21.25" customHeight="1">
      <c r="A273" t="s" s="10">
        <v>443</v>
      </c>
      <c r="B273" t="s" s="125">
        <v>957</v>
      </c>
      <c r="C273" s="241"/>
      <c r="D273" s="241"/>
      <c r="E273" t="s" s="125">
        <f>_xlfn.IFERROR(AVERAGE(B273:D273),"—")</f>
        <v>957</v>
      </c>
      <c r="F273" t="s" s="125">
        <v>956</v>
      </c>
      <c r="G273" s="243">
        <v>863333</v>
      </c>
      <c r="H273" t="s" s="125">
        <v>858</v>
      </c>
      <c r="I273" s="244"/>
    </row>
    <row r="274" ht="21.25" customHeight="1">
      <c r="A274" t="s" s="10">
        <v>363</v>
      </c>
      <c r="B274" t="s" s="125">
        <v>957</v>
      </c>
      <c r="C274" s="241"/>
      <c r="D274" s="241"/>
      <c r="E274" t="s" s="125">
        <f>_xlfn.IFERROR(AVERAGE(B274:D274),"—")</f>
        <v>957</v>
      </c>
      <c r="F274" t="s" s="125">
        <v>956</v>
      </c>
      <c r="G274" s="243">
        <v>2700000</v>
      </c>
      <c r="H274" t="s" s="125">
        <v>858</v>
      </c>
      <c r="I274" s="244"/>
    </row>
    <row r="275" ht="21.25" customHeight="1">
      <c r="A275" t="s" s="10">
        <v>584</v>
      </c>
      <c r="B275" t="s" s="125">
        <v>957</v>
      </c>
      <c r="C275" s="241"/>
      <c r="D275" s="241"/>
      <c r="E275" t="s" s="125">
        <f>_xlfn.IFERROR(AVERAGE(B275:D275),"—")</f>
        <v>957</v>
      </c>
      <c r="F275" t="s" s="125">
        <v>948</v>
      </c>
      <c r="G275" s="243">
        <v>6500000</v>
      </c>
      <c r="H275" t="s" s="125">
        <v>858</v>
      </c>
      <c r="I275" s="244"/>
    </row>
    <row r="276" ht="21.25" customHeight="1">
      <c r="A276" t="s" s="10">
        <v>354</v>
      </c>
      <c r="B276" t="s" s="125">
        <v>957</v>
      </c>
      <c r="C276" s="241"/>
      <c r="D276" s="241"/>
      <c r="E276" t="s" s="125">
        <f>_xlfn.IFERROR(AVERAGE(B276:D276),"—")</f>
        <v>957</v>
      </c>
      <c r="F276" t="s" s="125">
        <v>941</v>
      </c>
      <c r="G276" s="243">
        <v>2850000</v>
      </c>
      <c r="H276" t="s" s="125">
        <v>858</v>
      </c>
      <c r="I276" s="244"/>
    </row>
    <row r="277" ht="21.25" customHeight="1">
      <c r="A277" t="s" s="10">
        <v>384</v>
      </c>
      <c r="B277" s="241">
        <v>168</v>
      </c>
      <c r="C277" s="241"/>
      <c r="D277" s="105"/>
      <c r="E277" s="241">
        <f>_xlfn.IFERROR(AVERAGE(B277:D277),"—")</f>
        <v>168</v>
      </c>
      <c r="F277" t="s" s="125">
        <v>931</v>
      </c>
      <c r="G277" s="243">
        <v>2200000</v>
      </c>
      <c r="H277" t="s" s="125">
        <v>858</v>
      </c>
      <c r="I277" s="244"/>
    </row>
    <row r="278" ht="21.25" customHeight="1">
      <c r="A278" t="s" s="10">
        <v>469</v>
      </c>
      <c r="B278" t="s" s="125">
        <v>957</v>
      </c>
      <c r="C278" s="241"/>
      <c r="D278" s="241"/>
      <c r="E278" t="s" s="125">
        <f>_xlfn.IFERROR(AVERAGE(B278:D278),"—")</f>
        <v>957</v>
      </c>
      <c r="F278" t="s" s="125">
        <v>956</v>
      </c>
      <c r="G278" s="243">
        <v>2100000</v>
      </c>
      <c r="H278" t="s" s="125">
        <v>858</v>
      </c>
      <c r="I278" s="244"/>
    </row>
    <row r="279" ht="21.25" customHeight="1">
      <c r="A279" t="s" s="10">
        <v>494</v>
      </c>
      <c r="B279" t="s" s="125">
        <v>957</v>
      </c>
      <c r="C279" s="241"/>
      <c r="D279" s="241"/>
      <c r="E279" t="s" s="125">
        <f>_xlfn.IFERROR(AVERAGE(B279:D279),"—")</f>
        <v>957</v>
      </c>
      <c r="F279" t="s" s="125">
        <v>926</v>
      </c>
      <c r="G279" s="243">
        <v>3000000</v>
      </c>
      <c r="H279" t="s" s="125">
        <v>858</v>
      </c>
      <c r="I279" s="244"/>
    </row>
    <row r="280" ht="21.25" customHeight="1">
      <c r="A280" t="s" s="10">
        <v>525</v>
      </c>
      <c r="B280" t="s" s="125">
        <v>957</v>
      </c>
      <c r="C280" s="241"/>
      <c r="D280" s="105"/>
      <c r="E280" t="s" s="125">
        <f>_xlfn.IFERROR(AVERAGE(B280:D280),"—")</f>
        <v>957</v>
      </c>
      <c r="F280" t="s" s="125">
        <v>956</v>
      </c>
      <c r="G280" s="243">
        <v>5000000</v>
      </c>
      <c r="H280" t="s" s="125">
        <v>858</v>
      </c>
      <c r="I280" s="244"/>
    </row>
    <row r="281" ht="21.25" customHeight="1">
      <c r="A281" t="s" s="10">
        <v>550</v>
      </c>
      <c r="B281" s="241">
        <v>147.4</v>
      </c>
      <c r="C281" s="241"/>
      <c r="D281" s="105"/>
      <c r="E281" s="241">
        <f>_xlfn.IFERROR(AVERAGE(B281:D281),"—")</f>
        <v>147.4</v>
      </c>
      <c r="F281" t="s" s="125">
        <v>934</v>
      </c>
      <c r="G281" s="243">
        <v>3850000</v>
      </c>
      <c r="H281" t="s" s="125">
        <v>858</v>
      </c>
      <c r="I281" s="244"/>
    </row>
    <row r="282" ht="21.25" customHeight="1">
      <c r="A282" t="s" s="10">
        <v>371</v>
      </c>
      <c r="B282" s="241">
        <v>161</v>
      </c>
      <c r="C282" s="241"/>
      <c r="D282" s="241"/>
      <c r="E282" s="241">
        <f>_xlfn.IFERROR(AVERAGE(B282:D282),"—")</f>
        <v>161</v>
      </c>
      <c r="F282" t="s" s="125">
        <v>945</v>
      </c>
      <c r="G282" s="243">
        <v>850000</v>
      </c>
      <c r="H282" t="s" s="125">
        <v>858</v>
      </c>
      <c r="I282" s="244"/>
    </row>
    <row r="283" ht="21.25" customHeight="1">
      <c r="A283" t="s" s="10">
        <v>522</v>
      </c>
      <c r="B283" t="s" s="125">
        <v>957</v>
      </c>
      <c r="C283" s="241"/>
      <c r="D283" s="241"/>
      <c r="E283" t="s" s="125">
        <f>_xlfn.IFERROR(AVERAGE(B283:D283),"—")</f>
        <v>957</v>
      </c>
      <c r="F283" t="s" s="125">
        <v>930</v>
      </c>
      <c r="G283" s="243">
        <v>3750000</v>
      </c>
      <c r="H283" t="s" s="125">
        <v>858</v>
      </c>
      <c r="I283" s="244"/>
    </row>
    <row r="284" ht="21.25" customHeight="1">
      <c r="A284" t="s" s="10">
        <v>565</v>
      </c>
      <c r="B284" t="s" s="125">
        <v>957</v>
      </c>
      <c r="C284" s="241"/>
      <c r="D284" s="105"/>
      <c r="E284" t="s" s="125">
        <f>_xlfn.IFERROR(AVERAGE(B284:D284),"—")</f>
        <v>957</v>
      </c>
      <c r="F284" t="s" s="125">
        <v>950</v>
      </c>
      <c r="G284" s="243">
        <v>5875000</v>
      </c>
      <c r="H284" t="s" s="125">
        <v>858</v>
      </c>
      <c r="I284" s="244"/>
    </row>
    <row r="285" ht="21.25" customHeight="1">
      <c r="A285" t="s" s="10">
        <v>405</v>
      </c>
      <c r="B285" s="241">
        <v>172</v>
      </c>
      <c r="C285" s="241"/>
      <c r="D285" s="105"/>
      <c r="E285" s="241">
        <f>_xlfn.IFERROR(AVERAGE(B285:D285),"—")</f>
        <v>172</v>
      </c>
      <c r="F285" t="s" s="125">
        <v>928</v>
      </c>
      <c r="G285" s="243">
        <v>5000000</v>
      </c>
      <c r="H285" t="s" s="125">
        <v>858</v>
      </c>
      <c r="I285" s="244"/>
    </row>
    <row r="286" ht="21.25" customHeight="1">
      <c r="A286" t="s" s="10">
        <v>575</v>
      </c>
      <c r="B286" s="241">
        <v>187</v>
      </c>
      <c r="C286" s="241"/>
      <c r="D286" s="241"/>
      <c r="E286" s="241">
        <f>_xlfn.IFERROR(AVERAGE(B286:D286),"—")</f>
        <v>187</v>
      </c>
      <c r="F286" t="s" s="125">
        <v>932</v>
      </c>
      <c r="G286" s="243">
        <v>3000000</v>
      </c>
      <c r="H286" t="s" s="125">
        <v>858</v>
      </c>
      <c r="I286" s="244"/>
    </row>
    <row r="287" ht="21.25" customHeight="1">
      <c r="A287" t="s" s="10">
        <v>344</v>
      </c>
      <c r="B287" t="s" s="125">
        <v>957</v>
      </c>
      <c r="C287" s="241"/>
      <c r="D287" s="241"/>
      <c r="E287" t="s" s="125">
        <f>_xlfn.IFERROR(AVERAGE(B287:D287),"—")</f>
        <v>957</v>
      </c>
      <c r="F287" t="s" s="125">
        <v>955</v>
      </c>
      <c r="G287" s="243">
        <v>3475000</v>
      </c>
      <c r="H287" t="s" s="125">
        <v>858</v>
      </c>
      <c r="I287" s="244"/>
    </row>
    <row r="288" ht="21.25" customHeight="1">
      <c r="A288" t="s" s="10">
        <v>513</v>
      </c>
      <c r="B288" t="s" s="125">
        <v>957</v>
      </c>
      <c r="C288" s="241"/>
      <c r="D288" s="105"/>
      <c r="E288" t="s" s="125">
        <f>_xlfn.IFERROR(AVERAGE(B288:D288),"—")</f>
        <v>957</v>
      </c>
      <c r="F288" t="s" s="125">
        <v>939</v>
      </c>
      <c r="G288" s="243">
        <v>4500000</v>
      </c>
      <c r="H288" t="s" s="125">
        <v>858</v>
      </c>
      <c r="I288" s="244"/>
    </row>
    <row r="289" ht="21.25" customHeight="1">
      <c r="A289" t="s" s="10">
        <v>659</v>
      </c>
      <c r="B289" t="s" s="125">
        <v>957</v>
      </c>
      <c r="C289" s="241"/>
      <c r="D289" s="105"/>
      <c r="E289" t="s" s="125">
        <f>_xlfn.IFERROR(AVERAGE(B289:D289),"—")</f>
        <v>957</v>
      </c>
      <c r="F289" t="s" s="125">
        <v>956</v>
      </c>
      <c r="G289" s="243">
        <v>2300000</v>
      </c>
      <c r="H289" t="s" s="125">
        <v>83</v>
      </c>
      <c r="I289" s="244"/>
    </row>
    <row r="290" ht="21.25" customHeight="1">
      <c r="A290" t="s" s="10">
        <v>396</v>
      </c>
      <c r="B290" s="241">
        <v>138.3</v>
      </c>
      <c r="C290" s="241"/>
      <c r="D290" s="105"/>
      <c r="E290" s="241">
        <f>_xlfn.IFERROR(AVERAGE(B290:D290),"—")</f>
        <v>138.3</v>
      </c>
      <c r="F290" t="s" s="125">
        <v>926</v>
      </c>
      <c r="G290" s="243">
        <v>2500000</v>
      </c>
      <c r="H290" t="s" s="125">
        <v>858</v>
      </c>
      <c r="I290" s="244"/>
    </row>
    <row r="291" ht="21.25" customHeight="1">
      <c r="A291" t="s" s="10">
        <v>364</v>
      </c>
      <c r="B291" s="241">
        <v>191</v>
      </c>
      <c r="C291" s="241"/>
      <c r="D291" s="241"/>
      <c r="E291" s="241">
        <f>_xlfn.IFERROR(AVERAGE(B291:D291),"—")</f>
        <v>191</v>
      </c>
      <c r="F291" t="s" s="125">
        <v>958</v>
      </c>
      <c r="G291" s="243">
        <v>6400000</v>
      </c>
      <c r="H291" t="s" s="125">
        <v>858</v>
      </c>
      <c r="I291" s="244"/>
    </row>
    <row r="292" ht="21.25" customHeight="1">
      <c r="A292" t="s" s="10">
        <v>680</v>
      </c>
      <c r="B292" t="s" s="125">
        <v>957</v>
      </c>
      <c r="C292" s="241"/>
      <c r="D292" s="105"/>
      <c r="E292" t="s" s="125">
        <f>_xlfn.IFERROR(AVERAGE(B292:D292),"—")</f>
        <v>957</v>
      </c>
      <c r="F292" t="s" s="125">
        <v>932</v>
      </c>
      <c r="G292" s="243">
        <v>775000</v>
      </c>
      <c r="H292" t="s" s="125">
        <v>858</v>
      </c>
      <c r="I292" s="244"/>
    </row>
    <row r="293" ht="21.25" customHeight="1">
      <c r="A293" t="s" s="10">
        <v>526</v>
      </c>
      <c r="B293" t="s" s="125">
        <v>957</v>
      </c>
      <c r="C293" s="241"/>
      <c r="D293" s="241"/>
      <c r="E293" t="s" s="125">
        <f>_xlfn.IFERROR(AVERAGE(B293:D293),"—")</f>
        <v>957</v>
      </c>
      <c r="F293" t="s" s="125">
        <v>936</v>
      </c>
      <c r="G293" s="243">
        <v>5750000</v>
      </c>
      <c r="H293" t="s" s="125">
        <v>858</v>
      </c>
      <c r="I293" s="244"/>
    </row>
    <row r="294" ht="21.25" customHeight="1">
      <c r="A294" t="s" s="10">
        <v>440</v>
      </c>
      <c r="B294" t="s" s="125">
        <v>957</v>
      </c>
      <c r="C294" s="241"/>
      <c r="D294" s="105"/>
      <c r="E294" t="s" s="125">
        <f>_xlfn.IFERROR(AVERAGE(B294:D294),"—")</f>
        <v>957</v>
      </c>
      <c r="F294" t="s" s="125">
        <v>928</v>
      </c>
      <c r="G294" s="243">
        <v>2000000</v>
      </c>
      <c r="H294" t="s" s="125">
        <v>858</v>
      </c>
      <c r="I294" s="244"/>
    </row>
    <row r="295" ht="21.25" customHeight="1">
      <c r="A295" t="s" s="10">
        <v>606</v>
      </c>
      <c r="B295" t="s" s="125">
        <v>957</v>
      </c>
      <c r="C295" s="241"/>
      <c r="D295" s="241"/>
      <c r="E295" t="s" s="125">
        <f>_xlfn.IFERROR(AVERAGE(B295:D295),"—")</f>
        <v>957</v>
      </c>
      <c r="F295" t="s" s="125">
        <v>948</v>
      </c>
      <c r="G295" s="243">
        <v>4580917</v>
      </c>
      <c r="H295" t="s" s="125">
        <v>858</v>
      </c>
      <c r="I295" s="244"/>
    </row>
    <row r="296" ht="21.25" customHeight="1">
      <c r="A296" t="s" s="10">
        <v>408</v>
      </c>
      <c r="B296" t="s" s="125">
        <v>957</v>
      </c>
      <c r="C296" s="241"/>
      <c r="D296" s="241"/>
      <c r="E296" t="s" s="125">
        <f>_xlfn.IFERROR(AVERAGE(B296:D296),"—")</f>
        <v>957</v>
      </c>
      <c r="F296" t="s" s="125">
        <v>942</v>
      </c>
      <c r="G296" s="243">
        <v>4750000</v>
      </c>
      <c r="H296" t="s" s="125">
        <v>858</v>
      </c>
      <c r="I296" s="244"/>
    </row>
    <row r="297" ht="21.25" customHeight="1">
      <c r="A297" t="s" s="10">
        <v>551</v>
      </c>
      <c r="B297" t="s" s="125">
        <v>957</v>
      </c>
      <c r="C297" s="241"/>
      <c r="D297" s="241"/>
      <c r="E297" t="s" s="125">
        <f>_xlfn.IFERROR(AVERAGE(B297:D297),"—")</f>
        <v>957</v>
      </c>
      <c r="F297" t="s" s="125">
        <v>925</v>
      </c>
      <c r="G297" s="243">
        <v>5000000</v>
      </c>
      <c r="H297" t="s" s="125">
        <v>858</v>
      </c>
      <c r="I297" s="244"/>
    </row>
    <row r="298" ht="21.25" customHeight="1">
      <c r="A298" t="s" s="10">
        <v>278</v>
      </c>
      <c r="B298" s="241">
        <v>158.9</v>
      </c>
      <c r="C298" s="241"/>
      <c r="D298" s="105"/>
      <c r="E298" s="241">
        <f>_xlfn.IFERROR(AVERAGE(B298:D298),"—")</f>
        <v>158.9</v>
      </c>
      <c r="F298" t="s" s="125">
        <v>958</v>
      </c>
      <c r="G298" s="243">
        <v>4000000</v>
      </c>
      <c r="H298" t="s" s="125">
        <v>858</v>
      </c>
      <c r="I298" s="244"/>
    </row>
    <row r="299" ht="21.25" customHeight="1">
      <c r="A299" t="s" s="10">
        <v>444</v>
      </c>
      <c r="B299" t="s" s="125">
        <v>957</v>
      </c>
      <c r="C299" s="241"/>
      <c r="D299" s="105"/>
      <c r="E299" t="s" s="125">
        <f>_xlfn.IFERROR(AVERAGE(B299:D299),"—")</f>
        <v>957</v>
      </c>
      <c r="F299" t="s" s="125">
        <v>955</v>
      </c>
      <c r="G299" s="243">
        <v>4600000</v>
      </c>
      <c r="H299" t="s" s="125">
        <v>858</v>
      </c>
      <c r="I299" s="244"/>
    </row>
    <row r="300" ht="21.25" customHeight="1">
      <c r="A300" t="s" s="10">
        <v>475</v>
      </c>
      <c r="B300" t="s" s="125">
        <v>957</v>
      </c>
      <c r="C300" s="241"/>
      <c r="D300" s="105"/>
      <c r="E300" t="s" s="125">
        <f>_xlfn.IFERROR(AVERAGE(B300:D300),"—")</f>
        <v>957</v>
      </c>
      <c r="F300" t="s" s="125">
        <v>954</v>
      </c>
      <c r="G300" s="243">
        <v>3500000</v>
      </c>
      <c r="H300" t="s" s="125">
        <v>858</v>
      </c>
      <c r="I300" s="244"/>
    </row>
    <row r="301" ht="21.25" customHeight="1">
      <c r="A301" t="s" s="10">
        <v>463</v>
      </c>
      <c r="B301" t="s" s="125">
        <v>957</v>
      </c>
      <c r="C301" s="241"/>
      <c r="D301" s="105"/>
      <c r="E301" t="s" s="125">
        <f>_xlfn.IFERROR(AVERAGE(B301:D301),"—")</f>
        <v>957</v>
      </c>
      <c r="F301" t="s" s="125">
        <v>955</v>
      </c>
      <c r="G301" s="243">
        <v>6250000</v>
      </c>
      <c r="H301" t="s" s="125">
        <v>858</v>
      </c>
      <c r="I301" s="244"/>
    </row>
    <row r="302" ht="21.25" customHeight="1">
      <c r="A302" t="s" s="10">
        <v>501</v>
      </c>
      <c r="B302" s="241">
        <v>183</v>
      </c>
      <c r="C302" s="241"/>
      <c r="D302" s="105"/>
      <c r="E302" s="241">
        <f>_xlfn.IFERROR(AVERAGE(B302:D302),"—")</f>
        <v>183</v>
      </c>
      <c r="F302" t="s" s="125">
        <v>937</v>
      </c>
      <c r="G302" s="243">
        <v>814000</v>
      </c>
      <c r="H302" t="s" s="125">
        <v>858</v>
      </c>
      <c r="I302" s="244"/>
    </row>
    <row r="303" ht="21.25" customHeight="1">
      <c r="A303" t="s" s="10">
        <v>553</v>
      </c>
      <c r="B303" t="s" s="125">
        <v>957</v>
      </c>
      <c r="C303" s="241"/>
      <c r="D303" s="105"/>
      <c r="E303" t="s" s="125">
        <f>_xlfn.IFERROR(AVERAGE(B303:D303),"—")</f>
        <v>957</v>
      </c>
      <c r="F303" t="s" s="125">
        <v>942</v>
      </c>
      <c r="G303" s="243">
        <v>5100000</v>
      </c>
      <c r="H303" t="s" s="125">
        <v>858</v>
      </c>
      <c r="I303" s="244"/>
    </row>
    <row r="304" ht="21.25" customHeight="1">
      <c r="A304" t="s" s="10">
        <v>504</v>
      </c>
      <c r="B304" t="s" s="125">
        <v>957</v>
      </c>
      <c r="C304" s="241"/>
      <c r="D304" s="241"/>
      <c r="E304" t="s" s="125">
        <f>_xlfn.IFERROR(AVERAGE(B304:D304),"—")</f>
        <v>957</v>
      </c>
      <c r="F304" t="s" s="125">
        <v>959</v>
      </c>
      <c r="G304" s="243">
        <v>3250000</v>
      </c>
      <c r="H304" t="s" s="125">
        <v>858</v>
      </c>
      <c r="I304" s="244"/>
    </row>
    <row r="305" ht="21.25" customHeight="1">
      <c r="A305" t="s" s="10">
        <v>660</v>
      </c>
      <c r="B305" t="s" s="125">
        <v>957</v>
      </c>
      <c r="C305" s="241"/>
      <c r="D305" s="241"/>
      <c r="E305" t="s" s="125">
        <f>_xlfn.IFERROR(AVERAGE(B305:D305),"—")</f>
        <v>957</v>
      </c>
      <c r="F305" t="s" s="125">
        <v>948</v>
      </c>
      <c r="G305" s="243">
        <v>4500000</v>
      </c>
      <c r="H305" t="s" s="125">
        <v>858</v>
      </c>
      <c r="I305" s="244"/>
    </row>
    <row r="306" ht="21.25" customHeight="1">
      <c r="A306" t="s" s="10">
        <v>528</v>
      </c>
      <c r="B306" t="s" s="125">
        <v>957</v>
      </c>
      <c r="C306" s="241"/>
      <c r="D306" s="105"/>
      <c r="E306" t="s" s="125">
        <f>_xlfn.IFERROR(AVERAGE(B306:D306),"—")</f>
        <v>957</v>
      </c>
      <c r="F306" t="s" s="125">
        <v>959</v>
      </c>
      <c r="G306" s="243">
        <v>1450000</v>
      </c>
      <c r="H306" t="s" s="125">
        <v>858</v>
      </c>
      <c r="I306" s="244"/>
    </row>
    <row r="307" ht="21.25" customHeight="1">
      <c r="A307" t="s" s="10">
        <v>497</v>
      </c>
      <c r="B307" t="s" s="125">
        <v>957</v>
      </c>
      <c r="C307" s="241"/>
      <c r="D307" s="105"/>
      <c r="E307" t="s" s="125">
        <f>_xlfn.IFERROR(AVERAGE(B307:D307),"—")</f>
        <v>957</v>
      </c>
      <c r="F307" t="s" s="125">
        <v>935</v>
      </c>
      <c r="G307" s="243">
        <v>3000000</v>
      </c>
      <c r="H307" t="s" s="125">
        <v>858</v>
      </c>
      <c r="I307" s="244"/>
    </row>
    <row r="308" ht="21.25" customHeight="1">
      <c r="A308" t="s" s="10">
        <v>442</v>
      </c>
      <c r="B308" t="s" s="125">
        <v>957</v>
      </c>
      <c r="C308" s="241"/>
      <c r="D308" s="105"/>
      <c r="E308" t="s" s="125">
        <f>_xlfn.IFERROR(AVERAGE(B308:D308),"—")</f>
        <v>957</v>
      </c>
      <c r="F308" t="s" s="125">
        <v>936</v>
      </c>
      <c r="G308" s="243">
        <v>7000000</v>
      </c>
      <c r="H308" t="s" s="125">
        <v>858</v>
      </c>
      <c r="I308" s="244"/>
    </row>
    <row r="309" ht="21.25" customHeight="1">
      <c r="A309" t="s" s="10">
        <v>493</v>
      </c>
      <c r="B309" t="s" s="125">
        <v>957</v>
      </c>
      <c r="C309" s="241"/>
      <c r="D309" s="241"/>
      <c r="E309" t="s" s="125">
        <f>_xlfn.IFERROR(AVERAGE(B309:D309),"—")</f>
        <v>957</v>
      </c>
      <c r="F309" t="s" s="125">
        <v>924</v>
      </c>
      <c r="G309" s="243">
        <v>3000000</v>
      </c>
      <c r="H309" t="s" s="125">
        <v>858</v>
      </c>
      <c r="I309" s="244"/>
    </row>
    <row r="310" ht="21.25" customHeight="1">
      <c r="A310" t="s" s="10">
        <v>632</v>
      </c>
      <c r="B310" t="s" s="125">
        <v>957</v>
      </c>
      <c r="C310" s="241"/>
      <c r="D310" s="241"/>
      <c r="E310" t="s" s="125">
        <f>_xlfn.IFERROR(AVERAGE(B310:D310),"—")</f>
        <v>957</v>
      </c>
      <c r="F310" t="s" s="125">
        <v>930</v>
      </c>
      <c r="G310" s="243">
        <v>3500000</v>
      </c>
      <c r="H310" t="s" s="125">
        <v>83</v>
      </c>
      <c r="I310" s="244"/>
    </row>
    <row r="311" ht="21.25" customHeight="1">
      <c r="A311" t="s" s="10">
        <v>552</v>
      </c>
      <c r="B311" t="s" s="125">
        <v>957</v>
      </c>
      <c r="C311" s="241"/>
      <c r="D311" s="241"/>
      <c r="E311" t="s" s="125">
        <f>_xlfn.IFERROR(AVERAGE(B311:D311),"—")</f>
        <v>957</v>
      </c>
      <c r="F311" t="s" s="125">
        <v>952</v>
      </c>
      <c r="G311" s="243">
        <v>925000</v>
      </c>
      <c r="H311" t="s" s="125">
        <v>858</v>
      </c>
      <c r="I311" s="244"/>
    </row>
    <row r="312" ht="21.25" customHeight="1">
      <c r="A312" t="s" s="10">
        <v>434</v>
      </c>
      <c r="B312" t="s" s="125">
        <v>957</v>
      </c>
      <c r="C312" s="241"/>
      <c r="D312" s="105"/>
      <c r="E312" t="s" s="125">
        <f>_xlfn.IFERROR(AVERAGE(B312:D312),"—")</f>
        <v>957</v>
      </c>
      <c r="F312" t="s" s="125">
        <v>942</v>
      </c>
      <c r="G312" s="243">
        <v>2343750</v>
      </c>
      <c r="H312" t="s" s="125">
        <v>858</v>
      </c>
      <c r="I312" s="244"/>
    </row>
    <row r="313" ht="21.25" customHeight="1">
      <c r="A313" t="s" s="10">
        <v>377</v>
      </c>
      <c r="B313" s="241">
        <v>175.5</v>
      </c>
      <c r="C313" s="241"/>
      <c r="D313" s="241"/>
      <c r="E313" s="241">
        <f>_xlfn.IFERROR(AVERAGE(B313:D313),"—")</f>
        <v>175.5</v>
      </c>
      <c r="F313" t="s" s="125">
        <v>951</v>
      </c>
      <c r="G313" s="243">
        <v>4300000</v>
      </c>
      <c r="H313" t="s" s="125">
        <v>858</v>
      </c>
      <c r="I313" s="244"/>
    </row>
    <row r="314" ht="21.25" customHeight="1">
      <c r="A314" t="s" s="10">
        <v>398</v>
      </c>
      <c r="B314" t="s" s="125">
        <v>957</v>
      </c>
      <c r="C314" s="241"/>
      <c r="D314" s="241"/>
      <c r="E314" t="s" s="125">
        <f>_xlfn.IFERROR(AVERAGE(B314:D314),"—")</f>
        <v>957</v>
      </c>
      <c r="F314" t="s" s="125">
        <v>947</v>
      </c>
      <c r="G314" s="243">
        <v>4250000</v>
      </c>
      <c r="H314" t="s" s="125">
        <v>858</v>
      </c>
      <c r="I314" s="244"/>
    </row>
    <row r="315" ht="21.25" customHeight="1">
      <c r="A315" t="s" s="10">
        <v>591</v>
      </c>
      <c r="B315" t="s" s="125">
        <v>957</v>
      </c>
      <c r="C315" s="241"/>
      <c r="D315" s="241"/>
      <c r="E315" t="s" s="125">
        <f>_xlfn.IFERROR(AVERAGE(B315:D315),"—")</f>
        <v>957</v>
      </c>
      <c r="F315" t="s" s="125">
        <v>947</v>
      </c>
      <c r="G315" s="243">
        <v>4600000</v>
      </c>
      <c r="H315" t="s" s="125">
        <v>858</v>
      </c>
      <c r="I315" s="244"/>
    </row>
    <row r="316" ht="21.25" customHeight="1">
      <c r="A316" t="s" s="10">
        <v>628</v>
      </c>
      <c r="B316" t="s" s="125">
        <v>957</v>
      </c>
      <c r="C316" s="241"/>
      <c r="D316" s="241"/>
      <c r="E316" t="s" s="125">
        <f>_xlfn.IFERROR(AVERAGE(B316:D316),"—")</f>
        <v>957</v>
      </c>
      <c r="F316" t="s" s="125">
        <v>934</v>
      </c>
      <c r="G316" s="243">
        <v>950000</v>
      </c>
      <c r="H316" t="s" s="125">
        <v>858</v>
      </c>
      <c r="I316" s="244"/>
    </row>
    <row r="317" ht="21.25" customHeight="1">
      <c r="A317" t="s" s="10">
        <v>577</v>
      </c>
      <c r="B317" t="s" s="125">
        <v>957</v>
      </c>
      <c r="C317" s="241"/>
      <c r="D317" s="241"/>
      <c r="E317" t="s" s="125">
        <f>_xlfn.IFERROR(AVERAGE(B317:D317),"—")</f>
        <v>957</v>
      </c>
      <c r="F317" t="s" s="125">
        <v>931</v>
      </c>
      <c r="G317" s="243">
        <v>3750000</v>
      </c>
      <c r="H317" t="s" s="125">
        <v>858</v>
      </c>
      <c r="I317" s="244"/>
    </row>
    <row r="318" ht="21.25" customHeight="1">
      <c r="A318" t="s" s="10">
        <v>691</v>
      </c>
      <c r="B318" t="s" s="125">
        <v>957</v>
      </c>
      <c r="C318" s="241"/>
      <c r="D318" s="241"/>
      <c r="E318" t="s" s="125">
        <f>_xlfn.IFERROR(AVERAGE(B318:D318),"—")</f>
        <v>957</v>
      </c>
      <c r="F318" t="s" s="125">
        <v>959</v>
      </c>
      <c r="G318" s="243">
        <v>1000000</v>
      </c>
      <c r="H318" t="s" s="125">
        <v>858</v>
      </c>
      <c r="I318" s="244"/>
    </row>
    <row r="319" ht="21.25" customHeight="1">
      <c r="A319" t="s" s="10">
        <v>519</v>
      </c>
      <c r="B319" s="241">
        <v>168.5</v>
      </c>
      <c r="C319" s="241"/>
      <c r="D319" s="105"/>
      <c r="E319" s="241">
        <f>_xlfn.IFERROR(AVERAGE(B319:D319),"—")</f>
        <v>168.5</v>
      </c>
      <c r="F319" t="s" s="125">
        <v>940</v>
      </c>
      <c r="G319" s="243">
        <v>4000000</v>
      </c>
      <c r="H319" t="s" s="125">
        <v>858</v>
      </c>
      <c r="I319" s="244"/>
    </row>
    <row r="320" ht="21.25" customHeight="1">
      <c r="A320" t="s" s="10">
        <v>642</v>
      </c>
      <c r="B320" t="s" s="125">
        <v>957</v>
      </c>
      <c r="C320" s="241"/>
      <c r="D320" s="105"/>
      <c r="E320" t="s" s="125">
        <f>_xlfn.IFERROR(AVERAGE(B320:D320),"—")</f>
        <v>957</v>
      </c>
      <c r="F320" t="s" s="125">
        <v>929</v>
      </c>
      <c r="G320" s="243">
        <v>918333</v>
      </c>
      <c r="H320" t="s" s="125">
        <v>858</v>
      </c>
      <c r="I320" s="244"/>
    </row>
    <row r="321" ht="21.25" customHeight="1">
      <c r="A321" t="s" s="10">
        <v>515</v>
      </c>
      <c r="B321" t="s" s="125">
        <v>957</v>
      </c>
      <c r="C321" s="241"/>
      <c r="D321" s="241"/>
      <c r="E321" t="s" s="125">
        <f>_xlfn.IFERROR(AVERAGE(B321:D321),"—")</f>
        <v>957</v>
      </c>
      <c r="F321" t="s" s="125">
        <v>952</v>
      </c>
      <c r="G321" s="243">
        <v>4000000</v>
      </c>
      <c r="H321" t="s" s="125">
        <v>858</v>
      </c>
      <c r="I321" s="244"/>
    </row>
    <row r="322" ht="21.25" customHeight="1">
      <c r="A322" t="s" s="10">
        <v>548</v>
      </c>
      <c r="B322" t="s" s="125">
        <v>957</v>
      </c>
      <c r="C322" s="241"/>
      <c r="D322" s="241"/>
      <c r="E322" t="s" s="125">
        <f>_xlfn.IFERROR(AVERAGE(B322:D322),"—")</f>
        <v>957</v>
      </c>
      <c r="F322" t="s" s="125">
        <v>942</v>
      </c>
      <c r="G322" s="243">
        <v>894167</v>
      </c>
      <c r="H322" t="s" s="125">
        <v>858</v>
      </c>
      <c r="I322" s="244"/>
    </row>
    <row r="323" ht="21.25" customHeight="1">
      <c r="A323" t="s" s="10">
        <v>651</v>
      </c>
      <c r="B323" s="241">
        <v>177.7</v>
      </c>
      <c r="C323" s="241"/>
      <c r="D323" s="241"/>
      <c r="E323" s="241">
        <f>_xlfn.IFERROR(AVERAGE(B323:D323),"—")</f>
        <v>177.7</v>
      </c>
      <c r="F323" t="s" s="125">
        <v>926</v>
      </c>
      <c r="G323" s="243">
        <v>3500000</v>
      </c>
      <c r="H323" t="s" s="125">
        <v>858</v>
      </c>
      <c r="I323" s="244"/>
    </row>
    <row r="324" ht="21.25" customHeight="1">
      <c r="A324" t="s" s="10">
        <v>517</v>
      </c>
      <c r="B324" s="241"/>
      <c r="C324" s="241"/>
      <c r="D324" s="105"/>
      <c r="E324" t="s" s="125">
        <f>_xlfn.IFERROR(AVERAGE(B324:D324),"—")</f>
        <v>957</v>
      </c>
      <c r="F324" t="s" s="125">
        <v>959</v>
      </c>
      <c r="G324" s="243">
        <v>950000</v>
      </c>
      <c r="H324" s="105"/>
      <c r="I324" s="244"/>
    </row>
    <row r="325" ht="21.25" customHeight="1">
      <c r="A325" t="s" s="10">
        <v>655</v>
      </c>
      <c r="B325" t="s" s="125">
        <v>957</v>
      </c>
      <c r="C325" s="241"/>
      <c r="D325" s="105"/>
      <c r="E325" t="s" s="125">
        <f>_xlfn.IFERROR(AVERAGE(B325:D325),"—")</f>
        <v>957</v>
      </c>
      <c r="F325" t="s" s="125">
        <v>951</v>
      </c>
      <c r="G325" s="243">
        <v>4400000</v>
      </c>
      <c r="H325" t="s" s="125">
        <v>858</v>
      </c>
      <c r="I325" s="244"/>
    </row>
    <row r="326" ht="21.25" customHeight="1">
      <c r="A326" t="s" s="10">
        <v>598</v>
      </c>
      <c r="B326" t="s" s="125">
        <v>957</v>
      </c>
      <c r="C326" s="241"/>
      <c r="D326" s="105"/>
      <c r="E326" t="s" s="125">
        <f>_xlfn.IFERROR(AVERAGE(B326:D326),"—")</f>
        <v>957</v>
      </c>
      <c r="F326" t="s" s="125">
        <v>930</v>
      </c>
      <c r="G326" s="243">
        <v>2500000</v>
      </c>
      <c r="H326" t="s" s="125">
        <v>858</v>
      </c>
      <c r="I326" s="244"/>
    </row>
    <row r="327" ht="21.25" customHeight="1">
      <c r="A327" t="s" s="10">
        <v>422</v>
      </c>
      <c r="B327" t="s" s="125">
        <v>957</v>
      </c>
      <c r="C327" s="241"/>
      <c r="D327" s="241"/>
      <c r="E327" t="s" s="125">
        <f>_xlfn.IFERROR(AVERAGE(B327:D327),"—")</f>
        <v>957</v>
      </c>
      <c r="F327" t="s" s="125">
        <v>925</v>
      </c>
      <c r="G327" s="243">
        <v>4500000</v>
      </c>
      <c r="H327" t="s" s="125">
        <v>858</v>
      </c>
      <c r="I327" s="244"/>
    </row>
    <row r="328" ht="21.25" customHeight="1">
      <c r="A328" t="s" s="10">
        <v>461</v>
      </c>
      <c r="B328" t="s" s="125">
        <v>957</v>
      </c>
      <c r="C328" s="241"/>
      <c r="D328" s="241"/>
      <c r="E328" t="s" s="125">
        <f>_xlfn.IFERROR(AVERAGE(B328:D328),"—")</f>
        <v>957</v>
      </c>
      <c r="F328" t="s" s="125">
        <v>938</v>
      </c>
      <c r="G328" s="243">
        <v>4000000</v>
      </c>
      <c r="H328" t="s" s="125">
        <v>858</v>
      </c>
      <c r="I328" s="244"/>
    </row>
    <row r="329" ht="21.25" customHeight="1">
      <c r="A329" t="s" s="10">
        <v>467</v>
      </c>
      <c r="B329" t="s" s="125">
        <v>957</v>
      </c>
      <c r="C329" s="241"/>
      <c r="D329" s="105"/>
      <c r="E329" t="s" s="125">
        <f>_xlfn.IFERROR(AVERAGE(B329:D329),"—")</f>
        <v>957</v>
      </c>
      <c r="F329" t="s" s="125">
        <v>940</v>
      </c>
      <c r="G329" s="243">
        <v>4600000</v>
      </c>
      <c r="H329" t="s" s="125">
        <v>858</v>
      </c>
      <c r="I329" s="244"/>
    </row>
    <row r="330" ht="21.25" customHeight="1">
      <c r="A330" t="s" s="10">
        <v>588</v>
      </c>
      <c r="B330" t="s" s="125">
        <v>957</v>
      </c>
      <c r="C330" s="241"/>
      <c r="D330" s="105"/>
      <c r="E330" t="s" s="125">
        <f>_xlfn.IFERROR(AVERAGE(B330:D330),"—")</f>
        <v>957</v>
      </c>
      <c r="F330" t="s" s="125">
        <v>927</v>
      </c>
      <c r="G330" s="243">
        <v>3375000</v>
      </c>
      <c r="H330" t="s" s="125">
        <v>858</v>
      </c>
      <c r="I330" s="244"/>
    </row>
    <row r="331" ht="21.25" customHeight="1">
      <c r="A331" t="s" s="10">
        <v>607</v>
      </c>
      <c r="B331" s="241"/>
      <c r="C331" s="241"/>
      <c r="D331" s="241"/>
      <c r="E331" t="s" s="125">
        <f>_xlfn.IFERROR(AVERAGE(B331:D331),"—")</f>
        <v>957</v>
      </c>
      <c r="F331" t="s" s="125">
        <v>925</v>
      </c>
      <c r="G331" s="243">
        <v>6125000</v>
      </c>
      <c r="H331" s="105"/>
      <c r="I331" s="244"/>
    </row>
    <row r="332" ht="21.25" customHeight="1">
      <c r="A332" t="s" s="10">
        <v>464</v>
      </c>
      <c r="B332" t="s" s="125">
        <v>957</v>
      </c>
      <c r="C332" s="241"/>
      <c r="D332" s="105"/>
      <c r="E332" t="s" s="125">
        <f>_xlfn.IFERROR(AVERAGE(B332:D332),"—")</f>
        <v>957</v>
      </c>
      <c r="F332" t="s" s="125">
        <v>933</v>
      </c>
      <c r="G332" s="243">
        <v>2450000</v>
      </c>
      <c r="H332" t="s" s="125">
        <v>858</v>
      </c>
      <c r="I332" s="244"/>
    </row>
    <row r="333" ht="21.25" customHeight="1">
      <c r="A333" t="s" s="10">
        <v>654</v>
      </c>
      <c r="B333" t="s" s="125">
        <v>957</v>
      </c>
      <c r="C333" s="241"/>
      <c r="D333" s="241"/>
      <c r="E333" t="s" s="125">
        <f>_xlfn.IFERROR(AVERAGE(B333:D333),"—")</f>
        <v>957</v>
      </c>
      <c r="F333" t="s" s="125">
        <v>947</v>
      </c>
      <c r="G333" s="243">
        <v>2250000</v>
      </c>
      <c r="H333" t="s" s="125">
        <v>858</v>
      </c>
      <c r="I333" s="244"/>
    </row>
    <row r="334" ht="21.25" customHeight="1">
      <c r="A334" t="s" s="10">
        <v>652</v>
      </c>
      <c r="B334" t="s" s="125">
        <v>957</v>
      </c>
      <c r="C334" s="241"/>
      <c r="D334" s="105"/>
      <c r="E334" t="s" s="125">
        <f>_xlfn.IFERROR(AVERAGE(B334:D334),"—")</f>
        <v>957</v>
      </c>
      <c r="F334" t="s" s="125">
        <v>935</v>
      </c>
      <c r="G334" s="243">
        <v>975000</v>
      </c>
      <c r="H334" t="s" s="125">
        <v>858</v>
      </c>
      <c r="I334" s="244"/>
    </row>
    <row r="335" ht="21.25" customHeight="1">
      <c r="A335" t="s" s="10">
        <v>647</v>
      </c>
      <c r="B335" t="s" s="125">
        <v>957</v>
      </c>
      <c r="C335" s="241"/>
      <c r="D335" s="105"/>
      <c r="E335" t="s" s="125">
        <f>_xlfn.IFERROR(AVERAGE(B335:D335),"—")</f>
        <v>957</v>
      </c>
      <c r="F335" t="s" s="125">
        <v>927</v>
      </c>
      <c r="G335" s="243">
        <v>975000</v>
      </c>
      <c r="H335" t="s" s="125">
        <v>858</v>
      </c>
      <c r="I335" s="244"/>
    </row>
    <row r="336" ht="21.25" customHeight="1">
      <c r="A336" t="s" s="10">
        <v>624</v>
      </c>
      <c r="B336" t="s" s="125">
        <v>957</v>
      </c>
      <c r="C336" s="241"/>
      <c r="D336" s="241"/>
      <c r="E336" t="s" s="125">
        <f>_xlfn.IFERROR(AVERAGE(B336:D336),"—")</f>
        <v>957</v>
      </c>
      <c r="F336" t="s" s="125">
        <v>933</v>
      </c>
      <c r="G336" s="243">
        <v>863333</v>
      </c>
      <c r="H336" t="s" s="125">
        <v>82</v>
      </c>
      <c r="I336" s="244"/>
    </row>
    <row r="337" ht="21.25" customHeight="1">
      <c r="A337" t="s" s="10">
        <v>608</v>
      </c>
      <c r="B337" t="s" s="125">
        <v>957</v>
      </c>
      <c r="C337" s="241"/>
      <c r="D337" s="241"/>
      <c r="E337" t="s" s="125">
        <f>_xlfn.IFERROR(AVERAGE(B337:D337),"—")</f>
        <v>957</v>
      </c>
      <c r="F337" t="s" s="125">
        <v>941</v>
      </c>
      <c r="G337" s="243">
        <v>894167</v>
      </c>
      <c r="H337" t="s" s="125">
        <v>858</v>
      </c>
      <c r="I337" s="244"/>
    </row>
    <row r="338" ht="21.25" customHeight="1">
      <c r="A338" t="s" s="10">
        <v>491</v>
      </c>
      <c r="B338" t="s" s="125">
        <v>957</v>
      </c>
      <c r="C338" s="241"/>
      <c r="D338" s="105"/>
      <c r="E338" t="s" s="125">
        <f>_xlfn.IFERROR(AVERAGE(B338:D338),"—")</f>
        <v>957</v>
      </c>
      <c r="F338" t="s" s="125">
        <v>950</v>
      </c>
      <c r="G338" s="243">
        <v>4125000</v>
      </c>
      <c r="H338" t="s" s="125">
        <v>858</v>
      </c>
      <c r="I338" s="244"/>
    </row>
    <row r="339" ht="21.25" customHeight="1">
      <c r="A339" t="s" s="10">
        <v>532</v>
      </c>
      <c r="B339" t="s" s="125">
        <v>957</v>
      </c>
      <c r="C339" s="241"/>
      <c r="D339" s="105"/>
      <c r="E339" t="s" s="125">
        <f>_xlfn.IFERROR(AVERAGE(B339:D339),"—")</f>
        <v>957</v>
      </c>
      <c r="F339" t="s" s="125">
        <v>927</v>
      </c>
      <c r="G339" s="243">
        <v>3150000</v>
      </c>
      <c r="H339" t="s" s="125">
        <v>858</v>
      </c>
      <c r="I339" s="244"/>
    </row>
    <row r="340" ht="21.25" customHeight="1">
      <c r="A340" t="s" s="10">
        <v>435</v>
      </c>
      <c r="B340" t="s" s="125">
        <v>957</v>
      </c>
      <c r="C340" s="241"/>
      <c r="D340" s="105"/>
      <c r="E340" t="s" s="125">
        <f>_xlfn.IFERROR(AVERAGE(B340:D340),"—")</f>
        <v>957</v>
      </c>
      <c r="F340" t="s" s="125">
        <v>947</v>
      </c>
      <c r="G340" s="243">
        <v>3300000</v>
      </c>
      <c r="H340" t="s" s="125">
        <v>85</v>
      </c>
      <c r="I340" s="244"/>
    </row>
    <row r="341" ht="21.25" customHeight="1">
      <c r="A341" t="s" s="10">
        <v>596</v>
      </c>
      <c r="B341" t="s" s="125">
        <v>957</v>
      </c>
      <c r="C341" s="241"/>
      <c r="D341" s="105"/>
      <c r="E341" t="s" s="125">
        <f>_xlfn.IFERROR(AVERAGE(B341:D341),"—")</f>
        <v>957</v>
      </c>
      <c r="F341" t="s" s="125">
        <v>958</v>
      </c>
      <c r="G341" s="243">
        <v>950000</v>
      </c>
      <c r="H341" t="s" s="125">
        <v>858</v>
      </c>
      <c r="I341" s="244"/>
    </row>
    <row r="342" ht="21.25" customHeight="1">
      <c r="A342" t="s" s="10">
        <v>578</v>
      </c>
      <c r="B342" t="s" s="125">
        <v>957</v>
      </c>
      <c r="C342" s="241"/>
      <c r="D342" s="105"/>
      <c r="E342" t="s" s="125">
        <f>_xlfn.IFERROR(AVERAGE(B342:D342),"—")</f>
        <v>957</v>
      </c>
      <c r="F342" t="s" s="125">
        <v>956</v>
      </c>
      <c r="G342" s="243">
        <v>7750000</v>
      </c>
      <c r="H342" t="s" s="125">
        <v>83</v>
      </c>
      <c r="I342" s="244"/>
    </row>
    <row r="343" ht="21.25" customHeight="1">
      <c r="A343" t="s" s="10">
        <v>512</v>
      </c>
      <c r="B343" t="s" s="125">
        <v>957</v>
      </c>
      <c r="C343" s="241"/>
      <c r="D343" s="105"/>
      <c r="E343" t="s" s="125">
        <f>_xlfn.IFERROR(AVERAGE(B343:D343),"—")</f>
        <v>957</v>
      </c>
      <c r="F343" t="s" s="125">
        <v>941</v>
      </c>
      <c r="G343" s="243">
        <v>2294150</v>
      </c>
      <c r="H343" t="s" s="125">
        <v>858</v>
      </c>
      <c r="I343" s="244"/>
    </row>
    <row r="344" ht="21.25" customHeight="1">
      <c r="A344" t="s" s="10">
        <v>604</v>
      </c>
      <c r="B344" t="s" s="125">
        <v>957</v>
      </c>
      <c r="C344" s="241"/>
      <c r="D344" s="105"/>
      <c r="E344" t="s" s="125">
        <f>_xlfn.IFERROR(AVERAGE(B344:D344),"—")</f>
        <v>957</v>
      </c>
      <c r="F344" t="s" s="125">
        <v>938</v>
      </c>
      <c r="G344" s="243">
        <v>1400000</v>
      </c>
      <c r="H344" t="s" s="125">
        <v>858</v>
      </c>
      <c r="I344" s="244"/>
    </row>
    <row r="345" ht="21.25" customHeight="1">
      <c r="A345" t="s" s="10">
        <v>631</v>
      </c>
      <c r="B345" t="s" s="125">
        <v>957</v>
      </c>
      <c r="C345" s="241"/>
      <c r="D345" s="105"/>
      <c r="E345" t="s" s="125">
        <f>_xlfn.IFERROR(AVERAGE(B345:D345),"—")</f>
        <v>957</v>
      </c>
      <c r="F345" t="s" s="125">
        <v>944</v>
      </c>
      <c r="G345" s="243">
        <v>4600000</v>
      </c>
      <c r="H345" t="s" s="125">
        <v>858</v>
      </c>
      <c r="I345" s="244"/>
    </row>
    <row r="346" ht="21.25" customHeight="1">
      <c r="A346" t="s" s="10">
        <v>669</v>
      </c>
      <c r="B346" t="s" s="125">
        <v>957</v>
      </c>
      <c r="C346" s="241"/>
      <c r="D346" s="105"/>
      <c r="E346" t="s" s="125">
        <f>_xlfn.IFERROR(AVERAGE(B346:D346),"—")</f>
        <v>957</v>
      </c>
      <c r="F346" t="s" s="125">
        <v>950</v>
      </c>
      <c r="G346" s="243">
        <v>1500000</v>
      </c>
      <c r="H346" t="s" s="125">
        <v>858</v>
      </c>
      <c r="I346" s="244"/>
    </row>
    <row r="347" ht="21.25" customHeight="1">
      <c r="A347" t="s" s="10">
        <v>538</v>
      </c>
      <c r="B347" t="s" s="125">
        <v>957</v>
      </c>
      <c r="C347" s="241"/>
      <c r="D347" s="241"/>
      <c r="E347" t="s" s="125">
        <f>_xlfn.IFERROR(AVERAGE(B347:D347),"—")</f>
        <v>957</v>
      </c>
      <c r="F347" t="s" s="125">
        <v>935</v>
      </c>
      <c r="G347" s="243">
        <v>2250000</v>
      </c>
      <c r="H347" t="s" s="125">
        <v>858</v>
      </c>
      <c r="I347" s="244"/>
    </row>
    <row r="348" ht="21.25" customHeight="1">
      <c r="A348" t="s" s="10">
        <v>394</v>
      </c>
      <c r="B348" t="s" s="125">
        <v>957</v>
      </c>
      <c r="C348" s="241"/>
      <c r="D348" s="105"/>
      <c r="E348" t="s" s="125">
        <f>_xlfn.IFERROR(AVERAGE(B348:D348),"—")</f>
        <v>957</v>
      </c>
      <c r="F348" t="s" s="125">
        <v>927</v>
      </c>
      <c r="G348" s="243">
        <v>5200000</v>
      </c>
      <c r="H348" t="s" s="125">
        <v>858</v>
      </c>
      <c r="I348" s="244"/>
    </row>
    <row r="349" ht="21.25" customHeight="1">
      <c r="A349" t="s" s="10">
        <v>485</v>
      </c>
      <c r="B349" s="241">
        <v>191</v>
      </c>
      <c r="C349" s="241"/>
      <c r="D349" s="105"/>
      <c r="E349" s="241">
        <f>_xlfn.IFERROR(AVERAGE(B349:D349),"—")</f>
        <v>191</v>
      </c>
      <c r="F349" t="s" s="125">
        <v>928</v>
      </c>
      <c r="G349" s="243">
        <v>4100000</v>
      </c>
      <c r="H349" t="s" s="125">
        <v>858</v>
      </c>
      <c r="I349" s="244"/>
    </row>
    <row r="350" ht="21.25" customHeight="1">
      <c r="A350" t="s" s="10">
        <v>477</v>
      </c>
      <c r="B350" t="s" s="125">
        <v>957</v>
      </c>
      <c r="C350" s="241"/>
      <c r="D350" s="105"/>
      <c r="E350" t="s" s="125">
        <f>_xlfn.IFERROR(AVERAGE(B350:D350),"—")</f>
        <v>957</v>
      </c>
      <c r="F350" t="s" s="125">
        <v>940</v>
      </c>
      <c r="G350" s="243">
        <v>7950000</v>
      </c>
      <c r="H350" t="s" s="125">
        <v>858</v>
      </c>
      <c r="I350" s="244"/>
    </row>
    <row r="351" ht="21.25" customHeight="1">
      <c r="A351" t="s" s="10">
        <v>636</v>
      </c>
      <c r="B351" t="s" s="125">
        <v>957</v>
      </c>
      <c r="C351" s="241"/>
      <c r="D351" s="241"/>
      <c r="E351" t="s" s="125">
        <f>_xlfn.IFERROR(AVERAGE(B351:D351),"—")</f>
        <v>957</v>
      </c>
      <c r="F351" t="s" s="125">
        <v>947</v>
      </c>
      <c r="G351" s="243">
        <v>3750000</v>
      </c>
      <c r="H351" t="s" s="125">
        <v>858</v>
      </c>
      <c r="I351" s="244"/>
    </row>
    <row r="352" ht="21.25" customHeight="1">
      <c r="A352" t="s" s="10">
        <v>529</v>
      </c>
      <c r="B352" t="s" s="125">
        <v>957</v>
      </c>
      <c r="C352" s="241"/>
      <c r="D352" s="105"/>
      <c r="E352" t="s" s="125">
        <f>_xlfn.IFERROR(AVERAGE(B352:D352),"—")</f>
        <v>957</v>
      </c>
      <c r="F352" t="s" s="125">
        <v>949</v>
      </c>
      <c r="G352" s="243">
        <v>4820000</v>
      </c>
      <c r="H352" t="s" s="125">
        <v>858</v>
      </c>
      <c r="I352" s="244"/>
    </row>
    <row r="353" ht="21.25" customHeight="1">
      <c r="A353" t="s" s="10">
        <v>677</v>
      </c>
      <c r="B353" t="s" s="125">
        <v>957</v>
      </c>
      <c r="C353" s="241"/>
      <c r="D353" s="105"/>
      <c r="E353" t="s" s="125">
        <f>_xlfn.IFERROR(AVERAGE(B353:D353),"—")</f>
        <v>957</v>
      </c>
      <c r="F353" t="s" s="125">
        <v>941</v>
      </c>
      <c r="G353" s="243">
        <v>1835000</v>
      </c>
      <c r="H353" t="s" s="125">
        <v>858</v>
      </c>
      <c r="I353" s="244"/>
    </row>
    <row r="354" ht="21.25" customHeight="1">
      <c r="A354" t="s" s="10">
        <v>611</v>
      </c>
      <c r="B354" t="s" s="125">
        <v>957</v>
      </c>
      <c r="C354" s="241"/>
      <c r="D354" s="105"/>
      <c r="E354" t="s" s="125">
        <f>_xlfn.IFERROR(AVERAGE(B354:D354),"—")</f>
        <v>957</v>
      </c>
      <c r="F354" t="s" s="125">
        <v>940</v>
      </c>
      <c r="G354" s="243">
        <v>4050000</v>
      </c>
      <c r="H354" t="s" s="125">
        <v>858</v>
      </c>
      <c r="I354" s="244"/>
    </row>
    <row r="355" ht="21.25" customHeight="1">
      <c r="A355" t="s" s="10">
        <v>662</v>
      </c>
      <c r="B355" t="s" s="125">
        <v>957</v>
      </c>
      <c r="C355" s="241"/>
      <c r="D355" s="241"/>
      <c r="E355" t="s" s="125">
        <f>_xlfn.IFERROR(AVERAGE(B355:D355),"—")</f>
        <v>957</v>
      </c>
      <c r="F355" t="s" s="125">
        <v>949</v>
      </c>
      <c r="G355" s="243">
        <v>2800000</v>
      </c>
      <c r="H355" t="s" s="125">
        <v>858</v>
      </c>
      <c r="I355" s="244"/>
    </row>
    <row r="356" ht="21.25" customHeight="1">
      <c r="A356" t="s" s="10">
        <v>736</v>
      </c>
      <c r="B356" t="s" s="125">
        <v>957</v>
      </c>
      <c r="C356" s="241"/>
      <c r="D356" s="241"/>
      <c r="E356" t="s" s="125">
        <f>_xlfn.IFERROR(AVERAGE(B356:D356),"—")</f>
        <v>957</v>
      </c>
      <c r="F356" t="s" s="125">
        <v>947</v>
      </c>
      <c r="G356" s="243">
        <v>918333</v>
      </c>
      <c r="H356" t="s" s="125">
        <v>858</v>
      </c>
      <c r="I356" s="244"/>
    </row>
    <row r="357" ht="21.25" customHeight="1">
      <c r="A357" t="s" s="10">
        <v>574</v>
      </c>
      <c r="B357" t="s" s="125">
        <v>957</v>
      </c>
      <c r="C357" s="241"/>
      <c r="D357" s="105"/>
      <c r="E357" t="s" s="125">
        <f>_xlfn.IFERROR(AVERAGE(B357:D357),"—")</f>
        <v>957</v>
      </c>
      <c r="F357" t="s" s="125">
        <v>955</v>
      </c>
      <c r="G357" s="243">
        <v>886667</v>
      </c>
      <c r="H357" t="s" s="125">
        <v>858</v>
      </c>
      <c r="I357" s="244"/>
    </row>
    <row r="358" ht="21.25" customHeight="1">
      <c r="A358" t="s" s="10">
        <v>593</v>
      </c>
      <c r="B358" t="s" s="125">
        <v>957</v>
      </c>
      <c r="C358" s="241"/>
      <c r="D358" s="105"/>
      <c r="E358" t="s" s="125">
        <f>_xlfn.IFERROR(AVERAGE(B358:D358),"—")</f>
        <v>957</v>
      </c>
      <c r="F358" t="s" s="125">
        <v>944</v>
      </c>
      <c r="G358" s="243">
        <v>2100000</v>
      </c>
      <c r="H358" t="s" s="125">
        <v>83</v>
      </c>
      <c r="I358" s="244"/>
    </row>
    <row r="359" ht="21.25" customHeight="1">
      <c r="A359" t="s" s="10">
        <v>627</v>
      </c>
      <c r="B359" t="s" s="125">
        <v>957</v>
      </c>
      <c r="C359" s="241"/>
      <c r="D359" s="105"/>
      <c r="E359" t="s" s="125">
        <f>_xlfn.IFERROR(AVERAGE(B359:D359),"—")</f>
        <v>957</v>
      </c>
      <c r="F359" t="s" s="125">
        <v>947</v>
      </c>
      <c r="G359" s="243">
        <v>4000000</v>
      </c>
      <c r="H359" t="s" s="125">
        <v>858</v>
      </c>
      <c r="I359" s="244"/>
    </row>
    <row r="360" ht="21.25" customHeight="1">
      <c r="A360" t="s" s="10">
        <v>473</v>
      </c>
      <c r="B360" t="s" s="125">
        <v>957</v>
      </c>
      <c r="C360" s="241"/>
      <c r="D360" s="241"/>
      <c r="E360" t="s" s="125">
        <f>_xlfn.IFERROR(AVERAGE(B360:D360),"—")</f>
        <v>957</v>
      </c>
      <c r="F360" t="s" s="125">
        <v>955</v>
      </c>
      <c r="G360" s="243">
        <v>2700000</v>
      </c>
      <c r="H360" t="s" s="125">
        <v>858</v>
      </c>
      <c r="I360" s="244"/>
    </row>
    <row r="361" ht="21.25" customHeight="1">
      <c r="A361" t="s" s="10">
        <v>639</v>
      </c>
      <c r="B361" t="s" s="125">
        <v>957</v>
      </c>
      <c r="C361" s="241"/>
      <c r="D361" s="105"/>
      <c r="E361" t="s" s="125">
        <f>_xlfn.IFERROR(AVERAGE(B361:D361),"—")</f>
        <v>957</v>
      </c>
      <c r="F361" t="s" s="125">
        <v>927</v>
      </c>
      <c r="G361" s="243">
        <v>1125000</v>
      </c>
      <c r="H361" t="s" s="125">
        <v>858</v>
      </c>
      <c r="I361" s="244"/>
    </row>
    <row r="362" ht="21.25" customHeight="1">
      <c r="A362" t="s" s="10">
        <v>670</v>
      </c>
      <c r="B362" t="s" s="125">
        <v>957</v>
      </c>
      <c r="C362" s="241"/>
      <c r="D362" s="105"/>
      <c r="E362" t="s" s="125">
        <f>_xlfn.IFERROR(AVERAGE(B362:D362),"—")</f>
        <v>957</v>
      </c>
      <c r="F362" t="s" s="125">
        <v>948</v>
      </c>
      <c r="G362" s="243">
        <v>4000000</v>
      </c>
      <c r="H362" t="s" s="125">
        <v>858</v>
      </c>
      <c r="I362" s="244"/>
    </row>
    <row r="363" ht="21.25" customHeight="1">
      <c r="A363" t="s" s="10">
        <v>590</v>
      </c>
      <c r="B363" t="s" s="125">
        <v>957</v>
      </c>
      <c r="C363" s="241"/>
      <c r="D363" s="105"/>
      <c r="E363" t="s" s="125">
        <f>_xlfn.IFERROR(AVERAGE(B363:D363),"—")</f>
        <v>957</v>
      </c>
      <c r="F363" t="s" s="125">
        <v>935</v>
      </c>
      <c r="G363" s="243">
        <v>1100000</v>
      </c>
      <c r="H363" t="s" s="125">
        <v>858</v>
      </c>
      <c r="I363" s="244"/>
    </row>
    <row r="364" ht="21.25" customHeight="1">
      <c r="A364" t="s" s="10">
        <v>698</v>
      </c>
      <c r="B364" t="s" s="125">
        <v>957</v>
      </c>
      <c r="C364" s="241"/>
      <c r="D364" s="105"/>
      <c r="E364" t="s" s="125">
        <f>_xlfn.IFERROR(AVERAGE(B364:D364),"—")</f>
        <v>957</v>
      </c>
      <c r="F364" t="s" s="125">
        <v>930</v>
      </c>
      <c r="G364" s="243">
        <v>797500</v>
      </c>
      <c r="H364" t="s" s="125">
        <v>858</v>
      </c>
      <c r="I364" s="244"/>
    </row>
    <row r="365" ht="21.25" customHeight="1">
      <c r="A365" t="s" s="10">
        <v>576</v>
      </c>
      <c r="B365" t="s" s="125">
        <v>957</v>
      </c>
      <c r="C365" s="241"/>
      <c r="D365" s="241"/>
      <c r="E365" t="s" s="125">
        <f>_xlfn.IFERROR(AVERAGE(B365:D365),"—")</f>
        <v>957</v>
      </c>
      <c r="F365" t="s" s="125">
        <v>929</v>
      </c>
      <c r="G365" s="243">
        <v>6000000</v>
      </c>
      <c r="H365" t="s" s="125">
        <v>858</v>
      </c>
      <c r="I365" s="244"/>
    </row>
    <row r="366" ht="21.25" customHeight="1">
      <c r="A366" t="s" s="10">
        <v>626</v>
      </c>
      <c r="B366" t="s" s="125">
        <v>957</v>
      </c>
      <c r="C366" s="241"/>
      <c r="D366" s="105"/>
      <c r="E366" t="s" s="125">
        <f>_xlfn.IFERROR(AVERAGE(B366:D366),"—")</f>
        <v>957</v>
      </c>
      <c r="F366" t="s" s="125">
        <v>939</v>
      </c>
      <c r="G366" s="243">
        <v>925000</v>
      </c>
      <c r="H366" t="s" s="125">
        <v>858</v>
      </c>
      <c r="I366" s="244"/>
    </row>
    <row r="367" ht="21.25" customHeight="1">
      <c r="A367" t="s" s="10">
        <v>634</v>
      </c>
      <c r="B367" t="s" s="125">
        <v>957</v>
      </c>
      <c r="C367" s="241"/>
      <c r="D367" s="241"/>
      <c r="E367" t="s" s="125">
        <f>_xlfn.IFERROR(AVERAGE(B367:D367),"—")</f>
        <v>957</v>
      </c>
      <c r="F367" t="s" s="125">
        <v>926</v>
      </c>
      <c r="G367" s="243">
        <v>3750000</v>
      </c>
      <c r="H367" t="s" s="125">
        <v>858</v>
      </c>
      <c r="I367" s="244"/>
    </row>
    <row r="368" ht="21.25" customHeight="1">
      <c r="A368" t="s" s="10">
        <v>511</v>
      </c>
      <c r="B368" s="241">
        <v>178</v>
      </c>
      <c r="C368" s="241"/>
      <c r="D368" s="105"/>
      <c r="E368" s="241">
        <f>_xlfn.IFERROR(AVERAGE(B368:D368),"—")</f>
        <v>178</v>
      </c>
      <c r="F368" t="s" s="125">
        <v>948</v>
      </c>
      <c r="G368" s="243">
        <v>2290457</v>
      </c>
      <c r="H368" t="s" s="125">
        <v>858</v>
      </c>
      <c r="I368" s="244"/>
    </row>
    <row r="369" ht="21.25" customHeight="1">
      <c r="A369" t="s" s="10">
        <v>483</v>
      </c>
      <c r="B369" t="s" s="125">
        <v>957</v>
      </c>
      <c r="C369" s="241"/>
      <c r="D369" s="241"/>
      <c r="E369" t="s" s="125">
        <f>_xlfn.IFERROR(AVERAGE(B369:D369),"—")</f>
        <v>957</v>
      </c>
      <c r="F369" t="s" s="125">
        <v>926</v>
      </c>
      <c r="G369" s="243">
        <v>1350000</v>
      </c>
      <c r="H369" t="s" s="125">
        <v>858</v>
      </c>
      <c r="I369" s="244"/>
    </row>
    <row r="370" ht="21.25" customHeight="1">
      <c r="A370" t="s" s="10">
        <v>570</v>
      </c>
      <c r="B370" s="241">
        <v>168</v>
      </c>
      <c r="C370" s="241"/>
      <c r="D370" s="105"/>
      <c r="E370" s="241">
        <f>_xlfn.IFERROR(AVERAGE(B370:D370),"—")</f>
        <v>168</v>
      </c>
      <c r="F370" t="s" s="125">
        <v>934</v>
      </c>
      <c r="G370" s="243">
        <v>5000000</v>
      </c>
      <c r="H370" t="s" s="125">
        <v>858</v>
      </c>
      <c r="I370" s="244"/>
    </row>
    <row r="371" ht="21.25" customHeight="1">
      <c r="A371" t="s" s="10">
        <v>618</v>
      </c>
      <c r="B371" t="s" s="125">
        <v>957</v>
      </c>
      <c r="C371" s="241"/>
      <c r="D371" s="105"/>
      <c r="E371" t="s" s="125">
        <f>_xlfn.IFERROR(AVERAGE(B371:D371),"—")</f>
        <v>957</v>
      </c>
      <c r="F371" t="s" s="125">
        <v>951</v>
      </c>
      <c r="G371" s="243">
        <v>925000</v>
      </c>
      <c r="H371" t="s" s="125">
        <v>858</v>
      </c>
      <c r="I371" s="244"/>
    </row>
    <row r="372" ht="21.25" customHeight="1">
      <c r="A372" t="s" s="10">
        <v>644</v>
      </c>
      <c r="B372" t="s" s="125">
        <v>957</v>
      </c>
      <c r="C372" s="241"/>
      <c r="D372" s="105"/>
      <c r="E372" t="s" s="125">
        <f>_xlfn.IFERROR(AVERAGE(B372:D372),"—")</f>
        <v>957</v>
      </c>
      <c r="F372" t="s" s="125">
        <v>931</v>
      </c>
      <c r="G372" s="243">
        <v>4437500</v>
      </c>
      <c r="H372" t="s" s="125">
        <v>858</v>
      </c>
      <c r="I372" s="244"/>
    </row>
    <row r="373" ht="21.25" customHeight="1">
      <c r="A373" t="s" s="10">
        <v>694</v>
      </c>
      <c r="B373" t="s" s="125">
        <v>957</v>
      </c>
      <c r="C373" s="241"/>
      <c r="D373" s="241"/>
      <c r="E373" t="s" s="125">
        <f>_xlfn.IFERROR(AVERAGE(B373:D373),"—")</f>
        <v>957</v>
      </c>
      <c r="F373" t="s" s="125">
        <v>925</v>
      </c>
      <c r="G373" s="243">
        <v>900000</v>
      </c>
      <c r="H373" t="s" s="125">
        <v>858</v>
      </c>
      <c r="I373" s="244"/>
    </row>
    <row r="374" ht="21.25" customHeight="1">
      <c r="A374" t="s" s="10">
        <v>741</v>
      </c>
      <c r="B374" t="s" s="125">
        <v>957</v>
      </c>
      <c r="C374" s="241"/>
      <c r="D374" s="105"/>
      <c r="E374" t="s" s="125">
        <f>_xlfn.IFERROR(AVERAGE(B374:D374),"—")</f>
        <v>957</v>
      </c>
      <c r="F374" t="s" s="125">
        <v>955</v>
      </c>
      <c r="G374" s="243">
        <v>5500000</v>
      </c>
      <c r="H374" t="s" s="125">
        <v>858</v>
      </c>
      <c r="I374" s="244"/>
    </row>
    <row r="375" ht="21.25" customHeight="1">
      <c r="A375" t="s" s="10">
        <v>581</v>
      </c>
      <c r="B375" t="s" s="125">
        <v>957</v>
      </c>
      <c r="C375" s="241"/>
      <c r="D375" s="105"/>
      <c r="E375" t="s" s="125">
        <f>_xlfn.IFERROR(AVERAGE(B375:D375),"—")</f>
        <v>957</v>
      </c>
      <c r="F375" t="s" s="125">
        <v>929</v>
      </c>
      <c r="G375" s="243">
        <v>3150000</v>
      </c>
      <c r="H375" t="s" s="125">
        <v>858</v>
      </c>
      <c r="I375" s="244"/>
    </row>
    <row r="376" ht="21.25" customHeight="1">
      <c r="A376" t="s" s="10">
        <v>452</v>
      </c>
      <c r="B376" s="241">
        <v>159.8</v>
      </c>
      <c r="C376" s="241"/>
      <c r="D376" s="105"/>
      <c r="E376" s="241">
        <f>_xlfn.IFERROR(AVERAGE(B376:D376),"—")</f>
        <v>159.8</v>
      </c>
      <c r="F376" t="s" s="125">
        <v>924</v>
      </c>
      <c r="G376" s="243">
        <v>5125000</v>
      </c>
      <c r="H376" t="s" s="125">
        <v>858</v>
      </c>
      <c r="I376" s="244"/>
    </row>
    <row r="377" ht="21.25" customHeight="1">
      <c r="A377" t="s" s="10">
        <v>468</v>
      </c>
      <c r="B377" t="s" s="125">
        <v>957</v>
      </c>
      <c r="C377" s="241"/>
      <c r="D377" s="105"/>
      <c r="E377" t="s" s="125">
        <f>_xlfn.IFERROR(AVERAGE(B377:D377),"—")</f>
        <v>957</v>
      </c>
      <c r="F377" t="s" s="125">
        <v>956</v>
      </c>
      <c r="G377" s="243">
        <v>3000000</v>
      </c>
      <c r="H377" t="s" s="125">
        <v>858</v>
      </c>
      <c r="I377" s="244"/>
    </row>
    <row r="378" ht="21.25" customHeight="1">
      <c r="A378" t="s" s="10">
        <v>645</v>
      </c>
      <c r="B378" t="s" s="125">
        <v>957</v>
      </c>
      <c r="C378" s="241"/>
      <c r="D378" s="105"/>
      <c r="E378" t="s" s="125">
        <f>_xlfn.IFERROR(AVERAGE(B378:D378),"—")</f>
        <v>957</v>
      </c>
      <c r="F378" t="s" s="125">
        <v>958</v>
      </c>
      <c r="G378" s="243">
        <v>925000</v>
      </c>
      <c r="H378" t="s" s="125">
        <v>858</v>
      </c>
      <c r="I378" s="244"/>
    </row>
    <row r="379" ht="21.25" customHeight="1">
      <c r="A379" t="s" s="10">
        <v>555</v>
      </c>
      <c r="B379" t="s" s="125">
        <v>957</v>
      </c>
      <c r="C379" s="241"/>
      <c r="D379" s="105"/>
      <c r="E379" t="s" s="125">
        <f>_xlfn.IFERROR(AVERAGE(B379:D379),"—")</f>
        <v>957</v>
      </c>
      <c r="F379" t="s" s="125">
        <v>935</v>
      </c>
      <c r="G379" s="243">
        <v>3250000</v>
      </c>
      <c r="H379" t="s" s="125">
        <v>858</v>
      </c>
      <c r="I379" s="244"/>
    </row>
    <row r="380" ht="21.25" customHeight="1">
      <c r="A380" t="s" s="10">
        <v>572</v>
      </c>
      <c r="B380" t="s" s="125">
        <v>957</v>
      </c>
      <c r="C380" s="241"/>
      <c r="D380" s="105"/>
      <c r="E380" t="s" s="125">
        <f>_xlfn.IFERROR(AVERAGE(B380:D380),"—")</f>
        <v>957</v>
      </c>
      <c r="F380" t="s" s="125">
        <v>950</v>
      </c>
      <c r="G380" s="243">
        <v>3500000</v>
      </c>
      <c r="H380" t="s" s="125">
        <v>858</v>
      </c>
      <c r="I380" s="244"/>
    </row>
    <row r="381" ht="21.25" customHeight="1">
      <c r="A381" t="s" s="10">
        <v>549</v>
      </c>
      <c r="B381" t="s" s="125">
        <v>957</v>
      </c>
      <c r="C381" s="241"/>
      <c r="D381" s="105"/>
      <c r="E381" t="s" s="125">
        <f>_xlfn.IFERROR(AVERAGE(B381:D381),"—")</f>
        <v>957</v>
      </c>
      <c r="F381" t="s" s="125">
        <v>932</v>
      </c>
      <c r="G381" s="243">
        <v>1150000</v>
      </c>
      <c r="H381" t="s" s="125">
        <v>858</v>
      </c>
      <c r="I381" s="244"/>
    </row>
    <row r="382" ht="21.25" customHeight="1">
      <c r="A382" t="s" s="10">
        <v>413</v>
      </c>
      <c r="B382" t="s" s="125">
        <v>957</v>
      </c>
      <c r="C382" s="241"/>
      <c r="D382" s="241"/>
      <c r="E382" t="s" s="125">
        <f>_xlfn.IFERROR(AVERAGE(B382:D382),"—")</f>
        <v>957</v>
      </c>
      <c r="F382" t="s" s="125">
        <v>945</v>
      </c>
      <c r="G382" s="243">
        <v>2200000</v>
      </c>
      <c r="H382" t="s" s="125">
        <v>858</v>
      </c>
      <c r="I382" s="244"/>
    </row>
    <row r="383" ht="21.25" customHeight="1">
      <c r="A383" t="s" s="10">
        <v>594</v>
      </c>
      <c r="B383" t="s" s="125">
        <v>957</v>
      </c>
      <c r="C383" s="241"/>
      <c r="D383" s="105"/>
      <c r="E383" t="s" s="125">
        <f>_xlfn.IFERROR(AVERAGE(B383:D383),"—")</f>
        <v>957</v>
      </c>
      <c r="F383" t="s" s="125">
        <v>931</v>
      </c>
      <c r="G383" s="243">
        <v>4500000</v>
      </c>
      <c r="H383" t="s" s="125">
        <v>858</v>
      </c>
      <c r="I383" s="244"/>
    </row>
    <row r="384" ht="21.25" customHeight="1">
      <c r="A384" t="s" s="10">
        <v>663</v>
      </c>
      <c r="B384" t="s" s="125">
        <v>957</v>
      </c>
      <c r="C384" s="241"/>
      <c r="D384" s="241"/>
      <c r="E384" t="s" s="125">
        <f>_xlfn.IFERROR(AVERAGE(B384:D384),"—")</f>
        <v>957</v>
      </c>
      <c r="F384" t="s" s="125">
        <v>926</v>
      </c>
      <c r="G384" t="s" s="125">
        <v>943</v>
      </c>
      <c r="H384" t="s" s="125">
        <v>858</v>
      </c>
      <c r="I384" s="244"/>
    </row>
    <row r="385" ht="21.25" customHeight="1">
      <c r="A385" t="s" s="10">
        <v>450</v>
      </c>
      <c r="B385" t="s" s="125">
        <v>957</v>
      </c>
      <c r="C385" s="241"/>
      <c r="D385" s="105"/>
      <c r="E385" t="s" s="125">
        <f>_xlfn.IFERROR(AVERAGE(B385:D385),"—")</f>
        <v>957</v>
      </c>
      <c r="F385" t="s" s="125">
        <v>958</v>
      </c>
      <c r="G385" s="243">
        <v>812500</v>
      </c>
      <c r="H385" t="s" s="125">
        <v>858</v>
      </c>
      <c r="I385" s="244"/>
    </row>
    <row r="386" ht="21.25" customHeight="1">
      <c r="A386" t="s" s="10">
        <v>423</v>
      </c>
      <c r="B386" t="s" s="125">
        <v>957</v>
      </c>
      <c r="C386" s="241"/>
      <c r="D386" s="105"/>
      <c r="E386" t="s" s="125">
        <f>_xlfn.IFERROR(AVERAGE(B386:D386),"—")</f>
        <v>957</v>
      </c>
      <c r="F386" t="s" s="125">
        <v>944</v>
      </c>
      <c r="G386" s="243">
        <v>2675000</v>
      </c>
      <c r="H386" t="s" s="125">
        <v>858</v>
      </c>
      <c r="I386" s="244"/>
    </row>
    <row r="387" ht="21.25" customHeight="1">
      <c r="A387" t="s" s="10">
        <v>587</v>
      </c>
      <c r="B387" t="s" s="125">
        <v>957</v>
      </c>
      <c r="C387" s="241"/>
      <c r="D387" s="105"/>
      <c r="E387" t="s" s="125">
        <f>_xlfn.IFERROR(AVERAGE(B387:D387),"—")</f>
        <v>957</v>
      </c>
      <c r="F387" t="s" s="125">
        <v>951</v>
      </c>
      <c r="G387" s="243">
        <v>3100000</v>
      </c>
      <c r="H387" t="s" s="125">
        <v>858</v>
      </c>
      <c r="I387" s="244"/>
    </row>
    <row r="388" ht="21.25" customHeight="1">
      <c r="A388" t="s" s="10">
        <v>674</v>
      </c>
      <c r="B388" t="s" s="125">
        <v>957</v>
      </c>
      <c r="C388" s="241"/>
      <c r="D388" s="105"/>
      <c r="E388" t="s" s="125">
        <f>_xlfn.IFERROR(AVERAGE(B388:D388),"—")</f>
        <v>957</v>
      </c>
      <c r="F388" t="s" s="125">
        <v>942</v>
      </c>
      <c r="G388" s="243">
        <v>5625000</v>
      </c>
      <c r="H388" t="s" s="125">
        <v>858</v>
      </c>
      <c r="I388" s="244"/>
    </row>
    <row r="389" ht="21.25" customHeight="1">
      <c r="A389" t="s" s="10">
        <v>560</v>
      </c>
      <c r="B389" t="s" s="125">
        <v>957</v>
      </c>
      <c r="C389" s="241"/>
      <c r="D389" s="105"/>
      <c r="E389" t="s" s="125">
        <f>_xlfn.IFERROR(AVERAGE(B389:D389),"—")</f>
        <v>957</v>
      </c>
      <c r="F389" t="s" s="125">
        <v>924</v>
      </c>
      <c r="G389" s="243">
        <v>950000</v>
      </c>
      <c r="H389" t="s" s="125">
        <v>858</v>
      </c>
      <c r="I389" s="244"/>
    </row>
    <row r="390" ht="21.25" customHeight="1">
      <c r="A390" t="s" s="10">
        <v>449</v>
      </c>
      <c r="B390" t="s" s="125">
        <v>957</v>
      </c>
      <c r="C390" s="241"/>
      <c r="D390" s="105"/>
      <c r="E390" t="s" s="125">
        <f>_xlfn.IFERROR(AVERAGE(B390:D390),"—")</f>
        <v>957</v>
      </c>
      <c r="F390" t="s" s="125">
        <v>955</v>
      </c>
      <c r="G390" s="243">
        <v>5166600</v>
      </c>
      <c r="H390" t="s" s="125">
        <v>858</v>
      </c>
      <c r="I390" s="244"/>
    </row>
    <row r="391" ht="21.25" customHeight="1">
      <c r="A391" t="s" s="10">
        <v>673</v>
      </c>
      <c r="B391" t="s" s="125">
        <v>957</v>
      </c>
      <c r="C391" s="241"/>
      <c r="D391" s="105"/>
      <c r="E391" t="s" s="125">
        <f>_xlfn.IFERROR(AVERAGE(B391:D391),"—")</f>
        <v>957</v>
      </c>
      <c r="F391" t="s" s="125">
        <v>945</v>
      </c>
      <c r="G391" s="243">
        <v>863333</v>
      </c>
      <c r="H391" t="s" s="125">
        <v>858</v>
      </c>
      <c r="I391" s="244"/>
    </row>
    <row r="392" ht="21.25" customHeight="1">
      <c r="A392" t="s" s="10">
        <v>625</v>
      </c>
      <c r="B392" t="s" s="125">
        <v>957</v>
      </c>
      <c r="C392" s="241"/>
      <c r="D392" s="105"/>
      <c r="E392" t="s" s="125">
        <f>_xlfn.IFERROR(AVERAGE(B392:D392),"—")</f>
        <v>957</v>
      </c>
      <c r="F392" t="s" s="125">
        <v>954</v>
      </c>
      <c r="G392" s="243">
        <v>2900000</v>
      </c>
      <c r="H392" t="s" s="125">
        <v>858</v>
      </c>
      <c r="I392" s="244"/>
    </row>
    <row r="393" ht="21.25" customHeight="1">
      <c r="A393" t="s" s="10">
        <v>719</v>
      </c>
      <c r="B393" t="s" s="125">
        <v>957</v>
      </c>
      <c r="C393" s="241"/>
      <c r="D393" s="105"/>
      <c r="E393" t="s" s="125">
        <f>_xlfn.IFERROR(AVERAGE(B393:D393),"—")</f>
        <v>957</v>
      </c>
      <c r="F393" t="s" s="125">
        <v>958</v>
      </c>
      <c r="G393" s="243">
        <v>5000000</v>
      </c>
      <c r="H393" t="s" s="125">
        <v>858</v>
      </c>
      <c r="I393" s="244"/>
    </row>
    <row r="394" ht="21.25" customHeight="1">
      <c r="A394" t="s" s="10">
        <v>486</v>
      </c>
      <c r="B394" t="s" s="125">
        <v>957</v>
      </c>
      <c r="C394" s="241"/>
      <c r="D394" s="105"/>
      <c r="E394" t="s" s="125">
        <f>_xlfn.IFERROR(AVERAGE(B394:D394),"—")</f>
        <v>957</v>
      </c>
      <c r="F394" t="s" s="125">
        <v>932</v>
      </c>
      <c r="G394" s="243">
        <v>2500000</v>
      </c>
      <c r="H394" t="s" s="125">
        <v>858</v>
      </c>
      <c r="I394" s="244"/>
    </row>
    <row r="395" ht="21.25" customHeight="1">
      <c r="A395" t="s" s="10">
        <v>616</v>
      </c>
      <c r="B395" t="s" s="125">
        <v>957</v>
      </c>
      <c r="C395" s="241"/>
      <c r="D395" s="105"/>
      <c r="E395" t="s" s="125">
        <f>_xlfn.IFERROR(AVERAGE(B395:D395),"—")</f>
        <v>957</v>
      </c>
      <c r="F395" t="s" s="125">
        <v>929</v>
      </c>
      <c r="G395" s="243">
        <v>3400000</v>
      </c>
      <c r="H395" t="s" s="125">
        <v>858</v>
      </c>
      <c r="I395" s="244"/>
    </row>
    <row r="396" ht="21.25" customHeight="1">
      <c r="A396" t="s" s="10">
        <v>605</v>
      </c>
      <c r="B396" t="s" s="125">
        <v>957</v>
      </c>
      <c r="C396" s="241"/>
      <c r="D396" s="241"/>
      <c r="E396" t="s" s="125">
        <f>_xlfn.IFERROR(AVERAGE(B396:D396),"—")</f>
        <v>957</v>
      </c>
      <c r="F396" t="s" s="125">
        <v>936</v>
      </c>
      <c r="G396" s="243">
        <v>3500000</v>
      </c>
      <c r="H396" t="s" s="125">
        <v>858</v>
      </c>
      <c r="I396" s="244"/>
    </row>
    <row r="397" ht="21.25" customHeight="1">
      <c r="A397" t="s" s="10">
        <v>433</v>
      </c>
      <c r="B397" s="241">
        <v>182</v>
      </c>
      <c r="C397" s="241"/>
      <c r="D397" s="105"/>
      <c r="E397" s="241">
        <f>_xlfn.IFERROR(AVERAGE(B397:D397),"—")</f>
        <v>182</v>
      </c>
      <c r="F397" t="s" s="125">
        <v>929</v>
      </c>
      <c r="G397" s="243">
        <v>4000000</v>
      </c>
      <c r="H397" t="s" s="125">
        <v>858</v>
      </c>
      <c r="I397" s="244"/>
    </row>
    <row r="398" ht="21.25" customHeight="1">
      <c r="A398" t="s" s="10">
        <v>474</v>
      </c>
      <c r="B398" s="241">
        <v>188</v>
      </c>
      <c r="C398" s="241"/>
      <c r="D398" s="105"/>
      <c r="E398" s="241">
        <f>_xlfn.IFERROR(AVERAGE(B398:D398),"—")</f>
        <v>188</v>
      </c>
      <c r="F398" t="s" s="125">
        <v>934</v>
      </c>
      <c r="G398" s="243">
        <v>3333000</v>
      </c>
      <c r="H398" t="s" s="125">
        <v>858</v>
      </c>
      <c r="I398" s="244"/>
    </row>
    <row r="399" ht="21.25" customHeight="1">
      <c r="A399" t="s" s="10">
        <v>533</v>
      </c>
      <c r="B399" t="s" s="125">
        <v>957</v>
      </c>
      <c r="C399" s="241"/>
      <c r="D399" s="105"/>
      <c r="E399" t="s" s="125">
        <f>_xlfn.IFERROR(AVERAGE(B399:D399),"—")</f>
        <v>957</v>
      </c>
      <c r="F399" t="s" s="125">
        <v>937</v>
      </c>
      <c r="G399" s="243">
        <v>3750000</v>
      </c>
      <c r="H399" t="s" s="125">
        <v>858</v>
      </c>
      <c r="I399" s="244"/>
    </row>
    <row r="400" ht="21.25" customHeight="1">
      <c r="A400" t="s" s="10">
        <v>695</v>
      </c>
      <c r="B400" t="s" s="125">
        <v>957</v>
      </c>
      <c r="C400" s="241"/>
      <c r="D400" s="105"/>
      <c r="E400" t="s" s="125">
        <f>_xlfn.IFERROR(AVERAGE(B400:D400),"—")</f>
        <v>957</v>
      </c>
      <c r="F400" t="s" s="125">
        <v>949</v>
      </c>
      <c r="G400" s="243">
        <v>3000000</v>
      </c>
      <c r="H400" t="s" s="125">
        <v>858</v>
      </c>
      <c r="I400" s="244"/>
    </row>
    <row r="401" ht="21.25" customHeight="1">
      <c r="A401" t="s" s="10">
        <v>456</v>
      </c>
      <c r="B401" s="241">
        <v>158.4</v>
      </c>
      <c r="C401" s="241"/>
      <c r="D401" s="105"/>
      <c r="E401" s="241">
        <f>_xlfn.IFERROR(AVERAGE(B401:D401),"—")</f>
        <v>158.4</v>
      </c>
      <c r="F401" t="s" s="125">
        <v>944</v>
      </c>
      <c r="G401" s="243">
        <v>766600</v>
      </c>
      <c r="H401" t="s" s="125">
        <v>858</v>
      </c>
      <c r="I401" s="244"/>
    </row>
    <row r="402" ht="21.25" customHeight="1">
      <c r="A402" t="s" s="10">
        <v>650</v>
      </c>
      <c r="B402" t="s" s="125">
        <v>957</v>
      </c>
      <c r="C402" s="241"/>
      <c r="D402" s="105"/>
      <c r="E402" t="s" s="125">
        <f>_xlfn.IFERROR(AVERAGE(B402:D402),"—")</f>
        <v>957</v>
      </c>
      <c r="F402" t="s" s="125">
        <v>951</v>
      </c>
      <c r="G402" s="243">
        <v>1400000</v>
      </c>
      <c r="H402" t="s" s="125">
        <v>858</v>
      </c>
      <c r="I402" s="244"/>
    </row>
    <row r="403" ht="21.25" customHeight="1">
      <c r="A403" t="s" s="10">
        <v>602</v>
      </c>
      <c r="B403" t="s" s="125">
        <v>957</v>
      </c>
      <c r="C403" s="241"/>
      <c r="D403" s="105"/>
      <c r="E403" t="s" s="125">
        <f>_xlfn.IFERROR(AVERAGE(B403:D403),"—")</f>
        <v>957</v>
      </c>
      <c r="F403" t="s" s="125">
        <v>938</v>
      </c>
      <c r="G403" s="243">
        <v>2000000</v>
      </c>
      <c r="H403" t="s" s="125">
        <v>858</v>
      </c>
      <c r="I403" s="244"/>
    </row>
    <row r="404" ht="21.25" customHeight="1">
      <c r="A404" t="s" s="10">
        <v>437</v>
      </c>
      <c r="B404" t="s" s="125">
        <v>957</v>
      </c>
      <c r="C404" s="241"/>
      <c r="D404" s="105"/>
      <c r="E404" t="s" s="125">
        <f>_xlfn.IFERROR(AVERAGE(B404:D404),"—")</f>
        <v>957</v>
      </c>
      <c r="F404" t="s" s="125">
        <v>928</v>
      </c>
      <c r="G404" s="243">
        <v>2300000</v>
      </c>
      <c r="H404" t="s" s="125">
        <v>858</v>
      </c>
      <c r="I404" s="244"/>
    </row>
    <row r="405" ht="21.25" customHeight="1">
      <c r="A405" t="s" s="10">
        <v>617</v>
      </c>
      <c r="B405" s="241"/>
      <c r="C405" s="241"/>
      <c r="D405" s="105"/>
      <c r="E405" t="s" s="125">
        <f>_xlfn.IFERROR(AVERAGE(B405:D405),"—")</f>
        <v>957</v>
      </c>
      <c r="F405" t="s" s="125">
        <v>939</v>
      </c>
      <c r="G405" s="243">
        <v>950000</v>
      </c>
      <c r="H405" s="105"/>
      <c r="I405" s="244"/>
    </row>
    <row r="406" ht="21.25" customHeight="1">
      <c r="A406" t="s" s="10">
        <v>488</v>
      </c>
      <c r="B406" t="s" s="125">
        <v>957</v>
      </c>
      <c r="C406" s="241"/>
      <c r="D406" s="105"/>
      <c r="E406" t="s" s="125">
        <f>_xlfn.IFERROR(AVERAGE(B406:D406),"—")</f>
        <v>957</v>
      </c>
      <c r="F406" t="s" s="125">
        <v>947</v>
      </c>
      <c r="G406" s="243">
        <v>4400000</v>
      </c>
      <c r="H406" t="s" s="125">
        <v>858</v>
      </c>
      <c r="I406" s="244"/>
    </row>
    <row r="407" ht="21.25" customHeight="1">
      <c r="A407" t="s" s="10">
        <v>415</v>
      </c>
      <c r="B407" t="s" s="125">
        <v>957</v>
      </c>
      <c r="C407" s="241"/>
      <c r="D407" s="241"/>
      <c r="E407" t="s" s="125">
        <f>_xlfn.IFERROR(AVERAGE(B407:D407),"—")</f>
        <v>957</v>
      </c>
      <c r="F407" t="s" s="125">
        <v>942</v>
      </c>
      <c r="G407" s="243">
        <v>3200000</v>
      </c>
      <c r="H407" t="s" s="125">
        <v>858</v>
      </c>
      <c r="I407" s="244"/>
    </row>
    <row r="408" ht="21.25" customHeight="1">
      <c r="A408" t="s" s="10">
        <v>472</v>
      </c>
      <c r="B408" t="s" s="125">
        <v>957</v>
      </c>
      <c r="C408" s="241"/>
      <c r="D408" s="105"/>
      <c r="E408" t="s" s="125">
        <f>_xlfn.IFERROR(AVERAGE(B408:D408),"—")</f>
        <v>957</v>
      </c>
      <c r="F408" t="s" s="125">
        <v>942</v>
      </c>
      <c r="G408" s="243">
        <v>900000</v>
      </c>
      <c r="H408" t="s" s="125">
        <v>858</v>
      </c>
      <c r="I408" s="244"/>
    </row>
    <row r="409" ht="21.25" customHeight="1">
      <c r="A409" t="s" s="10">
        <v>559</v>
      </c>
      <c r="B409" t="s" s="125">
        <v>957</v>
      </c>
      <c r="C409" s="241"/>
      <c r="D409" s="105"/>
      <c r="E409" t="s" s="125">
        <f>_xlfn.IFERROR(AVERAGE(B409:D409),"—")</f>
        <v>957</v>
      </c>
      <c r="F409" t="s" s="125">
        <v>934</v>
      </c>
      <c r="G409" s="243">
        <v>4285714</v>
      </c>
      <c r="H409" t="s" s="125">
        <v>858</v>
      </c>
      <c r="I409" s="244"/>
    </row>
    <row r="410" ht="21.25" customHeight="1">
      <c r="A410" t="s" s="10">
        <v>731</v>
      </c>
      <c r="B410" t="s" s="125">
        <v>957</v>
      </c>
      <c r="C410" s="241"/>
      <c r="D410" s="105"/>
      <c r="E410" t="s" s="125">
        <f>_xlfn.IFERROR(AVERAGE(B410:D410),"—")</f>
        <v>957</v>
      </c>
      <c r="F410" t="s" s="125">
        <v>941</v>
      </c>
      <c r="G410" s="243">
        <v>1075000</v>
      </c>
      <c r="H410" t="s" s="125">
        <v>858</v>
      </c>
      <c r="I410" s="244"/>
    </row>
    <row r="411" ht="21.25" customHeight="1">
      <c r="A411" t="s" s="10">
        <v>561</v>
      </c>
      <c r="B411" t="s" s="125">
        <v>957</v>
      </c>
      <c r="C411" s="241"/>
      <c r="D411" s="105"/>
      <c r="E411" t="s" s="125">
        <f>_xlfn.IFERROR(AVERAGE(B411:D411),"—")</f>
        <v>957</v>
      </c>
      <c r="F411" t="s" s="125">
        <v>956</v>
      </c>
      <c r="G411" s="243">
        <v>5100000</v>
      </c>
      <c r="H411" t="s" s="125">
        <v>858</v>
      </c>
      <c r="I411" s="244"/>
    </row>
    <row r="412" ht="21.25" customHeight="1">
      <c r="A412" t="s" s="10">
        <v>742</v>
      </c>
      <c r="B412" t="s" s="125">
        <v>957</v>
      </c>
      <c r="C412" s="241"/>
      <c r="D412" s="105"/>
      <c r="E412" t="s" s="125">
        <f>_xlfn.IFERROR(AVERAGE(B412:D412),"—")</f>
        <v>957</v>
      </c>
      <c r="F412" t="s" s="125">
        <v>944</v>
      </c>
      <c r="G412" s="243">
        <v>3000000</v>
      </c>
      <c r="H412" t="s" s="125">
        <v>858</v>
      </c>
      <c r="I412" s="244"/>
    </row>
    <row r="413" ht="21.25" customHeight="1">
      <c r="A413" t="s" s="10">
        <v>582</v>
      </c>
      <c r="B413" t="s" s="125">
        <v>957</v>
      </c>
      <c r="C413" s="241"/>
      <c r="D413" s="105"/>
      <c r="E413" t="s" s="125">
        <f>_xlfn.IFERROR(AVERAGE(B413:D413),"—")</f>
        <v>957</v>
      </c>
      <c r="F413" t="s" s="125">
        <v>941</v>
      </c>
      <c r="G413" s="243">
        <v>2750000</v>
      </c>
      <c r="H413" t="s" s="125">
        <v>858</v>
      </c>
      <c r="I413" s="244"/>
    </row>
    <row r="414" ht="21.25" customHeight="1">
      <c r="A414" t="s" s="10">
        <v>638</v>
      </c>
      <c r="B414" t="s" s="125">
        <v>957</v>
      </c>
      <c r="C414" s="241"/>
      <c r="D414" s="241"/>
      <c r="E414" t="s" s="125">
        <f>_xlfn.IFERROR(AVERAGE(B414:D414),"—")</f>
        <v>957</v>
      </c>
      <c r="F414" t="s" s="125">
        <v>951</v>
      </c>
      <c r="G414" s="243">
        <v>3500000</v>
      </c>
      <c r="H414" t="s" s="125">
        <v>858</v>
      </c>
      <c r="I414" s="244"/>
    </row>
    <row r="415" ht="21.25" customHeight="1">
      <c r="A415" t="s" s="10">
        <v>613</v>
      </c>
      <c r="B415" t="s" s="125">
        <v>957</v>
      </c>
      <c r="C415" s="241"/>
      <c r="D415" s="105"/>
      <c r="E415" t="s" s="125">
        <f>_xlfn.IFERROR(AVERAGE(B415:D415),"—")</f>
        <v>957</v>
      </c>
      <c r="F415" t="s" s="125">
        <v>941</v>
      </c>
      <c r="G415" s="243">
        <v>3000000</v>
      </c>
      <c r="H415" t="s" s="125">
        <v>858</v>
      </c>
      <c r="I415" s="244"/>
    </row>
    <row r="416" ht="21.25" customHeight="1">
      <c r="A416" t="s" s="10">
        <v>682</v>
      </c>
      <c r="B416" t="s" s="125">
        <v>957</v>
      </c>
      <c r="C416" s="241"/>
      <c r="D416" s="105"/>
      <c r="E416" t="s" s="125">
        <f>_xlfn.IFERROR(AVERAGE(B416:D416),"—")</f>
        <v>957</v>
      </c>
      <c r="F416" t="s" s="125">
        <v>924</v>
      </c>
      <c r="G416" s="243">
        <v>2750000</v>
      </c>
      <c r="H416" t="s" s="125">
        <v>858</v>
      </c>
      <c r="I416" s="244"/>
    </row>
    <row r="417" ht="21.25" customHeight="1">
      <c r="A417" t="s" s="10">
        <v>429</v>
      </c>
      <c r="B417" t="s" s="125">
        <v>957</v>
      </c>
      <c r="C417" s="241"/>
      <c r="D417" s="105"/>
      <c r="E417" t="s" s="125">
        <f>_xlfn.IFERROR(AVERAGE(B417:D417),"—")</f>
        <v>957</v>
      </c>
      <c r="F417" t="s" s="125">
        <v>925</v>
      </c>
      <c r="G417" s="243">
        <v>4000000</v>
      </c>
      <c r="H417" t="s" s="125">
        <v>858</v>
      </c>
      <c r="I417" s="244"/>
    </row>
    <row r="418" ht="21.25" customHeight="1">
      <c r="A418" t="s" s="10">
        <v>653</v>
      </c>
      <c r="B418" t="s" s="125">
        <v>957</v>
      </c>
      <c r="C418" s="241"/>
      <c r="D418" s="105"/>
      <c r="E418" t="s" s="125">
        <f>_xlfn.IFERROR(AVERAGE(B418:D418),"—")</f>
        <v>957</v>
      </c>
      <c r="F418" t="s" s="125">
        <v>940</v>
      </c>
      <c r="G418" s="243">
        <v>805000</v>
      </c>
      <c r="H418" t="s" s="125">
        <v>858</v>
      </c>
      <c r="I418" s="244"/>
    </row>
    <row r="419" ht="21.25" customHeight="1">
      <c r="A419" t="s" s="10">
        <v>459</v>
      </c>
      <c r="B419" t="s" s="125">
        <v>957</v>
      </c>
      <c r="C419" s="241"/>
      <c r="D419" s="105"/>
      <c r="E419" t="s" s="125">
        <f>_xlfn.IFERROR(AVERAGE(B419:D419),"—")</f>
        <v>957</v>
      </c>
      <c r="F419" t="s" s="125">
        <v>937</v>
      </c>
      <c r="G419" s="243">
        <v>3250000</v>
      </c>
      <c r="H419" t="s" s="125">
        <v>858</v>
      </c>
      <c r="I419" s="244"/>
    </row>
    <row r="420" ht="21.25" customHeight="1">
      <c r="A420" t="s" s="10">
        <v>690</v>
      </c>
      <c r="B420" t="s" s="125">
        <v>957</v>
      </c>
      <c r="C420" s="241"/>
      <c r="D420" s="105"/>
      <c r="E420" t="s" s="125">
        <f>_xlfn.IFERROR(AVERAGE(B420:D420),"—")</f>
        <v>957</v>
      </c>
      <c r="F420" t="s" s="125">
        <v>934</v>
      </c>
      <c r="G420" s="243">
        <v>3100000</v>
      </c>
      <c r="H420" t="s" s="125">
        <v>858</v>
      </c>
      <c r="I420" s="244"/>
    </row>
    <row r="421" ht="21.25" customHeight="1">
      <c r="A421" t="s" s="10">
        <v>688</v>
      </c>
      <c r="B421" t="s" s="125">
        <v>957</v>
      </c>
      <c r="C421" s="241"/>
      <c r="D421" s="105"/>
      <c r="E421" t="s" s="125">
        <f>_xlfn.IFERROR(AVERAGE(B421:D421),"—")</f>
        <v>957</v>
      </c>
      <c r="F421" t="s" s="125">
        <v>954</v>
      </c>
      <c r="G421" s="243">
        <v>1150000</v>
      </c>
      <c r="H421" t="s" s="125">
        <v>858</v>
      </c>
      <c r="I421" s="244"/>
    </row>
    <row r="422" ht="21.25" customHeight="1">
      <c r="A422" t="s" s="10">
        <v>421</v>
      </c>
      <c r="B422" t="s" s="125">
        <v>957</v>
      </c>
      <c r="C422" s="241"/>
      <c r="D422" s="105"/>
      <c r="E422" t="s" s="125">
        <f>_xlfn.IFERROR(AVERAGE(B422:D422),"—")</f>
        <v>957</v>
      </c>
      <c r="F422" t="s" s="125">
        <v>926</v>
      </c>
      <c r="G422" s="243">
        <v>1500000</v>
      </c>
      <c r="H422" t="s" s="125">
        <v>858</v>
      </c>
      <c r="I422" s="244"/>
    </row>
    <row r="423" ht="21.25" customHeight="1">
      <c r="A423" t="s" s="10">
        <v>666</v>
      </c>
      <c r="B423" t="s" s="125">
        <v>957</v>
      </c>
      <c r="C423" s="241"/>
      <c r="D423" s="105"/>
      <c r="E423" t="s" s="125">
        <f>_xlfn.IFERROR(AVERAGE(B423:D423),"—")</f>
        <v>957</v>
      </c>
      <c r="F423" t="s" s="125">
        <v>952</v>
      </c>
      <c r="G423" s="243">
        <v>2100000</v>
      </c>
      <c r="H423" t="s" s="125">
        <v>858</v>
      </c>
      <c r="I423" s="244"/>
    </row>
    <row r="424" ht="21.25" customHeight="1">
      <c r="A424" t="s" s="10">
        <v>518</v>
      </c>
      <c r="B424" t="s" s="125">
        <v>957</v>
      </c>
      <c r="C424" s="241"/>
      <c r="D424" s="105"/>
      <c r="E424" t="s" s="125">
        <f>_xlfn.IFERROR(AVERAGE(B424:D424),"—")</f>
        <v>957</v>
      </c>
      <c r="F424" t="s" s="125">
        <v>952</v>
      </c>
      <c r="G424" s="243">
        <v>2250000</v>
      </c>
      <c r="H424" t="s" s="125">
        <v>858</v>
      </c>
      <c r="I424" s="244"/>
    </row>
    <row r="425" ht="21.25" customHeight="1">
      <c r="A425" t="s" s="10">
        <v>727</v>
      </c>
      <c r="B425" t="s" s="125">
        <v>957</v>
      </c>
      <c r="C425" s="241"/>
      <c r="D425" s="105"/>
      <c r="E425" t="s" s="125">
        <f>_xlfn.IFERROR(AVERAGE(B425:D425),"—")</f>
        <v>957</v>
      </c>
      <c r="F425" t="s" s="125">
        <v>951</v>
      </c>
      <c r="G425" s="243">
        <v>2000000</v>
      </c>
      <c r="H425" t="s" s="125">
        <v>858</v>
      </c>
      <c r="I425" s="244"/>
    </row>
    <row r="426" ht="21.25" customHeight="1">
      <c r="A426" t="s" s="10">
        <v>353</v>
      </c>
      <c r="B426" t="s" s="125">
        <v>957</v>
      </c>
      <c r="C426" s="241"/>
      <c r="D426" s="105"/>
      <c r="E426" t="s" s="125">
        <f>_xlfn.IFERROR(AVERAGE(B426:D426),"—")</f>
        <v>957</v>
      </c>
      <c r="F426" t="s" s="125">
        <v>936</v>
      </c>
      <c r="G426" s="243">
        <v>5000000</v>
      </c>
      <c r="H426" t="s" s="125">
        <v>858</v>
      </c>
      <c r="I426" s="244"/>
    </row>
    <row r="427" ht="21.25" customHeight="1">
      <c r="A427" t="s" s="10">
        <v>498</v>
      </c>
      <c r="B427" t="s" s="125">
        <v>957</v>
      </c>
      <c r="C427" s="241"/>
      <c r="D427" s="105"/>
      <c r="E427" t="s" s="125">
        <f>_xlfn.IFERROR(AVERAGE(B427:D427),"—")</f>
        <v>957</v>
      </c>
      <c r="F427" t="s" s="125">
        <v>932</v>
      </c>
      <c r="G427" s="243">
        <v>3000000</v>
      </c>
      <c r="H427" t="s" s="125">
        <v>858</v>
      </c>
      <c r="I427" s="244"/>
    </row>
    <row r="428" ht="21.25" customHeight="1">
      <c r="A428" t="s" s="10">
        <v>676</v>
      </c>
      <c r="B428" t="s" s="125">
        <v>957</v>
      </c>
      <c r="C428" s="241"/>
      <c r="D428" s="105"/>
      <c r="E428" t="s" s="125">
        <f>_xlfn.IFERROR(AVERAGE(B428:D428),"—")</f>
        <v>957</v>
      </c>
      <c r="F428" t="s" s="125">
        <v>940</v>
      </c>
      <c r="G428" s="243">
        <v>1100000</v>
      </c>
      <c r="H428" t="s" s="125">
        <v>858</v>
      </c>
      <c r="I428" s="244"/>
    </row>
    <row r="429" ht="21.25" customHeight="1">
      <c r="A429" t="s" s="10">
        <v>683</v>
      </c>
      <c r="B429" t="s" s="125">
        <v>957</v>
      </c>
      <c r="C429" s="241"/>
      <c r="D429" s="105"/>
      <c r="E429" t="s" s="125">
        <f>_xlfn.IFERROR(AVERAGE(B429:D429),"—")</f>
        <v>957</v>
      </c>
      <c r="F429" t="s" s="125">
        <v>959</v>
      </c>
      <c r="G429" s="243">
        <v>2750000</v>
      </c>
      <c r="H429" t="s" s="125">
        <v>858</v>
      </c>
      <c r="I429" s="244"/>
    </row>
    <row r="430" ht="21.25" customHeight="1">
      <c r="A430" t="s" s="10">
        <v>692</v>
      </c>
      <c r="B430" t="s" s="125">
        <v>957</v>
      </c>
      <c r="C430" s="241"/>
      <c r="D430" s="105"/>
      <c r="E430" t="s" s="125">
        <f>_xlfn.IFERROR(AVERAGE(B430:D430),"—")</f>
        <v>957</v>
      </c>
      <c r="F430" t="s" s="125">
        <v>949</v>
      </c>
      <c r="G430" s="243">
        <v>3050000</v>
      </c>
      <c r="H430" t="s" s="125">
        <v>858</v>
      </c>
      <c r="I430" s="244"/>
    </row>
    <row r="431" ht="21.25" customHeight="1">
      <c r="A431" t="s" s="10">
        <v>793</v>
      </c>
      <c r="B431" t="s" s="125">
        <v>957</v>
      </c>
      <c r="C431" s="241"/>
      <c r="D431" s="105"/>
      <c r="E431" t="s" s="125">
        <f>_xlfn.IFERROR(AVERAGE(B431:D431),"—")</f>
        <v>957</v>
      </c>
      <c r="F431" t="s" s="125">
        <v>936</v>
      </c>
      <c r="G431" s="243">
        <v>1250000</v>
      </c>
      <c r="H431" t="s" s="125">
        <v>858</v>
      </c>
      <c r="I431" s="244"/>
    </row>
    <row r="432" ht="21.25" customHeight="1">
      <c r="A432" t="s" s="10">
        <v>641</v>
      </c>
      <c r="B432" t="s" s="125">
        <v>957</v>
      </c>
      <c r="C432" s="241"/>
      <c r="D432" s="105"/>
      <c r="E432" t="s" s="125">
        <f>_xlfn.IFERROR(AVERAGE(B432:D432),"—")</f>
        <v>957</v>
      </c>
      <c r="F432" t="s" s="125">
        <v>925</v>
      </c>
      <c r="G432" s="243">
        <v>2500000</v>
      </c>
      <c r="H432" t="s" s="125">
        <v>858</v>
      </c>
      <c r="I432" s="244"/>
    </row>
    <row r="433" ht="21.25" customHeight="1">
      <c r="A433" t="s" s="10">
        <v>748</v>
      </c>
      <c r="B433" t="s" s="125">
        <v>957</v>
      </c>
      <c r="C433" s="241"/>
      <c r="D433" s="105"/>
      <c r="E433" t="s" s="125">
        <f>_xlfn.IFERROR(AVERAGE(B433:D433),"—")</f>
        <v>957</v>
      </c>
      <c r="F433" t="s" s="125">
        <v>939</v>
      </c>
      <c r="G433" s="243">
        <v>2750000</v>
      </c>
      <c r="H433" t="s" s="125">
        <v>858</v>
      </c>
      <c r="I433" s="244"/>
    </row>
    <row r="434" ht="21.25" customHeight="1">
      <c r="A434" t="s" s="10">
        <v>557</v>
      </c>
      <c r="B434" t="s" s="125">
        <v>957</v>
      </c>
      <c r="C434" s="241"/>
      <c r="D434" s="105"/>
      <c r="E434" t="s" s="125">
        <f>_xlfn.IFERROR(AVERAGE(B434:D434),"—")</f>
        <v>957</v>
      </c>
      <c r="F434" t="s" s="125">
        <v>928</v>
      </c>
      <c r="G434" s="243">
        <v>2750000</v>
      </c>
      <c r="H434" t="s" s="125">
        <v>858</v>
      </c>
      <c r="I434" s="244"/>
    </row>
    <row r="435" ht="21.25" customHeight="1">
      <c r="A435" t="s" s="10">
        <v>806</v>
      </c>
      <c r="B435" t="s" s="125">
        <v>957</v>
      </c>
      <c r="C435" s="241"/>
      <c r="D435" s="105"/>
      <c r="E435" t="s" s="125">
        <f>_xlfn.IFERROR(AVERAGE(B435:D435),"—")</f>
        <v>957</v>
      </c>
      <c r="F435" t="s" s="125">
        <v>945</v>
      </c>
      <c r="G435" s="243">
        <v>1250000</v>
      </c>
      <c r="H435" t="s" s="125">
        <v>858</v>
      </c>
      <c r="I435" s="244"/>
    </row>
    <row r="436" ht="21.25" customHeight="1">
      <c r="A436" t="s" s="10">
        <v>734</v>
      </c>
      <c r="B436" t="s" s="125">
        <v>957</v>
      </c>
      <c r="C436" s="241"/>
      <c r="D436" s="105"/>
      <c r="E436" t="s" s="125">
        <f>_xlfn.IFERROR(AVERAGE(B436:D436),"—")</f>
        <v>957</v>
      </c>
      <c r="F436" t="s" s="125">
        <v>928</v>
      </c>
      <c r="G436" s="243">
        <v>925000</v>
      </c>
      <c r="H436" t="s" s="125">
        <v>858</v>
      </c>
      <c r="I436" s="244"/>
    </row>
    <row r="437" ht="21.25" customHeight="1">
      <c r="A437" t="s" s="10">
        <v>686</v>
      </c>
      <c r="B437" t="s" s="125">
        <v>957</v>
      </c>
      <c r="C437" s="241"/>
      <c r="D437" s="105"/>
      <c r="E437" t="s" s="125">
        <f>_xlfn.IFERROR(AVERAGE(B437:D437),"—")</f>
        <v>957</v>
      </c>
      <c r="F437" t="s" s="125">
        <v>958</v>
      </c>
      <c r="G437" s="243">
        <v>3150000</v>
      </c>
      <c r="H437" t="s" s="125">
        <v>858</v>
      </c>
      <c r="I437" s="244"/>
    </row>
    <row r="438" ht="21.25" customHeight="1">
      <c r="A438" t="s" s="10">
        <v>391</v>
      </c>
      <c r="B438" t="s" s="125">
        <v>957</v>
      </c>
      <c r="C438" s="241"/>
      <c r="D438" s="241"/>
      <c r="E438" t="s" s="125">
        <f>_xlfn.IFERROR(AVERAGE(B438:D438),"—")</f>
        <v>957</v>
      </c>
      <c r="F438" t="s" s="125">
        <v>938</v>
      </c>
      <c r="G438" s="243">
        <v>3250000</v>
      </c>
      <c r="H438" t="s" s="125">
        <v>858</v>
      </c>
      <c r="I438" s="244"/>
    </row>
    <row r="439" ht="21.25" customHeight="1">
      <c r="A439" t="s" s="10">
        <v>349</v>
      </c>
      <c r="B439" s="241">
        <v>106.9</v>
      </c>
      <c r="C439" s="241"/>
      <c r="D439" s="105"/>
      <c r="E439" s="241">
        <f>_xlfn.IFERROR(AVERAGE(B439:D439),"—")</f>
        <v>106.9</v>
      </c>
      <c r="F439" t="s" s="125">
        <v>930</v>
      </c>
      <c r="G439" s="243">
        <v>2000000</v>
      </c>
      <c r="H439" t="s" s="125">
        <v>858</v>
      </c>
      <c r="I439" s="244"/>
    </row>
    <row r="440" ht="21.25" customHeight="1">
      <c r="A440" t="s" s="10">
        <v>592</v>
      </c>
      <c r="B440" t="s" s="125">
        <v>957</v>
      </c>
      <c r="C440" s="241"/>
      <c r="D440" s="105"/>
      <c r="E440" t="s" s="125">
        <f>_xlfn.IFERROR(AVERAGE(B440:D440),"—")</f>
        <v>957</v>
      </c>
      <c r="F440" t="s" s="125">
        <v>929</v>
      </c>
      <c r="G440" s="243">
        <v>2750000</v>
      </c>
      <c r="H440" t="s" s="125">
        <v>858</v>
      </c>
      <c r="I440" s="244"/>
    </row>
    <row r="441" ht="21.25" customHeight="1">
      <c r="A441" t="s" s="10">
        <v>672</v>
      </c>
      <c r="B441" t="s" s="125">
        <v>957</v>
      </c>
      <c r="C441" s="241"/>
      <c r="D441" s="105"/>
      <c r="E441" t="s" s="125">
        <f>_xlfn.IFERROR(AVERAGE(B441:D441),"—")</f>
        <v>957</v>
      </c>
      <c r="F441" t="s" s="125">
        <v>945</v>
      </c>
      <c r="G441" s="243">
        <v>3500000</v>
      </c>
      <c r="H441" t="s" s="125">
        <v>858</v>
      </c>
      <c r="I441" s="244"/>
    </row>
    <row r="442" ht="21.25" customHeight="1">
      <c r="A442" t="s" s="10">
        <v>490</v>
      </c>
      <c r="B442" t="s" s="125">
        <v>957</v>
      </c>
      <c r="C442" s="241"/>
      <c r="D442" s="105"/>
      <c r="E442" t="s" s="125">
        <f>_xlfn.IFERROR(AVERAGE(B442:D442),"—")</f>
        <v>957</v>
      </c>
      <c r="F442" t="s" s="125">
        <v>951</v>
      </c>
      <c r="G442" s="243">
        <v>2100000</v>
      </c>
      <c r="H442" t="s" s="125">
        <v>858</v>
      </c>
      <c r="I442" s="244"/>
    </row>
    <row r="443" ht="21.25" customHeight="1">
      <c r="A443" t="s" s="10">
        <v>705</v>
      </c>
      <c r="B443" t="s" s="125">
        <v>957</v>
      </c>
      <c r="C443" s="241"/>
      <c r="D443" s="105"/>
      <c r="E443" t="s" s="125">
        <f>_xlfn.IFERROR(AVERAGE(B443:D443),"—")</f>
        <v>957</v>
      </c>
      <c r="F443" t="s" s="125">
        <v>939</v>
      </c>
      <c r="G443" s="243">
        <v>3571429</v>
      </c>
      <c r="H443" t="s" s="125">
        <v>858</v>
      </c>
      <c r="I443" s="244"/>
    </row>
    <row r="444" ht="21.25" customHeight="1">
      <c r="A444" t="s" s="10">
        <v>751</v>
      </c>
      <c r="B444" t="s" s="125">
        <v>957</v>
      </c>
      <c r="C444" s="241"/>
      <c r="D444" s="105"/>
      <c r="E444" t="s" s="125">
        <f>_xlfn.IFERROR(AVERAGE(B444:D444),"—")</f>
        <v>957</v>
      </c>
      <c r="F444" t="s" s="125">
        <v>952</v>
      </c>
      <c r="G444" s="243">
        <v>1400000</v>
      </c>
      <c r="H444" t="s" s="125">
        <v>858</v>
      </c>
      <c r="I444" s="244"/>
    </row>
    <row r="445" ht="21.25" customHeight="1">
      <c r="A445" t="s" s="10">
        <v>480</v>
      </c>
      <c r="B445" t="s" s="125">
        <v>957</v>
      </c>
      <c r="C445" s="241"/>
      <c r="D445" s="105"/>
      <c r="E445" t="s" s="125">
        <f>_xlfn.IFERROR(AVERAGE(B445:D445),"—")</f>
        <v>957</v>
      </c>
      <c r="F445" t="s" s="125">
        <v>947</v>
      </c>
      <c r="G445" s="243">
        <v>4500000</v>
      </c>
      <c r="H445" t="s" s="125">
        <v>858</v>
      </c>
      <c r="I445" s="244"/>
    </row>
    <row r="446" ht="21.25" customHeight="1">
      <c r="A446" t="s" s="10">
        <v>722</v>
      </c>
      <c r="B446" t="s" s="125">
        <v>957</v>
      </c>
      <c r="C446" s="241"/>
      <c r="D446" s="105"/>
      <c r="E446" t="s" s="125">
        <f>_xlfn.IFERROR(AVERAGE(B446:D446),"—")</f>
        <v>957</v>
      </c>
      <c r="F446" t="s" s="125">
        <v>931</v>
      </c>
      <c r="G446" s="243">
        <v>2400000</v>
      </c>
      <c r="H446" t="s" s="125">
        <v>858</v>
      </c>
      <c r="I446" s="244"/>
    </row>
    <row r="447" ht="21.25" customHeight="1">
      <c r="A447" t="s" s="10">
        <v>702</v>
      </c>
      <c r="B447" t="s" s="125">
        <v>957</v>
      </c>
      <c r="C447" s="241"/>
      <c r="D447" s="105"/>
      <c r="E447" t="s" s="125">
        <f>_xlfn.IFERROR(AVERAGE(B447:D447),"—")</f>
        <v>957</v>
      </c>
      <c r="F447" t="s" s="125">
        <v>938</v>
      </c>
      <c r="G447" s="243">
        <v>4000000</v>
      </c>
      <c r="H447" t="s" s="125">
        <v>858</v>
      </c>
      <c r="I447" s="244"/>
    </row>
    <row r="448" ht="21.25" customHeight="1">
      <c r="A448" t="s" s="10">
        <v>348</v>
      </c>
      <c r="B448" s="241">
        <v>176</v>
      </c>
      <c r="C448" s="241"/>
      <c r="D448" s="105"/>
      <c r="E448" s="241">
        <f>_xlfn.IFERROR(AVERAGE(B448:D448),"—")</f>
        <v>176</v>
      </c>
      <c r="F448" t="s" s="125">
        <v>935</v>
      </c>
      <c r="G448" s="243">
        <v>3250000</v>
      </c>
      <c r="H448" t="s" s="125">
        <v>858</v>
      </c>
      <c r="I448" s="244"/>
    </row>
    <row r="449" ht="21.25" customHeight="1">
      <c r="A449" t="s" s="10">
        <v>750</v>
      </c>
      <c r="B449" t="s" s="125">
        <v>957</v>
      </c>
      <c r="C449" s="241"/>
      <c r="D449" s="105"/>
      <c r="E449" t="s" s="125">
        <f>_xlfn.IFERROR(AVERAGE(B449:D449),"—")</f>
        <v>957</v>
      </c>
      <c r="F449" t="s" s="125">
        <v>932</v>
      </c>
      <c r="G449" s="243">
        <v>800000</v>
      </c>
      <c r="H449" t="s" s="125">
        <v>858</v>
      </c>
      <c r="I449" s="244"/>
    </row>
    <row r="450" ht="21.25" customHeight="1">
      <c r="A450" t="s" s="10">
        <v>766</v>
      </c>
      <c r="B450" t="s" s="125">
        <v>957</v>
      </c>
      <c r="C450" s="241"/>
      <c r="D450" s="105"/>
      <c r="E450" t="s" s="125">
        <f>_xlfn.IFERROR(AVERAGE(B450:D450),"—")</f>
        <v>957</v>
      </c>
      <c r="F450" t="s" s="125">
        <v>933</v>
      </c>
      <c r="G450" s="243">
        <v>2000000</v>
      </c>
      <c r="H450" t="s" s="125">
        <v>858</v>
      </c>
      <c r="I450" s="244"/>
    </row>
    <row r="451" ht="21.25" customHeight="1">
      <c r="A451" t="s" s="10">
        <v>754</v>
      </c>
      <c r="B451" t="s" s="125">
        <v>957</v>
      </c>
      <c r="C451" s="241"/>
      <c r="D451" s="105"/>
      <c r="E451" t="s" s="125">
        <f>_xlfn.IFERROR(AVERAGE(B451:D451),"—")</f>
        <v>957</v>
      </c>
      <c r="F451" t="s" s="125">
        <v>959</v>
      </c>
      <c r="G451" s="243">
        <v>7000000</v>
      </c>
      <c r="H451" t="s" s="125">
        <v>858</v>
      </c>
      <c r="I451" s="244"/>
    </row>
    <row r="452" ht="21.25" customHeight="1">
      <c r="A452" t="s" s="10">
        <v>724</v>
      </c>
      <c r="B452" t="s" s="125">
        <v>957</v>
      </c>
      <c r="C452" s="241"/>
      <c r="D452" s="105"/>
      <c r="E452" t="s" s="125">
        <f>_xlfn.IFERROR(AVERAGE(B452:D452),"—")</f>
        <v>957</v>
      </c>
      <c r="F452" t="s" s="125">
        <v>948</v>
      </c>
      <c r="G452" s="243">
        <v>775000</v>
      </c>
      <c r="H452" t="s" s="125">
        <v>858</v>
      </c>
      <c r="I452" s="244"/>
    </row>
    <row r="453" ht="21.25" customHeight="1">
      <c r="A453" t="s" s="10">
        <v>781</v>
      </c>
      <c r="B453" t="s" s="125">
        <v>957</v>
      </c>
      <c r="C453" s="241"/>
      <c r="D453" s="105"/>
      <c r="E453" t="s" s="125">
        <f>_xlfn.IFERROR(AVERAGE(B453:D453),"—")</f>
        <v>957</v>
      </c>
      <c r="F453" t="s" s="125">
        <v>945</v>
      </c>
      <c r="G453" s="243">
        <v>1750000</v>
      </c>
      <c r="H453" t="s" s="125">
        <v>858</v>
      </c>
      <c r="I453" s="244"/>
    </row>
    <row r="454" ht="21.25" customHeight="1">
      <c r="A454" t="s" s="10">
        <v>796</v>
      </c>
      <c r="B454" t="s" s="125">
        <v>957</v>
      </c>
      <c r="C454" s="241"/>
      <c r="D454" s="105"/>
      <c r="E454" t="s" s="125">
        <f>_xlfn.IFERROR(AVERAGE(B454:D454),"—")</f>
        <v>957</v>
      </c>
      <c r="F454" t="s" s="125">
        <v>948</v>
      </c>
      <c r="G454" s="243">
        <v>1150000</v>
      </c>
      <c r="H454" t="s" s="125">
        <v>858</v>
      </c>
      <c r="I454" s="244"/>
    </row>
    <row r="455" ht="21.25" customHeight="1">
      <c r="A455" t="s" s="10">
        <v>610</v>
      </c>
      <c r="B455" t="s" s="125">
        <v>957</v>
      </c>
      <c r="C455" s="241"/>
      <c r="D455" s="105"/>
      <c r="E455" t="s" s="125">
        <f>_xlfn.IFERROR(AVERAGE(B455:D455),"—")</f>
        <v>957</v>
      </c>
      <c r="F455" t="s" s="125">
        <v>945</v>
      </c>
      <c r="G455" s="243">
        <v>1050000</v>
      </c>
      <c r="H455" t="s" s="125">
        <v>858</v>
      </c>
      <c r="I455" s="244"/>
    </row>
    <row r="456" ht="21.25" customHeight="1">
      <c r="A456" t="s" s="10">
        <v>487</v>
      </c>
      <c r="B456" s="241">
        <v>171.7</v>
      </c>
      <c r="C456" s="241"/>
      <c r="D456" s="105"/>
      <c r="E456" s="241">
        <f>_xlfn.IFERROR(AVERAGE(B456:D456),"—")</f>
        <v>171.7</v>
      </c>
      <c r="F456" t="s" s="125">
        <v>955</v>
      </c>
      <c r="G456" s="243">
        <v>5900000</v>
      </c>
      <c r="H456" t="s" s="125">
        <v>858</v>
      </c>
      <c r="I456" s="244"/>
    </row>
    <row r="457" ht="21.25" customHeight="1">
      <c r="A457" t="s" s="10">
        <v>466</v>
      </c>
      <c r="B457" t="s" s="125">
        <v>957</v>
      </c>
      <c r="C457" s="241"/>
      <c r="D457" s="241"/>
      <c r="E457" t="s" s="125">
        <f>_xlfn.IFERROR(AVERAGE(B457:D457),"—")</f>
        <v>957</v>
      </c>
      <c r="F457" t="s" s="125">
        <v>930</v>
      </c>
      <c r="G457" s="243">
        <v>2750000</v>
      </c>
      <c r="H457" t="s" s="125">
        <v>858</v>
      </c>
      <c r="I457" s="244"/>
    </row>
    <row r="458" ht="21.25" customHeight="1">
      <c r="A458" t="s" s="10">
        <v>733</v>
      </c>
      <c r="B458" t="s" s="125">
        <v>957</v>
      </c>
      <c r="C458" s="241"/>
      <c r="D458" s="105"/>
      <c r="E458" t="s" s="125">
        <f>_xlfn.IFERROR(AVERAGE(B458:D458),"—")</f>
        <v>957</v>
      </c>
      <c r="F458" t="s" s="125">
        <v>942</v>
      </c>
      <c r="G458" s="243">
        <v>3000000</v>
      </c>
      <c r="H458" t="s" s="125">
        <v>858</v>
      </c>
      <c r="I458" s="244"/>
    </row>
    <row r="459" ht="21.25" customHeight="1">
      <c r="A459" t="s" s="10">
        <v>801</v>
      </c>
      <c r="B459" t="s" s="125">
        <v>957</v>
      </c>
      <c r="C459" s="241"/>
      <c r="D459" s="105"/>
      <c r="E459" t="s" s="125">
        <f>_xlfn.IFERROR(AVERAGE(B459:D459),"—")</f>
        <v>957</v>
      </c>
      <c r="F459" t="s" s="125">
        <v>937</v>
      </c>
      <c r="G459" s="243">
        <v>1250000</v>
      </c>
      <c r="H459" t="s" s="125">
        <v>858</v>
      </c>
      <c r="I459" s="244"/>
    </row>
    <row r="460" ht="21.25" customHeight="1">
      <c r="A460" t="s" s="10">
        <v>492</v>
      </c>
      <c r="B460" s="241">
        <v>190</v>
      </c>
      <c r="C460" s="241"/>
      <c r="D460" s="241"/>
      <c r="E460" s="241">
        <f>_xlfn.IFERROR(AVERAGE(B460:D460),"—")</f>
        <v>190</v>
      </c>
      <c r="F460" t="s" s="125">
        <v>934</v>
      </c>
      <c r="G460" s="243">
        <v>925000</v>
      </c>
      <c r="H460" t="s" s="125">
        <v>85</v>
      </c>
      <c r="I460" s="244"/>
    </row>
    <row r="461" ht="21.25" customHeight="1">
      <c r="A461" t="s" s="10">
        <v>689</v>
      </c>
      <c r="B461" t="s" s="125">
        <v>957</v>
      </c>
      <c r="C461" s="241"/>
      <c r="D461" s="105"/>
      <c r="E461" t="s" s="125">
        <f>_xlfn.IFERROR(AVERAGE(B461:D461),"—")</f>
        <v>957</v>
      </c>
      <c r="F461" t="s" s="125">
        <v>955</v>
      </c>
      <c r="G461" s="243">
        <v>5500000</v>
      </c>
      <c r="H461" t="s" s="125">
        <v>858</v>
      </c>
      <c r="I461" s="244"/>
    </row>
    <row r="462" ht="21.25" customHeight="1">
      <c r="A462" t="s" s="10">
        <v>536</v>
      </c>
      <c r="B462" t="s" s="125">
        <v>957</v>
      </c>
      <c r="C462" s="241"/>
      <c r="D462" s="105"/>
      <c r="E462" t="s" s="125">
        <f>_xlfn.IFERROR(AVERAGE(B462:D462),"—")</f>
        <v>957</v>
      </c>
      <c r="F462" t="s" s="125">
        <v>940</v>
      </c>
      <c r="G462" s="243">
        <v>863333</v>
      </c>
      <c r="H462" t="s" s="125">
        <v>858</v>
      </c>
      <c r="I462" s="244"/>
    </row>
    <row r="463" ht="21.25" customHeight="1">
      <c r="A463" t="s" s="10">
        <v>630</v>
      </c>
      <c r="B463" s="241">
        <v>167</v>
      </c>
      <c r="C463" s="241"/>
      <c r="D463" s="105"/>
      <c r="E463" s="241">
        <f>_xlfn.IFERROR(AVERAGE(B463:D463),"—")</f>
        <v>167</v>
      </c>
      <c r="F463" t="s" s="125">
        <v>954</v>
      </c>
      <c r="G463" s="243">
        <v>1300000</v>
      </c>
      <c r="H463" t="s" s="125">
        <v>858</v>
      </c>
      <c r="I463" s="244"/>
    </row>
    <row r="464" ht="21.25" customHeight="1">
      <c r="A464" t="s" s="10">
        <v>788</v>
      </c>
      <c r="B464" t="s" s="125">
        <v>957</v>
      </c>
      <c r="C464" s="241"/>
      <c r="D464" s="105"/>
      <c r="E464" t="s" s="125">
        <f>_xlfn.IFERROR(AVERAGE(B464:D464),"—")</f>
        <v>957</v>
      </c>
      <c r="F464" t="s" s="125">
        <v>952</v>
      </c>
      <c r="G464" s="243">
        <v>918300</v>
      </c>
      <c r="H464" t="s" s="125">
        <v>858</v>
      </c>
      <c r="I464" s="244"/>
    </row>
    <row r="465" ht="21.25" customHeight="1">
      <c r="A465" t="s" s="10">
        <v>489</v>
      </c>
      <c r="B465" t="s" s="125">
        <v>957</v>
      </c>
      <c r="C465" s="241"/>
      <c r="D465" s="241"/>
      <c r="E465" t="s" s="125">
        <f>_xlfn.IFERROR(AVERAGE(B465:D465),"—")</f>
        <v>957</v>
      </c>
      <c r="F465" t="s" s="125">
        <v>947</v>
      </c>
      <c r="G465" s="243">
        <v>4250000</v>
      </c>
      <c r="H465" t="s" s="125">
        <v>858</v>
      </c>
      <c r="I465" s="244"/>
    </row>
    <row r="466" ht="21.25" customHeight="1">
      <c r="A466" t="s" s="10">
        <v>614</v>
      </c>
      <c r="B466" t="s" s="125">
        <v>957</v>
      </c>
      <c r="C466" s="241"/>
      <c r="D466" s="241"/>
      <c r="E466" t="s" s="125">
        <f>_xlfn.IFERROR(AVERAGE(B466:D466),"—")</f>
        <v>957</v>
      </c>
      <c r="F466" t="s" s="125">
        <v>948</v>
      </c>
      <c r="G466" s="243">
        <v>2950000</v>
      </c>
      <c r="H466" t="s" s="125">
        <v>858</v>
      </c>
      <c r="I466" s="244"/>
    </row>
    <row r="467" ht="21.25" customHeight="1">
      <c r="A467" t="s" s="10">
        <v>619</v>
      </c>
      <c r="B467" t="s" s="125">
        <v>957</v>
      </c>
      <c r="C467" s="241"/>
      <c r="D467" s="241"/>
      <c r="E467" t="s" s="125">
        <f>_xlfn.IFERROR(AVERAGE(B467:D467),"—")</f>
        <v>957</v>
      </c>
      <c r="F467" t="s" s="125">
        <v>925</v>
      </c>
      <c r="G467" s="243">
        <v>1050000</v>
      </c>
      <c r="H467" t="s" s="125">
        <v>858</v>
      </c>
      <c r="I467" s="244"/>
    </row>
    <row r="468" ht="21.25" customHeight="1">
      <c r="A468" t="s" s="10">
        <v>668</v>
      </c>
      <c r="B468" t="s" s="125">
        <v>957</v>
      </c>
      <c r="C468" s="241"/>
      <c r="D468" s="105"/>
      <c r="E468" t="s" s="125">
        <f>_xlfn.IFERROR(AVERAGE(B468:D468),"—")</f>
        <v>957</v>
      </c>
      <c r="F468" t="s" s="125">
        <v>925</v>
      </c>
      <c r="G468" s="243">
        <v>800000</v>
      </c>
      <c r="H468" t="s" s="125">
        <v>858</v>
      </c>
      <c r="I468" s="244"/>
    </row>
    <row r="469" ht="21.25" customHeight="1">
      <c r="A469" t="s" s="10">
        <v>730</v>
      </c>
      <c r="B469" t="s" s="125">
        <v>957</v>
      </c>
      <c r="C469" s="241"/>
      <c r="D469" s="105"/>
      <c r="E469" t="s" s="125">
        <f>_xlfn.IFERROR(AVERAGE(B469:D469),"—")</f>
        <v>957</v>
      </c>
      <c r="F469" t="s" s="125">
        <v>938</v>
      </c>
      <c r="G469" s="243">
        <v>1500000</v>
      </c>
      <c r="H469" t="s" s="125">
        <v>858</v>
      </c>
      <c r="I469" s="244"/>
    </row>
    <row r="470" ht="21.25" customHeight="1">
      <c r="A470" t="s" s="10">
        <v>583</v>
      </c>
      <c r="B470" t="s" s="125">
        <v>957</v>
      </c>
      <c r="C470" s="241"/>
      <c r="D470" s="105"/>
      <c r="E470" t="s" s="125">
        <f>_xlfn.IFERROR(AVERAGE(B470:D470),"—")</f>
        <v>957</v>
      </c>
      <c r="F470" t="s" s="125">
        <v>934</v>
      </c>
      <c r="G470" s="243">
        <v>3000000</v>
      </c>
      <c r="H470" t="s" s="125">
        <v>858</v>
      </c>
      <c r="I470" s="244"/>
    </row>
    <row r="471" ht="21.25" customHeight="1">
      <c r="A471" t="s" s="10">
        <v>679</v>
      </c>
      <c r="B471" t="s" s="125">
        <v>957</v>
      </c>
      <c r="C471" s="241"/>
      <c r="D471" s="105"/>
      <c r="E471" t="s" s="125">
        <f>_xlfn.IFERROR(AVERAGE(B471:D471),"—")</f>
        <v>957</v>
      </c>
      <c r="F471" t="s" s="125">
        <v>933</v>
      </c>
      <c r="G471" s="243">
        <v>1250000</v>
      </c>
      <c r="H471" t="s" s="125">
        <v>858</v>
      </c>
      <c r="I471" s="244"/>
    </row>
    <row r="472" ht="21.25" customHeight="1">
      <c r="A472" t="s" s="10">
        <v>744</v>
      </c>
      <c r="B472" t="s" s="125">
        <v>957</v>
      </c>
      <c r="C472" s="241"/>
      <c r="D472" s="105"/>
      <c r="E472" t="s" s="125">
        <f>_xlfn.IFERROR(AVERAGE(B472:D472),"—")</f>
        <v>957</v>
      </c>
      <c r="F472" t="s" s="125">
        <v>954</v>
      </c>
      <c r="G472" s="243">
        <v>6500000</v>
      </c>
      <c r="H472" t="s" s="125">
        <v>858</v>
      </c>
      <c r="I472" s="244"/>
    </row>
    <row r="473" ht="21.25" customHeight="1">
      <c r="A473" t="s" s="10">
        <v>527</v>
      </c>
      <c r="B473" s="241">
        <v>187.5</v>
      </c>
      <c r="C473" s="241"/>
      <c r="D473" s="105"/>
      <c r="E473" s="241">
        <f>_xlfn.IFERROR(AVERAGE(B473:D473),"—")</f>
        <v>187.5</v>
      </c>
      <c r="F473" t="s" s="125">
        <v>951</v>
      </c>
      <c r="G473" s="243">
        <v>2725000</v>
      </c>
      <c r="H473" t="s" s="125">
        <v>858</v>
      </c>
      <c r="I473" s="244"/>
    </row>
    <row r="474" ht="21.25" customHeight="1">
      <c r="A474" t="s" s="10">
        <v>760</v>
      </c>
      <c r="B474" t="s" s="125">
        <v>957</v>
      </c>
      <c r="C474" s="241"/>
      <c r="D474" s="241"/>
      <c r="E474" t="s" s="125">
        <f>_xlfn.IFERROR(AVERAGE(B474:D474),"—")</f>
        <v>957</v>
      </c>
      <c r="F474" t="s" s="125">
        <v>927</v>
      </c>
      <c r="G474" s="243">
        <v>900000</v>
      </c>
      <c r="H474" t="s" s="125">
        <v>858</v>
      </c>
      <c r="I474" s="244"/>
    </row>
    <row r="475" ht="21.25" customHeight="1">
      <c r="A475" t="s" s="10">
        <v>541</v>
      </c>
      <c r="B475" s="241">
        <v>132.8</v>
      </c>
      <c r="C475" s="241"/>
      <c r="D475" s="105"/>
      <c r="E475" s="241">
        <f>_xlfn.IFERROR(AVERAGE(B475:D475),"—")</f>
        <v>132.8</v>
      </c>
      <c r="F475" t="s" s="125">
        <v>941</v>
      </c>
      <c r="G475" s="243">
        <v>1800000</v>
      </c>
      <c r="H475" t="s" s="125">
        <v>858</v>
      </c>
      <c r="I475" s="244"/>
    </row>
    <row r="476" ht="21.25" customHeight="1">
      <c r="A476" t="s" s="10">
        <v>685</v>
      </c>
      <c r="B476" t="s" s="125">
        <v>957</v>
      </c>
      <c r="C476" s="241"/>
      <c r="D476" s="105"/>
      <c r="E476" t="s" s="125">
        <f>_xlfn.IFERROR(AVERAGE(B476:D476),"—")</f>
        <v>957</v>
      </c>
      <c r="F476" t="s" s="125">
        <v>959</v>
      </c>
      <c r="G476" s="243">
        <v>5000000</v>
      </c>
      <c r="H476" t="s" s="125">
        <v>858</v>
      </c>
      <c r="I476" s="244"/>
    </row>
    <row r="477" ht="21.25" customHeight="1">
      <c r="A477" t="s" s="10">
        <v>763</v>
      </c>
      <c r="B477" t="s" s="125">
        <v>957</v>
      </c>
      <c r="C477" s="241"/>
      <c r="D477" s="105"/>
      <c r="E477" t="s" s="125">
        <f>_xlfn.IFERROR(AVERAGE(B477:D477),"—")</f>
        <v>957</v>
      </c>
      <c r="F477" t="s" s="125">
        <v>939</v>
      </c>
      <c r="G477" s="243">
        <v>1250000</v>
      </c>
      <c r="H477" t="s" s="125">
        <v>858</v>
      </c>
      <c r="I477" s="244"/>
    </row>
    <row r="478" ht="21.25" customHeight="1">
      <c r="A478" t="s" s="10">
        <v>761</v>
      </c>
      <c r="B478" t="s" s="125">
        <v>957</v>
      </c>
      <c r="C478" s="241"/>
      <c r="D478" s="105"/>
      <c r="E478" t="s" s="125">
        <f>_xlfn.IFERROR(AVERAGE(B478:D478),"—")</f>
        <v>957</v>
      </c>
      <c r="F478" t="s" s="125">
        <v>952</v>
      </c>
      <c r="G478" s="243">
        <v>1800000</v>
      </c>
      <c r="H478" t="s" s="125">
        <v>858</v>
      </c>
      <c r="I478" s="244"/>
    </row>
    <row r="479" ht="21.25" customHeight="1">
      <c r="A479" t="s" s="10">
        <v>481</v>
      </c>
      <c r="B479" s="241">
        <v>182</v>
      </c>
      <c r="C479" s="241"/>
      <c r="D479" s="105"/>
      <c r="E479" s="241">
        <f>_xlfn.IFERROR(AVERAGE(B479:D479),"—")</f>
        <v>182</v>
      </c>
      <c r="F479" t="s" s="125">
        <v>926</v>
      </c>
      <c r="G479" s="243">
        <v>1350000</v>
      </c>
      <c r="H479" t="s" s="125">
        <v>858</v>
      </c>
      <c r="I479" s="244"/>
    </row>
    <row r="480" ht="21.25" customHeight="1">
      <c r="A480" t="s" s="10">
        <v>661</v>
      </c>
      <c r="B480" t="s" s="125">
        <v>957</v>
      </c>
      <c r="C480" s="241"/>
      <c r="D480" s="105"/>
      <c r="E480" t="s" s="125">
        <f>_xlfn.IFERROR(AVERAGE(B480:D480),"—")</f>
        <v>957</v>
      </c>
      <c r="F480" t="s" s="125">
        <v>935</v>
      </c>
      <c r="G480" s="243">
        <v>2000000</v>
      </c>
      <c r="H480" t="s" s="125">
        <v>858</v>
      </c>
      <c r="I480" s="244"/>
    </row>
    <row r="481" ht="21.25" customHeight="1">
      <c r="A481" t="s" s="10">
        <v>815</v>
      </c>
      <c r="B481" t="s" s="125">
        <v>957</v>
      </c>
      <c r="C481" s="241"/>
      <c r="D481" s="105"/>
      <c r="E481" t="s" s="125">
        <f>_xlfn.IFERROR(AVERAGE(B481:D481),"—")</f>
        <v>957</v>
      </c>
      <c r="F481" t="s" s="125">
        <v>936</v>
      </c>
      <c r="G481" s="243">
        <v>3000000</v>
      </c>
      <c r="H481" t="s" s="125">
        <v>858</v>
      </c>
      <c r="I481" s="244"/>
    </row>
    <row r="482" ht="21.25" customHeight="1">
      <c r="A482" t="s" s="10">
        <v>713</v>
      </c>
      <c r="B482" t="s" s="125">
        <v>957</v>
      </c>
      <c r="C482" s="241"/>
      <c r="D482" s="105"/>
      <c r="E482" t="s" s="125">
        <f>_xlfn.IFERROR(AVERAGE(B482:D482),"—")</f>
        <v>957</v>
      </c>
      <c r="F482" t="s" s="125">
        <v>939</v>
      </c>
      <c r="G482" s="243">
        <v>775000</v>
      </c>
      <c r="H482" t="s" s="125">
        <v>858</v>
      </c>
      <c r="I482" s="244"/>
    </row>
    <row r="483" ht="21.25" customHeight="1">
      <c r="A483" t="s" s="10">
        <v>798</v>
      </c>
      <c r="B483" t="s" s="125">
        <v>957</v>
      </c>
      <c r="C483" s="241"/>
      <c r="D483" s="105"/>
      <c r="E483" t="s" s="125">
        <f>_xlfn.IFERROR(AVERAGE(B483:D483),"—")</f>
        <v>957</v>
      </c>
      <c r="F483" t="s" s="125">
        <v>942</v>
      </c>
      <c r="G483" t="s" s="125">
        <v>943</v>
      </c>
      <c r="H483" t="s" s="125">
        <v>858</v>
      </c>
      <c r="I483" s="244"/>
    </row>
    <row r="484" ht="21.25" customHeight="1">
      <c r="A484" t="s" s="10">
        <v>725</v>
      </c>
      <c r="B484" t="s" s="125">
        <v>957</v>
      </c>
      <c r="C484" s="241"/>
      <c r="D484" s="241"/>
      <c r="E484" t="s" s="125">
        <f>_xlfn.IFERROR(AVERAGE(B484:D484),"—")</f>
        <v>957</v>
      </c>
      <c r="F484" t="s" s="125">
        <v>956</v>
      </c>
      <c r="G484" s="243">
        <v>2625000</v>
      </c>
      <c r="H484" t="s" s="125">
        <v>858</v>
      </c>
      <c r="I484" s="244"/>
    </row>
    <row r="485" ht="21.25" customHeight="1">
      <c r="A485" t="s" s="10">
        <v>707</v>
      </c>
      <c r="B485" t="s" s="125">
        <v>957</v>
      </c>
      <c r="C485" s="241"/>
      <c r="D485" s="105"/>
      <c r="E485" t="s" s="125">
        <f>_xlfn.IFERROR(AVERAGE(B485:D485),"—")</f>
        <v>957</v>
      </c>
      <c r="F485" t="s" s="125">
        <v>950</v>
      </c>
      <c r="G485" s="243">
        <v>3850000</v>
      </c>
      <c r="H485" t="s" s="125">
        <v>858</v>
      </c>
      <c r="I485" s="244"/>
    </row>
    <row r="486" ht="21.25" customHeight="1">
      <c r="A486" t="s" s="10">
        <v>779</v>
      </c>
      <c r="B486" t="s" s="125">
        <v>957</v>
      </c>
      <c r="C486" s="241"/>
      <c r="D486" s="241"/>
      <c r="E486" t="s" s="125">
        <f>_xlfn.IFERROR(AVERAGE(B486:D486),"—")</f>
        <v>957</v>
      </c>
      <c r="F486" t="s" s="125">
        <v>955</v>
      </c>
      <c r="G486" s="243">
        <v>897500</v>
      </c>
      <c r="H486" t="s" s="125">
        <v>858</v>
      </c>
      <c r="I486" s="244"/>
    </row>
    <row r="487" ht="21.25" customHeight="1">
      <c r="A487" t="s" s="10">
        <v>715</v>
      </c>
      <c r="B487" t="s" s="125">
        <v>957</v>
      </c>
      <c r="C487" s="241"/>
      <c r="D487" s="105"/>
      <c r="E487" t="s" s="125">
        <f>_xlfn.IFERROR(AVERAGE(B487:D487),"—")</f>
        <v>957</v>
      </c>
      <c r="F487" t="s" s="125">
        <v>954</v>
      </c>
      <c r="G487" s="243">
        <v>3362500</v>
      </c>
      <c r="H487" t="s" s="125">
        <v>858</v>
      </c>
      <c r="I487" s="244"/>
    </row>
    <row r="488" ht="21.25" customHeight="1">
      <c r="A488" t="s" s="10">
        <v>664</v>
      </c>
      <c r="B488" t="s" s="125">
        <v>957</v>
      </c>
      <c r="C488" s="241"/>
      <c r="D488" s="105"/>
      <c r="E488" t="s" s="125">
        <f>_xlfn.IFERROR(AVERAGE(B488:D488),"—")</f>
        <v>957</v>
      </c>
      <c r="F488" t="s" s="125">
        <v>935</v>
      </c>
      <c r="G488" s="243">
        <v>1500000</v>
      </c>
      <c r="H488" t="s" s="125">
        <v>858</v>
      </c>
      <c r="I488" s="244"/>
    </row>
    <row r="489" ht="21.25" customHeight="1">
      <c r="A489" t="s" s="10">
        <v>534</v>
      </c>
      <c r="B489" t="s" s="125">
        <v>957</v>
      </c>
      <c r="C489" s="241"/>
      <c r="D489" s="105"/>
      <c r="E489" t="s" s="125">
        <f>_xlfn.IFERROR(AVERAGE(B489:D489),"—")</f>
        <v>957</v>
      </c>
      <c r="F489" t="s" s="125">
        <v>940</v>
      </c>
      <c r="G489" s="243">
        <v>2750000</v>
      </c>
      <c r="H489" t="s" s="125">
        <v>858</v>
      </c>
      <c r="I489" s="244"/>
    </row>
    <row r="490" ht="21.25" customHeight="1">
      <c r="A490" t="s" s="10">
        <v>849</v>
      </c>
      <c r="B490" t="s" s="125">
        <v>957</v>
      </c>
      <c r="C490" s="241"/>
      <c r="D490" s="105"/>
      <c r="E490" t="s" s="125">
        <f>_xlfn.IFERROR(AVERAGE(B490:D490),"—")</f>
        <v>957</v>
      </c>
      <c r="F490" t="s" s="125">
        <v>948</v>
      </c>
      <c r="G490" s="243">
        <v>863000</v>
      </c>
      <c r="H490" t="s" s="125">
        <v>858</v>
      </c>
      <c r="I490" s="244"/>
    </row>
    <row r="491" ht="21.25" customHeight="1">
      <c r="A491" t="s" s="10">
        <v>706</v>
      </c>
      <c r="B491" t="s" s="125">
        <v>957</v>
      </c>
      <c r="C491" s="241"/>
      <c r="D491" s="105"/>
      <c r="E491" t="s" s="125">
        <f>_xlfn.IFERROR(AVERAGE(B491:D491),"—")</f>
        <v>957</v>
      </c>
      <c r="F491" t="s" s="125">
        <v>937</v>
      </c>
      <c r="G491" s="243">
        <v>1000000</v>
      </c>
      <c r="H491" t="s" s="125">
        <v>858</v>
      </c>
      <c r="I491" s="244"/>
    </row>
    <row r="492" ht="21.25" customHeight="1">
      <c r="A492" t="s" s="10">
        <v>547</v>
      </c>
      <c r="B492" s="241">
        <v>177.5</v>
      </c>
      <c r="C492" s="241"/>
      <c r="D492" s="105"/>
      <c r="E492" s="241">
        <f>_xlfn.IFERROR(AVERAGE(B492:D492),"—")</f>
        <v>177.5</v>
      </c>
      <c r="F492" t="s" s="125">
        <v>939</v>
      </c>
      <c r="G492" s="243">
        <v>2500000</v>
      </c>
      <c r="H492" t="s" s="125">
        <v>858</v>
      </c>
      <c r="I492" s="244"/>
    </row>
    <row r="493" ht="21.25" customHeight="1">
      <c r="A493" t="s" s="10">
        <v>718</v>
      </c>
      <c r="B493" t="s" s="125">
        <v>957</v>
      </c>
      <c r="C493" s="241"/>
      <c r="D493" s="105"/>
      <c r="E493" t="s" s="125">
        <f>_xlfn.IFERROR(AVERAGE(B493:D493),"—")</f>
        <v>957</v>
      </c>
      <c r="F493" t="s" s="125">
        <v>944</v>
      </c>
      <c r="G493" s="243">
        <v>3375000</v>
      </c>
      <c r="H493" t="s" s="125">
        <v>858</v>
      </c>
      <c r="I493" s="244"/>
    </row>
    <row r="494" ht="21.25" customHeight="1">
      <c r="A494" t="s" s="10">
        <v>426</v>
      </c>
      <c r="B494" s="241">
        <v>161.2</v>
      </c>
      <c r="C494" s="241"/>
      <c r="D494" s="105"/>
      <c r="E494" s="241">
        <f>_xlfn.IFERROR(AVERAGE(B494:D494),"—")</f>
        <v>161.2</v>
      </c>
      <c r="F494" t="s" s="125">
        <v>945</v>
      </c>
      <c r="G494" s="243">
        <v>1000000</v>
      </c>
      <c r="H494" t="s" s="125">
        <v>858</v>
      </c>
      <c r="I494" s="244"/>
    </row>
    <row r="495" ht="21.25" customHeight="1">
      <c r="A495" t="s" s="10">
        <v>816</v>
      </c>
      <c r="B495" t="s" s="125">
        <v>957</v>
      </c>
      <c r="C495" s="241"/>
      <c r="D495" s="105"/>
      <c r="E495" t="s" s="125">
        <f>_xlfn.IFERROR(AVERAGE(B495:D495),"—")</f>
        <v>957</v>
      </c>
      <c r="F495" t="s" s="125">
        <v>948</v>
      </c>
      <c r="G495" s="243">
        <v>950000</v>
      </c>
      <c r="H495" t="s" s="125">
        <v>858</v>
      </c>
      <c r="I495" s="244"/>
    </row>
    <row r="496" ht="21.25" customHeight="1">
      <c r="A496" t="s" s="10">
        <v>785</v>
      </c>
      <c r="B496" t="s" s="125">
        <v>957</v>
      </c>
      <c r="C496" s="241"/>
      <c r="D496" s="105"/>
      <c r="E496" t="s" s="125">
        <f>_xlfn.IFERROR(AVERAGE(B496:D496),"—")</f>
        <v>957</v>
      </c>
      <c r="F496" t="s" s="125">
        <v>948</v>
      </c>
      <c r="G496" s="243">
        <v>800000</v>
      </c>
      <c r="H496" t="s" s="125">
        <v>858</v>
      </c>
      <c r="I496" s="244"/>
    </row>
    <row r="497" ht="21.25" customHeight="1">
      <c r="A497" t="s" s="10">
        <v>710</v>
      </c>
      <c r="B497" t="s" s="125">
        <v>957</v>
      </c>
      <c r="C497" s="241"/>
      <c r="D497" s="105"/>
      <c r="E497" t="s" s="125">
        <f>_xlfn.IFERROR(AVERAGE(B497:D497),"—")</f>
        <v>957</v>
      </c>
      <c r="F497" t="s" s="125">
        <v>951</v>
      </c>
      <c r="G497" s="243">
        <v>2650000</v>
      </c>
      <c r="H497" t="s" s="125">
        <v>858</v>
      </c>
      <c r="I497" s="244"/>
    </row>
    <row r="498" ht="21.25" customHeight="1">
      <c r="A498" t="s" s="10">
        <v>764</v>
      </c>
      <c r="B498" s="241"/>
      <c r="C498" s="241"/>
      <c r="D498" s="105"/>
      <c r="E498" t="s" s="125">
        <f>_xlfn.IFERROR(AVERAGE(B498:D498),"—")</f>
        <v>957</v>
      </c>
      <c r="F498" t="s" s="125">
        <v>949</v>
      </c>
      <c r="G498" s="243">
        <v>918333</v>
      </c>
      <c r="H498" s="105"/>
      <c r="I498" s="244"/>
    </row>
    <row r="499" ht="21.25" customHeight="1">
      <c r="A499" t="s" s="10">
        <v>580</v>
      </c>
      <c r="B499" t="s" s="125">
        <v>957</v>
      </c>
      <c r="C499" s="241"/>
      <c r="D499" s="105"/>
      <c r="E499" t="s" s="125">
        <f>_xlfn.IFERROR(AVERAGE(B499:D499),"—")</f>
        <v>957</v>
      </c>
      <c r="F499" t="s" s="125">
        <v>927</v>
      </c>
      <c r="G499" s="243">
        <v>800000</v>
      </c>
      <c r="H499" t="s" s="125">
        <v>858</v>
      </c>
      <c r="I499" s="244"/>
    </row>
    <row r="500" ht="21.25" customHeight="1">
      <c r="A500" t="s" s="10">
        <v>777</v>
      </c>
      <c r="B500" t="s" s="125">
        <v>957</v>
      </c>
      <c r="C500" s="241"/>
      <c r="D500" s="105"/>
      <c r="E500" t="s" s="125">
        <f>_xlfn.IFERROR(AVERAGE(B500:D500),"—")</f>
        <v>957</v>
      </c>
      <c r="F500" t="s" s="125">
        <v>929</v>
      </c>
      <c r="G500" s="243">
        <v>1800000</v>
      </c>
      <c r="H500" t="s" s="125">
        <v>858</v>
      </c>
      <c r="I500" s="244"/>
    </row>
    <row r="501" ht="21.25" customHeight="1">
      <c r="A501" t="s" s="10">
        <v>745</v>
      </c>
      <c r="B501" t="s" s="125">
        <v>957</v>
      </c>
      <c r="C501" s="241"/>
      <c r="D501" s="105"/>
      <c r="E501" t="s" s="125">
        <f>_xlfn.IFERROR(AVERAGE(B501:D501),"—")</f>
        <v>957</v>
      </c>
      <c r="F501" t="s" s="125">
        <v>930</v>
      </c>
      <c r="G501" t="s" s="125">
        <v>943</v>
      </c>
      <c r="H501" t="s" s="125">
        <v>858</v>
      </c>
      <c r="I501" s="244"/>
    </row>
    <row r="502" ht="21.25" customHeight="1">
      <c r="A502" t="s" s="10">
        <v>749</v>
      </c>
      <c r="B502" t="s" s="125">
        <v>957</v>
      </c>
      <c r="C502" s="241"/>
      <c r="D502" s="105"/>
      <c r="E502" t="s" s="125">
        <f>_xlfn.IFERROR(AVERAGE(B502:D502),"—")</f>
        <v>957</v>
      </c>
      <c r="F502" t="s" s="125">
        <v>938</v>
      </c>
      <c r="G502" s="243">
        <v>1250000</v>
      </c>
      <c r="H502" t="s" s="125">
        <v>858</v>
      </c>
      <c r="I502" s="244"/>
    </row>
    <row r="503" ht="21.25" customHeight="1">
      <c r="A503" t="s" s="10">
        <v>600</v>
      </c>
      <c r="B503" t="s" s="125">
        <v>957</v>
      </c>
      <c r="C503" s="241"/>
      <c r="D503" s="105"/>
      <c r="E503" t="s" s="125">
        <f>_xlfn.IFERROR(AVERAGE(B503:D503),"—")</f>
        <v>957</v>
      </c>
      <c r="F503" t="s" s="125">
        <v>949</v>
      </c>
      <c r="G503" s="243">
        <v>2000000</v>
      </c>
      <c r="H503" t="s" s="125">
        <v>858</v>
      </c>
      <c r="I503" s="244"/>
    </row>
    <row r="504" ht="21.25" customHeight="1">
      <c r="A504" t="s" s="10">
        <v>791</v>
      </c>
      <c r="B504" t="s" s="125">
        <v>957</v>
      </c>
      <c r="C504" s="241"/>
      <c r="D504" s="105"/>
      <c r="E504" t="s" s="125">
        <f>_xlfn.IFERROR(AVERAGE(B504:D504),"—")</f>
        <v>957</v>
      </c>
      <c r="F504" t="s" s="125">
        <v>929</v>
      </c>
      <c r="G504" s="243">
        <v>766667</v>
      </c>
      <c r="H504" t="s" s="125">
        <v>858</v>
      </c>
      <c r="I504" s="244"/>
    </row>
    <row r="505" ht="21.25" customHeight="1">
      <c r="A505" t="s" s="10">
        <v>782</v>
      </c>
      <c r="B505" t="s" s="125">
        <v>957</v>
      </c>
      <c r="C505" s="241"/>
      <c r="D505" s="241"/>
      <c r="E505" t="s" s="125">
        <f>_xlfn.IFERROR(AVERAGE(B505:D505),"—")</f>
        <v>957</v>
      </c>
      <c r="F505" t="s" s="125">
        <v>950</v>
      </c>
      <c r="G505" t="s" s="125">
        <v>943</v>
      </c>
      <c r="H505" t="s" s="125">
        <v>858</v>
      </c>
      <c r="I505" s="244"/>
    </row>
    <row r="506" ht="21.25" customHeight="1">
      <c r="A506" t="s" s="10">
        <v>681</v>
      </c>
      <c r="B506" t="s" s="125">
        <v>957</v>
      </c>
      <c r="C506" s="241"/>
      <c r="D506" s="105"/>
      <c r="E506" t="s" s="125">
        <f>_xlfn.IFERROR(AVERAGE(B506:D506),"—")</f>
        <v>957</v>
      </c>
      <c r="F506" t="s" s="125">
        <v>945</v>
      </c>
      <c r="G506" s="243">
        <v>775000</v>
      </c>
      <c r="H506" t="s" s="125">
        <v>858</v>
      </c>
      <c r="I506" s="244"/>
    </row>
    <row r="507" ht="21.25" customHeight="1">
      <c r="A507" t="s" s="10">
        <v>804</v>
      </c>
      <c r="B507" t="s" s="125">
        <v>957</v>
      </c>
      <c r="C507" s="241"/>
      <c r="D507" s="105"/>
      <c r="E507" t="s" s="125">
        <f>_xlfn.IFERROR(AVERAGE(B507:D507),"—")</f>
        <v>957</v>
      </c>
      <c r="F507" t="s" s="125">
        <v>944</v>
      </c>
      <c r="G507" s="243">
        <v>1900000</v>
      </c>
      <c r="H507" t="s" s="125">
        <v>858</v>
      </c>
      <c r="I507" s="244"/>
    </row>
    <row r="508" ht="21.25" customHeight="1">
      <c r="A508" t="s" s="10">
        <v>571</v>
      </c>
      <c r="B508" t="s" s="125">
        <v>957</v>
      </c>
      <c r="C508" s="241"/>
      <c r="D508" s="241"/>
      <c r="E508" t="s" s="125">
        <f>_xlfn.IFERROR(AVERAGE(B508:D508),"—")</f>
        <v>957</v>
      </c>
      <c r="F508" t="s" s="125">
        <v>961</v>
      </c>
      <c r="G508" s="243">
        <v>2350000</v>
      </c>
      <c r="H508" t="s" s="125">
        <v>858</v>
      </c>
      <c r="I508" s="244"/>
    </row>
    <row r="509" ht="21.25" customHeight="1">
      <c r="A509" t="s" s="10">
        <v>835</v>
      </c>
      <c r="B509" t="s" s="125">
        <v>957</v>
      </c>
      <c r="C509" s="241"/>
      <c r="D509" s="241"/>
      <c r="E509" t="s" s="125">
        <f>_xlfn.IFERROR(AVERAGE(B509:D509),"—")</f>
        <v>957</v>
      </c>
      <c r="F509" t="s" s="125">
        <v>956</v>
      </c>
      <c r="G509" s="243">
        <v>1700000</v>
      </c>
      <c r="H509" t="s" s="125">
        <v>858</v>
      </c>
      <c r="I509" s="244"/>
    </row>
    <row r="510" ht="21.25" customHeight="1">
      <c r="A510" t="s" s="10">
        <v>776</v>
      </c>
      <c r="B510" t="s" s="125">
        <v>957</v>
      </c>
      <c r="C510" s="241"/>
      <c r="D510" s="105"/>
      <c r="E510" t="s" s="125">
        <f>_xlfn.IFERROR(AVERAGE(B510:D510),"—")</f>
        <v>957</v>
      </c>
      <c r="F510" t="s" s="125">
        <v>956</v>
      </c>
      <c r="G510" s="243">
        <v>1500000</v>
      </c>
      <c r="H510" t="s" s="125">
        <v>858</v>
      </c>
      <c r="I510" s="244"/>
    </row>
    <row r="511" ht="21.25" customHeight="1">
      <c r="A511" t="s" s="10">
        <v>824</v>
      </c>
      <c r="B511" t="s" s="125">
        <v>957</v>
      </c>
      <c r="C511" s="241"/>
      <c r="D511" s="105"/>
      <c r="E511" t="s" s="125">
        <f>_xlfn.IFERROR(AVERAGE(B511:D511),"—")</f>
        <v>957</v>
      </c>
      <c r="F511" t="s" s="125">
        <v>930</v>
      </c>
      <c r="G511" s="243">
        <v>825000</v>
      </c>
      <c r="H511" t="s" s="125">
        <v>858</v>
      </c>
      <c r="I511" s="244"/>
    </row>
    <row r="512" ht="21.25" customHeight="1">
      <c r="A512" t="s" s="10">
        <v>800</v>
      </c>
      <c r="B512" t="s" s="125">
        <v>957</v>
      </c>
      <c r="C512" s="241"/>
      <c r="D512" s="105"/>
      <c r="E512" t="s" s="125">
        <f>_xlfn.IFERROR(AVERAGE(B512:D512),"—")</f>
        <v>957</v>
      </c>
      <c r="F512" t="s" s="125">
        <v>959</v>
      </c>
      <c r="G512" s="243">
        <v>1250000</v>
      </c>
      <c r="H512" t="s" s="125">
        <v>858</v>
      </c>
      <c r="I512" s="244"/>
    </row>
    <row r="513" ht="21.25" customHeight="1">
      <c r="A513" t="s" s="10">
        <v>821</v>
      </c>
      <c r="B513" t="s" s="125">
        <v>957</v>
      </c>
      <c r="C513" s="241"/>
      <c r="D513" s="241"/>
      <c r="E513" t="s" s="125">
        <f>_xlfn.IFERROR(AVERAGE(B513:D513),"—")</f>
        <v>957</v>
      </c>
      <c r="F513" t="s" s="125">
        <v>926</v>
      </c>
      <c r="G513" s="243">
        <v>1100000</v>
      </c>
      <c r="H513" t="s" s="125">
        <v>858</v>
      </c>
      <c r="I513" s="244"/>
    </row>
    <row r="514" ht="21.25" customHeight="1">
      <c r="A514" t="s" s="10">
        <v>637</v>
      </c>
      <c r="B514" t="s" s="125">
        <v>957</v>
      </c>
      <c r="C514" s="241"/>
      <c r="D514" s="105"/>
      <c r="E514" t="s" s="125">
        <f>_xlfn.IFERROR(AVERAGE(B514:D514),"—")</f>
        <v>957</v>
      </c>
      <c r="F514" t="s" s="125">
        <v>956</v>
      </c>
      <c r="G514" s="243">
        <v>1900000</v>
      </c>
      <c r="H514" t="s" s="125">
        <v>858</v>
      </c>
      <c r="I514" s="244"/>
    </row>
    <row r="515" ht="21.25" customHeight="1">
      <c r="A515" t="s" s="10">
        <v>622</v>
      </c>
      <c r="B515" t="s" s="125">
        <v>957</v>
      </c>
      <c r="C515" s="241"/>
      <c r="D515" s="105"/>
      <c r="E515" t="s" s="125">
        <f>_xlfn.IFERROR(AVERAGE(B515:D515),"—")</f>
        <v>957</v>
      </c>
      <c r="F515" t="s" s="125">
        <v>942</v>
      </c>
      <c r="G515" s="243">
        <v>2275000</v>
      </c>
      <c r="H515" t="s" s="125">
        <v>858</v>
      </c>
      <c r="I515" s="244"/>
    </row>
    <row r="516" ht="21.25" customHeight="1">
      <c r="A516" t="s" s="10">
        <v>812</v>
      </c>
      <c r="B516" t="s" s="125">
        <v>957</v>
      </c>
      <c r="C516" s="241"/>
      <c r="D516" s="105"/>
      <c r="E516" t="s" s="125">
        <f>_xlfn.IFERROR(AVERAGE(B516:D516),"—")</f>
        <v>957</v>
      </c>
      <c r="F516" t="s" s="125">
        <v>941</v>
      </c>
      <c r="G516" s="243">
        <v>825000</v>
      </c>
      <c r="H516" t="s" s="125">
        <v>858</v>
      </c>
      <c r="I516" s="244"/>
    </row>
    <row r="517" ht="21.25" customHeight="1">
      <c r="A517" t="s" s="10">
        <v>503</v>
      </c>
      <c r="B517" t="s" s="125">
        <v>957</v>
      </c>
      <c r="C517" s="241"/>
      <c r="D517" s="105"/>
      <c r="E517" t="s" s="125">
        <f>_xlfn.IFERROR(AVERAGE(B517:D517),"—")</f>
        <v>957</v>
      </c>
      <c r="F517" t="s" s="125">
        <v>949</v>
      </c>
      <c r="G517" s="243">
        <v>2900000</v>
      </c>
      <c r="H517" t="s" s="125">
        <v>858</v>
      </c>
      <c r="I517" s="244"/>
    </row>
    <row r="518" ht="21.25" customHeight="1">
      <c r="A518" t="s" s="10">
        <v>615</v>
      </c>
      <c r="B518" t="s" s="125">
        <v>957</v>
      </c>
      <c r="C518" s="241"/>
      <c r="D518" s="105"/>
      <c r="E518" t="s" s="125">
        <f>_xlfn.IFERROR(AVERAGE(B518:D518),"—")</f>
        <v>957</v>
      </c>
      <c r="F518" t="s" s="125">
        <v>930</v>
      </c>
      <c r="G518" s="243">
        <v>2857000</v>
      </c>
      <c r="H518" t="s" s="125">
        <v>858</v>
      </c>
      <c r="I518" s="244"/>
    </row>
    <row r="519" ht="21.25" customHeight="1">
      <c r="A519" t="s" s="10">
        <v>704</v>
      </c>
      <c r="B519" t="s" s="125">
        <v>957</v>
      </c>
      <c r="C519" s="241"/>
      <c r="D519" s="105"/>
      <c r="E519" t="s" s="125">
        <f>_xlfn.IFERROR(AVERAGE(B519:D519),"—")</f>
        <v>957</v>
      </c>
      <c r="F519" t="s" s="125">
        <v>938</v>
      </c>
      <c r="G519" s="243">
        <v>2166667</v>
      </c>
      <c r="H519" t="s" s="125">
        <v>858</v>
      </c>
      <c r="I519" s="244"/>
    </row>
    <row r="520" ht="21.25" customHeight="1">
      <c r="A520" t="s" s="10">
        <v>840</v>
      </c>
      <c r="B520" t="s" s="125">
        <v>957</v>
      </c>
      <c r="C520" s="241"/>
      <c r="D520" s="105"/>
      <c r="E520" t="s" s="125">
        <f>_xlfn.IFERROR(AVERAGE(B520:D520),"—")</f>
        <v>957</v>
      </c>
      <c r="F520" t="s" s="125">
        <v>933</v>
      </c>
      <c r="G520" s="243">
        <v>1000000</v>
      </c>
      <c r="H520" t="s" s="125">
        <v>858</v>
      </c>
      <c r="I520" s="244"/>
    </row>
    <row r="521" ht="21.25" customHeight="1">
      <c r="A521" t="s" s="10">
        <v>400</v>
      </c>
      <c r="B521" s="241">
        <v>181</v>
      </c>
      <c r="C521" s="241"/>
      <c r="D521" s="105"/>
      <c r="E521" s="241">
        <f>_xlfn.IFERROR(AVERAGE(B521:D521),"—")</f>
        <v>181</v>
      </c>
      <c r="F521" t="s" s="125">
        <v>950</v>
      </c>
      <c r="G521" s="243">
        <v>2665000</v>
      </c>
      <c r="H521" t="s" s="125">
        <v>858</v>
      </c>
      <c r="I521" s="244"/>
    </row>
    <row r="522" ht="21.25" customHeight="1">
      <c r="A522" t="s" s="10">
        <v>723</v>
      </c>
      <c r="B522" t="s" s="125">
        <v>957</v>
      </c>
      <c r="C522" s="241"/>
      <c r="D522" s="105"/>
      <c r="E522" t="s" s="125">
        <f>_xlfn.IFERROR(AVERAGE(B522:D522),"—")</f>
        <v>957</v>
      </c>
      <c r="F522" t="s" s="125">
        <v>935</v>
      </c>
      <c r="G522" s="243">
        <v>1600000</v>
      </c>
      <c r="H522" t="s" s="125">
        <v>858</v>
      </c>
      <c r="I522" s="244"/>
    </row>
    <row r="523" ht="21.25" customHeight="1">
      <c r="A523" t="s" s="10">
        <v>802</v>
      </c>
      <c r="B523" t="s" s="125">
        <v>957</v>
      </c>
      <c r="C523" s="241"/>
      <c r="D523" s="105"/>
      <c r="E523" t="s" s="125">
        <f>_xlfn.IFERROR(AVERAGE(B523:D523),"—")</f>
        <v>957</v>
      </c>
      <c r="F523" t="s" s="125">
        <v>947</v>
      </c>
      <c r="G523" s="243">
        <v>4750000</v>
      </c>
      <c r="H523" t="s" s="125">
        <v>858</v>
      </c>
      <c r="I523" s="244"/>
    </row>
    <row r="524" ht="21.25" customHeight="1">
      <c r="A524" t="s" s="10">
        <v>797</v>
      </c>
      <c r="B524" t="s" s="125">
        <v>957</v>
      </c>
      <c r="C524" s="241"/>
      <c r="D524" s="105"/>
      <c r="E524" t="s" s="125">
        <f>_xlfn.IFERROR(AVERAGE(B524:D524),"—")</f>
        <v>957</v>
      </c>
      <c r="F524" t="s" s="125">
        <v>938</v>
      </c>
      <c r="G524" s="243">
        <v>775000</v>
      </c>
      <c r="H524" t="s" s="125">
        <v>858</v>
      </c>
      <c r="I524" s="244"/>
    </row>
    <row r="525" ht="21.25" customHeight="1">
      <c r="A525" t="s" s="10">
        <v>462</v>
      </c>
      <c r="B525" t="s" s="125">
        <v>957</v>
      </c>
      <c r="C525" s="241"/>
      <c r="D525" s="105"/>
      <c r="E525" t="s" s="125">
        <f>_xlfn.IFERROR(AVERAGE(B525:D525),"—")</f>
        <v>957</v>
      </c>
      <c r="F525" t="s" s="125">
        <v>934</v>
      </c>
      <c r="G525" s="243">
        <v>1350000</v>
      </c>
      <c r="H525" t="s" s="125">
        <v>858</v>
      </c>
      <c r="I525" s="244"/>
    </row>
    <row r="526" ht="21.25" customHeight="1">
      <c r="A526" t="s" s="10">
        <v>787</v>
      </c>
      <c r="B526" t="s" s="125">
        <v>957</v>
      </c>
      <c r="C526" s="241"/>
      <c r="D526" s="105"/>
      <c r="E526" t="s" s="125">
        <f>_xlfn.IFERROR(AVERAGE(B526:D526),"—")</f>
        <v>957</v>
      </c>
      <c r="F526" t="s" s="125">
        <v>937</v>
      </c>
      <c r="G526" s="243">
        <v>2250000</v>
      </c>
      <c r="H526" t="s" s="125">
        <v>858</v>
      </c>
      <c r="I526" s="244"/>
    </row>
    <row r="527" ht="21.25" customHeight="1">
      <c r="A527" t="s" s="10">
        <v>567</v>
      </c>
      <c r="B527" t="s" s="125">
        <v>957</v>
      </c>
      <c r="C527" s="241"/>
      <c r="D527" s="105"/>
      <c r="E527" t="s" s="125">
        <f>_xlfn.IFERROR(AVERAGE(B527:D527),"—")</f>
        <v>957</v>
      </c>
      <c r="F527" t="s" s="125">
        <v>955</v>
      </c>
      <c r="G527" s="243">
        <v>3500000</v>
      </c>
      <c r="H527" t="s" s="125">
        <v>858</v>
      </c>
      <c r="I527" s="244"/>
    </row>
    <row r="528" ht="21.25" customHeight="1">
      <c r="A528" t="s" s="10">
        <v>829</v>
      </c>
      <c r="B528" t="s" s="125">
        <v>957</v>
      </c>
      <c r="C528" s="241"/>
      <c r="D528" s="105"/>
      <c r="E528" t="s" s="125">
        <f>_xlfn.IFERROR(AVERAGE(B528:D528),"—")</f>
        <v>957</v>
      </c>
      <c r="F528" t="s" s="125">
        <v>947</v>
      </c>
      <c r="G528" s="243">
        <v>1200000</v>
      </c>
      <c r="H528" t="s" s="125">
        <v>858</v>
      </c>
      <c r="I528" s="244"/>
    </row>
    <row r="529" ht="21.25" customHeight="1">
      <c r="A529" t="s" s="10">
        <v>808</v>
      </c>
      <c r="B529" s="241">
        <v>136.9</v>
      </c>
      <c r="C529" s="241"/>
      <c r="D529" s="241"/>
      <c r="E529" s="241">
        <f>_xlfn.IFERROR(AVERAGE(B529:D529),"—")</f>
        <v>136.9</v>
      </c>
      <c r="F529" t="s" s="125">
        <v>925</v>
      </c>
      <c r="G529" s="243">
        <v>7000000</v>
      </c>
      <c r="H529" t="s" s="125">
        <v>858</v>
      </c>
      <c r="I529" s="244"/>
    </row>
    <row r="530" ht="21.25" customHeight="1">
      <c r="A530" t="s" s="10">
        <v>767</v>
      </c>
      <c r="B530" t="s" s="125">
        <v>957</v>
      </c>
      <c r="C530" s="241"/>
      <c r="D530" s="105"/>
      <c r="E530" t="s" s="125">
        <f>_xlfn.IFERROR(AVERAGE(B530:D530),"—")</f>
        <v>957</v>
      </c>
      <c r="F530" t="s" s="125">
        <v>928</v>
      </c>
      <c r="G530" s="243">
        <v>800000</v>
      </c>
      <c r="H530" t="s" s="125">
        <v>858</v>
      </c>
      <c r="I530" s="244"/>
    </row>
    <row r="531" ht="21.25" customHeight="1">
      <c r="A531" t="s" s="10">
        <v>693</v>
      </c>
      <c r="B531" t="s" s="125">
        <v>957</v>
      </c>
      <c r="C531" s="241"/>
      <c r="D531" s="105"/>
      <c r="E531" t="s" s="125">
        <f>_xlfn.IFERROR(AVERAGE(B531:D531),"—")</f>
        <v>957</v>
      </c>
      <c r="F531" t="s" s="125">
        <v>950</v>
      </c>
      <c r="G531" s="243">
        <v>875000</v>
      </c>
      <c r="H531" t="s" s="125">
        <v>858</v>
      </c>
      <c r="I531" s="244"/>
    </row>
    <row r="532" ht="21.25" customHeight="1">
      <c r="A532" t="s" s="10">
        <v>833</v>
      </c>
      <c r="B532" t="s" s="125">
        <v>957</v>
      </c>
      <c r="C532" s="241"/>
      <c r="D532" s="105"/>
      <c r="E532" t="s" s="125">
        <f>_xlfn.IFERROR(AVERAGE(B532:D532),"—")</f>
        <v>957</v>
      </c>
      <c r="F532" t="s" s="125">
        <v>947</v>
      </c>
      <c r="G532" s="243">
        <v>916770</v>
      </c>
      <c r="H532" t="s" s="125">
        <v>858</v>
      </c>
      <c r="I532" s="244"/>
    </row>
    <row r="533" ht="21.25" customHeight="1">
      <c r="A533" t="s" s="10">
        <v>700</v>
      </c>
      <c r="B533" t="s" s="125">
        <v>957</v>
      </c>
      <c r="C533" s="241"/>
      <c r="D533" s="105"/>
      <c r="E533" t="s" s="125">
        <f>_xlfn.IFERROR(AVERAGE(B533:D533),"—")</f>
        <v>957</v>
      </c>
      <c r="F533" t="s" s="125">
        <v>934</v>
      </c>
      <c r="G533" s="243">
        <v>2100000</v>
      </c>
      <c r="H533" t="s" s="125">
        <v>858</v>
      </c>
      <c r="I533" s="244"/>
    </row>
    <row r="534" ht="21.25" customHeight="1">
      <c r="A534" t="s" s="10">
        <v>684</v>
      </c>
      <c r="B534" t="s" s="125">
        <v>957</v>
      </c>
      <c r="C534" s="241"/>
      <c r="D534" s="105"/>
      <c r="E534" t="s" s="125">
        <f>_xlfn.IFERROR(AVERAGE(B534:D534),"—")</f>
        <v>957</v>
      </c>
      <c r="F534" t="s" s="125">
        <v>947</v>
      </c>
      <c r="G534" s="243">
        <v>2000000</v>
      </c>
      <c r="H534" t="s" s="125">
        <v>858</v>
      </c>
      <c r="I534" s="244"/>
    </row>
    <row r="535" ht="21.25" customHeight="1">
      <c r="A535" t="s" s="10">
        <v>714</v>
      </c>
      <c r="B535" t="s" s="125">
        <v>957</v>
      </c>
      <c r="C535" s="241"/>
      <c r="D535" s="105"/>
      <c r="E535" t="s" s="125">
        <f>_xlfn.IFERROR(AVERAGE(B535:D535),"—")</f>
        <v>957</v>
      </c>
      <c r="F535" t="s" s="125">
        <v>940</v>
      </c>
      <c r="G535" s="243">
        <v>2600000</v>
      </c>
      <c r="H535" t="s" s="125">
        <v>858</v>
      </c>
      <c r="I535" s="244"/>
    </row>
    <row r="536" ht="21.25" customHeight="1">
      <c r="A536" t="s" s="10">
        <v>752</v>
      </c>
      <c r="B536" t="s" s="125">
        <v>957</v>
      </c>
      <c r="C536" s="241"/>
      <c r="D536" s="105"/>
      <c r="E536" t="s" s="125">
        <f>_xlfn.IFERROR(AVERAGE(B536:D536),"—")</f>
        <v>957</v>
      </c>
      <c r="F536" t="s" s="125">
        <v>958</v>
      </c>
      <c r="G536" s="243">
        <v>4000000</v>
      </c>
      <c r="H536" t="s" s="125">
        <v>858</v>
      </c>
      <c r="I536" s="244"/>
    </row>
    <row r="537" ht="21.25" customHeight="1">
      <c r="A537" t="s" s="10">
        <v>586</v>
      </c>
      <c r="B537" s="241">
        <v>165.6</v>
      </c>
      <c r="C537" s="241"/>
      <c r="D537" s="105"/>
      <c r="E537" s="241">
        <f>_xlfn.IFERROR(AVERAGE(B537:D537),"—")</f>
        <v>165.6</v>
      </c>
      <c r="F537" t="s" s="125">
        <v>933</v>
      </c>
      <c r="G537" s="243">
        <v>2500000</v>
      </c>
      <c r="H537" t="s" s="125">
        <v>858</v>
      </c>
      <c r="I537" s="244"/>
    </row>
    <row r="538" ht="21.25" customHeight="1">
      <c r="A538" t="s" s="10">
        <v>747</v>
      </c>
      <c r="B538" t="s" s="125">
        <v>957</v>
      </c>
      <c r="C538" s="241"/>
      <c r="D538" s="105"/>
      <c r="E538" t="s" s="125">
        <f>_xlfn.IFERROR(AVERAGE(B538:D538),"—")</f>
        <v>957</v>
      </c>
      <c r="F538" t="s" s="125">
        <v>931</v>
      </c>
      <c r="G538" s="243">
        <v>800000</v>
      </c>
      <c r="H538" t="s" s="125">
        <v>858</v>
      </c>
      <c r="I538" s="244"/>
    </row>
    <row r="539" ht="21.25" customHeight="1">
      <c r="A539" t="s" s="10">
        <v>621</v>
      </c>
      <c r="B539" s="241">
        <v>165.4</v>
      </c>
      <c r="C539" s="241"/>
      <c r="D539" s="105"/>
      <c r="E539" s="241">
        <f>_xlfn.IFERROR(AVERAGE(B539:D539),"—")</f>
        <v>165.4</v>
      </c>
      <c r="F539" t="s" s="125">
        <v>936</v>
      </c>
      <c r="G539" s="243">
        <v>2750000</v>
      </c>
      <c r="H539" t="s" s="125">
        <v>858</v>
      </c>
      <c r="I539" s="244"/>
    </row>
    <row r="540" ht="21.25" customHeight="1">
      <c r="A540" t="s" s="10">
        <v>769</v>
      </c>
      <c r="B540" t="s" s="125">
        <v>957</v>
      </c>
      <c r="C540" s="241"/>
      <c r="D540" s="105"/>
      <c r="E540" t="s" s="125">
        <f>_xlfn.IFERROR(AVERAGE(B540:D540),"—")</f>
        <v>957</v>
      </c>
      <c r="F540" t="s" s="125">
        <v>928</v>
      </c>
      <c r="G540" s="243">
        <v>870000</v>
      </c>
      <c r="H540" t="s" s="125">
        <v>858</v>
      </c>
      <c r="I540" s="244"/>
    </row>
    <row r="541" ht="21.25" customHeight="1">
      <c r="A541" t="s" s="10">
        <v>783</v>
      </c>
      <c r="B541" t="s" s="125">
        <v>957</v>
      </c>
      <c r="C541" s="241"/>
      <c r="D541" s="105"/>
      <c r="E541" t="s" s="125">
        <f>_xlfn.IFERROR(AVERAGE(B541:D541),"—")</f>
        <v>957</v>
      </c>
      <c r="F541" t="s" s="125">
        <v>948</v>
      </c>
      <c r="G541" s="243">
        <v>2100000</v>
      </c>
      <c r="H541" t="s" s="125">
        <v>858</v>
      </c>
      <c r="I541" s="244"/>
    </row>
    <row r="542" ht="21.25" customHeight="1">
      <c r="A542" t="s" s="10">
        <v>830</v>
      </c>
      <c r="B542" t="s" s="125">
        <v>957</v>
      </c>
      <c r="C542" s="241"/>
      <c r="D542" s="105"/>
      <c r="E542" t="s" s="125">
        <f>_xlfn.IFERROR(AVERAGE(B542:D542),"—")</f>
        <v>957</v>
      </c>
      <c r="F542" t="s" s="125">
        <v>951</v>
      </c>
      <c r="G542" s="243">
        <v>878333</v>
      </c>
      <c r="H542" t="s" s="125">
        <v>858</v>
      </c>
      <c r="I542" s="244"/>
    </row>
    <row r="543" ht="21.25" customHeight="1">
      <c r="A543" t="s" s="10">
        <v>703</v>
      </c>
      <c r="B543" t="s" s="125">
        <v>957</v>
      </c>
      <c r="C543" s="241"/>
      <c r="D543" s="105"/>
      <c r="E543" t="s" s="125">
        <f>_xlfn.IFERROR(AVERAGE(B543:D543),"—")</f>
        <v>957</v>
      </c>
      <c r="F543" t="s" s="125">
        <v>939</v>
      </c>
      <c r="G543" s="243">
        <v>2450000</v>
      </c>
      <c r="H543" t="s" s="125">
        <v>858</v>
      </c>
      <c r="I543" s="244"/>
    </row>
    <row r="544" ht="21.25" customHeight="1">
      <c r="A544" t="s" s="10">
        <v>612</v>
      </c>
      <c r="B544" s="241">
        <v>166</v>
      </c>
      <c r="C544" s="241"/>
      <c r="D544" s="105"/>
      <c r="E544" s="241">
        <f>_xlfn.IFERROR(AVERAGE(B544:D544),"—")</f>
        <v>166</v>
      </c>
      <c r="F544" t="s" s="125">
        <v>925</v>
      </c>
      <c r="G544" s="243">
        <v>837500</v>
      </c>
      <c r="H544" t="s" s="125">
        <v>858</v>
      </c>
      <c r="I544" s="244"/>
    </row>
    <row r="545" ht="21.25" customHeight="1">
      <c r="A545" t="s" s="10">
        <v>507</v>
      </c>
      <c r="B545" t="s" s="125">
        <v>957</v>
      </c>
      <c r="C545" s="241"/>
      <c r="D545" s="105"/>
      <c r="E545" t="s" s="125">
        <f>_xlfn.IFERROR(AVERAGE(B545:D545),"—")</f>
        <v>957</v>
      </c>
      <c r="F545" t="s" s="125">
        <v>944</v>
      </c>
      <c r="G545" s="243">
        <v>1300000</v>
      </c>
      <c r="H545" t="s" s="125">
        <v>858</v>
      </c>
      <c r="I545" s="244"/>
    </row>
    <row r="546" ht="21.25" customHeight="1">
      <c r="A546" t="s" s="10">
        <v>773</v>
      </c>
      <c r="B546" t="s" s="125">
        <v>957</v>
      </c>
      <c r="C546" s="241"/>
      <c r="D546" s="105"/>
      <c r="E546" t="s" s="125">
        <f>_xlfn.IFERROR(AVERAGE(B546:D546),"—")</f>
        <v>957</v>
      </c>
      <c r="F546" t="s" s="125">
        <v>949</v>
      </c>
      <c r="G546" s="243">
        <v>1725000</v>
      </c>
      <c r="H546" t="s" s="125">
        <v>858</v>
      </c>
      <c r="I546" s="244"/>
    </row>
    <row r="547" ht="21.25" customHeight="1">
      <c r="A547" t="s" s="10">
        <v>778</v>
      </c>
      <c r="B547" t="s" s="125">
        <v>957</v>
      </c>
      <c r="C547" s="241"/>
      <c r="D547" s="105"/>
      <c r="E547" t="s" s="125">
        <f>_xlfn.IFERROR(AVERAGE(B547:D547),"—")</f>
        <v>957</v>
      </c>
      <c r="F547" t="s" s="125">
        <v>942</v>
      </c>
      <c r="G547" s="243">
        <v>3400000</v>
      </c>
      <c r="H547" t="s" s="125">
        <v>858</v>
      </c>
      <c r="I547" s="244"/>
    </row>
    <row r="548" ht="21.25" customHeight="1">
      <c r="A548" t="s" s="10">
        <v>601</v>
      </c>
      <c r="B548" t="s" s="125">
        <v>957</v>
      </c>
      <c r="C548" s="241"/>
      <c r="D548" s="105"/>
      <c r="E548" t="s" s="125">
        <f>_xlfn.IFERROR(AVERAGE(B548:D548),"—")</f>
        <v>957</v>
      </c>
      <c r="F548" t="s" s="125">
        <v>954</v>
      </c>
      <c r="G548" s="243">
        <v>890000</v>
      </c>
      <c r="H548" t="s" s="125">
        <v>858</v>
      </c>
      <c r="I548" s="244"/>
    </row>
    <row r="549" ht="21.25" customHeight="1">
      <c r="A549" t="s" s="10">
        <v>848</v>
      </c>
      <c r="B549" t="s" s="125">
        <v>957</v>
      </c>
      <c r="C549" s="241"/>
      <c r="D549" s="105"/>
      <c r="E549" t="s" s="125">
        <f>_xlfn.IFERROR(AVERAGE(B549:D549),"—")</f>
        <v>957</v>
      </c>
      <c r="F549" t="s" s="125">
        <v>931</v>
      </c>
      <c r="G549" s="243">
        <v>812500</v>
      </c>
      <c r="H549" t="s" s="125">
        <v>858</v>
      </c>
      <c r="I549" s="244"/>
    </row>
    <row r="550" ht="21.25" customHeight="1">
      <c r="A550" t="s" s="10">
        <v>708</v>
      </c>
      <c r="B550" t="s" s="125">
        <v>957</v>
      </c>
      <c r="C550" s="241"/>
      <c r="D550" s="105"/>
      <c r="E550" t="s" s="125">
        <f>_xlfn.IFERROR(AVERAGE(B550:D550),"—")</f>
        <v>957</v>
      </c>
      <c r="F550" t="s" s="125">
        <v>928</v>
      </c>
      <c r="G550" s="243">
        <v>775000</v>
      </c>
      <c r="H550" t="s" s="125">
        <v>858</v>
      </c>
      <c r="I550" s="244"/>
    </row>
    <row r="551" ht="21.25" customHeight="1">
      <c r="A551" t="s" s="10">
        <v>795</v>
      </c>
      <c r="B551" t="s" s="125">
        <v>957</v>
      </c>
      <c r="C551" s="241"/>
      <c r="D551" s="105"/>
      <c r="E551" t="s" s="125">
        <f>_xlfn.IFERROR(AVERAGE(B551:D551),"—")</f>
        <v>957</v>
      </c>
      <c r="F551" t="s" s="125">
        <v>939</v>
      </c>
      <c r="G551" s="243">
        <v>775000</v>
      </c>
      <c r="H551" t="s" s="125">
        <v>858</v>
      </c>
      <c r="I551" s="244"/>
    </row>
    <row r="552" ht="21.25" customHeight="1">
      <c r="A552" t="s" s="10">
        <v>665</v>
      </c>
      <c r="B552" t="s" s="125">
        <v>957</v>
      </c>
      <c r="C552" s="241"/>
      <c r="D552" s="105"/>
      <c r="E552" t="s" s="125">
        <f>_xlfn.IFERROR(AVERAGE(B552:D552),"—")</f>
        <v>957</v>
      </c>
      <c r="F552" t="s" s="125">
        <v>954</v>
      </c>
      <c r="G552" s="243">
        <v>5500000</v>
      </c>
      <c r="H552" t="s" s="125">
        <v>858</v>
      </c>
      <c r="I552" s="244"/>
    </row>
    <row r="553" ht="21.25" customHeight="1">
      <c r="A553" t="s" s="10">
        <v>822</v>
      </c>
      <c r="B553" t="s" s="125">
        <v>957</v>
      </c>
      <c r="C553" s="241"/>
      <c r="D553" s="105"/>
      <c r="E553" t="s" s="125">
        <f>_xlfn.IFERROR(AVERAGE(B553:D553),"—")</f>
        <v>957</v>
      </c>
      <c r="F553" t="s" s="125">
        <v>927</v>
      </c>
      <c r="G553" s="243">
        <v>2000000</v>
      </c>
      <c r="H553" t="s" s="125">
        <v>858</v>
      </c>
      <c r="I553" s="244"/>
    </row>
    <row r="554" ht="21.25" customHeight="1">
      <c r="A554" t="s" s="10">
        <v>509</v>
      </c>
      <c r="B554" t="s" s="125">
        <v>957</v>
      </c>
      <c r="C554" s="241"/>
      <c r="D554" s="105"/>
      <c r="E554" t="s" s="125">
        <f>_xlfn.IFERROR(AVERAGE(B554:D554),"—")</f>
        <v>957</v>
      </c>
      <c r="F554" t="s" s="125">
        <v>931</v>
      </c>
      <c r="G554" s="243">
        <v>828333</v>
      </c>
      <c r="H554" t="s" s="125">
        <v>858</v>
      </c>
      <c r="I554" s="244"/>
    </row>
    <row r="555" ht="21.25" customHeight="1">
      <c r="A555" t="s" s="10">
        <v>629</v>
      </c>
      <c r="B555" t="s" s="125">
        <v>957</v>
      </c>
      <c r="C555" s="241"/>
      <c r="D555" s="105"/>
      <c r="E555" t="s" s="125">
        <f>_xlfn.IFERROR(AVERAGE(B555:D555),"—")</f>
        <v>957</v>
      </c>
      <c r="F555" t="s" s="125">
        <v>948</v>
      </c>
      <c r="G555" s="243">
        <v>775000</v>
      </c>
      <c r="H555" t="s" s="125">
        <v>858</v>
      </c>
      <c r="I555" s="244"/>
    </row>
    <row r="556" ht="21.25" customHeight="1">
      <c r="A556" t="s" s="10">
        <v>844</v>
      </c>
      <c r="B556" t="s" s="125">
        <v>957</v>
      </c>
      <c r="C556" s="241"/>
      <c r="D556" s="105"/>
      <c r="E556" t="s" s="125">
        <f>_xlfn.IFERROR(AVERAGE(B556:D556),"—")</f>
        <v>957</v>
      </c>
      <c r="F556" t="s" s="125">
        <v>929</v>
      </c>
      <c r="G556" s="243">
        <v>775000</v>
      </c>
      <c r="H556" t="s" s="125">
        <v>858</v>
      </c>
      <c r="I556" s="244"/>
    </row>
    <row r="557" ht="21.25" customHeight="1">
      <c r="A557" t="s" s="10">
        <v>837</v>
      </c>
      <c r="B557" t="s" s="125">
        <v>957</v>
      </c>
      <c r="C557" s="241"/>
      <c r="D557" s="105"/>
      <c r="E557" t="s" s="125">
        <f>_xlfn.IFERROR(AVERAGE(B557:D557),"—")</f>
        <v>957</v>
      </c>
      <c r="F557" t="s" s="125">
        <v>936</v>
      </c>
      <c r="G557" s="243">
        <v>800000</v>
      </c>
      <c r="H557" t="s" s="125">
        <v>858</v>
      </c>
      <c r="I557" s="244"/>
    </row>
    <row r="558" ht="21.25" customHeight="1">
      <c r="A558" t="s" s="10">
        <v>770</v>
      </c>
      <c r="B558" t="s" s="125">
        <v>957</v>
      </c>
      <c r="C558" s="241"/>
      <c r="D558" s="105"/>
      <c r="E558" t="s" s="125">
        <f>_xlfn.IFERROR(AVERAGE(B558:D558),"—")</f>
        <v>957</v>
      </c>
      <c r="F558" t="s" s="125">
        <v>939</v>
      </c>
      <c r="G558" s="243">
        <v>2500000</v>
      </c>
      <c r="H558" t="s" s="125">
        <v>858</v>
      </c>
      <c r="I558" s="244"/>
    </row>
    <row r="559" ht="21.25" customHeight="1">
      <c r="A559" t="s" s="10">
        <v>735</v>
      </c>
      <c r="B559" t="s" s="125">
        <v>957</v>
      </c>
      <c r="C559" s="241"/>
      <c r="D559" s="105"/>
      <c r="E559" t="s" s="125">
        <f>_xlfn.IFERROR(AVERAGE(B559:D559),"—")</f>
        <v>957</v>
      </c>
      <c r="F559" t="s" s="125">
        <v>926</v>
      </c>
      <c r="G559" s="243">
        <v>2100000</v>
      </c>
      <c r="H559" t="s" s="125">
        <v>858</v>
      </c>
      <c r="I559" s="244"/>
    </row>
    <row r="560" ht="21.25" customHeight="1">
      <c r="A560" t="s" s="10">
        <v>696</v>
      </c>
      <c r="B560" t="s" s="125">
        <v>957</v>
      </c>
      <c r="C560" s="241"/>
      <c r="D560" s="105"/>
      <c r="E560" t="s" s="125">
        <f>_xlfn.IFERROR(AVERAGE(B560:D560),"—")</f>
        <v>957</v>
      </c>
      <c r="F560" t="s" s="125">
        <v>954</v>
      </c>
      <c r="G560" s="243">
        <v>1700000</v>
      </c>
      <c r="H560" t="s" s="125">
        <v>858</v>
      </c>
      <c r="I560" s="244"/>
    </row>
    <row r="561" ht="21.25" customHeight="1">
      <c r="A561" t="s" s="10">
        <v>834</v>
      </c>
      <c r="B561" t="s" s="125">
        <v>957</v>
      </c>
      <c r="C561" s="241"/>
      <c r="D561" s="105"/>
      <c r="E561" t="s" s="125">
        <f>_xlfn.IFERROR(AVERAGE(B561:D561),"—")</f>
        <v>957</v>
      </c>
      <c r="F561" t="s" s="125">
        <v>952</v>
      </c>
      <c r="G561" s="243">
        <v>775000</v>
      </c>
      <c r="H561" t="s" s="125">
        <v>858</v>
      </c>
      <c r="I561" s="244"/>
    </row>
    <row r="562" ht="21.25" customHeight="1">
      <c r="A562" t="s" s="10">
        <v>589</v>
      </c>
      <c r="B562" t="s" s="125">
        <v>957</v>
      </c>
      <c r="C562" s="241"/>
      <c r="D562" s="105"/>
      <c r="E562" t="s" s="125">
        <f>_xlfn.IFERROR(AVERAGE(B562:D562),"—")</f>
        <v>957</v>
      </c>
      <c r="F562" t="s" s="125">
        <v>955</v>
      </c>
      <c r="G562" s="243">
        <v>859167</v>
      </c>
      <c r="H562" t="s" s="125">
        <v>858</v>
      </c>
      <c r="I562" s="244"/>
    </row>
    <row r="563" ht="21.25" customHeight="1">
      <c r="A563" t="s" s="10">
        <v>775</v>
      </c>
      <c r="B563" t="s" s="125">
        <v>957</v>
      </c>
      <c r="C563" s="241"/>
      <c r="D563" s="105"/>
      <c r="E563" t="s" s="125">
        <f>_xlfn.IFERROR(AVERAGE(B563:D563),"—")</f>
        <v>957</v>
      </c>
      <c r="F563" t="s" s="125">
        <v>933</v>
      </c>
      <c r="G563" s="243">
        <v>2100000</v>
      </c>
      <c r="H563" t="s" s="125">
        <v>858</v>
      </c>
      <c r="I563" s="244"/>
    </row>
    <row r="564" ht="21.25" customHeight="1">
      <c r="A564" t="s" s="10">
        <v>784</v>
      </c>
      <c r="B564" t="s" s="125">
        <v>957</v>
      </c>
      <c r="C564" s="241"/>
      <c r="D564" s="105"/>
      <c r="E564" t="s" s="125">
        <f>_xlfn.IFERROR(AVERAGE(B564:D564),"—")</f>
        <v>957</v>
      </c>
      <c r="F564" t="s" s="125">
        <v>948</v>
      </c>
      <c r="G564" s="243">
        <v>1000000</v>
      </c>
      <c r="H564" t="s" s="125">
        <v>858</v>
      </c>
      <c r="I564" s="244"/>
    </row>
    <row r="565" ht="21.25" customHeight="1">
      <c r="A565" t="s" s="10">
        <v>470</v>
      </c>
      <c r="B565" t="s" s="125">
        <v>957</v>
      </c>
      <c r="C565" s="241"/>
      <c r="D565" s="105"/>
      <c r="E565" t="s" s="125">
        <f>_xlfn.IFERROR(AVERAGE(B565:D565),"—")</f>
        <v>957</v>
      </c>
      <c r="F565" t="s" s="125">
        <v>933</v>
      </c>
      <c r="G565" s="243">
        <v>4000000</v>
      </c>
      <c r="H565" t="s" s="125">
        <v>858</v>
      </c>
      <c r="I565" s="244"/>
    </row>
    <row r="566" ht="21.25" customHeight="1">
      <c r="A566" t="s" s="10">
        <v>807</v>
      </c>
      <c r="B566" t="s" s="125">
        <v>957</v>
      </c>
      <c r="C566" s="241"/>
      <c r="D566" s="105"/>
      <c r="E566" t="s" s="125">
        <f>_xlfn.IFERROR(AVERAGE(B566:D566),"—")</f>
        <v>957</v>
      </c>
      <c r="F566" t="s" s="125">
        <v>954</v>
      </c>
      <c r="G566" s="243">
        <v>835000</v>
      </c>
      <c r="H566" t="s" s="125">
        <v>858</v>
      </c>
      <c r="I566" s="244"/>
    </row>
    <row r="567" ht="21.25" customHeight="1">
      <c r="A567" t="s" s="10">
        <v>739</v>
      </c>
      <c r="B567" t="s" s="125">
        <v>957</v>
      </c>
      <c r="C567" s="241"/>
      <c r="D567" s="105"/>
      <c r="E567" t="s" s="125">
        <f>_xlfn.IFERROR(AVERAGE(B567:D567),"—")</f>
        <v>957</v>
      </c>
      <c r="F567" t="s" s="125">
        <v>937</v>
      </c>
      <c r="G567" s="243">
        <v>894167</v>
      </c>
      <c r="H567" t="s" s="125">
        <v>858</v>
      </c>
      <c r="I567" s="244"/>
    </row>
    <row r="568" ht="21.25" customHeight="1">
      <c r="A568" t="s" s="10">
        <v>646</v>
      </c>
      <c r="B568" t="s" s="125">
        <v>957</v>
      </c>
      <c r="C568" s="241"/>
      <c r="D568" s="105"/>
      <c r="E568" t="s" s="125">
        <f>_xlfn.IFERROR(AVERAGE(B568:D568),"—")</f>
        <v>957</v>
      </c>
      <c r="F568" t="s" s="125">
        <v>960</v>
      </c>
      <c r="G568" s="243">
        <v>1000000</v>
      </c>
      <c r="H568" t="s" s="125">
        <v>858</v>
      </c>
      <c r="I568" s="244"/>
    </row>
    <row r="569" ht="21.25" customHeight="1">
      <c r="A569" t="s" s="10">
        <v>544</v>
      </c>
      <c r="B569" t="s" s="125">
        <v>957</v>
      </c>
      <c r="C569" s="241"/>
      <c r="D569" s="241"/>
      <c r="E569" t="s" s="125">
        <f>_xlfn.IFERROR(AVERAGE(B569:D569),"—")</f>
        <v>957</v>
      </c>
      <c r="F569" t="s" s="125">
        <v>930</v>
      </c>
      <c r="G569" s="243">
        <v>1000000</v>
      </c>
      <c r="H569" t="s" s="125">
        <v>858</v>
      </c>
      <c r="I569" s="244"/>
    </row>
    <row r="570" ht="21.25" customHeight="1">
      <c r="A570" t="s" s="10">
        <v>640</v>
      </c>
      <c r="B570" t="s" s="125">
        <v>957</v>
      </c>
      <c r="C570" s="241"/>
      <c r="D570" s="105"/>
      <c r="E570" t="s" s="125">
        <f>_xlfn.IFERROR(AVERAGE(B570:D570),"—")</f>
        <v>957</v>
      </c>
      <c r="F570" t="s" s="125">
        <v>952</v>
      </c>
      <c r="G570" s="243">
        <v>1050000</v>
      </c>
      <c r="H570" t="s" s="125">
        <v>858</v>
      </c>
      <c r="I570" s="244"/>
    </row>
    <row r="571" ht="21.25" customHeight="1">
      <c r="A571" t="s" s="10">
        <v>397</v>
      </c>
      <c r="B571" t="s" s="125">
        <v>957</v>
      </c>
      <c r="C571" s="241"/>
      <c r="D571" s="105"/>
      <c r="E571" t="s" s="125">
        <f>_xlfn.IFERROR(AVERAGE(B571:D571),"—")</f>
        <v>957</v>
      </c>
      <c r="F571" t="s" s="125">
        <v>956</v>
      </c>
      <c r="G571" s="243">
        <v>2375000</v>
      </c>
      <c r="H571" t="s" s="125">
        <v>858</v>
      </c>
      <c r="I571" s="244"/>
    </row>
    <row r="572" ht="21.25" customHeight="1">
      <c r="A572" t="s" s="10">
        <v>850</v>
      </c>
      <c r="B572" t="s" s="125">
        <v>957</v>
      </c>
      <c r="C572" s="241"/>
      <c r="D572" s="105"/>
      <c r="E572" t="s" s="125">
        <f>_xlfn.IFERROR(AVERAGE(B572:D572),"—")</f>
        <v>957</v>
      </c>
      <c r="F572" t="s" s="125">
        <v>929</v>
      </c>
      <c r="G572" s="243">
        <v>775000</v>
      </c>
      <c r="H572" t="s" s="125">
        <v>858</v>
      </c>
      <c r="I572" s="244"/>
    </row>
    <row r="573" ht="21.25" customHeight="1">
      <c r="A573" t="s" s="10">
        <v>799</v>
      </c>
      <c r="B573" s="241"/>
      <c r="C573" s="241"/>
      <c r="D573" s="105"/>
      <c r="E573" t="s" s="125">
        <f>_xlfn.IFERROR(AVERAGE(B573:D573),"—")</f>
        <v>957</v>
      </c>
      <c r="F573" t="s" s="125">
        <v>936</v>
      </c>
      <c r="G573" s="243">
        <v>950000</v>
      </c>
      <c r="H573" s="105"/>
      <c r="I573" s="244"/>
    </row>
    <row r="574" ht="21.25" customHeight="1">
      <c r="A574" t="s" s="10">
        <v>563</v>
      </c>
      <c r="B574" t="s" s="125">
        <v>957</v>
      </c>
      <c r="C574" s="241"/>
      <c r="D574" s="105"/>
      <c r="E574" t="s" s="125">
        <f>_xlfn.IFERROR(AVERAGE(B574:D574),"—")</f>
        <v>957</v>
      </c>
      <c r="F574" t="s" s="125">
        <v>936</v>
      </c>
      <c r="G574" s="243">
        <v>2500000</v>
      </c>
      <c r="H574" t="s" s="125">
        <v>858</v>
      </c>
      <c r="I574" s="244"/>
    </row>
    <row r="575" ht="21.25" customHeight="1">
      <c r="A575" t="s" s="10">
        <v>805</v>
      </c>
      <c r="B575" t="s" s="125">
        <v>957</v>
      </c>
      <c r="C575" s="241"/>
      <c r="D575" s="105"/>
      <c r="E575" t="s" s="125">
        <f>_xlfn.IFERROR(AVERAGE(B575:D575),"—")</f>
        <v>957</v>
      </c>
      <c r="F575" t="s" s="125">
        <v>954</v>
      </c>
      <c r="G575" s="243">
        <v>3400000</v>
      </c>
      <c r="H575" t="s" s="125">
        <v>858</v>
      </c>
      <c r="I575" s="244"/>
    </row>
    <row r="576" ht="21.25" customHeight="1">
      <c r="A576" t="s" s="10">
        <v>543</v>
      </c>
      <c r="B576" t="s" s="125">
        <v>957</v>
      </c>
      <c r="C576" s="241"/>
      <c r="D576" s="105"/>
      <c r="E576" t="s" s="125">
        <f>_xlfn.IFERROR(AVERAGE(B576:D576),"—")</f>
        <v>957</v>
      </c>
      <c r="F576" t="s" s="125">
        <v>933</v>
      </c>
      <c r="G576" s="243">
        <v>3500000</v>
      </c>
      <c r="H576" t="s" s="125">
        <v>858</v>
      </c>
      <c r="I576" s="244"/>
    </row>
    <row r="577" ht="21.25" customHeight="1">
      <c r="A577" t="s" s="10">
        <v>820</v>
      </c>
      <c r="B577" t="s" s="125">
        <v>957</v>
      </c>
      <c r="C577" s="241"/>
      <c r="D577" s="105"/>
      <c r="E577" t="s" s="125">
        <f>_xlfn.IFERROR(AVERAGE(B577:D577),"—")</f>
        <v>957</v>
      </c>
      <c r="F577" t="s" s="125">
        <v>947</v>
      </c>
      <c r="G577" s="243">
        <v>4250000</v>
      </c>
      <c r="H577" t="s" s="125">
        <v>858</v>
      </c>
      <c r="I577" s="244"/>
    </row>
    <row r="578" ht="21.25" customHeight="1">
      <c r="A578" t="s" s="10">
        <v>828</v>
      </c>
      <c r="B578" t="s" s="125">
        <v>957</v>
      </c>
      <c r="C578" s="241"/>
      <c r="D578" s="105"/>
      <c r="E578" t="s" s="125">
        <f>_xlfn.IFERROR(AVERAGE(B578:D578),"—")</f>
        <v>957</v>
      </c>
      <c r="F578" t="s" s="125">
        <v>951</v>
      </c>
      <c r="G578" s="243">
        <v>775000</v>
      </c>
      <c r="H578" t="s" s="125">
        <v>858</v>
      </c>
      <c r="I578" s="244"/>
    </row>
    <row r="579" ht="21.25" customHeight="1">
      <c r="A579" t="s" s="10">
        <v>721</v>
      </c>
      <c r="B579" t="s" s="125">
        <v>957</v>
      </c>
      <c r="C579" s="241"/>
      <c r="D579" s="105"/>
      <c r="E579" t="s" s="125">
        <f>_xlfn.IFERROR(AVERAGE(B579:D579),"—")</f>
        <v>957</v>
      </c>
      <c r="F579" t="s" s="125">
        <v>942</v>
      </c>
      <c r="G579" s="243">
        <v>800000</v>
      </c>
      <c r="H579" t="s" s="125">
        <v>858</v>
      </c>
      <c r="I579" s="244"/>
    </row>
    <row r="580" ht="21.25" customHeight="1">
      <c r="A580" t="s" s="10">
        <v>658</v>
      </c>
      <c r="B580" t="s" s="125">
        <v>957</v>
      </c>
      <c r="C580" s="241"/>
      <c r="D580" s="105"/>
      <c r="E580" t="s" s="125">
        <f>_xlfn.IFERROR(AVERAGE(B580:D580),"—")</f>
        <v>957</v>
      </c>
      <c r="F580" t="s" s="125">
        <v>924</v>
      </c>
      <c r="G580" s="243">
        <v>1000000</v>
      </c>
      <c r="H580" t="s" s="125">
        <v>858</v>
      </c>
      <c r="I580" s="244"/>
    </row>
    <row r="581" ht="21.25" customHeight="1">
      <c r="A581" t="s" s="10">
        <v>746</v>
      </c>
      <c r="B581" t="s" s="125">
        <v>957</v>
      </c>
      <c r="C581" s="241"/>
      <c r="D581" s="105"/>
      <c r="E581" t="s" s="125">
        <f>_xlfn.IFERROR(AVERAGE(B581:D581),"—")</f>
        <v>957</v>
      </c>
      <c r="F581" t="s" s="125">
        <v>952</v>
      </c>
      <c r="G581" s="243">
        <v>1100000</v>
      </c>
      <c r="H581" t="s" s="125">
        <v>858</v>
      </c>
      <c r="I581" s="244"/>
    </row>
    <row r="582" ht="21.25" customHeight="1">
      <c r="A582" t="s" s="10">
        <v>814</v>
      </c>
      <c r="B582" t="s" s="125">
        <v>957</v>
      </c>
      <c r="C582" s="241"/>
      <c r="D582" s="105"/>
      <c r="E582" t="s" s="125">
        <f>_xlfn.IFERROR(AVERAGE(B582:D582),"—")</f>
        <v>957</v>
      </c>
      <c r="F582" t="s" s="125">
        <v>936</v>
      </c>
      <c r="G582" t="s" s="125">
        <v>943</v>
      </c>
      <c r="H582" t="s" s="125">
        <v>858</v>
      </c>
      <c r="I582" s="244"/>
    </row>
    <row r="583" ht="21.25" customHeight="1">
      <c r="A583" t="s" s="10">
        <v>717</v>
      </c>
      <c r="B583" t="s" s="125">
        <v>957</v>
      </c>
      <c r="C583" s="241"/>
      <c r="D583" s="105"/>
      <c r="E583" t="s" s="125">
        <f>_xlfn.IFERROR(AVERAGE(B583:D583),"—")</f>
        <v>957</v>
      </c>
      <c r="F583" t="s" s="125">
        <v>939</v>
      </c>
      <c r="G583" s="243">
        <v>1850000</v>
      </c>
      <c r="H583" t="s" s="125">
        <v>858</v>
      </c>
      <c r="I583" s="244"/>
    </row>
    <row r="584" ht="21.25" customHeight="1">
      <c r="A584" t="s" s="10">
        <v>648</v>
      </c>
      <c r="B584" s="241">
        <v>180.7</v>
      </c>
      <c r="C584" s="241"/>
      <c r="D584" s="105"/>
      <c r="E584" s="241">
        <f>_xlfn.IFERROR(AVERAGE(B584:D584),"—")</f>
        <v>180.7</v>
      </c>
      <c r="F584" t="s" s="125">
        <v>928</v>
      </c>
      <c r="G584" s="243">
        <v>3000000</v>
      </c>
      <c r="H584" t="s" s="125">
        <v>858</v>
      </c>
      <c r="I584" s="244"/>
    </row>
    <row r="585" ht="21.25" customHeight="1">
      <c r="A585" t="s" s="10">
        <v>623</v>
      </c>
      <c r="B585" t="s" s="125">
        <v>957</v>
      </c>
      <c r="C585" s="241"/>
      <c r="D585" s="105"/>
      <c r="E585" t="s" s="125">
        <f>_xlfn.IFERROR(AVERAGE(B585:D585),"—")</f>
        <v>957</v>
      </c>
      <c r="F585" t="s" s="125">
        <v>956</v>
      </c>
      <c r="G585" s="243">
        <v>3275000</v>
      </c>
      <c r="H585" t="s" s="125">
        <v>858</v>
      </c>
      <c r="I585" s="244"/>
    </row>
    <row r="586" ht="21.25" customHeight="1">
      <c r="A586" t="s" s="10">
        <v>697</v>
      </c>
      <c r="B586" t="s" s="125">
        <v>957</v>
      </c>
      <c r="C586" s="241"/>
      <c r="D586" s="105"/>
      <c r="E586" t="s" s="125">
        <f>_xlfn.IFERROR(AVERAGE(B586:D586),"—")</f>
        <v>957</v>
      </c>
      <c r="F586" t="s" s="125">
        <v>935</v>
      </c>
      <c r="G586" s="243">
        <v>1800000</v>
      </c>
      <c r="H586" t="s" s="125">
        <v>858</v>
      </c>
      <c r="I586" s="244"/>
    </row>
    <row r="587" ht="21.25" customHeight="1">
      <c r="A587" t="s" s="10">
        <v>772</v>
      </c>
      <c r="B587" t="s" s="125">
        <v>957</v>
      </c>
      <c r="C587" s="241"/>
      <c r="D587" s="105"/>
      <c r="E587" t="s" s="125">
        <f>_xlfn.IFERROR(AVERAGE(B587:D587),"—")</f>
        <v>957</v>
      </c>
      <c r="F587" t="s" s="125">
        <v>958</v>
      </c>
      <c r="G587" s="243">
        <v>1050000</v>
      </c>
      <c r="H587" t="s" s="125">
        <v>858</v>
      </c>
      <c r="I587" s="244"/>
    </row>
    <row r="588" ht="21.25" customHeight="1">
      <c r="A588" t="s" s="10">
        <v>794</v>
      </c>
      <c r="B588" t="s" s="125">
        <v>957</v>
      </c>
      <c r="C588" s="241"/>
      <c r="D588" s="105"/>
      <c r="E588" t="s" s="125">
        <f>_xlfn.IFERROR(AVERAGE(B588:D588),"—")</f>
        <v>957</v>
      </c>
      <c r="F588" t="s" s="125">
        <v>944</v>
      </c>
      <c r="G588" s="243">
        <v>863000</v>
      </c>
      <c r="H588" t="s" s="125">
        <v>858</v>
      </c>
      <c r="I588" s="244"/>
    </row>
    <row r="589" ht="21.25" customHeight="1">
      <c r="A589" t="s" s="10">
        <v>826</v>
      </c>
      <c r="B589" t="s" s="125">
        <v>957</v>
      </c>
      <c r="C589" s="241"/>
      <c r="D589" s="105"/>
      <c r="E589" t="s" s="125">
        <f>_xlfn.IFERROR(AVERAGE(B589:D589),"—")</f>
        <v>957</v>
      </c>
      <c r="F589" t="s" s="125">
        <v>959</v>
      </c>
      <c r="G589" s="243">
        <v>874125</v>
      </c>
      <c r="H589" t="s" s="125">
        <v>858</v>
      </c>
      <c r="I589" s="244"/>
    </row>
    <row r="590" ht="21.25" customHeight="1">
      <c r="A590" t="s" s="10">
        <v>780</v>
      </c>
      <c r="B590" t="s" s="125">
        <v>957</v>
      </c>
      <c r="C590" s="241"/>
      <c r="D590" s="105"/>
      <c r="E590" t="s" s="125">
        <f>_xlfn.IFERROR(AVERAGE(B590:D590),"—")</f>
        <v>957</v>
      </c>
      <c r="F590" t="s" s="125">
        <v>954</v>
      </c>
      <c r="G590" s="243">
        <v>1100000</v>
      </c>
      <c r="H590" t="s" s="125">
        <v>858</v>
      </c>
      <c r="I590" s="244"/>
    </row>
    <row r="591" ht="21.25" customHeight="1">
      <c r="A591" t="s" s="10">
        <v>667</v>
      </c>
      <c r="B591" s="241">
        <v>165.3</v>
      </c>
      <c r="C591" s="241"/>
      <c r="D591" s="105"/>
      <c r="E591" s="241">
        <f>_xlfn.IFERROR(AVERAGE(B591:D591),"—")</f>
        <v>165.3</v>
      </c>
      <c r="F591" t="s" s="125">
        <v>953</v>
      </c>
      <c r="G591" s="243">
        <v>1925000</v>
      </c>
      <c r="H591" t="s" s="125">
        <v>858</v>
      </c>
      <c r="I591" s="244"/>
    </row>
    <row r="592" ht="21.25" customHeight="1">
      <c r="A592" t="s" s="10">
        <v>657</v>
      </c>
      <c r="B592" t="s" s="125">
        <v>957</v>
      </c>
      <c r="C592" s="241"/>
      <c r="D592" s="105"/>
      <c r="E592" t="s" s="125">
        <f>_xlfn.IFERROR(AVERAGE(B592:D592),"—")</f>
        <v>957</v>
      </c>
      <c r="F592" t="s" s="125">
        <v>930</v>
      </c>
      <c r="G592" s="243">
        <v>900000</v>
      </c>
      <c r="H592" t="s" s="125">
        <v>858</v>
      </c>
      <c r="I592" s="244"/>
    </row>
    <row r="593" ht="21.25" customHeight="1">
      <c r="A593" t="s" s="10">
        <v>671</v>
      </c>
      <c r="B593" t="s" s="125">
        <v>957</v>
      </c>
      <c r="C593" s="241"/>
      <c r="D593" s="105"/>
      <c r="E593" t="s" s="125">
        <f>_xlfn.IFERROR(AVERAGE(B593:D593),"—")</f>
        <v>957</v>
      </c>
      <c r="F593" t="s" s="125">
        <v>959</v>
      </c>
      <c r="G593" s="243">
        <v>1800000</v>
      </c>
      <c r="H593" t="s" s="125">
        <v>858</v>
      </c>
      <c r="I593" s="244"/>
    </row>
    <row r="594" ht="21.25" customHeight="1">
      <c r="A594" t="s" s="10">
        <v>737</v>
      </c>
      <c r="B594" t="s" s="125">
        <v>957</v>
      </c>
      <c r="C594" s="241"/>
      <c r="D594" s="105"/>
      <c r="E594" t="s" s="125">
        <f>_xlfn.IFERROR(AVERAGE(B594:D594),"—")</f>
        <v>957</v>
      </c>
      <c r="F594" t="s" s="125">
        <v>930</v>
      </c>
      <c r="G594" t="s" s="125">
        <v>943</v>
      </c>
      <c r="H594" t="s" s="125">
        <v>858</v>
      </c>
      <c r="I594" s="244"/>
    </row>
    <row r="595" ht="21.25" customHeight="1">
      <c r="A595" t="s" s="10">
        <v>786</v>
      </c>
      <c r="B595" t="s" s="125">
        <v>957</v>
      </c>
      <c r="C595" s="241"/>
      <c r="D595" s="105"/>
      <c r="E595" t="s" s="125">
        <f>_xlfn.IFERROR(AVERAGE(B595:D595),"—")</f>
        <v>957</v>
      </c>
      <c r="F595" t="s" s="125">
        <v>937</v>
      </c>
      <c r="G595" s="243">
        <v>1200000</v>
      </c>
      <c r="H595" t="s" s="125">
        <v>858</v>
      </c>
      <c r="I595" s="244"/>
    </row>
    <row r="596" ht="21.25" customHeight="1">
      <c r="A596" t="s" s="10">
        <v>424</v>
      </c>
      <c r="B596" t="s" s="125">
        <v>957</v>
      </c>
      <c r="C596" s="241"/>
      <c r="D596" s="105"/>
      <c r="E596" t="s" s="125">
        <f>_xlfn.IFERROR(AVERAGE(B596:D596),"—")</f>
        <v>957</v>
      </c>
      <c r="F596" t="s" s="125">
        <v>954</v>
      </c>
      <c r="G596" s="243">
        <v>812500</v>
      </c>
      <c r="H596" t="s" s="125">
        <v>858</v>
      </c>
      <c r="I596" s="244"/>
    </row>
    <row r="597" ht="21.25" customHeight="1">
      <c r="A597" t="s" s="10">
        <v>595</v>
      </c>
      <c r="B597" t="s" s="125">
        <v>957</v>
      </c>
      <c r="C597" s="241"/>
      <c r="D597" s="105"/>
      <c r="E597" t="s" s="125">
        <f>_xlfn.IFERROR(AVERAGE(B597:D597),"—")</f>
        <v>957</v>
      </c>
      <c r="F597" t="s" s="125">
        <v>959</v>
      </c>
      <c r="G597" s="243">
        <v>3641667</v>
      </c>
      <c r="H597" t="s" s="125">
        <v>858</v>
      </c>
      <c r="I597" s="244"/>
    </row>
    <row r="598" ht="21.25" customHeight="1">
      <c r="A598" t="s" s="10">
        <v>789</v>
      </c>
      <c r="B598" t="s" s="125">
        <v>957</v>
      </c>
      <c r="C598" s="241"/>
      <c r="D598" s="105"/>
      <c r="E598" t="s" s="125">
        <f>_xlfn.IFERROR(AVERAGE(B598:D598),"—")</f>
        <v>957</v>
      </c>
      <c r="F598" t="s" s="125">
        <v>949</v>
      </c>
      <c r="G598" s="243">
        <v>2400000</v>
      </c>
      <c r="H598" t="s" s="125">
        <v>858</v>
      </c>
      <c r="I598" s="244"/>
    </row>
    <row r="599" ht="21.25" customHeight="1">
      <c r="A599" t="s" s="10">
        <v>649</v>
      </c>
      <c r="B599" t="s" s="125">
        <v>957</v>
      </c>
      <c r="C599" s="241"/>
      <c r="D599" s="105"/>
      <c r="E599" t="s" s="125">
        <f>_xlfn.IFERROR(AVERAGE(B599:D599),"—")</f>
        <v>957</v>
      </c>
      <c r="F599" t="s" s="125">
        <v>925</v>
      </c>
      <c r="G599" s="243">
        <v>825000</v>
      </c>
      <c r="H599" t="s" s="125">
        <v>858</v>
      </c>
      <c r="I599" s="244"/>
    </row>
    <row r="600" ht="21.25" customHeight="1">
      <c r="A600" t="s" s="10">
        <v>827</v>
      </c>
      <c r="B600" t="s" s="125">
        <v>957</v>
      </c>
      <c r="C600" s="241"/>
      <c r="D600" s="105"/>
      <c r="E600" t="s" s="125">
        <f>_xlfn.IFERROR(AVERAGE(B600:D600),"—")</f>
        <v>957</v>
      </c>
      <c r="F600" t="s" s="125">
        <v>924</v>
      </c>
      <c r="G600" s="243">
        <v>1150000</v>
      </c>
      <c r="H600" t="s" s="125">
        <v>858</v>
      </c>
      <c r="I600" s="244"/>
    </row>
    <row r="601" ht="21.25" customHeight="1">
      <c r="A601" t="s" s="10">
        <v>597</v>
      </c>
      <c r="B601" t="s" s="125">
        <v>957</v>
      </c>
      <c r="C601" s="241"/>
      <c r="D601" s="105"/>
      <c r="E601" t="s" s="125">
        <f>_xlfn.IFERROR(AVERAGE(B601:D601),"—")</f>
        <v>957</v>
      </c>
      <c r="F601" t="s" s="125">
        <v>952</v>
      </c>
      <c r="G601" s="243">
        <v>2500000</v>
      </c>
      <c r="H601" t="s" s="125">
        <v>858</v>
      </c>
      <c r="I601" s="244"/>
    </row>
    <row r="602" ht="21.25" customHeight="1">
      <c r="A602" t="s" s="10">
        <v>743</v>
      </c>
      <c r="B602" t="s" s="125">
        <v>957</v>
      </c>
      <c r="C602" s="241"/>
      <c r="D602" s="105"/>
      <c r="E602" t="s" s="125">
        <f>_xlfn.IFERROR(AVERAGE(B602:D602),"—")</f>
        <v>957</v>
      </c>
      <c r="F602" t="s" s="125">
        <v>942</v>
      </c>
      <c r="G602" s="243">
        <v>1125000</v>
      </c>
      <c r="H602" t="s" s="125">
        <v>858</v>
      </c>
      <c r="I602" s="244"/>
    </row>
    <row r="603" ht="21.25" customHeight="1">
      <c r="A603" t="s" s="10">
        <v>756</v>
      </c>
      <c r="B603" t="s" s="125">
        <v>957</v>
      </c>
      <c r="C603" s="241"/>
      <c r="D603" s="105"/>
      <c r="E603" t="s" s="125">
        <f>_xlfn.IFERROR(AVERAGE(B603:D603),"—")</f>
        <v>957</v>
      </c>
      <c r="F603" t="s" s="125">
        <v>927</v>
      </c>
      <c r="G603" s="243">
        <v>850000</v>
      </c>
      <c r="H603" t="s" s="125">
        <v>858</v>
      </c>
      <c r="I603" s="244"/>
    </row>
    <row r="604" ht="21.25" customHeight="1">
      <c r="A604" t="s" s="10">
        <v>562</v>
      </c>
      <c r="B604" t="s" s="125">
        <v>957</v>
      </c>
      <c r="C604" s="241"/>
      <c r="D604" s="105"/>
      <c r="E604" t="s" s="125">
        <f>_xlfn.IFERROR(AVERAGE(B604:D604),"—")</f>
        <v>957</v>
      </c>
      <c r="F604" t="s" s="125">
        <v>929</v>
      </c>
      <c r="G604" s="243">
        <v>1000000</v>
      </c>
      <c r="H604" t="s" s="125">
        <v>858</v>
      </c>
      <c r="I604" s="244"/>
    </row>
    <row r="605" ht="21.25" customHeight="1">
      <c r="A605" t="s" s="10">
        <v>505</v>
      </c>
      <c r="B605" t="s" s="125">
        <v>957</v>
      </c>
      <c r="C605" s="241"/>
      <c r="D605" s="105"/>
      <c r="E605" t="s" s="125">
        <f>_xlfn.IFERROR(AVERAGE(B605:D605),"—")</f>
        <v>957</v>
      </c>
      <c r="F605" t="s" s="125">
        <v>951</v>
      </c>
      <c r="G605" s="243">
        <v>1599000</v>
      </c>
      <c r="H605" t="s" s="125">
        <v>858</v>
      </c>
      <c r="I605" s="244"/>
    </row>
    <row r="606" ht="21.25" customHeight="1">
      <c r="A606" t="s" s="10">
        <v>771</v>
      </c>
      <c r="B606" t="s" s="125">
        <v>957</v>
      </c>
      <c r="C606" s="241"/>
      <c r="D606" s="105"/>
      <c r="E606" t="s" s="125">
        <f>_xlfn.IFERROR(AVERAGE(B606:D606),"—")</f>
        <v>957</v>
      </c>
      <c r="F606" t="s" s="125">
        <v>932</v>
      </c>
      <c r="G606" s="243">
        <v>775000</v>
      </c>
      <c r="H606" t="s" s="125">
        <v>858</v>
      </c>
      <c r="I606" s="244"/>
    </row>
    <row r="607" ht="21.25" customHeight="1">
      <c r="A607" t="s" s="10">
        <v>720</v>
      </c>
      <c r="B607" t="s" s="125">
        <v>957</v>
      </c>
      <c r="C607" s="241"/>
      <c r="D607" s="105"/>
      <c r="E607" t="s" s="125">
        <f>_xlfn.IFERROR(AVERAGE(B607:D607),"—")</f>
        <v>957</v>
      </c>
      <c r="F607" t="s" s="125">
        <v>941</v>
      </c>
      <c r="G607" s="243">
        <v>1900000</v>
      </c>
      <c r="H607" t="s" s="125">
        <v>858</v>
      </c>
      <c r="I607" s="244"/>
    </row>
    <row r="608" ht="21.25" customHeight="1">
      <c r="A608" t="s" s="10">
        <v>460</v>
      </c>
      <c r="B608" t="s" s="125">
        <v>957</v>
      </c>
      <c r="C608" s="241"/>
      <c r="D608" s="105"/>
      <c r="E608" t="s" s="125">
        <f>_xlfn.IFERROR(AVERAGE(B608:D608),"—")</f>
        <v>957</v>
      </c>
      <c r="F608" t="s" s="125">
        <v>941</v>
      </c>
      <c r="G608" s="243">
        <v>1400000</v>
      </c>
      <c r="H608" t="s" s="125">
        <v>858</v>
      </c>
      <c r="I608" s="244"/>
    </row>
    <row r="609" ht="21.25" customHeight="1">
      <c r="A609" t="s" s="10">
        <v>738</v>
      </c>
      <c r="B609" t="s" s="125">
        <v>957</v>
      </c>
      <c r="C609" s="241"/>
      <c r="D609" s="105"/>
      <c r="E609" t="s" s="125">
        <f>_xlfn.IFERROR(AVERAGE(B609:D609),"—")</f>
        <v>957</v>
      </c>
      <c r="F609" t="s" s="125">
        <v>959</v>
      </c>
      <c r="G609" s="243">
        <v>2000000</v>
      </c>
      <c r="H609" t="s" s="125">
        <v>858</v>
      </c>
      <c r="I609" s="244"/>
    </row>
    <row r="610" ht="21.25" customHeight="1">
      <c r="A610" t="s" s="10">
        <v>678</v>
      </c>
      <c r="B610" t="s" s="125">
        <v>957</v>
      </c>
      <c r="C610" s="241"/>
      <c r="D610" s="105"/>
      <c r="E610" t="s" s="125">
        <f>_xlfn.IFERROR(AVERAGE(B610:D610),"—")</f>
        <v>957</v>
      </c>
      <c r="F610" t="s" s="125">
        <v>959</v>
      </c>
      <c r="G610" s="243">
        <v>2750000</v>
      </c>
      <c r="H610" t="s" s="125">
        <v>858</v>
      </c>
      <c r="I610" s="244"/>
    </row>
    <row r="611" ht="21.25" customHeight="1">
      <c r="A611" t="s" s="10">
        <v>811</v>
      </c>
      <c r="B611" t="s" s="125">
        <v>957</v>
      </c>
      <c r="C611" s="241"/>
      <c r="D611" s="105"/>
      <c r="E611" t="s" s="125">
        <f>_xlfn.IFERROR(AVERAGE(B611:D611),"—")</f>
        <v>957</v>
      </c>
      <c r="F611" t="s" s="125">
        <v>944</v>
      </c>
      <c r="G611" s="243">
        <v>950000</v>
      </c>
      <c r="H611" t="s" s="125">
        <v>858</v>
      </c>
      <c r="I611" s="244"/>
    </row>
    <row r="612" ht="21.25" customHeight="1">
      <c r="A612" t="s" s="10">
        <v>635</v>
      </c>
      <c r="B612" t="s" s="125">
        <v>957</v>
      </c>
      <c r="C612" s="241"/>
      <c r="D612" s="105"/>
      <c r="E612" t="s" s="125">
        <f>_xlfn.IFERROR(AVERAGE(B612:D612),"—")</f>
        <v>957</v>
      </c>
      <c r="F612" t="s" s="125">
        <v>935</v>
      </c>
      <c r="G612" s="243">
        <v>1500000</v>
      </c>
      <c r="H612" t="s" s="125">
        <v>858</v>
      </c>
      <c r="I612" s="244"/>
    </row>
    <row r="613" ht="21.25" customHeight="1">
      <c r="A613" t="s" s="10">
        <v>675</v>
      </c>
      <c r="B613" t="s" s="125">
        <v>957</v>
      </c>
      <c r="C613" s="241"/>
      <c r="D613" s="105"/>
      <c r="E613" t="s" s="125">
        <f>_xlfn.IFERROR(AVERAGE(B613:D613),"—")</f>
        <v>957</v>
      </c>
      <c r="F613" t="s" s="125">
        <v>940</v>
      </c>
      <c r="G613" s="243">
        <v>850000</v>
      </c>
      <c r="H613" t="s" s="125">
        <v>858</v>
      </c>
      <c r="I613" s="244"/>
    </row>
    <row r="614" ht="21.25" customHeight="1">
      <c r="A614" t="s" s="10">
        <v>818</v>
      </c>
      <c r="B614" t="s" s="125">
        <v>957</v>
      </c>
      <c r="C614" s="241"/>
      <c r="D614" s="105"/>
      <c r="E614" t="s" s="125">
        <f>_xlfn.IFERROR(AVERAGE(B614:D614),"—")</f>
        <v>957</v>
      </c>
      <c r="F614" t="s" s="125">
        <v>941</v>
      </c>
      <c r="G614" s="243">
        <v>925000</v>
      </c>
      <c r="H614" t="s" s="125">
        <v>858</v>
      </c>
      <c r="I614" s="244"/>
    </row>
    <row r="615" ht="21.25" customHeight="1">
      <c r="A615" t="s" s="10">
        <v>832</v>
      </c>
      <c r="B615" t="s" s="125">
        <v>957</v>
      </c>
      <c r="C615" s="241"/>
      <c r="D615" s="105"/>
      <c r="E615" t="s" s="125">
        <f>_xlfn.IFERROR(AVERAGE(B615:D615),"—")</f>
        <v>957</v>
      </c>
      <c r="F615" t="s" s="125">
        <v>947</v>
      </c>
      <c r="G615" s="243">
        <v>800000</v>
      </c>
      <c r="H615" t="s" s="125">
        <v>858</v>
      </c>
      <c r="I615" s="244"/>
    </row>
    <row r="616" ht="21.25" customHeight="1">
      <c r="A616" t="s" s="10">
        <v>765</v>
      </c>
      <c r="B616" t="s" s="125">
        <v>957</v>
      </c>
      <c r="C616" s="241"/>
      <c r="D616" s="105"/>
      <c r="E616" t="s" s="125">
        <f>_xlfn.IFERROR(AVERAGE(B616:D616),"—")</f>
        <v>957</v>
      </c>
      <c r="F616" t="s" s="125">
        <v>926</v>
      </c>
      <c r="G616" s="243">
        <v>2400000</v>
      </c>
      <c r="H616" t="s" s="125">
        <v>858</v>
      </c>
      <c r="I616" s="244"/>
    </row>
    <row r="617" ht="21.25" customHeight="1">
      <c r="A617" t="s" s="10">
        <v>809</v>
      </c>
      <c r="B617" t="s" s="125">
        <v>957</v>
      </c>
      <c r="C617" s="241"/>
      <c r="D617" s="105"/>
      <c r="E617" t="s" s="125">
        <f>_xlfn.IFERROR(AVERAGE(B617:D617),"—")</f>
        <v>957</v>
      </c>
      <c r="F617" t="s" s="125">
        <v>926</v>
      </c>
      <c r="G617" s="243">
        <v>800000</v>
      </c>
      <c r="H617" t="s" s="125">
        <v>858</v>
      </c>
      <c r="I617" s="244"/>
    </row>
    <row r="618" ht="21.25" customHeight="1">
      <c r="A618" t="s" s="10">
        <v>810</v>
      </c>
      <c r="B618" t="s" s="125">
        <v>957</v>
      </c>
      <c r="C618" s="241"/>
      <c r="D618" s="105"/>
      <c r="E618" t="s" s="125">
        <f>_xlfn.IFERROR(AVERAGE(B618:D618),"—")</f>
        <v>957</v>
      </c>
      <c r="F618" t="s" s="125">
        <v>954</v>
      </c>
      <c r="G618" s="243">
        <v>4450000</v>
      </c>
      <c r="H618" t="s" s="125">
        <v>858</v>
      </c>
      <c r="I618" s="244"/>
    </row>
    <row r="619" ht="21.25" customHeight="1">
      <c r="A619" t="s" s="10">
        <v>762</v>
      </c>
      <c r="B619" t="s" s="125">
        <v>957</v>
      </c>
      <c r="C619" s="241"/>
      <c r="D619" s="105"/>
      <c r="E619" t="s" s="125">
        <f>_xlfn.IFERROR(AVERAGE(B619:D619),"—")</f>
        <v>957</v>
      </c>
      <c r="F619" t="s" s="125">
        <v>948</v>
      </c>
      <c r="G619" s="243">
        <v>1500000</v>
      </c>
      <c r="H619" t="s" s="125">
        <v>858</v>
      </c>
      <c r="I619" s="244"/>
    </row>
    <row r="620" ht="21.25" customHeight="1">
      <c r="A620" t="s" s="10">
        <v>699</v>
      </c>
      <c r="B620" t="s" s="125">
        <v>957</v>
      </c>
      <c r="C620" s="241"/>
      <c r="D620" s="105"/>
      <c r="E620" t="s" s="125">
        <f>_xlfn.IFERROR(AVERAGE(B620:D620),"—")</f>
        <v>957</v>
      </c>
      <c r="F620" t="s" s="125">
        <v>948</v>
      </c>
      <c r="G620" s="243">
        <v>3250000</v>
      </c>
      <c r="H620" t="s" s="125">
        <v>858</v>
      </c>
      <c r="I620" s="244"/>
    </row>
    <row r="621" ht="21.25" customHeight="1">
      <c r="A621" t="s" s="10">
        <v>701</v>
      </c>
      <c r="B621" t="s" s="125">
        <v>957</v>
      </c>
      <c r="C621" s="241"/>
      <c r="D621" s="105"/>
      <c r="E621" t="s" s="125">
        <f>_xlfn.IFERROR(AVERAGE(B621:D621),"—")</f>
        <v>957</v>
      </c>
      <c r="F621" t="s" s="125">
        <v>926</v>
      </c>
      <c r="G621" s="243">
        <v>1180000</v>
      </c>
      <c r="H621" t="s" s="125">
        <v>858</v>
      </c>
      <c r="I621" s="244"/>
    </row>
    <row r="622" ht="21.25" customHeight="1">
      <c r="A622" t="s" s="10">
        <v>803</v>
      </c>
      <c r="B622" t="s" s="125">
        <v>957</v>
      </c>
      <c r="C622" s="241"/>
      <c r="D622" s="105"/>
      <c r="E622" t="s" s="125">
        <f>_xlfn.IFERROR(AVERAGE(B622:D622),"—")</f>
        <v>957</v>
      </c>
      <c r="F622" t="s" s="125">
        <v>958</v>
      </c>
      <c r="G622" s="243">
        <v>1500000</v>
      </c>
      <c r="H622" t="s" s="125">
        <v>858</v>
      </c>
      <c r="I622" s="244"/>
    </row>
    <row r="623" ht="21.25" customHeight="1">
      <c r="A623" t="s" s="10">
        <v>774</v>
      </c>
      <c r="B623" t="s" s="125">
        <v>957</v>
      </c>
      <c r="C623" s="241"/>
      <c r="D623" s="105"/>
      <c r="E623" t="s" s="125">
        <f>_xlfn.IFERROR(AVERAGE(B623:D623),"—")</f>
        <v>957</v>
      </c>
      <c r="F623" t="s" s="125">
        <v>932</v>
      </c>
      <c r="G623" s="243">
        <v>850000</v>
      </c>
      <c r="H623" t="s" s="125">
        <v>858</v>
      </c>
      <c r="I623" s="244"/>
    </row>
    <row r="624" ht="21.25" customHeight="1">
      <c r="A624" t="s" s="10">
        <v>851</v>
      </c>
      <c r="B624" t="s" s="125">
        <v>957</v>
      </c>
      <c r="C624" s="241"/>
      <c r="D624" s="105"/>
      <c r="E624" t="s" s="125">
        <f>_xlfn.IFERROR(AVERAGE(B624:D624),"—")</f>
        <v>957</v>
      </c>
      <c r="F624" t="s" s="125">
        <v>945</v>
      </c>
      <c r="G624" s="243">
        <v>925000</v>
      </c>
      <c r="H624" t="s" s="125">
        <v>858</v>
      </c>
      <c r="I624" s="244"/>
    </row>
    <row r="625" ht="21.25" customHeight="1">
      <c r="A625" t="s" s="10">
        <v>825</v>
      </c>
      <c r="B625" t="s" s="125">
        <v>957</v>
      </c>
      <c r="C625" s="241"/>
      <c r="D625" s="105"/>
      <c r="E625" t="s" s="125">
        <f>_xlfn.IFERROR(AVERAGE(B625:D625),"—")</f>
        <v>957</v>
      </c>
      <c r="F625" t="s" s="125">
        <v>958</v>
      </c>
      <c r="G625" s="243">
        <v>2750000</v>
      </c>
      <c r="H625" t="s" s="125">
        <v>858</v>
      </c>
      <c r="I625" s="244"/>
    </row>
    <row r="626" ht="21.25" customHeight="1">
      <c r="A626" t="s" s="10">
        <v>728</v>
      </c>
      <c r="B626" t="s" s="125">
        <v>957</v>
      </c>
      <c r="C626" s="241"/>
      <c r="D626" s="241"/>
      <c r="E626" t="s" s="125">
        <f>_xlfn.IFERROR(AVERAGE(B626:D626),"—")</f>
        <v>957</v>
      </c>
      <c r="F626" t="s" s="125">
        <v>938</v>
      </c>
      <c r="G626" s="243">
        <v>1350000</v>
      </c>
      <c r="H626" t="s" s="125">
        <v>858</v>
      </c>
      <c r="I626" s="244"/>
    </row>
    <row r="627" ht="21.25" customHeight="1">
      <c r="A627" t="s" s="10">
        <v>687</v>
      </c>
      <c r="B627" t="s" s="125">
        <v>957</v>
      </c>
      <c r="C627" s="241"/>
      <c r="D627" s="105"/>
      <c r="E627" t="s" s="125">
        <f>_xlfn.IFERROR(AVERAGE(B627:D627),"—")</f>
        <v>957</v>
      </c>
      <c r="F627" t="s" s="125">
        <v>929</v>
      </c>
      <c r="G627" s="243">
        <v>1350000</v>
      </c>
      <c r="H627" t="s" s="125">
        <v>858</v>
      </c>
      <c r="I627" s="244"/>
    </row>
    <row r="628" ht="21.25" customHeight="1">
      <c r="A628" t="s" s="10">
        <v>603</v>
      </c>
      <c r="B628" t="s" s="125">
        <v>957</v>
      </c>
      <c r="C628" s="241"/>
      <c r="D628" s="105"/>
      <c r="E628" t="s" s="125">
        <f>_xlfn.IFERROR(AVERAGE(B628:D628),"—")</f>
        <v>957</v>
      </c>
      <c r="F628" t="s" s="125">
        <v>939</v>
      </c>
      <c r="G628" s="243">
        <v>2000000</v>
      </c>
      <c r="H628" t="s" s="125">
        <v>858</v>
      </c>
      <c r="I628" s="244"/>
    </row>
    <row r="629" ht="21.25" customHeight="1">
      <c r="A629" t="s" s="10">
        <v>758</v>
      </c>
      <c r="B629" t="s" s="125">
        <v>957</v>
      </c>
      <c r="C629" s="241"/>
      <c r="D629" s="105"/>
      <c r="E629" t="s" s="125">
        <f>_xlfn.IFERROR(AVERAGE(B629:D629),"—")</f>
        <v>957</v>
      </c>
      <c r="F629" t="s" s="125">
        <v>924</v>
      </c>
      <c r="G629" s="243">
        <v>1000000</v>
      </c>
      <c r="H629" t="s" s="125">
        <v>858</v>
      </c>
      <c r="I629" s="244"/>
    </row>
    <row r="630" ht="21.25" customHeight="1">
      <c r="A630" t="s" s="10">
        <v>643</v>
      </c>
      <c r="B630" t="s" s="125">
        <v>957</v>
      </c>
      <c r="C630" s="241"/>
      <c r="D630" s="105"/>
      <c r="E630" t="s" s="125">
        <f>_xlfn.IFERROR(AVERAGE(B630:D630),"—")</f>
        <v>957</v>
      </c>
      <c r="F630" t="s" s="125">
        <v>944</v>
      </c>
      <c r="G630" s="243">
        <v>1850000</v>
      </c>
      <c r="H630" t="s" s="125">
        <v>858</v>
      </c>
      <c r="I630" s="244"/>
    </row>
    <row r="631" ht="21.25" customHeight="1">
      <c r="A631" t="s" s="10">
        <v>838</v>
      </c>
      <c r="B631" t="s" s="125">
        <v>957</v>
      </c>
      <c r="C631" s="241"/>
      <c r="D631" s="105"/>
      <c r="E631" t="s" s="125">
        <f>_xlfn.IFERROR(AVERAGE(B631:D631),"—")</f>
        <v>957</v>
      </c>
      <c r="F631" t="s" s="125">
        <v>950</v>
      </c>
      <c r="G631" s="243">
        <v>775000</v>
      </c>
      <c r="H631" t="s" s="125">
        <v>858</v>
      </c>
      <c r="I631" s="244"/>
    </row>
    <row r="632" ht="21.25" customHeight="1">
      <c r="A632" t="s" s="10">
        <v>711</v>
      </c>
      <c r="B632" t="s" s="125">
        <v>957</v>
      </c>
      <c r="C632" s="241"/>
      <c r="D632" s="105"/>
      <c r="E632" t="s" s="125">
        <f>_xlfn.IFERROR(AVERAGE(B632:D632),"—")</f>
        <v>957</v>
      </c>
      <c r="F632" t="s" s="125">
        <v>934</v>
      </c>
      <c r="G632" s="243">
        <v>2000000</v>
      </c>
      <c r="H632" t="s" s="125">
        <v>858</v>
      </c>
      <c r="I632" s="244"/>
    </row>
    <row r="633" ht="21.25" customHeight="1">
      <c r="A633" t="s" s="10">
        <v>842</v>
      </c>
      <c r="B633" t="s" s="125">
        <v>957</v>
      </c>
      <c r="C633" s="241"/>
      <c r="D633" s="105"/>
      <c r="E633" t="s" s="125">
        <f>_xlfn.IFERROR(AVERAGE(B633:D633),"—")</f>
        <v>957</v>
      </c>
      <c r="F633" t="s" s="125">
        <v>932</v>
      </c>
      <c r="G633" s="243">
        <v>775000</v>
      </c>
      <c r="H633" t="s" s="125">
        <v>858</v>
      </c>
      <c r="I633" s="244"/>
    </row>
    <row r="634" ht="21.25" customHeight="1">
      <c r="A634" t="s" s="10">
        <v>709</v>
      </c>
      <c r="B634" s="241">
        <v>186</v>
      </c>
      <c r="C634" s="241"/>
      <c r="D634" s="105"/>
      <c r="E634" s="241">
        <f>_xlfn.IFERROR(AVERAGE(B634:D634),"—")</f>
        <v>186</v>
      </c>
      <c r="F634" t="s" s="125">
        <v>932</v>
      </c>
      <c r="G634" s="243">
        <v>4500000</v>
      </c>
      <c r="H634" t="s" s="125">
        <v>858</v>
      </c>
      <c r="I634" s="244"/>
    </row>
    <row r="635" ht="21.25" customHeight="1">
      <c r="A635" t="s" s="10">
        <v>823</v>
      </c>
      <c r="B635" t="s" s="125">
        <v>957</v>
      </c>
      <c r="C635" s="241"/>
      <c r="D635" s="105"/>
      <c r="E635" t="s" s="125">
        <f>_xlfn.IFERROR(AVERAGE(B635:D635),"—")</f>
        <v>957</v>
      </c>
      <c r="F635" t="s" s="125">
        <v>928</v>
      </c>
      <c r="G635" s="243">
        <v>1000000</v>
      </c>
      <c r="H635" t="s" s="125">
        <v>858</v>
      </c>
      <c r="I635" s="244"/>
    </row>
    <row r="636" ht="21.25" customHeight="1">
      <c r="A636" t="s" s="10">
        <v>843</v>
      </c>
      <c r="B636" t="s" s="125">
        <v>957</v>
      </c>
      <c r="C636" s="241"/>
      <c r="D636" s="105"/>
      <c r="E636" t="s" s="125">
        <f>_xlfn.IFERROR(AVERAGE(B636:D636),"—")</f>
        <v>957</v>
      </c>
      <c r="F636" t="s" s="125">
        <v>936</v>
      </c>
      <c r="G636" s="243">
        <v>775000</v>
      </c>
      <c r="H636" t="s" s="125">
        <v>858</v>
      </c>
      <c r="I636" s="244"/>
    </row>
    <row r="637" ht="21.25" customHeight="1">
      <c r="A637" t="s" s="10">
        <v>817</v>
      </c>
      <c r="B637" t="s" s="125">
        <v>957</v>
      </c>
      <c r="C637" s="241"/>
      <c r="D637" s="105"/>
      <c r="E637" t="s" s="125">
        <f>_xlfn.IFERROR(AVERAGE(B637:D637),"—")</f>
        <v>957</v>
      </c>
      <c r="F637" t="s" s="125">
        <v>937</v>
      </c>
      <c r="G637" s="243">
        <v>775000</v>
      </c>
      <c r="H637" t="s" s="125">
        <v>858</v>
      </c>
      <c r="I637" s="244"/>
    </row>
    <row r="638" ht="21.25" customHeight="1">
      <c r="A638" t="s" s="10">
        <v>757</v>
      </c>
      <c r="B638" t="s" s="125">
        <v>957</v>
      </c>
      <c r="C638" s="241"/>
      <c r="D638" s="105"/>
      <c r="E638" t="s" s="125">
        <f>_xlfn.IFERROR(AVERAGE(B638:D638),"—")</f>
        <v>957</v>
      </c>
      <c r="F638" t="s" s="125">
        <v>945</v>
      </c>
      <c r="G638" s="243">
        <v>2000000</v>
      </c>
      <c r="H638" t="s" s="125">
        <v>858</v>
      </c>
      <c r="I638" s="244"/>
    </row>
    <row r="639" ht="21.25" customHeight="1">
      <c r="A639" t="s" s="10">
        <v>712</v>
      </c>
      <c r="B639" s="241">
        <v>160</v>
      </c>
      <c r="C639" s="241"/>
      <c r="D639" s="105"/>
      <c r="E639" s="241">
        <f>_xlfn.IFERROR(AVERAGE(B639:D639),"—")</f>
        <v>160</v>
      </c>
      <c r="F639" t="s" s="125">
        <v>935</v>
      </c>
      <c r="G639" s="243">
        <v>850000</v>
      </c>
      <c r="H639" t="s" s="125">
        <v>858</v>
      </c>
      <c r="I639" s="244"/>
    </row>
    <row r="640" ht="21.25" customHeight="1">
      <c r="A640" t="s" s="10">
        <v>633</v>
      </c>
      <c r="B640" t="s" s="125">
        <v>957</v>
      </c>
      <c r="C640" s="241"/>
      <c r="D640" s="105"/>
      <c r="E640" t="s" s="125">
        <f>_xlfn.IFERROR(AVERAGE(B640:D640),"—")</f>
        <v>957</v>
      </c>
      <c r="F640" t="s" s="125">
        <v>929</v>
      </c>
      <c r="G640" s="243">
        <v>775000</v>
      </c>
      <c r="H640" t="s" s="125">
        <v>858</v>
      </c>
      <c r="I640" s="244"/>
    </row>
    <row r="641" ht="21.25" customHeight="1">
      <c r="A641" t="s" s="10">
        <v>726</v>
      </c>
      <c r="B641" t="s" s="125">
        <v>957</v>
      </c>
      <c r="C641" s="241"/>
      <c r="D641" s="105"/>
      <c r="E641" t="s" s="125">
        <f>_xlfn.IFERROR(AVERAGE(B641:D641),"—")</f>
        <v>957</v>
      </c>
      <c r="F641" t="s" s="125">
        <v>934</v>
      </c>
      <c r="G641" s="243">
        <v>1500000</v>
      </c>
      <c r="H641" t="s" s="125">
        <v>858</v>
      </c>
      <c r="I641" s="244"/>
    </row>
    <row r="642" ht="21.25" customHeight="1">
      <c r="A642" t="s" s="10">
        <v>847</v>
      </c>
      <c r="B642" t="s" s="125">
        <v>957</v>
      </c>
      <c r="C642" s="241"/>
      <c r="D642" s="105"/>
      <c r="E642" t="s" s="125">
        <f>_xlfn.IFERROR(AVERAGE(B642:D642),"—")</f>
        <v>957</v>
      </c>
      <c r="F642" t="s" s="125">
        <v>931</v>
      </c>
      <c r="G642" s="243">
        <v>787500</v>
      </c>
      <c r="H642" t="s" s="125">
        <v>858</v>
      </c>
      <c r="I642" s="244"/>
    </row>
    <row r="643" ht="21.25" customHeight="1">
      <c r="A643" t="s" s="10">
        <v>656</v>
      </c>
      <c r="B643" t="s" s="125">
        <v>957</v>
      </c>
      <c r="C643" s="241"/>
      <c r="D643" s="105"/>
      <c r="E643" t="s" s="125">
        <f>_xlfn.IFERROR(AVERAGE(B643:D643),"—")</f>
        <v>957</v>
      </c>
      <c r="F643" t="s" s="125">
        <v>928</v>
      </c>
      <c r="G643" s="243">
        <v>835000</v>
      </c>
      <c r="H643" t="s" s="125">
        <v>858</v>
      </c>
      <c r="I643" s="244"/>
    </row>
    <row r="644" ht="21.25" customHeight="1">
      <c r="A644" t="s" s="10">
        <v>845</v>
      </c>
      <c r="B644" t="s" s="125">
        <v>957</v>
      </c>
      <c r="C644" s="241"/>
      <c r="D644" s="105"/>
      <c r="E644" t="s" s="125">
        <f>_xlfn.IFERROR(AVERAGE(B644:D644),"—")</f>
        <v>957</v>
      </c>
      <c r="F644" t="s" s="125">
        <v>930</v>
      </c>
      <c r="G644" s="243">
        <v>800000</v>
      </c>
      <c r="H644" t="s" s="125">
        <v>858</v>
      </c>
      <c r="I644" s="244"/>
    </row>
    <row r="645" ht="21.25" customHeight="1">
      <c r="A645" t="s" s="10">
        <v>813</v>
      </c>
      <c r="B645" t="s" s="125">
        <v>957</v>
      </c>
      <c r="C645" s="241"/>
      <c r="D645" s="105"/>
      <c r="E645" t="s" s="125">
        <f>_xlfn.IFERROR(AVERAGE(B645:D645),"—")</f>
        <v>957</v>
      </c>
      <c r="F645" t="s" s="125">
        <v>959</v>
      </c>
      <c r="G645" s="243">
        <v>1300000</v>
      </c>
      <c r="H645" t="s" s="125">
        <v>858</v>
      </c>
      <c r="I645" s="244"/>
    </row>
    <row r="646" ht="21.25" customHeight="1">
      <c r="A646" t="s" s="10">
        <v>819</v>
      </c>
      <c r="B646" t="s" s="125">
        <v>957</v>
      </c>
      <c r="C646" s="241"/>
      <c r="D646" s="105"/>
      <c r="E646" t="s" s="125">
        <f>_xlfn.IFERROR(AVERAGE(B646:D646),"—")</f>
        <v>957</v>
      </c>
      <c r="F646" t="s" s="125">
        <v>947</v>
      </c>
      <c r="G646" s="243">
        <v>1300000</v>
      </c>
      <c r="H646" t="s" s="125">
        <v>858</v>
      </c>
      <c r="I646" s="244"/>
    </row>
    <row r="647" ht="21.25" customHeight="1">
      <c r="A647" t="s" s="10">
        <v>854</v>
      </c>
      <c r="B647" t="s" s="125">
        <v>957</v>
      </c>
      <c r="C647" s="241"/>
      <c r="D647" s="105"/>
      <c r="E647" t="s" s="125">
        <f>_xlfn.IFERROR(AVERAGE(B647:D647),"—")</f>
        <v>957</v>
      </c>
      <c r="F647" t="s" s="125">
        <v>924</v>
      </c>
      <c r="G647" s="243">
        <v>1000000</v>
      </c>
      <c r="H647" t="s" s="125">
        <v>858</v>
      </c>
      <c r="I647" s="244"/>
    </row>
    <row r="648" ht="21.25" customHeight="1">
      <c r="A648" t="s" s="10">
        <v>716</v>
      </c>
      <c r="B648" t="s" s="125">
        <v>957</v>
      </c>
      <c r="C648" s="241"/>
      <c r="D648" s="105"/>
      <c r="E648" t="s" s="125">
        <f>_xlfn.IFERROR(AVERAGE(B648:D648),"—")</f>
        <v>957</v>
      </c>
      <c r="F648" t="s" s="125">
        <v>952</v>
      </c>
      <c r="G648" s="243">
        <v>1100000</v>
      </c>
      <c r="H648" t="s" s="125">
        <v>858</v>
      </c>
      <c r="I648" s="244"/>
    </row>
    <row r="649" ht="21.25" customHeight="1">
      <c r="A649" t="s" s="10">
        <v>841</v>
      </c>
      <c r="B649" t="s" s="125">
        <v>957</v>
      </c>
      <c r="C649" s="241"/>
      <c r="D649" s="105"/>
      <c r="E649" t="s" s="125">
        <f>_xlfn.IFERROR(AVERAGE(B649:D649),"—")</f>
        <v>957</v>
      </c>
      <c r="F649" t="s" s="125">
        <v>925</v>
      </c>
      <c r="G649" s="243">
        <v>775000</v>
      </c>
      <c r="H649" t="s" s="125">
        <v>858</v>
      </c>
      <c r="I649" s="244"/>
    </row>
    <row r="650" ht="21.25" customHeight="1">
      <c r="A650" t="s" s="10">
        <v>753</v>
      </c>
      <c r="B650" t="s" s="125">
        <v>957</v>
      </c>
      <c r="C650" s="241"/>
      <c r="D650" s="105"/>
      <c r="E650" t="s" s="125">
        <f>_xlfn.IFERROR(AVERAGE(B650:D650),"—")</f>
        <v>957</v>
      </c>
      <c r="F650" t="s" s="125">
        <v>930</v>
      </c>
      <c r="G650" s="243">
        <v>1500000</v>
      </c>
      <c r="H650" t="s" s="125">
        <v>858</v>
      </c>
      <c r="I650" s="244"/>
    </row>
    <row r="651" ht="21.25" customHeight="1">
      <c r="A651" t="s" s="10">
        <v>792</v>
      </c>
      <c r="B651" t="s" s="125">
        <v>957</v>
      </c>
      <c r="C651" s="241"/>
      <c r="D651" s="105"/>
      <c r="E651" t="s" s="125">
        <f>_xlfn.IFERROR(AVERAGE(B651:D651),"—")</f>
        <v>957</v>
      </c>
      <c r="F651" t="s" s="125">
        <v>936</v>
      </c>
      <c r="G651" s="243">
        <v>775000</v>
      </c>
      <c r="H651" t="s" s="125">
        <v>858</v>
      </c>
      <c r="I651" s="244"/>
    </row>
    <row r="652" ht="21.25" customHeight="1">
      <c r="A652" t="s" s="10">
        <v>836</v>
      </c>
      <c r="B652" t="s" s="125">
        <v>957</v>
      </c>
      <c r="C652" s="241"/>
      <c r="D652" s="105"/>
      <c r="E652" t="s" s="125">
        <f>_xlfn.IFERROR(AVERAGE(B652:D652),"—")</f>
        <v>957</v>
      </c>
      <c r="F652" t="s" s="125">
        <v>945</v>
      </c>
      <c r="G652" s="243">
        <v>1300000</v>
      </c>
      <c r="H652" t="s" s="125">
        <v>858</v>
      </c>
      <c r="I652" s="244"/>
    </row>
    <row r="653" ht="21.25" customHeight="1">
      <c r="A653" t="s" s="10">
        <v>846</v>
      </c>
      <c r="B653" t="s" s="125">
        <v>957</v>
      </c>
      <c r="C653" s="241"/>
      <c r="D653" s="241"/>
      <c r="E653" t="s" s="125">
        <f>_xlfn.IFERROR(AVERAGE(B653:D653),"—")</f>
        <v>957</v>
      </c>
      <c r="F653" t="s" s="125">
        <v>924</v>
      </c>
      <c r="G653" s="243">
        <v>1450000</v>
      </c>
      <c r="H653" t="s" s="125">
        <v>858</v>
      </c>
      <c r="I653" s="244"/>
    </row>
    <row r="654" ht="21.25" customHeight="1">
      <c r="A654" t="s" s="10">
        <v>755</v>
      </c>
      <c r="B654" t="s" s="125">
        <v>957</v>
      </c>
      <c r="C654" s="241"/>
      <c r="D654" s="241"/>
      <c r="E654" t="s" s="125">
        <f>_xlfn.IFERROR(AVERAGE(B654:D654),"—")</f>
        <v>957</v>
      </c>
      <c r="F654" t="s" s="125">
        <v>931</v>
      </c>
      <c r="G654" s="243">
        <v>1275000</v>
      </c>
      <c r="H654" t="s" s="125">
        <v>858</v>
      </c>
      <c r="I654" s="244"/>
    </row>
    <row r="655" ht="21.25" customHeight="1">
      <c r="A655" t="s" s="10">
        <v>831</v>
      </c>
      <c r="B655" t="s" s="125">
        <v>957</v>
      </c>
      <c r="C655" s="241"/>
      <c r="D655" s="241"/>
      <c r="E655" t="s" s="125">
        <f>_xlfn.IFERROR(AVERAGE(B655:D655),"—")</f>
        <v>957</v>
      </c>
      <c r="F655" t="s" s="125">
        <v>924</v>
      </c>
      <c r="G655" s="243">
        <v>900000</v>
      </c>
      <c r="H655" t="s" s="125">
        <v>858</v>
      </c>
      <c r="I655" s="244"/>
    </row>
    <row r="656" ht="21.25" customHeight="1">
      <c r="A656" t="s" s="10">
        <v>759</v>
      </c>
      <c r="B656" t="s" s="125">
        <v>957</v>
      </c>
      <c r="C656" s="241"/>
      <c r="D656" s="241"/>
      <c r="E656" t="s" s="125">
        <f>_xlfn.IFERROR(AVERAGE(B656:D656),"—")</f>
        <v>957</v>
      </c>
      <c r="F656" t="s" s="125">
        <v>946</v>
      </c>
      <c r="G656" s="243">
        <v>775000</v>
      </c>
      <c r="H656" t="s" s="125">
        <v>858</v>
      </c>
      <c r="I656" s="244"/>
    </row>
    <row r="657" ht="21.25" customHeight="1">
      <c r="A657" t="s" s="10">
        <v>729</v>
      </c>
      <c r="B657" t="s" s="125">
        <v>957</v>
      </c>
      <c r="C657" s="241"/>
      <c r="D657" s="241"/>
      <c r="E657" t="s" s="125">
        <f>_xlfn.IFERROR(AVERAGE(B657:D657),"—")</f>
        <v>957</v>
      </c>
      <c r="F657" t="s" s="125">
        <v>928</v>
      </c>
      <c r="G657" s="243">
        <v>925000</v>
      </c>
      <c r="H657" t="s" s="125">
        <v>858</v>
      </c>
      <c r="I657" s="244"/>
    </row>
    <row r="658" ht="21.25" customHeight="1">
      <c r="A658" t="s" s="10">
        <v>790</v>
      </c>
      <c r="B658" t="s" s="125">
        <v>957</v>
      </c>
      <c r="C658" s="241"/>
      <c r="D658" s="241"/>
      <c r="E658" t="s" s="125">
        <f>_xlfn.IFERROR(AVERAGE(B658:D658),"—")</f>
        <v>957</v>
      </c>
      <c r="F658" t="s" s="125">
        <v>927</v>
      </c>
      <c r="G658" s="243">
        <v>800000</v>
      </c>
      <c r="H658" t="s" s="125">
        <v>858</v>
      </c>
      <c r="I658" s="244"/>
    </row>
    <row r="659" ht="21.25" customHeight="1">
      <c r="A659" t="s" s="10">
        <v>768</v>
      </c>
      <c r="B659" t="s" s="125">
        <v>957</v>
      </c>
      <c r="C659" s="241"/>
      <c r="D659" s="241"/>
      <c r="E659" t="s" s="125">
        <f>_xlfn.IFERROR(AVERAGE(B659:D659),"—")</f>
        <v>957</v>
      </c>
      <c r="F659" t="s" s="125">
        <v>938</v>
      </c>
      <c r="G659" s="243">
        <v>1000000</v>
      </c>
      <c r="H659" t="s" s="125">
        <v>858</v>
      </c>
      <c r="I659" s="244"/>
    </row>
    <row r="660" ht="21.25" customHeight="1">
      <c r="A660" t="s" s="10">
        <v>732</v>
      </c>
      <c r="B660" t="s" s="125">
        <v>957</v>
      </c>
      <c r="C660" s="241"/>
      <c r="D660" s="241"/>
      <c r="E660" t="s" s="125">
        <f>_xlfn.IFERROR(AVERAGE(B660:D660),"—")</f>
        <v>957</v>
      </c>
      <c r="F660" t="s" s="125">
        <v>927</v>
      </c>
      <c r="G660" s="243">
        <v>800000</v>
      </c>
      <c r="H660" t="s" s="125">
        <v>858</v>
      </c>
      <c r="I660" s="244"/>
    </row>
    <row r="661" ht="21.25" customHeight="1">
      <c r="A661" t="s" s="10">
        <v>839</v>
      </c>
      <c r="B661" t="s" s="125">
        <v>957</v>
      </c>
      <c r="C661" s="241"/>
      <c r="D661" s="241"/>
      <c r="E661" t="s" s="125">
        <f>_xlfn.IFERROR(AVERAGE(B661:D661),"—")</f>
        <v>957</v>
      </c>
      <c r="F661" t="s" s="125">
        <v>932</v>
      </c>
      <c r="G661" s="243">
        <v>775000</v>
      </c>
      <c r="H661" t="s" s="125">
        <v>858</v>
      </c>
      <c r="I661" s="244"/>
    </row>
    <row r="662" ht="21.25" customHeight="1">
      <c r="A662" t="s" s="10">
        <v>740</v>
      </c>
      <c r="B662" t="s" s="125">
        <v>957</v>
      </c>
      <c r="C662" s="241"/>
      <c r="D662" s="241"/>
      <c r="E662" t="s" s="125">
        <f>_xlfn.IFERROR(AVERAGE(B662:D662),"—")</f>
        <v>957</v>
      </c>
      <c r="F662" t="s" s="125">
        <v>933</v>
      </c>
      <c r="G662" s="243">
        <v>787500</v>
      </c>
      <c r="H662" t="s" s="125">
        <v>858</v>
      </c>
      <c r="I662" s="244"/>
    </row>
    <row r="663" ht="21.25" customHeight="1">
      <c r="A663" t="s" s="10">
        <v>852</v>
      </c>
      <c r="B663" t="s" s="125">
        <v>957</v>
      </c>
      <c r="C663" s="241"/>
      <c r="D663" s="241"/>
      <c r="E663" t="s" s="125">
        <f>_xlfn.IFERROR(AVERAGE(B663:D663),"—")</f>
        <v>957</v>
      </c>
      <c r="F663" t="s" s="125">
        <v>938</v>
      </c>
      <c r="G663" s="243">
        <v>835000</v>
      </c>
      <c r="H663" t="s" s="125">
        <v>858</v>
      </c>
      <c r="I663" s="244"/>
    </row>
    <row r="664" ht="21.25" customHeight="1">
      <c r="A664" t="s" s="10">
        <v>853</v>
      </c>
      <c r="B664" t="s" s="125">
        <v>957</v>
      </c>
      <c r="C664" s="241"/>
      <c r="D664" s="241"/>
      <c r="E664" t="s" s="125">
        <f>_xlfn.IFERROR(AVERAGE(B664:D664),"—")</f>
        <v>957</v>
      </c>
      <c r="F664" t="s" s="125">
        <v>940</v>
      </c>
      <c r="G664" s="243">
        <v>775000</v>
      </c>
      <c r="H664" t="s" s="125">
        <v>858</v>
      </c>
      <c r="I664" s="244"/>
    </row>
    <row r="665" ht="21.25" customHeight="1">
      <c r="A665" t="s" s="10">
        <v>855</v>
      </c>
      <c r="B665" t="s" s="125">
        <v>957</v>
      </c>
      <c r="C665" s="241"/>
      <c r="D665" s="241"/>
      <c r="E665" t="s" s="125">
        <f>_xlfn.IFERROR(AVERAGE(B665:D665),"—")</f>
        <v>957</v>
      </c>
      <c r="F665" t="s" s="125">
        <v>931</v>
      </c>
      <c r="G665" s="243">
        <v>820000</v>
      </c>
      <c r="H665" t="s" s="125">
        <v>858</v>
      </c>
      <c r="I665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667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245" customWidth="1"/>
    <col min="2" max="4" width="7.17188" style="245" customWidth="1"/>
    <col min="5" max="22" width="8.35156" style="245" customWidth="1"/>
    <col min="23" max="23" width="2.35156" style="245" customWidth="1"/>
    <col min="24" max="28" width="7.17188" style="245" customWidth="1"/>
    <col min="29" max="31" width="8.35156" style="245" customWidth="1"/>
    <col min="32" max="16384" width="8" style="245" customWidth="1"/>
  </cols>
  <sheetData>
    <row r="1" ht="21.25" customHeight="1">
      <c r="A1" s="246"/>
      <c r="B1" s="247"/>
      <c r="C1" s="247"/>
      <c r="D1" s="247"/>
      <c r="E1" s="248"/>
      <c r="F1" t="s" s="249">
        <v>962</v>
      </c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47"/>
      <c r="X1" t="s" s="249">
        <v>963</v>
      </c>
      <c r="Y1" s="250"/>
      <c r="Z1" s="250"/>
      <c r="AA1" s="250"/>
      <c r="AB1" s="250"/>
      <c r="AC1" s="250"/>
      <c r="AD1" s="250"/>
      <c r="AE1" s="251"/>
    </row>
    <row r="2" ht="21.25" customHeight="1">
      <c r="A2" t="s" s="252">
        <v>964</v>
      </c>
      <c r="B2" t="s" s="44">
        <v>12</v>
      </c>
      <c r="C2" t="s" s="44">
        <v>25</v>
      </c>
      <c r="D2" t="s" s="44">
        <v>3</v>
      </c>
      <c r="E2" t="s" s="253">
        <v>102</v>
      </c>
      <c r="F2" t="s" s="253">
        <v>55</v>
      </c>
      <c r="G2" t="s" s="253">
        <v>103</v>
      </c>
      <c r="H2" t="s" s="253">
        <v>104</v>
      </c>
      <c r="I2" t="s" s="253">
        <v>105</v>
      </c>
      <c r="J2" t="s" s="253">
        <v>106</v>
      </c>
      <c r="K2" t="s" s="253">
        <v>107</v>
      </c>
      <c r="L2" t="s" s="253">
        <v>63</v>
      </c>
      <c r="M2" t="s" s="253">
        <v>108</v>
      </c>
      <c r="N2" t="s" s="253">
        <v>109</v>
      </c>
      <c r="O2" t="s" s="253">
        <v>110</v>
      </c>
      <c r="P2" t="s" s="253">
        <v>111</v>
      </c>
      <c r="Q2" t="s" s="253">
        <v>112</v>
      </c>
      <c r="R2" t="s" s="253">
        <v>113</v>
      </c>
      <c r="S2" t="s" s="253">
        <v>114</v>
      </c>
      <c r="T2" t="s" s="253">
        <v>115</v>
      </c>
      <c r="U2" t="s" s="253">
        <v>116</v>
      </c>
      <c r="V2" t="s" s="253">
        <v>117</v>
      </c>
      <c r="W2" s="254"/>
      <c r="X2" t="s" s="253">
        <v>102</v>
      </c>
      <c r="Y2" t="s" s="253">
        <v>118</v>
      </c>
      <c r="Z2" t="s" s="253">
        <v>119</v>
      </c>
      <c r="AA2" t="s" s="253">
        <v>120</v>
      </c>
      <c r="AB2" t="s" s="253">
        <v>121</v>
      </c>
      <c r="AC2" t="s" s="253">
        <v>122</v>
      </c>
      <c r="AD2" t="s" s="253">
        <v>124</v>
      </c>
      <c r="AE2" t="s" s="255">
        <v>123</v>
      </c>
    </row>
    <row r="3" ht="21.25" customHeight="1">
      <c r="A3" t="s" s="10">
        <v>126</v>
      </c>
      <c r="B3" t="s" s="256">
        <v>924</v>
      </c>
      <c r="C3" s="257">
        <v>27</v>
      </c>
      <c r="D3" t="s" s="256">
        <v>915</v>
      </c>
      <c r="E3" s="119">
        <v>80.765</v>
      </c>
      <c r="F3" s="258">
        <v>21.6129883297758</v>
      </c>
      <c r="G3" s="259">
        <v>0.538784539519191</v>
      </c>
      <c r="H3" s="259">
        <v>1.10600348306397</v>
      </c>
      <c r="I3" s="259">
        <v>1.64478802258316</v>
      </c>
      <c r="J3" s="259">
        <v>3.67437582256818</v>
      </c>
      <c r="K3" s="259">
        <v>0.139330909399844</v>
      </c>
      <c r="L3" s="259">
        <v>0.611448651857103</v>
      </c>
      <c r="M3" s="259">
        <v>0.0110840930116494</v>
      </c>
      <c r="N3" s="259">
        <v>0.0195914212924829</v>
      </c>
      <c r="O3" s="259">
        <v>0.499614285287899</v>
      </c>
      <c r="P3" s="259">
        <v>1.33312026047061</v>
      </c>
      <c r="Q3" s="259">
        <v>0.159599599104138</v>
      </c>
      <c r="R3" s="259">
        <v>0.440242622164959</v>
      </c>
      <c r="S3" s="259">
        <v>0.0870003183829634</v>
      </c>
      <c r="T3" s="259">
        <v>6.12599027245326</v>
      </c>
      <c r="U3" s="259">
        <v>5.65085927935743</v>
      </c>
      <c r="V3" s="259">
        <v>0.520172245174975</v>
      </c>
      <c r="W3" s="259"/>
      <c r="X3" s="119"/>
      <c r="Y3" s="258"/>
      <c r="Z3" s="258"/>
      <c r="AA3" s="258"/>
      <c r="AB3" s="258"/>
      <c r="AC3" s="258"/>
      <c r="AD3" s="260"/>
      <c r="AE3" s="261"/>
    </row>
    <row r="4" ht="21.25" customHeight="1">
      <c r="A4" t="s" s="10">
        <v>139</v>
      </c>
      <c r="B4" t="s" s="256">
        <v>927</v>
      </c>
      <c r="C4" s="257">
        <v>31</v>
      </c>
      <c r="D4" t="s" s="256">
        <v>917</v>
      </c>
      <c r="E4" s="119">
        <v>78.35250000000001</v>
      </c>
      <c r="F4" s="258">
        <v>21.6773910862217</v>
      </c>
      <c r="G4" s="259">
        <v>0.476995419863786</v>
      </c>
      <c r="H4" s="259">
        <v>1.08253759008684</v>
      </c>
      <c r="I4" s="259">
        <v>1.55953300995063</v>
      </c>
      <c r="J4" s="259">
        <v>3.68174746886948</v>
      </c>
      <c r="K4" s="259">
        <v>0.13067668949764</v>
      </c>
      <c r="L4" s="259">
        <v>0.583880970270413</v>
      </c>
      <c r="M4" s="259">
        <v>4.51935274316135e-05</v>
      </c>
      <c r="N4" s="259">
        <v>7.74793304990373e-05</v>
      </c>
      <c r="O4" s="259">
        <v>0.418228649231211</v>
      </c>
      <c r="P4" s="259">
        <v>0.654385816535237</v>
      </c>
      <c r="Q4" s="259">
        <v>0.0557615546386606</v>
      </c>
      <c r="R4" s="259">
        <v>0.410802047574699</v>
      </c>
      <c r="S4" s="259">
        <v>0.0751561720308256</v>
      </c>
      <c r="T4" s="259">
        <v>0.0333235042620419</v>
      </c>
      <c r="U4" s="259">
        <v>0.010441644284494</v>
      </c>
      <c r="V4" s="259">
        <v>0.761416455072892</v>
      </c>
      <c r="W4" s="259"/>
      <c r="X4" s="119"/>
      <c r="Y4" s="258"/>
      <c r="Z4" s="258"/>
      <c r="AA4" s="258"/>
      <c r="AB4" s="258"/>
      <c r="AC4" s="258"/>
      <c r="AD4" s="260"/>
      <c r="AE4" s="261"/>
    </row>
    <row r="5" ht="21.25" customHeight="1">
      <c r="A5" t="s" s="10">
        <v>133</v>
      </c>
      <c r="B5" t="s" s="256">
        <v>925</v>
      </c>
      <c r="C5" s="257">
        <v>29</v>
      </c>
      <c r="D5" t="s" s="256">
        <v>915</v>
      </c>
      <c r="E5" s="119">
        <v>78.8175</v>
      </c>
      <c r="F5" s="258">
        <v>22.3139064883523</v>
      </c>
      <c r="G5" s="259">
        <v>0.556252366393462</v>
      </c>
      <c r="H5" s="259">
        <v>0.948468440025389</v>
      </c>
      <c r="I5" s="259">
        <v>1.50472080641885</v>
      </c>
      <c r="J5" s="259">
        <v>4.75096693050922</v>
      </c>
      <c r="K5" s="259">
        <v>0.122064421754846</v>
      </c>
      <c r="L5" s="259">
        <v>0.471255005936093</v>
      </c>
      <c r="M5" s="259">
        <v>0.000277671310718605</v>
      </c>
      <c r="N5" s="259">
        <v>0.000470713629576674</v>
      </c>
      <c r="O5" s="259">
        <v>0.744054617964817</v>
      </c>
      <c r="P5" s="259">
        <v>0.714805280434895</v>
      </c>
      <c r="Q5" s="259">
        <v>0.112345037529327</v>
      </c>
      <c r="R5" s="259">
        <v>0.48723392392715</v>
      </c>
      <c r="S5" s="259">
        <v>0.0831100302042132</v>
      </c>
      <c r="T5" s="259">
        <v>7.07101956891997</v>
      </c>
      <c r="U5" s="259">
        <v>8.48655763225063</v>
      </c>
      <c r="V5" s="259">
        <v>0.454506474722036</v>
      </c>
      <c r="W5" s="259"/>
      <c r="X5" s="119"/>
      <c r="Y5" s="258"/>
      <c r="Z5" s="258"/>
      <c r="AA5" s="258"/>
      <c r="AB5" s="258"/>
      <c r="AC5" s="258"/>
      <c r="AD5" s="260"/>
      <c r="AE5" s="261"/>
    </row>
    <row r="6" ht="21.25" customHeight="1">
      <c r="A6" t="s" s="10">
        <v>193</v>
      </c>
      <c r="B6" t="s" s="256">
        <v>929</v>
      </c>
      <c r="C6" s="257">
        <v>23</v>
      </c>
      <c r="D6" t="s" s="256">
        <v>965</v>
      </c>
      <c r="E6" s="119">
        <v>74.63</v>
      </c>
      <c r="F6" s="258">
        <v>21.0833454170787</v>
      </c>
      <c r="G6" s="259">
        <v>0.546036404395817</v>
      </c>
      <c r="H6" s="259">
        <v>0.801914460397695</v>
      </c>
      <c r="I6" s="259">
        <v>1.34795086479351</v>
      </c>
      <c r="J6" s="259">
        <v>4.30069898922084</v>
      </c>
      <c r="K6" s="259">
        <v>0.15894173204938</v>
      </c>
      <c r="L6" s="259">
        <v>0.499813436805183</v>
      </c>
      <c r="M6" s="259">
        <v>0.000354421232495114</v>
      </c>
      <c r="N6" s="259">
        <v>0.000595010105822649</v>
      </c>
      <c r="O6" s="259">
        <v>0.402766538227143</v>
      </c>
      <c r="P6" s="259">
        <v>0.234222939322968</v>
      </c>
      <c r="Q6" s="259">
        <v>0.0508200222480944</v>
      </c>
      <c r="R6" s="259">
        <v>0.198024693284451</v>
      </c>
      <c r="S6" s="259">
        <v>0.0823839638663126</v>
      </c>
      <c r="T6" s="259">
        <v>2.02421017817732</v>
      </c>
      <c r="U6" s="259">
        <v>3.60186865697607</v>
      </c>
      <c r="V6" s="259">
        <v>0.359790581946606</v>
      </c>
      <c r="W6" s="259"/>
      <c r="X6" s="119"/>
      <c r="Y6" s="258"/>
      <c r="Z6" s="258"/>
      <c r="AA6" s="258"/>
      <c r="AB6" s="258"/>
      <c r="AC6" s="258"/>
      <c r="AD6" s="260"/>
      <c r="AE6" s="261"/>
    </row>
    <row r="7" ht="21.25" customHeight="1">
      <c r="A7" t="s" s="10">
        <v>150</v>
      </c>
      <c r="B7" t="s" s="256">
        <v>924</v>
      </c>
      <c r="C7" s="257">
        <v>28</v>
      </c>
      <c r="D7" t="s" s="256">
        <v>965</v>
      </c>
      <c r="E7" s="119">
        <v>81.3775</v>
      </c>
      <c r="F7" s="258">
        <v>20.8350842559729</v>
      </c>
      <c r="G7" s="259">
        <v>0.549242866513267</v>
      </c>
      <c r="H7" s="259">
        <v>0.782076490262972</v>
      </c>
      <c r="I7" s="259">
        <v>1.33131935677624</v>
      </c>
      <c r="J7" s="259">
        <v>2.87875322912593</v>
      </c>
      <c r="K7" s="259">
        <v>0.277433598147846</v>
      </c>
      <c r="L7" s="259">
        <v>0.529601938537822</v>
      </c>
      <c r="M7" s="259">
        <v>0.00430078125627772</v>
      </c>
      <c r="N7" s="259">
        <v>0.0108593567631723</v>
      </c>
      <c r="O7" s="259">
        <v>0.379156532047582</v>
      </c>
      <c r="P7" s="259">
        <v>0.731266652290521</v>
      </c>
      <c r="Q7" s="259">
        <v>0.114398095792801</v>
      </c>
      <c r="R7" s="259">
        <v>0.515869013611692</v>
      </c>
      <c r="S7" s="259">
        <v>0.0886890783816258</v>
      </c>
      <c r="T7" s="259">
        <v>10.0569712957116</v>
      </c>
      <c r="U7" s="259">
        <v>8.11743527320465</v>
      </c>
      <c r="V7" s="259">
        <v>0.553358991809507</v>
      </c>
      <c r="W7" s="259"/>
      <c r="X7" s="119"/>
      <c r="Y7" s="258"/>
      <c r="Z7" s="258"/>
      <c r="AA7" s="258"/>
      <c r="AB7" s="258"/>
      <c r="AC7" s="258"/>
      <c r="AD7" s="260"/>
      <c r="AE7" s="261"/>
    </row>
    <row r="8" ht="21.25" customHeight="1">
      <c r="A8" t="s" s="10">
        <v>131</v>
      </c>
      <c r="B8" t="s" s="256">
        <v>926</v>
      </c>
      <c r="C8" s="257">
        <v>26</v>
      </c>
      <c r="D8" t="s" s="256">
        <v>915</v>
      </c>
      <c r="E8" s="119">
        <v>79.85250000000001</v>
      </c>
      <c r="F8" s="258">
        <v>21.0873947009791</v>
      </c>
      <c r="G8" s="259">
        <v>0.735105824675246</v>
      </c>
      <c r="H8" s="259">
        <v>0.5685271103698381</v>
      </c>
      <c r="I8" s="259">
        <v>1.30363293504508</v>
      </c>
      <c r="J8" s="259">
        <v>4.5322469059009</v>
      </c>
      <c r="K8" s="259">
        <v>0.214108474690437</v>
      </c>
      <c r="L8" s="259">
        <v>0.401852252732476</v>
      </c>
      <c r="M8" s="259">
        <v>0.00118196277788675</v>
      </c>
      <c r="N8" s="259">
        <v>0.00714433250743709</v>
      </c>
      <c r="O8" s="259">
        <v>1.08380163815014</v>
      </c>
      <c r="P8" s="259">
        <v>1.07735619556992</v>
      </c>
      <c r="Q8" s="259">
        <v>0.15226258901608</v>
      </c>
      <c r="R8" s="259">
        <v>0.260593821784879</v>
      </c>
      <c r="S8" s="259">
        <v>0.11760375473405</v>
      </c>
      <c r="T8" s="259">
        <v>8.75001073084176</v>
      </c>
      <c r="U8" s="259">
        <v>7.52115609829146</v>
      </c>
      <c r="V8" s="259">
        <v>0.53776172432668</v>
      </c>
      <c r="W8" s="259"/>
      <c r="X8" s="119"/>
      <c r="Y8" s="258"/>
      <c r="Z8" s="258"/>
      <c r="AA8" s="258"/>
      <c r="AB8" s="258"/>
      <c r="AC8" s="258"/>
      <c r="AD8" s="260"/>
      <c r="AE8" s="261"/>
    </row>
    <row r="9" ht="21.25" customHeight="1">
      <c r="A9" t="s" s="10">
        <v>142</v>
      </c>
      <c r="B9" t="s" s="256">
        <v>928</v>
      </c>
      <c r="C9" s="257">
        <v>28</v>
      </c>
      <c r="D9" t="s" s="256">
        <v>917</v>
      </c>
      <c r="E9" s="119">
        <v>81.03</v>
      </c>
      <c r="F9" s="258">
        <v>20.0245255372701</v>
      </c>
      <c r="G9" s="259">
        <v>0.610564780032175</v>
      </c>
      <c r="H9" s="259">
        <v>0.691287517047242</v>
      </c>
      <c r="I9" s="259">
        <v>1.30185229707942</v>
      </c>
      <c r="J9" s="259">
        <v>4.63477605353253</v>
      </c>
      <c r="K9" s="259">
        <v>0.17682024480979</v>
      </c>
      <c r="L9" s="259">
        <v>0.423984650380384</v>
      </c>
      <c r="M9" s="259">
        <v>0.000224920700673504</v>
      </c>
      <c r="N9" s="259">
        <v>0.00037935072980448</v>
      </c>
      <c r="O9" s="259">
        <v>0.301226247406032</v>
      </c>
      <c r="P9" s="259">
        <v>0.924144942494487</v>
      </c>
      <c r="Q9" s="259">
        <v>0.0727366125978193</v>
      </c>
      <c r="R9" s="259">
        <v>0.445938447543603</v>
      </c>
      <c r="S9" s="259">
        <v>0.09509773455000479</v>
      </c>
      <c r="T9" s="259">
        <v>0.105006436282827</v>
      </c>
      <c r="U9" s="259">
        <v>0.183129720753651</v>
      </c>
      <c r="V9" s="259">
        <v>0.364433389279684</v>
      </c>
      <c r="W9" s="259"/>
      <c r="X9" s="119"/>
      <c r="Y9" s="258"/>
      <c r="Z9" s="258"/>
      <c r="AA9" s="258"/>
      <c r="AB9" s="258"/>
      <c r="AC9" s="258"/>
      <c r="AD9" s="260"/>
      <c r="AE9" s="261"/>
    </row>
    <row r="10" ht="21.25" customHeight="1">
      <c r="A10" t="s" s="10">
        <v>198</v>
      </c>
      <c r="B10" t="s" s="256">
        <v>931</v>
      </c>
      <c r="C10" s="257">
        <v>32</v>
      </c>
      <c r="D10" t="s" s="256">
        <v>916</v>
      </c>
      <c r="E10" s="119">
        <v>81.33</v>
      </c>
      <c r="F10" s="258">
        <v>20.2691151278479</v>
      </c>
      <c r="G10" s="259">
        <v>0.457734439376337</v>
      </c>
      <c r="H10" s="259">
        <v>0.834257563547175</v>
      </c>
      <c r="I10" s="259">
        <v>1.29199200292351</v>
      </c>
      <c r="J10" s="259">
        <v>3.30663117018745</v>
      </c>
      <c r="K10" s="259">
        <v>0.114634296399448</v>
      </c>
      <c r="L10" s="259">
        <v>0.471762605543775</v>
      </c>
      <c r="M10" s="259">
        <v>3.18700165838595e-05</v>
      </c>
      <c r="N10" s="259">
        <v>5.45697912220502e-05</v>
      </c>
      <c r="O10" s="259">
        <v>0.20498505836807</v>
      </c>
      <c r="P10" s="259">
        <v>0.318952435875477</v>
      </c>
      <c r="Q10" s="259">
        <v>0.07797763869200219</v>
      </c>
      <c r="R10" s="259">
        <v>0.349049896557629</v>
      </c>
      <c r="S10" s="259">
        <v>0.07482049507248099</v>
      </c>
      <c r="T10" s="259">
        <v>0.0336069944859562</v>
      </c>
      <c r="U10" s="259">
        <v>0.09387245345015</v>
      </c>
      <c r="V10" s="259">
        <v>0.263626765177084</v>
      </c>
      <c r="W10" s="259"/>
      <c r="X10" s="119"/>
      <c r="Y10" s="258"/>
      <c r="Z10" s="258"/>
      <c r="AA10" s="258"/>
      <c r="AB10" s="258"/>
      <c r="AC10" s="258"/>
      <c r="AD10" s="260"/>
      <c r="AE10" s="261"/>
    </row>
    <row r="11" ht="21.25" customHeight="1">
      <c r="A11" t="s" s="10">
        <v>166</v>
      </c>
      <c r="B11" t="s" s="256">
        <v>926</v>
      </c>
      <c r="C11" s="257">
        <v>27</v>
      </c>
      <c r="D11" t="s" s="256">
        <v>917</v>
      </c>
      <c r="E11" s="119">
        <v>78.44750000000001</v>
      </c>
      <c r="F11" s="258">
        <v>21.8289999332322</v>
      </c>
      <c r="G11" s="259">
        <v>0.416977468788939</v>
      </c>
      <c r="H11" s="259">
        <v>0.865252324854106</v>
      </c>
      <c r="I11" s="259">
        <v>1.28222979364305</v>
      </c>
      <c r="J11" s="259">
        <v>2.6161894235011</v>
      </c>
      <c r="K11" s="259">
        <v>0.124200604662416</v>
      </c>
      <c r="L11" s="259">
        <v>0.433711988907852</v>
      </c>
      <c r="M11" s="259">
        <v>0.025589843917825</v>
      </c>
      <c r="N11" s="259">
        <v>0.0329582574792888</v>
      </c>
      <c r="O11" s="259">
        <v>0.671430437925582</v>
      </c>
      <c r="P11" s="259">
        <v>0.868616693127455</v>
      </c>
      <c r="Q11" s="259">
        <v>0.115264840167806</v>
      </c>
      <c r="R11" s="259">
        <v>0.332945374729876</v>
      </c>
      <c r="S11" s="259">
        <v>0.0667089204343381</v>
      </c>
      <c r="T11" s="259">
        <v>0.0480225959886676</v>
      </c>
      <c r="U11" s="259">
        <v>0.162575297140897</v>
      </c>
      <c r="V11" s="259">
        <v>0.228029802554212</v>
      </c>
      <c r="W11" s="259"/>
      <c r="X11" s="119"/>
      <c r="Y11" s="258"/>
      <c r="Z11" s="258"/>
      <c r="AA11" s="258"/>
      <c r="AB11" s="258"/>
      <c r="AC11" s="258"/>
      <c r="AD11" s="260"/>
      <c r="AE11" s="261"/>
    </row>
    <row r="12" ht="21.25" customHeight="1">
      <c r="A12" t="s" s="10">
        <v>159</v>
      </c>
      <c r="B12" t="s" s="256">
        <v>925</v>
      </c>
      <c r="C12" s="257">
        <v>27</v>
      </c>
      <c r="D12" t="s" s="256">
        <v>917</v>
      </c>
      <c r="E12" s="119">
        <v>80.97499999999999</v>
      </c>
      <c r="F12" s="258">
        <v>22.3161705801456</v>
      </c>
      <c r="G12" s="259">
        <v>0.5332662862388849</v>
      </c>
      <c r="H12" s="259">
        <v>0.6855413141373981</v>
      </c>
      <c r="I12" s="259">
        <v>1.21880760037628</v>
      </c>
      <c r="J12" s="259">
        <v>3.4190705470098</v>
      </c>
      <c r="K12" s="259">
        <v>0.153573326388695</v>
      </c>
      <c r="L12" s="259">
        <v>0.421592238549107</v>
      </c>
      <c r="M12" s="259">
        <v>0.000163962210811166</v>
      </c>
      <c r="N12" s="259">
        <v>0.000277044745609512</v>
      </c>
      <c r="O12" s="259">
        <v>0.579350691321212</v>
      </c>
      <c r="P12" s="259">
        <v>0.744449475137321</v>
      </c>
      <c r="Q12" s="259">
        <v>0.0831077080667882</v>
      </c>
      <c r="R12" s="259">
        <v>0.683326787343784</v>
      </c>
      <c r="S12" s="259">
        <v>0.0796756649208626</v>
      </c>
      <c r="T12" s="259">
        <v>3.01509646835267</v>
      </c>
      <c r="U12" s="259">
        <v>2.95205243543317</v>
      </c>
      <c r="V12" s="259">
        <v>0.505282592569418</v>
      </c>
      <c r="W12" s="259"/>
      <c r="X12" s="119"/>
      <c r="Y12" s="258"/>
      <c r="Z12" s="258"/>
      <c r="AA12" s="258"/>
      <c r="AB12" s="258"/>
      <c r="AC12" s="258"/>
      <c r="AD12" s="260"/>
      <c r="AE12" s="261"/>
    </row>
    <row r="13" ht="21.25" customHeight="1">
      <c r="A13" t="s" s="10">
        <v>147</v>
      </c>
      <c r="B13" t="s" s="256">
        <v>932</v>
      </c>
      <c r="C13" s="257">
        <v>26</v>
      </c>
      <c r="D13" t="s" s="256">
        <v>966</v>
      </c>
      <c r="E13" s="119">
        <v>81.2625</v>
      </c>
      <c r="F13" s="258">
        <v>19.3605421004039</v>
      </c>
      <c r="G13" s="259">
        <v>0.411816860101949</v>
      </c>
      <c r="H13" s="259">
        <v>0.783478093496661</v>
      </c>
      <c r="I13" s="259">
        <v>1.19529495359861</v>
      </c>
      <c r="J13" s="259">
        <v>3.54537609789889</v>
      </c>
      <c r="K13" s="259">
        <v>0.110814232252201</v>
      </c>
      <c r="L13" s="259">
        <v>0.384023741032781</v>
      </c>
      <c r="M13" s="259">
        <v>0.00432433987681911</v>
      </c>
      <c r="N13" s="259">
        <v>0.00692661887641834</v>
      </c>
      <c r="O13" s="259">
        <v>0.385141748065471</v>
      </c>
      <c r="P13" s="259">
        <v>1.51783319230544</v>
      </c>
      <c r="Q13" s="259">
        <v>0.123532825705396</v>
      </c>
      <c r="R13" s="259">
        <v>0.8211402411887651</v>
      </c>
      <c r="S13" s="259">
        <v>0.0701578329562476</v>
      </c>
      <c r="T13" s="259">
        <v>0.08805070339214589</v>
      </c>
      <c r="U13" s="259">
        <v>0.128925491304436</v>
      </c>
      <c r="V13" s="259">
        <v>0.405808128008123</v>
      </c>
      <c r="W13" s="259"/>
      <c r="X13" s="119"/>
      <c r="Y13" s="258"/>
      <c r="Z13" s="258"/>
      <c r="AA13" s="258"/>
      <c r="AB13" s="258"/>
      <c r="AC13" s="258"/>
      <c r="AD13" s="260"/>
      <c r="AE13" s="261"/>
    </row>
    <row r="14" ht="21.25" customHeight="1">
      <c r="A14" t="s" s="10">
        <v>181</v>
      </c>
      <c r="B14" t="s" s="256">
        <v>933</v>
      </c>
      <c r="C14" s="257">
        <v>27</v>
      </c>
      <c r="D14" t="s" s="256">
        <v>916</v>
      </c>
      <c r="E14" s="119">
        <v>78.625</v>
      </c>
      <c r="F14" s="258">
        <v>20.8384267386339</v>
      </c>
      <c r="G14" s="259">
        <v>0.564867821417357</v>
      </c>
      <c r="H14" s="259">
        <v>0.626401317767041</v>
      </c>
      <c r="I14" s="259">
        <v>1.1912691391844</v>
      </c>
      <c r="J14" s="259">
        <v>3.57457961569935</v>
      </c>
      <c r="K14" s="259">
        <v>0.197195554496394</v>
      </c>
      <c r="L14" s="259">
        <v>0.421309900984506</v>
      </c>
      <c r="M14" s="259">
        <v>0.000217610689696659</v>
      </c>
      <c r="N14" s="259">
        <v>0.000367118707840761</v>
      </c>
      <c r="O14" s="259">
        <v>0.48169693341422</v>
      </c>
      <c r="P14" s="259">
        <v>0.786787911770509</v>
      </c>
      <c r="Q14" s="259">
        <v>0.0433490222289633</v>
      </c>
      <c r="R14" s="259">
        <v>0.49002027957323</v>
      </c>
      <c r="S14" s="259">
        <v>0.09324788685640741</v>
      </c>
      <c r="T14" s="259">
        <v>0.00956617436794475</v>
      </c>
      <c r="U14" s="259">
        <v>0.0267528162411028</v>
      </c>
      <c r="V14" s="259">
        <v>0.263393178266405</v>
      </c>
      <c r="W14" s="259"/>
      <c r="X14" s="119"/>
      <c r="Y14" s="258"/>
      <c r="Z14" s="258"/>
      <c r="AA14" s="258"/>
      <c r="AB14" s="258"/>
      <c r="AC14" s="258"/>
      <c r="AD14" s="260"/>
      <c r="AE14" s="261"/>
    </row>
    <row r="15" ht="21.25" customHeight="1">
      <c r="A15" t="s" s="10">
        <v>183</v>
      </c>
      <c r="B15" t="s" s="256">
        <v>926</v>
      </c>
      <c r="C15" s="257">
        <v>28</v>
      </c>
      <c r="D15" t="s" s="256">
        <v>917</v>
      </c>
      <c r="E15" s="119">
        <v>81.93000000000001</v>
      </c>
      <c r="F15" s="258">
        <v>20.6056125659568</v>
      </c>
      <c r="G15" s="259">
        <v>0.495839459347447</v>
      </c>
      <c r="H15" s="259">
        <v>0.680683570034374</v>
      </c>
      <c r="I15" s="259">
        <v>1.17652302938182</v>
      </c>
      <c r="J15" s="259">
        <v>3.86949667586932</v>
      </c>
      <c r="K15" s="259">
        <v>0.13956267175213</v>
      </c>
      <c r="L15" s="259">
        <v>0.414917170908107</v>
      </c>
      <c r="M15" s="259">
        <v>0.0174854592340861</v>
      </c>
      <c r="N15" s="259">
        <v>0.0239396031461206</v>
      </c>
      <c r="O15" s="259">
        <v>0.380254826791893</v>
      </c>
      <c r="P15" s="259">
        <v>0.408903439039538</v>
      </c>
      <c r="Q15" s="259">
        <v>0.0751053139125795</v>
      </c>
      <c r="R15" s="259">
        <v>0.334570210045056</v>
      </c>
      <c r="S15" s="259">
        <v>0.0793254252750922</v>
      </c>
      <c r="T15" s="259">
        <v>0.618004456915982</v>
      </c>
      <c r="U15" s="259">
        <v>0.705258436616314</v>
      </c>
      <c r="V15" s="259">
        <v>0.467030746450005</v>
      </c>
      <c r="W15" s="259"/>
      <c r="X15" s="119"/>
      <c r="Y15" s="258"/>
      <c r="Z15" s="258"/>
      <c r="AA15" s="258"/>
      <c r="AB15" s="258"/>
      <c r="AC15" s="258"/>
      <c r="AD15" s="260"/>
      <c r="AE15" s="261"/>
    </row>
    <row r="16" ht="21.25" customHeight="1">
      <c r="A16" t="s" s="10">
        <v>203</v>
      </c>
      <c r="B16" t="s" s="256">
        <v>937</v>
      </c>
      <c r="C16" s="257">
        <v>25</v>
      </c>
      <c r="D16" t="s" s="256">
        <v>916</v>
      </c>
      <c r="E16" s="119">
        <v>81.23</v>
      </c>
      <c r="F16" s="258">
        <v>18.7155566199656</v>
      </c>
      <c r="G16" s="259">
        <v>0.459979751501397</v>
      </c>
      <c r="H16" s="259">
        <v>0.664414424679122</v>
      </c>
      <c r="I16" s="259">
        <v>1.12439417618052</v>
      </c>
      <c r="J16" s="259">
        <v>3.09668476285231</v>
      </c>
      <c r="K16" s="259">
        <v>0.144179613958317</v>
      </c>
      <c r="L16" s="259">
        <v>0.402369354821648</v>
      </c>
      <c r="M16" s="259">
        <v>6.95619686669814e-05</v>
      </c>
      <c r="N16" s="259">
        <v>0.000117090374247285</v>
      </c>
      <c r="O16" s="259">
        <v>0.352555155514805</v>
      </c>
      <c r="P16" s="259">
        <v>0.8428442133973379</v>
      </c>
      <c r="Q16" s="259">
        <v>0.123601019977423</v>
      </c>
      <c r="R16" s="259">
        <v>0.309305091355641</v>
      </c>
      <c r="S16" s="259">
        <v>0.0735593702238619</v>
      </c>
      <c r="T16" s="259">
        <v>2.98300661016404e-11</v>
      </c>
      <c r="U16" s="259">
        <v>0.00184053137180004</v>
      </c>
      <c r="V16" s="259">
        <v>1.62073116901025e-08</v>
      </c>
      <c r="W16" s="259"/>
      <c r="X16" s="119"/>
      <c r="Y16" s="258"/>
      <c r="Z16" s="258"/>
      <c r="AA16" s="258"/>
      <c r="AB16" s="258"/>
      <c r="AC16" s="258"/>
      <c r="AD16" s="260"/>
      <c r="AE16" s="261"/>
    </row>
    <row r="17" ht="21.25" customHeight="1">
      <c r="A17" t="s" s="10">
        <v>163</v>
      </c>
      <c r="B17" t="s" s="256">
        <v>925</v>
      </c>
      <c r="C17" s="257">
        <v>25</v>
      </c>
      <c r="D17" t="s" s="256">
        <v>918</v>
      </c>
      <c r="E17" s="119">
        <v>77.61750000000001</v>
      </c>
      <c r="F17" s="258">
        <v>25.8365966373684</v>
      </c>
      <c r="G17" s="259">
        <v>0.285624692558363</v>
      </c>
      <c r="H17" s="259">
        <v>0.838330708775314</v>
      </c>
      <c r="I17" s="259">
        <v>1.12395540133368</v>
      </c>
      <c r="J17" s="259">
        <v>3.01465699497651</v>
      </c>
      <c r="K17" s="259">
        <v>0.09353547119911181</v>
      </c>
      <c r="L17" s="259">
        <v>0.485228580309722</v>
      </c>
      <c r="M17" s="259">
        <v>0.00634777794148846</v>
      </c>
      <c r="N17" s="259">
        <v>0.0256002845487029</v>
      </c>
      <c r="O17" s="259">
        <v>1.80179021858416</v>
      </c>
      <c r="P17" s="259">
        <v>0.7724678422919929</v>
      </c>
      <c r="Q17" s="259">
        <v>0.06455158773804991</v>
      </c>
      <c r="R17" s="259">
        <v>0.374638711353312</v>
      </c>
      <c r="S17" s="259">
        <v>0.0426753722946026</v>
      </c>
      <c r="T17" s="259">
        <v>0</v>
      </c>
      <c r="U17" s="259">
        <v>0</v>
      </c>
      <c r="V17" s="259">
        <v>0</v>
      </c>
      <c r="W17" s="259"/>
      <c r="X17" s="119"/>
      <c r="Y17" s="258"/>
      <c r="Z17" s="258"/>
      <c r="AA17" s="258"/>
      <c r="AB17" s="258"/>
      <c r="AC17" s="258"/>
      <c r="AD17" s="260"/>
      <c r="AE17" s="261"/>
    </row>
    <row r="18" ht="21.25" customHeight="1">
      <c r="A18" t="s" s="10">
        <v>151</v>
      </c>
      <c r="B18" t="s" s="256">
        <v>935</v>
      </c>
      <c r="C18" s="257">
        <v>25</v>
      </c>
      <c r="D18" t="s" s="256">
        <v>965</v>
      </c>
      <c r="E18" s="119">
        <v>81.55500000000001</v>
      </c>
      <c r="F18" s="258">
        <v>19.8948879671368</v>
      </c>
      <c r="G18" s="259">
        <v>0.442418104696439</v>
      </c>
      <c r="H18" s="259">
        <v>0.6721977925181311</v>
      </c>
      <c r="I18" s="259">
        <v>1.11461589721457</v>
      </c>
      <c r="J18" s="259">
        <v>2.67905368043652</v>
      </c>
      <c r="K18" s="259">
        <v>0.129150674446548</v>
      </c>
      <c r="L18" s="259">
        <v>0.338552456703539</v>
      </c>
      <c r="M18" s="259">
        <v>0.0127056869672641</v>
      </c>
      <c r="N18" s="259">
        <v>0.0375119225317757</v>
      </c>
      <c r="O18" s="259">
        <v>0.856020429076809</v>
      </c>
      <c r="P18" s="259">
        <v>1.2578215838938</v>
      </c>
      <c r="Q18" s="259">
        <v>0.0854492565647835</v>
      </c>
      <c r="R18" s="259">
        <v>0.212270826334472</v>
      </c>
      <c r="S18" s="259">
        <v>0.075553599415994</v>
      </c>
      <c r="T18" s="259">
        <v>4.62160097683545</v>
      </c>
      <c r="U18" s="259">
        <v>5.21447794876493</v>
      </c>
      <c r="V18" s="259">
        <v>0.469862128170485</v>
      </c>
      <c r="W18" s="259"/>
      <c r="X18" s="119"/>
      <c r="Y18" s="258"/>
      <c r="Z18" s="258"/>
      <c r="AA18" s="258"/>
      <c r="AB18" s="258"/>
      <c r="AC18" s="258"/>
      <c r="AD18" s="260"/>
      <c r="AE18" s="261"/>
    </row>
    <row r="19" ht="21.25" customHeight="1">
      <c r="A19" t="s" s="10">
        <v>220</v>
      </c>
      <c r="B19" t="s" s="256">
        <v>927</v>
      </c>
      <c r="C19" s="257">
        <v>28</v>
      </c>
      <c r="D19" t="s" s="256">
        <v>915</v>
      </c>
      <c r="E19" s="119">
        <v>80.2525</v>
      </c>
      <c r="F19" s="258">
        <v>20.0614265325036</v>
      </c>
      <c r="G19" s="259">
        <v>0.547443757105634</v>
      </c>
      <c r="H19" s="259">
        <v>0.5420446644996449</v>
      </c>
      <c r="I19" s="259">
        <v>1.08948842160528</v>
      </c>
      <c r="J19" s="259">
        <v>2.86268281258313</v>
      </c>
      <c r="K19" s="259">
        <v>0.184272252975912</v>
      </c>
      <c r="L19" s="259">
        <v>0.357561620229085</v>
      </c>
      <c r="M19" s="259">
        <v>0.000203012251352066</v>
      </c>
      <c r="N19" s="259">
        <v>0.000342367021997071</v>
      </c>
      <c r="O19" s="259">
        <v>0.514426036317406</v>
      </c>
      <c r="P19" s="259">
        <v>0.377931959389716</v>
      </c>
      <c r="Q19" s="259">
        <v>0.0349719335651046</v>
      </c>
      <c r="R19" s="259">
        <v>0.26889832813107</v>
      </c>
      <c r="S19" s="259">
        <v>0.08625612631245359</v>
      </c>
      <c r="T19" s="259">
        <v>4.21701793258182</v>
      </c>
      <c r="U19" s="259">
        <v>4.47183270383063</v>
      </c>
      <c r="V19" s="259">
        <v>0.485336681345347</v>
      </c>
      <c r="W19" s="259"/>
      <c r="X19" s="119"/>
      <c r="Y19" s="258"/>
      <c r="Z19" s="258"/>
      <c r="AA19" s="258"/>
      <c r="AB19" s="258"/>
      <c r="AC19" s="258"/>
      <c r="AD19" s="260"/>
      <c r="AE19" s="261"/>
    </row>
    <row r="20" ht="21.25" customHeight="1">
      <c r="A20" t="s" s="10">
        <v>186</v>
      </c>
      <c r="B20" t="s" s="256">
        <v>932</v>
      </c>
      <c r="C20" s="257">
        <v>29</v>
      </c>
      <c r="D20" t="s" s="256">
        <v>915</v>
      </c>
      <c r="E20" s="119">
        <v>77.00749999999999</v>
      </c>
      <c r="F20" s="258">
        <v>20.2378887249173</v>
      </c>
      <c r="G20" s="259">
        <v>0.352373485969196</v>
      </c>
      <c r="H20" s="259">
        <v>0.735354101274599</v>
      </c>
      <c r="I20" s="259">
        <v>1.0877275872438</v>
      </c>
      <c r="J20" s="259">
        <v>2.83132627044547</v>
      </c>
      <c r="K20" s="259">
        <v>0.0858006744892616</v>
      </c>
      <c r="L20" s="259">
        <v>0.346170626864878</v>
      </c>
      <c r="M20" s="259">
        <v>0.012029465430213</v>
      </c>
      <c r="N20" s="259">
        <v>0.0294785581865143</v>
      </c>
      <c r="O20" s="259">
        <v>0.685573507330848</v>
      </c>
      <c r="P20" s="259">
        <v>1.17749235848175</v>
      </c>
      <c r="Q20" s="259">
        <v>0.112840713633965</v>
      </c>
      <c r="R20" s="259">
        <v>0.299481769727074</v>
      </c>
      <c r="S20" s="259">
        <v>0.0600309568693166</v>
      </c>
      <c r="T20" s="259">
        <v>9.258313025904259</v>
      </c>
      <c r="U20" s="259">
        <v>7.16813021421181</v>
      </c>
      <c r="V20" s="259">
        <v>0.563622501266369</v>
      </c>
      <c r="W20" s="259"/>
      <c r="X20" s="119"/>
      <c r="Y20" s="258"/>
      <c r="Z20" s="258"/>
      <c r="AA20" s="258"/>
      <c r="AB20" s="258"/>
      <c r="AC20" s="258"/>
      <c r="AD20" s="260"/>
      <c r="AE20" s="261"/>
    </row>
    <row r="21" ht="21.25" customHeight="1">
      <c r="A21" t="s" s="10">
        <v>243</v>
      </c>
      <c r="B21" t="s" s="256">
        <v>947</v>
      </c>
      <c r="C21" s="257">
        <v>19</v>
      </c>
      <c r="D21" t="s" s="256">
        <v>915</v>
      </c>
      <c r="E21" s="119">
        <v>76.22</v>
      </c>
      <c r="F21" s="258">
        <v>20.1941393345999</v>
      </c>
      <c r="G21" s="259">
        <v>0.405492650698518</v>
      </c>
      <c r="H21" s="259">
        <v>0.678969207215905</v>
      </c>
      <c r="I21" s="259">
        <v>1.08446185791442</v>
      </c>
      <c r="J21" s="259">
        <v>3.16485772512802</v>
      </c>
      <c r="K21" s="259">
        <v>0.0902748188389994</v>
      </c>
      <c r="L21" s="259">
        <v>0.384854107076858</v>
      </c>
      <c r="M21" s="259">
        <v>8.694128617164499e-05</v>
      </c>
      <c r="N21" s="259">
        <v>0.000144802819835542</v>
      </c>
      <c r="O21" s="259">
        <v>0.412034452505279</v>
      </c>
      <c r="P21" s="259">
        <v>0.774522425286118</v>
      </c>
      <c r="Q21" s="259">
        <v>-0.12404500664506</v>
      </c>
      <c r="R21" s="259">
        <v>0.460211347035365</v>
      </c>
      <c r="S21" s="259">
        <v>0.0524039421903752</v>
      </c>
      <c r="T21" s="259">
        <v>3.10736802992914</v>
      </c>
      <c r="U21" s="259">
        <v>4.87871792138634</v>
      </c>
      <c r="V21" s="259">
        <v>0.389097744360902</v>
      </c>
      <c r="W21" s="259"/>
      <c r="X21" s="119"/>
      <c r="Y21" s="258"/>
      <c r="Z21" s="258"/>
      <c r="AA21" s="258"/>
      <c r="AB21" s="258"/>
      <c r="AC21" s="258"/>
      <c r="AD21" s="260"/>
      <c r="AE21" s="261"/>
    </row>
    <row r="22" ht="21.25" customHeight="1">
      <c r="A22" t="s" s="10">
        <v>177</v>
      </c>
      <c r="B22" t="s" s="256">
        <v>930</v>
      </c>
      <c r="C22" s="257">
        <v>30</v>
      </c>
      <c r="D22" t="s" s="256">
        <v>916</v>
      </c>
      <c r="E22" s="119">
        <v>76.33</v>
      </c>
      <c r="F22" s="258">
        <v>18.8444152774661</v>
      </c>
      <c r="G22" s="259">
        <v>0.516885328866861</v>
      </c>
      <c r="H22" s="259">
        <v>0.551108631039858</v>
      </c>
      <c r="I22" s="259">
        <v>1.06799395990672</v>
      </c>
      <c r="J22" s="259">
        <v>3.88913748673505</v>
      </c>
      <c r="K22" s="259">
        <v>0.134573510566572</v>
      </c>
      <c r="L22" s="259">
        <v>0.350150561158434</v>
      </c>
      <c r="M22" s="259">
        <v>5.79939982957417e-05</v>
      </c>
      <c r="N22" s="259">
        <v>9.78678860883156e-05</v>
      </c>
      <c r="O22" s="259">
        <v>0.523157153497491</v>
      </c>
      <c r="P22" s="259">
        <v>1.61206923754967</v>
      </c>
      <c r="Q22" s="259">
        <v>0.05939431812538</v>
      </c>
      <c r="R22" s="259">
        <v>0.462258207134468</v>
      </c>
      <c r="S22" s="259">
        <v>0.0731872513429495</v>
      </c>
      <c r="T22" s="259">
        <v>0.106678333295682</v>
      </c>
      <c r="U22" s="259">
        <v>0.10593158152159</v>
      </c>
      <c r="V22" s="259">
        <v>0.5017561546335551</v>
      </c>
      <c r="W22" s="259"/>
      <c r="X22" s="119"/>
      <c r="Y22" s="258"/>
      <c r="Z22" s="258"/>
      <c r="AA22" s="258"/>
      <c r="AB22" s="258"/>
      <c r="AC22" s="258"/>
      <c r="AD22" s="260"/>
      <c r="AE22" s="261"/>
    </row>
    <row r="23" ht="21.25" customHeight="1">
      <c r="A23" t="s" s="10">
        <v>144</v>
      </c>
      <c r="B23" t="s" s="256">
        <v>935</v>
      </c>
      <c r="C23" s="257">
        <v>31</v>
      </c>
      <c r="D23" t="s" s="256">
        <v>967</v>
      </c>
      <c r="E23" s="119">
        <v>81.515</v>
      </c>
      <c r="F23" s="258">
        <v>19.2449863844953</v>
      </c>
      <c r="G23" s="259">
        <v>0.377736096150354</v>
      </c>
      <c r="H23" s="259">
        <v>0.688749403571724</v>
      </c>
      <c r="I23" s="259">
        <v>1.06648549972208</v>
      </c>
      <c r="J23" s="259">
        <v>2.4143221805379</v>
      </c>
      <c r="K23" s="259">
        <v>0.111553890936975</v>
      </c>
      <c r="L23" s="259">
        <v>0.398438907238343</v>
      </c>
      <c r="M23" s="259">
        <v>0.0184639301365438</v>
      </c>
      <c r="N23" s="259">
        <v>0.0271695064863247</v>
      </c>
      <c r="O23" s="259">
        <v>0.683270367424389</v>
      </c>
      <c r="P23" s="259">
        <v>2.35139767376002</v>
      </c>
      <c r="Q23" s="259">
        <v>0.0674209360012832</v>
      </c>
      <c r="R23" s="259">
        <v>0.636379604278388</v>
      </c>
      <c r="S23" s="259">
        <v>0.0645075809297796</v>
      </c>
      <c r="T23" s="259">
        <v>8.88197291027473</v>
      </c>
      <c r="U23" s="259">
        <v>7.19832591759289</v>
      </c>
      <c r="V23" s="259">
        <v>0.552351234597831</v>
      </c>
      <c r="W23" s="259"/>
      <c r="X23" s="119"/>
      <c r="Y23" s="258"/>
      <c r="Z23" s="258"/>
      <c r="AA23" s="258"/>
      <c r="AB23" s="258"/>
      <c r="AC23" s="258"/>
      <c r="AD23" s="260"/>
      <c r="AE23" s="261"/>
    </row>
    <row r="24" ht="21.25" customHeight="1">
      <c r="A24" t="s" s="10">
        <v>171</v>
      </c>
      <c r="B24" t="s" s="256">
        <v>939</v>
      </c>
      <c r="C24" s="257">
        <v>37</v>
      </c>
      <c r="D24" t="s" s="256">
        <v>915</v>
      </c>
      <c r="E24" s="119">
        <v>80.73</v>
      </c>
      <c r="F24" s="258">
        <v>20.2766159771814</v>
      </c>
      <c r="G24" s="259">
        <v>0.421172436128004</v>
      </c>
      <c r="H24" s="259">
        <v>0.636063885889716</v>
      </c>
      <c r="I24" s="259">
        <v>1.05723632201772</v>
      </c>
      <c r="J24" s="259">
        <v>3.2915658303359</v>
      </c>
      <c r="K24" s="259">
        <v>0.109550843047321</v>
      </c>
      <c r="L24" s="259">
        <v>0.302221770678473</v>
      </c>
      <c r="M24" s="259">
        <v>0.000393285374814068</v>
      </c>
      <c r="N24" s="259">
        <v>0.000672160717511992</v>
      </c>
      <c r="O24" s="259">
        <v>0.493308252345252</v>
      </c>
      <c r="P24" s="259">
        <v>1.07513981735282</v>
      </c>
      <c r="Q24" s="259">
        <v>0.0391084534926626</v>
      </c>
      <c r="R24" s="259">
        <v>0.471058871141029</v>
      </c>
      <c r="S24" s="259">
        <v>0.0624358242623895</v>
      </c>
      <c r="T24" s="259">
        <v>12.5493303716964</v>
      </c>
      <c r="U24" s="259">
        <v>10.2228147565407</v>
      </c>
      <c r="V24" s="259">
        <v>0.551082487004503</v>
      </c>
      <c r="W24" s="259"/>
      <c r="X24" s="119"/>
      <c r="Y24" s="258"/>
      <c r="Z24" s="258"/>
      <c r="AA24" s="258"/>
      <c r="AB24" s="258"/>
      <c r="AC24" s="258"/>
      <c r="AD24" s="260"/>
      <c r="AE24" s="261"/>
    </row>
    <row r="25" ht="21.25" customHeight="1">
      <c r="A25" t="s" s="10">
        <v>270</v>
      </c>
      <c r="B25" t="s" s="256">
        <v>948</v>
      </c>
      <c r="C25" s="257">
        <v>25</v>
      </c>
      <c r="D25" t="s" s="256">
        <v>915</v>
      </c>
      <c r="E25" s="119">
        <v>79.7925</v>
      </c>
      <c r="F25" s="258">
        <v>20.8917236499054</v>
      </c>
      <c r="G25" s="259">
        <v>0.319832370435601</v>
      </c>
      <c r="H25" s="259">
        <v>0.733609104037817</v>
      </c>
      <c r="I25" s="259">
        <v>1.05344147447342</v>
      </c>
      <c r="J25" s="259">
        <v>2.07148712441102</v>
      </c>
      <c r="K25" s="259">
        <v>0.09736636520744581</v>
      </c>
      <c r="L25" s="259">
        <v>0.345838721478759</v>
      </c>
      <c r="M25" s="259">
        <v>0.0144982917895159</v>
      </c>
      <c r="N25" s="259">
        <v>0.0272324989922198</v>
      </c>
      <c r="O25" s="259">
        <v>0.527772597955244</v>
      </c>
      <c r="P25" s="259">
        <v>0.281382715948598</v>
      </c>
      <c r="Q25" s="259">
        <v>-0.0155497659841434</v>
      </c>
      <c r="R25" s="259">
        <v>0.400178303723662</v>
      </c>
      <c r="S25" s="259">
        <v>0.0385059282607621</v>
      </c>
      <c r="T25" s="259">
        <v>10.1855597346473</v>
      </c>
      <c r="U25" s="259">
        <v>9.27944566970775</v>
      </c>
      <c r="V25" s="259">
        <v>0.5232754639959381</v>
      </c>
      <c r="W25" s="259"/>
      <c r="X25" s="119"/>
      <c r="Y25" s="258"/>
      <c r="Z25" s="258"/>
      <c r="AA25" s="258"/>
      <c r="AB25" s="258"/>
      <c r="AC25" s="258"/>
      <c r="AD25" s="260"/>
      <c r="AE25" s="261"/>
    </row>
    <row r="26" ht="21.25" customHeight="1">
      <c r="A26" t="s" s="10">
        <v>247</v>
      </c>
      <c r="B26" t="s" s="256">
        <v>929</v>
      </c>
      <c r="C26" s="257">
        <v>26</v>
      </c>
      <c r="D26" t="s" s="256">
        <v>966</v>
      </c>
      <c r="E26" s="119">
        <v>81.43000000000001</v>
      </c>
      <c r="F26" s="258">
        <v>19.6709605173006</v>
      </c>
      <c r="G26" s="259">
        <v>0.380935876590051</v>
      </c>
      <c r="H26" s="259">
        <v>0.670859941701899</v>
      </c>
      <c r="I26" s="259">
        <v>1.05179581829195</v>
      </c>
      <c r="J26" s="259">
        <v>2.98818551357075</v>
      </c>
      <c r="K26" s="259">
        <v>0.09478793004530781</v>
      </c>
      <c r="L26" s="259">
        <v>0.348014878005537</v>
      </c>
      <c r="M26" s="259">
        <v>0.00222259792058643</v>
      </c>
      <c r="N26" s="259">
        <v>0.0134476517872153</v>
      </c>
      <c r="O26" s="259">
        <v>0.405900769893133</v>
      </c>
      <c r="P26" s="259">
        <v>0.68409664008365</v>
      </c>
      <c r="Q26" s="259">
        <v>0.08275620195012939</v>
      </c>
      <c r="R26" s="259">
        <v>0.211774473518296</v>
      </c>
      <c r="S26" s="259">
        <v>0.0574742036240272</v>
      </c>
      <c r="T26" s="259">
        <v>0.0336317907875802</v>
      </c>
      <c r="U26" s="259">
        <v>0.173381487696827</v>
      </c>
      <c r="V26" s="259">
        <v>0.162461997770416</v>
      </c>
      <c r="W26" s="259"/>
      <c r="X26" s="119"/>
      <c r="Y26" s="258"/>
      <c r="Z26" s="258"/>
      <c r="AA26" s="258"/>
      <c r="AB26" s="258"/>
      <c r="AC26" s="258"/>
      <c r="AD26" s="260"/>
      <c r="AE26" s="261"/>
    </row>
    <row r="27" ht="21.25" customHeight="1">
      <c r="A27" t="s" s="10">
        <v>209</v>
      </c>
      <c r="B27" t="s" s="256">
        <v>927</v>
      </c>
      <c r="C27" s="257">
        <v>29</v>
      </c>
      <c r="D27" t="s" s="256">
        <v>916</v>
      </c>
      <c r="E27" s="119">
        <v>78.2175</v>
      </c>
      <c r="F27" s="258">
        <v>20.0957448838519</v>
      </c>
      <c r="G27" s="259">
        <v>0.450317118569715</v>
      </c>
      <c r="H27" s="259">
        <v>0.595334754213683</v>
      </c>
      <c r="I27" s="259">
        <v>1.0456518727834</v>
      </c>
      <c r="J27" s="259">
        <v>3.42508633906135</v>
      </c>
      <c r="K27" s="259">
        <v>0.09908270031138169</v>
      </c>
      <c r="L27" s="259">
        <v>0.296044976614093</v>
      </c>
      <c r="M27" s="259">
        <v>0.00026174358462234</v>
      </c>
      <c r="N27" s="259">
        <v>0.00044360524427628</v>
      </c>
      <c r="O27" s="259">
        <v>0.47794203618686</v>
      </c>
      <c r="P27" s="259">
        <v>0.837154698937428</v>
      </c>
      <c r="Q27" s="259">
        <v>0.028952570272004</v>
      </c>
      <c r="R27" s="259">
        <v>0.490466650698419</v>
      </c>
      <c r="S27" s="259">
        <v>0.0709526956072575</v>
      </c>
      <c r="T27" s="259">
        <v>0.132340797240483</v>
      </c>
      <c r="U27" s="259">
        <v>0.186940766655111</v>
      </c>
      <c r="V27" s="259">
        <v>0.414495580721218</v>
      </c>
      <c r="W27" s="259"/>
      <c r="X27" s="119"/>
      <c r="Y27" s="258"/>
      <c r="Z27" s="258"/>
      <c r="AA27" s="258"/>
      <c r="AB27" s="258"/>
      <c r="AC27" s="258"/>
      <c r="AD27" s="260"/>
      <c r="AE27" s="261"/>
    </row>
    <row r="28" ht="21.25" customHeight="1">
      <c r="A28" t="s" s="10">
        <v>226</v>
      </c>
      <c r="B28" t="s" s="256">
        <v>949</v>
      </c>
      <c r="C28" s="257">
        <v>27</v>
      </c>
      <c r="D28" t="s" s="256">
        <v>915</v>
      </c>
      <c r="E28" s="119">
        <v>80.0575</v>
      </c>
      <c r="F28" s="258">
        <v>19.766526020527</v>
      </c>
      <c r="G28" s="259">
        <v>0.460832698138651</v>
      </c>
      <c r="H28" s="259">
        <v>0.583652696128473</v>
      </c>
      <c r="I28" s="259">
        <v>1.04448539426712</v>
      </c>
      <c r="J28" s="259">
        <v>2.84830998486241</v>
      </c>
      <c r="K28" s="259">
        <v>0.125235076096122</v>
      </c>
      <c r="L28" s="259">
        <v>0.320057857595326</v>
      </c>
      <c r="M28" s="259">
        <v>0.0189487873875185</v>
      </c>
      <c r="N28" s="259">
        <v>0.0333433243788339</v>
      </c>
      <c r="O28" s="259">
        <v>0.285752954455098</v>
      </c>
      <c r="P28" s="259">
        <v>0.699787614206596</v>
      </c>
      <c r="Q28" s="259">
        <v>0.0960728778683088</v>
      </c>
      <c r="R28" s="259">
        <v>0.509441986055298</v>
      </c>
      <c r="S28" s="259">
        <v>0.07985566422064511</v>
      </c>
      <c r="T28" s="259">
        <v>7.25049619319349</v>
      </c>
      <c r="U28" s="259">
        <v>6.47428700304606</v>
      </c>
      <c r="V28" s="259">
        <v>0.528277648508142</v>
      </c>
      <c r="W28" s="259"/>
      <c r="X28" s="119"/>
      <c r="Y28" s="258"/>
      <c r="Z28" s="258"/>
      <c r="AA28" s="258"/>
      <c r="AB28" s="258"/>
      <c r="AC28" s="258"/>
      <c r="AD28" s="260"/>
      <c r="AE28" s="261"/>
    </row>
    <row r="29" ht="21.25" customHeight="1">
      <c r="A29" t="s" s="10">
        <v>215</v>
      </c>
      <c r="B29" t="s" s="256">
        <v>941</v>
      </c>
      <c r="C29" s="257">
        <v>27</v>
      </c>
      <c r="D29" t="s" s="256">
        <v>915</v>
      </c>
      <c r="E29" s="119">
        <v>71.795</v>
      </c>
      <c r="F29" s="258">
        <v>20.8385757436161</v>
      </c>
      <c r="G29" s="259">
        <v>0.448522506425457</v>
      </c>
      <c r="H29" s="259">
        <v>0.578777932087976</v>
      </c>
      <c r="I29" s="259">
        <v>1.02730043851343</v>
      </c>
      <c r="J29" s="259">
        <v>4.11417538433666</v>
      </c>
      <c r="K29" s="259">
        <v>0.12457666258439</v>
      </c>
      <c r="L29" s="259">
        <v>0.313592737495719</v>
      </c>
      <c r="M29" s="259">
        <v>0.00311549124229249</v>
      </c>
      <c r="N29" s="259">
        <v>0.0283794905927022</v>
      </c>
      <c r="O29" s="259">
        <v>0.940529445311477</v>
      </c>
      <c r="P29" s="259">
        <v>0.637084723189926</v>
      </c>
      <c r="Q29" s="259">
        <v>0.0499852904116471</v>
      </c>
      <c r="R29" s="259">
        <v>0.288479307430705</v>
      </c>
      <c r="S29" s="259">
        <v>0.06822085135488359</v>
      </c>
      <c r="T29" s="259">
        <v>6.50848990785313</v>
      </c>
      <c r="U29" s="259">
        <v>7.69739607970799</v>
      </c>
      <c r="V29" s="259">
        <v>0.458154451862563</v>
      </c>
      <c r="W29" s="259"/>
      <c r="X29" s="119"/>
      <c r="Y29" s="258"/>
      <c r="Z29" s="258"/>
      <c r="AA29" s="258"/>
      <c r="AB29" s="258"/>
      <c r="AC29" s="258"/>
      <c r="AD29" s="260"/>
      <c r="AE29" s="261"/>
    </row>
    <row r="30" ht="21.25" customHeight="1">
      <c r="A30" t="s" s="10">
        <v>253</v>
      </c>
      <c r="B30" t="s" s="256">
        <v>935</v>
      </c>
      <c r="C30" s="257">
        <v>24</v>
      </c>
      <c r="D30" t="s" s="256">
        <v>918</v>
      </c>
      <c r="E30" s="119">
        <v>80.88</v>
      </c>
      <c r="F30" s="258">
        <v>24.4032796747473</v>
      </c>
      <c r="G30" s="259">
        <v>0.153278548817956</v>
      </c>
      <c r="H30" s="259">
        <v>0.862092590777861</v>
      </c>
      <c r="I30" s="259">
        <v>1.01537113959582</v>
      </c>
      <c r="J30" s="259">
        <v>2.23009392725852</v>
      </c>
      <c r="K30" s="259">
        <v>0.0372978468946827</v>
      </c>
      <c r="L30" s="259">
        <v>0.426928036868652</v>
      </c>
      <c r="M30" s="259">
        <v>0.000158999499985718</v>
      </c>
      <c r="N30" s="259">
        <v>0.00345131982051887</v>
      </c>
      <c r="O30" s="259">
        <v>0.890348266387915</v>
      </c>
      <c r="P30" s="259">
        <v>0.477835289025543</v>
      </c>
      <c r="Q30" s="259">
        <v>0.112440172823251</v>
      </c>
      <c r="R30" s="259">
        <v>0.457152733649764</v>
      </c>
      <c r="S30" s="259">
        <v>0.0261760220784878</v>
      </c>
      <c r="T30" s="259">
        <v>0.00061234228853903</v>
      </c>
      <c r="U30" s="259">
        <v>0.00116263108464303</v>
      </c>
      <c r="V30" s="259">
        <v>0.344986746162429</v>
      </c>
      <c r="W30" s="259"/>
      <c r="X30" s="119"/>
      <c r="Y30" s="258"/>
      <c r="Z30" s="258"/>
      <c r="AA30" s="258"/>
      <c r="AB30" s="258"/>
      <c r="AC30" s="258"/>
      <c r="AD30" s="260"/>
      <c r="AE30" s="261"/>
    </row>
    <row r="31" ht="21.25" customHeight="1">
      <c r="A31" t="s" s="10">
        <v>213</v>
      </c>
      <c r="B31" t="s" s="256">
        <v>940</v>
      </c>
      <c r="C31" s="257">
        <v>22</v>
      </c>
      <c r="D31" t="s" s="256">
        <v>965</v>
      </c>
      <c r="E31" s="119">
        <v>79.9375</v>
      </c>
      <c r="F31" s="258">
        <v>20.6495625785452</v>
      </c>
      <c r="G31" s="259">
        <v>0.364287706626062</v>
      </c>
      <c r="H31" s="259">
        <v>0.644645045984643</v>
      </c>
      <c r="I31" s="259">
        <v>1.00893275261071</v>
      </c>
      <c r="J31" s="259">
        <v>2.62070804209324</v>
      </c>
      <c r="K31" s="259">
        <v>0.0598737217803159</v>
      </c>
      <c r="L31" s="259">
        <v>0.266081323727741</v>
      </c>
      <c r="M31" s="259">
        <v>0.0118322228429879</v>
      </c>
      <c r="N31" s="259">
        <v>0.0125808558976547</v>
      </c>
      <c r="O31" s="259">
        <v>0.581121290012832</v>
      </c>
      <c r="P31" s="259">
        <v>1.33526686804649</v>
      </c>
      <c r="Q31" s="259">
        <v>-0.0143476376661709</v>
      </c>
      <c r="R31" s="259">
        <v>0.511529566940092</v>
      </c>
      <c r="S31" s="259">
        <v>0.0565608536392223</v>
      </c>
      <c r="T31" s="259">
        <v>2.82482147358154</v>
      </c>
      <c r="U31" s="259">
        <v>3.75972557333337</v>
      </c>
      <c r="V31" s="259">
        <v>0.429007713583742</v>
      </c>
      <c r="W31" s="259"/>
      <c r="X31" s="119"/>
      <c r="Y31" s="258"/>
      <c r="Z31" s="258"/>
      <c r="AA31" s="258"/>
      <c r="AB31" s="258"/>
      <c r="AC31" s="258"/>
      <c r="AD31" s="260"/>
      <c r="AE31" s="261"/>
    </row>
    <row r="32" ht="21.25" customHeight="1">
      <c r="A32" t="s" s="10">
        <v>214</v>
      </c>
      <c r="B32" t="s" s="256">
        <v>934</v>
      </c>
      <c r="C32" s="257">
        <v>26</v>
      </c>
      <c r="D32" t="s" s="256">
        <v>967</v>
      </c>
      <c r="E32" s="119">
        <v>79.1275</v>
      </c>
      <c r="F32" s="258">
        <v>19.0226303620571</v>
      </c>
      <c r="G32" s="259">
        <v>0.505059029672428</v>
      </c>
      <c r="H32" s="259">
        <v>0.501958367655033</v>
      </c>
      <c r="I32" s="259">
        <v>1.00701739732746</v>
      </c>
      <c r="J32" s="259">
        <v>3.68237121902176</v>
      </c>
      <c r="K32" s="259">
        <v>0.18839301740082</v>
      </c>
      <c r="L32" s="259">
        <v>0.335962094134352</v>
      </c>
      <c r="M32" s="259">
        <v>0.00728391599784773</v>
      </c>
      <c r="N32" s="259">
        <v>0.00785847903978296</v>
      </c>
      <c r="O32" s="259">
        <v>0.402746699822515</v>
      </c>
      <c r="P32" s="259">
        <v>1.00953109386675</v>
      </c>
      <c r="Q32" s="259">
        <v>0.0119483643303781</v>
      </c>
      <c r="R32" s="259">
        <v>0.472728021171871</v>
      </c>
      <c r="S32" s="259">
        <v>0.07144334518382239</v>
      </c>
      <c r="T32" s="259">
        <v>5.29569315088923</v>
      </c>
      <c r="U32" s="259">
        <v>7.17371748462512</v>
      </c>
      <c r="V32" s="259">
        <v>0.424694743455354</v>
      </c>
      <c r="W32" s="259"/>
      <c r="X32" s="119"/>
      <c r="Y32" s="258"/>
      <c r="Z32" s="258"/>
      <c r="AA32" s="258"/>
      <c r="AB32" s="258"/>
      <c r="AC32" s="258"/>
      <c r="AD32" s="260"/>
      <c r="AE32" s="261"/>
    </row>
    <row r="33" ht="21.25" customHeight="1">
      <c r="A33" t="s" s="10">
        <v>250</v>
      </c>
      <c r="B33" t="s" s="256">
        <v>936</v>
      </c>
      <c r="C33" s="257">
        <v>27</v>
      </c>
      <c r="D33" t="s" s="256">
        <v>967</v>
      </c>
      <c r="E33" s="119">
        <v>77.47499999999999</v>
      </c>
      <c r="F33" s="258">
        <v>20.4388190146933</v>
      </c>
      <c r="G33" s="259">
        <v>0.29739333680193</v>
      </c>
      <c r="H33" s="259">
        <v>0.70746832402309</v>
      </c>
      <c r="I33" s="259">
        <v>1.00486166082502</v>
      </c>
      <c r="J33" s="259">
        <v>2.93311024910154</v>
      </c>
      <c r="K33" s="259">
        <v>0.0628396573431777</v>
      </c>
      <c r="L33" s="259">
        <v>0.317904163656657</v>
      </c>
      <c r="M33" s="259">
        <v>0.000203480500673945</v>
      </c>
      <c r="N33" s="259">
        <v>0.000345618768800212</v>
      </c>
      <c r="O33" s="259">
        <v>0.616064019757283</v>
      </c>
      <c r="P33" s="259">
        <v>0.647403347724106</v>
      </c>
      <c r="Q33" s="259">
        <v>0.0495442345515129</v>
      </c>
      <c r="R33" s="259">
        <v>0.417012734072919</v>
      </c>
      <c r="S33" s="259">
        <v>0.0467380210558151</v>
      </c>
      <c r="T33" s="259">
        <v>1.12748993167851</v>
      </c>
      <c r="U33" s="259">
        <v>1.57287030172935</v>
      </c>
      <c r="V33" s="259">
        <v>0.417533156402476</v>
      </c>
      <c r="W33" s="259"/>
      <c r="X33" s="119"/>
      <c r="Y33" s="258"/>
      <c r="Z33" s="258"/>
      <c r="AA33" s="258"/>
      <c r="AB33" s="258"/>
      <c r="AC33" s="258"/>
      <c r="AD33" s="260"/>
      <c r="AE33" s="261"/>
    </row>
    <row r="34" ht="21.25" customHeight="1">
      <c r="A34" t="s" s="10">
        <v>196</v>
      </c>
      <c r="B34" t="s" s="256">
        <v>932</v>
      </c>
      <c r="C34" s="257">
        <v>28</v>
      </c>
      <c r="D34" t="s" s="256">
        <v>967</v>
      </c>
      <c r="E34" s="119">
        <v>81.63</v>
      </c>
      <c r="F34" s="258">
        <v>20.1586515145312</v>
      </c>
      <c r="G34" s="259">
        <v>0.518890307715079</v>
      </c>
      <c r="H34" s="259">
        <v>0.485638355145385</v>
      </c>
      <c r="I34" s="259">
        <v>1.00452866286046</v>
      </c>
      <c r="J34" s="259">
        <v>2.77156678439308</v>
      </c>
      <c r="K34" s="259">
        <v>0.221310052919615</v>
      </c>
      <c r="L34" s="259">
        <v>0.338157490292563</v>
      </c>
      <c r="M34" s="259">
        <v>0.0265396866322184</v>
      </c>
      <c r="N34" s="259">
        <v>0.0431440250237698</v>
      </c>
      <c r="O34" s="259">
        <v>0.724819377646101</v>
      </c>
      <c r="P34" s="259">
        <v>0.840695611839934</v>
      </c>
      <c r="Q34" s="259">
        <v>0.0287250540221623</v>
      </c>
      <c r="R34" s="259">
        <v>0.314361992005862</v>
      </c>
      <c r="S34" s="259">
        <v>0.0883990507874744</v>
      </c>
      <c r="T34" s="259">
        <v>2.92539117951718</v>
      </c>
      <c r="U34" s="259">
        <v>3.25224490548926</v>
      </c>
      <c r="V34" s="259">
        <v>0.473545404627721</v>
      </c>
      <c r="W34" s="259"/>
      <c r="X34" s="119"/>
      <c r="Y34" s="259"/>
      <c r="Z34" s="259"/>
      <c r="AA34" s="259"/>
      <c r="AB34" s="259"/>
      <c r="AC34" s="258"/>
      <c r="AD34" s="260"/>
      <c r="AE34" s="261"/>
    </row>
    <row r="35" ht="21.25" customHeight="1">
      <c r="A35" t="s" s="10">
        <v>293</v>
      </c>
      <c r="B35" t="s" s="256">
        <v>951</v>
      </c>
      <c r="C35" s="257">
        <v>26</v>
      </c>
      <c r="D35" t="s" s="256">
        <v>966</v>
      </c>
      <c r="E35" s="119">
        <v>79.81999999999999</v>
      </c>
      <c r="F35" s="258">
        <v>19.3294783870517</v>
      </c>
      <c r="G35" s="259">
        <v>0.422507337258187</v>
      </c>
      <c r="H35" s="259">
        <v>0.574156260420408</v>
      </c>
      <c r="I35" s="259">
        <v>0.996663597678595</v>
      </c>
      <c r="J35" s="259">
        <v>2.83028907696032</v>
      </c>
      <c r="K35" s="259">
        <v>0.107398021727999</v>
      </c>
      <c r="L35" s="259">
        <v>0.328179534073684</v>
      </c>
      <c r="M35" s="259">
        <v>0.000327675520148334</v>
      </c>
      <c r="N35" s="259">
        <v>0.000473929025603502</v>
      </c>
      <c r="O35" s="259">
        <v>0.394479498229177</v>
      </c>
      <c r="P35" s="259">
        <v>0.313333572229921</v>
      </c>
      <c r="Q35" s="259">
        <v>-0.0106205612078533</v>
      </c>
      <c r="R35" s="259">
        <v>0.445068692552114</v>
      </c>
      <c r="S35" s="259">
        <v>0.0618252421325935</v>
      </c>
      <c r="T35" s="259">
        <v>0.343354600967884</v>
      </c>
      <c r="U35" s="259">
        <v>0.491545022751223</v>
      </c>
      <c r="V35" s="259">
        <v>0.411252552059362</v>
      </c>
      <c r="W35" s="259"/>
      <c r="X35" s="119"/>
      <c r="Y35" s="258"/>
      <c r="Z35" s="258"/>
      <c r="AA35" s="258"/>
      <c r="AB35" s="258"/>
      <c r="AC35" s="258"/>
      <c r="AD35" s="260"/>
      <c r="AE35" s="261"/>
    </row>
    <row r="36" ht="21.25" customHeight="1">
      <c r="A36" t="s" s="10">
        <v>230</v>
      </c>
      <c r="B36" t="s" s="256">
        <v>942</v>
      </c>
      <c r="C36" s="257">
        <v>28</v>
      </c>
      <c r="D36" t="s" s="256">
        <v>915</v>
      </c>
      <c r="E36" s="119">
        <v>78.17</v>
      </c>
      <c r="F36" s="258">
        <v>20.1313380925754</v>
      </c>
      <c r="G36" s="259">
        <v>0.435783607560801</v>
      </c>
      <c r="H36" s="259">
        <v>0.558204120050402</v>
      </c>
      <c r="I36" s="259">
        <v>0.993987727611203</v>
      </c>
      <c r="J36" s="259">
        <v>3.15070108148294</v>
      </c>
      <c r="K36" s="259">
        <v>0.16303208247019</v>
      </c>
      <c r="L36" s="259">
        <v>0.312974663977675</v>
      </c>
      <c r="M36" s="259">
        <v>0.00938216495776383</v>
      </c>
      <c r="N36" s="259">
        <v>0.0121020998174929</v>
      </c>
      <c r="O36" s="259">
        <v>0.466623561127949</v>
      </c>
      <c r="P36" s="259">
        <v>0.695173692532756</v>
      </c>
      <c r="Q36" s="259">
        <v>-0.0283940388337334</v>
      </c>
      <c r="R36" s="259">
        <v>0.485715628828671</v>
      </c>
      <c r="S36" s="259">
        <v>0.0598516820805417</v>
      </c>
      <c r="T36" s="259">
        <v>10.0397503861706</v>
      </c>
      <c r="U36" s="259">
        <v>8.452388380061549</v>
      </c>
      <c r="V36" s="259">
        <v>0.5429199138665241</v>
      </c>
      <c r="W36" s="259"/>
      <c r="X36" s="119"/>
      <c r="Y36" s="258"/>
      <c r="Z36" s="258"/>
      <c r="AA36" s="258"/>
      <c r="AB36" s="258"/>
      <c r="AC36" s="258"/>
      <c r="AD36" s="260"/>
      <c r="AE36" s="261"/>
    </row>
    <row r="37" ht="21.25" customHeight="1">
      <c r="A37" t="s" s="10">
        <v>231</v>
      </c>
      <c r="B37" t="s" s="256">
        <v>929</v>
      </c>
      <c r="C37" s="257">
        <v>25</v>
      </c>
      <c r="D37" t="s" s="256">
        <v>915</v>
      </c>
      <c r="E37" s="119">
        <v>78.73999999999999</v>
      </c>
      <c r="F37" s="258">
        <v>19.8849269921998</v>
      </c>
      <c r="G37" s="259">
        <v>0.384916091982554</v>
      </c>
      <c r="H37" s="259">
        <v>0.603522181667538</v>
      </c>
      <c r="I37" s="259">
        <v>0.988438273650092</v>
      </c>
      <c r="J37" s="259">
        <v>2.7574351946071</v>
      </c>
      <c r="K37" s="259">
        <v>0.0975197350272346</v>
      </c>
      <c r="L37" s="259">
        <v>0.264360489969119</v>
      </c>
      <c r="M37" s="259">
        <v>0.0172778621086456</v>
      </c>
      <c r="N37" s="259">
        <v>0.0260507918488288</v>
      </c>
      <c r="O37" s="259">
        <v>0.635536216266945</v>
      </c>
      <c r="P37" s="259">
        <v>0.597733567129507</v>
      </c>
      <c r="Q37" s="259">
        <v>0.0637398952370094</v>
      </c>
      <c r="R37" s="259">
        <v>0.235929660975352</v>
      </c>
      <c r="S37" s="259">
        <v>0.05807472387952</v>
      </c>
      <c r="T37" s="259">
        <v>11.0239941427235</v>
      </c>
      <c r="U37" s="259">
        <v>9.18783801320517</v>
      </c>
      <c r="V37" s="259">
        <v>0.545422802726465</v>
      </c>
      <c r="W37" s="259"/>
      <c r="X37" s="119"/>
      <c r="Y37" s="258"/>
      <c r="Z37" s="258"/>
      <c r="AA37" s="258"/>
      <c r="AB37" s="258"/>
      <c r="AC37" s="258"/>
      <c r="AD37" s="260"/>
      <c r="AE37" s="261"/>
    </row>
    <row r="38" ht="21.25" customHeight="1">
      <c r="A38" t="s" s="10">
        <v>285</v>
      </c>
      <c r="B38" t="s" s="256">
        <v>938</v>
      </c>
      <c r="C38" s="257">
        <v>27</v>
      </c>
      <c r="D38" t="s" s="256">
        <v>916</v>
      </c>
      <c r="E38" s="119">
        <v>78.71250000000001</v>
      </c>
      <c r="F38" s="258">
        <v>19.6732946695179</v>
      </c>
      <c r="G38" s="259">
        <v>0.467166301464789</v>
      </c>
      <c r="H38" s="259">
        <v>0.513786719855315</v>
      </c>
      <c r="I38" s="259">
        <v>0.980953021320104</v>
      </c>
      <c r="J38" s="259">
        <v>3.37593451007019</v>
      </c>
      <c r="K38" s="259">
        <v>0.0808817819561157</v>
      </c>
      <c r="L38" s="259">
        <v>0.293132515290682</v>
      </c>
      <c r="M38" s="259">
        <v>0.0015222249390998</v>
      </c>
      <c r="N38" s="259">
        <v>0.00179127429378022</v>
      </c>
      <c r="O38" s="259">
        <v>0.30714712130587</v>
      </c>
      <c r="P38" s="259">
        <v>0.371245653971543</v>
      </c>
      <c r="Q38" s="259">
        <v>0.00857730115764779</v>
      </c>
      <c r="R38" s="259">
        <v>0.192562638002188</v>
      </c>
      <c r="S38" s="259">
        <v>0.0776554462424859</v>
      </c>
      <c r="T38" s="259">
        <v>0.0233248671741374</v>
      </c>
      <c r="U38" s="259">
        <v>0.0767694952187431</v>
      </c>
      <c r="V38" s="259">
        <v>0.233028780208269</v>
      </c>
      <c r="W38" s="259"/>
      <c r="X38" s="119"/>
      <c r="Y38" s="258"/>
      <c r="Z38" s="258"/>
      <c r="AA38" s="258"/>
      <c r="AB38" s="258"/>
      <c r="AC38" s="258"/>
      <c r="AD38" s="260"/>
      <c r="AE38" s="261"/>
    </row>
    <row r="39" ht="21.25" customHeight="1">
      <c r="A39" t="s" s="10">
        <v>179</v>
      </c>
      <c r="B39" t="s" s="256">
        <v>930</v>
      </c>
      <c r="C39" s="257">
        <v>34</v>
      </c>
      <c r="D39" t="s" s="256">
        <v>918</v>
      </c>
      <c r="E39" s="119">
        <v>79.7675</v>
      </c>
      <c r="F39" s="258">
        <v>24.4388690036265</v>
      </c>
      <c r="G39" s="259">
        <v>0.255581159259286</v>
      </c>
      <c r="H39" s="259">
        <v>0.715881523827969</v>
      </c>
      <c r="I39" s="259">
        <v>0.971462683087255</v>
      </c>
      <c r="J39" s="259">
        <v>3.31657763765187</v>
      </c>
      <c r="K39" s="259">
        <v>0.11229377142305</v>
      </c>
      <c r="L39" s="259">
        <v>0.388572181155712</v>
      </c>
      <c r="M39" s="259">
        <v>0.000165060977581074</v>
      </c>
      <c r="N39" s="259">
        <v>0.00387987242449251</v>
      </c>
      <c r="O39" s="259">
        <v>1.82369610499146</v>
      </c>
      <c r="P39" s="259">
        <v>0.701158843122718</v>
      </c>
      <c r="Q39" s="259">
        <v>0.06557938604212871</v>
      </c>
      <c r="R39" s="259">
        <v>0.555707369921451</v>
      </c>
      <c r="S39" s="259">
        <v>0.0361884570843563</v>
      </c>
      <c r="T39" s="259">
        <v>0</v>
      </c>
      <c r="U39" s="259">
        <v>0</v>
      </c>
      <c r="V39" s="259">
        <v>0</v>
      </c>
      <c r="W39" s="259"/>
      <c r="X39" s="119"/>
      <c r="Y39" s="258"/>
      <c r="Z39" s="258"/>
      <c r="AA39" s="258"/>
      <c r="AB39" s="258"/>
      <c r="AC39" s="258"/>
      <c r="AD39" s="260"/>
      <c r="AE39" s="261"/>
    </row>
    <row r="40" ht="21.25" customHeight="1">
      <c r="A40" t="s" s="10">
        <v>283</v>
      </c>
      <c r="B40" t="s" s="256">
        <v>950</v>
      </c>
      <c r="C40" s="257">
        <v>28</v>
      </c>
      <c r="D40" t="s" s="256">
        <v>916</v>
      </c>
      <c r="E40" s="119">
        <v>80.24250000000001</v>
      </c>
      <c r="F40" s="258">
        <v>17.9557551136951</v>
      </c>
      <c r="G40" s="259">
        <v>0.355540641530654</v>
      </c>
      <c r="H40" s="259">
        <v>0.598926571865943</v>
      </c>
      <c r="I40" s="259">
        <v>0.954467213396597</v>
      </c>
      <c r="J40" s="259">
        <v>2.86992697757564</v>
      </c>
      <c r="K40" s="259">
        <v>0.114401433116644</v>
      </c>
      <c r="L40" s="259">
        <v>0.326186899976422</v>
      </c>
      <c r="M40" s="259">
        <v>0.000201462188258138</v>
      </c>
      <c r="N40" s="259">
        <v>0.000258725604571417</v>
      </c>
      <c r="O40" s="259">
        <v>0.336106852760863</v>
      </c>
      <c r="P40" s="259">
        <v>0.7532229291675731</v>
      </c>
      <c r="Q40" s="259">
        <v>0.0584184513179267</v>
      </c>
      <c r="R40" s="259">
        <v>0.612263177480497</v>
      </c>
      <c r="S40" s="259">
        <v>0.06336149160785801</v>
      </c>
      <c r="T40" s="259">
        <v>0.135249817374461</v>
      </c>
      <c r="U40" s="259">
        <v>0.25612327355423</v>
      </c>
      <c r="V40" s="259">
        <v>0.345577712186409</v>
      </c>
      <c r="W40" s="259"/>
      <c r="X40" s="119"/>
      <c r="Y40" s="258"/>
      <c r="Z40" s="258"/>
      <c r="AA40" s="258"/>
      <c r="AB40" s="258"/>
      <c r="AC40" s="258"/>
      <c r="AD40" s="260"/>
      <c r="AE40" s="261"/>
    </row>
    <row r="41" ht="21.25" customHeight="1">
      <c r="A41" t="s" s="10">
        <v>238</v>
      </c>
      <c r="B41" t="s" s="256">
        <v>954</v>
      </c>
      <c r="C41" s="257">
        <v>25</v>
      </c>
      <c r="D41" t="s" s="256">
        <v>915</v>
      </c>
      <c r="E41" s="119">
        <v>82.03</v>
      </c>
      <c r="F41" s="258">
        <v>21.4197757510177</v>
      </c>
      <c r="G41" s="259">
        <v>0.38353867187135</v>
      </c>
      <c r="H41" s="259">
        <v>0.561560974590766</v>
      </c>
      <c r="I41" s="259">
        <v>0.945099646462116</v>
      </c>
      <c r="J41" s="259">
        <v>2.33559702775725</v>
      </c>
      <c r="K41" s="259">
        <v>0.130130080735239</v>
      </c>
      <c r="L41" s="259">
        <v>0.332121772867797</v>
      </c>
      <c r="M41" s="259">
        <v>0.007934238127984</v>
      </c>
      <c r="N41" s="259">
        <v>0.0119099618062435</v>
      </c>
      <c r="O41" s="259">
        <v>0.61365504941303</v>
      </c>
      <c r="P41" s="259">
        <v>0.790106103464477</v>
      </c>
      <c r="Q41" s="259">
        <v>-0.0454757403667855</v>
      </c>
      <c r="R41" s="259">
        <v>0.410087587628295</v>
      </c>
      <c r="S41" s="259">
        <v>0.0444526201860617</v>
      </c>
      <c r="T41" s="259">
        <v>8.28181599805675</v>
      </c>
      <c r="U41" s="259">
        <v>8.26640062999711</v>
      </c>
      <c r="V41" s="259">
        <v>0.500465771279351</v>
      </c>
      <c r="W41" s="259"/>
      <c r="X41" s="119"/>
      <c r="Y41" s="258"/>
      <c r="Z41" s="258"/>
      <c r="AA41" s="258"/>
      <c r="AB41" s="258"/>
      <c r="AC41" s="258"/>
      <c r="AD41" s="260"/>
      <c r="AE41" s="261"/>
    </row>
    <row r="42" ht="21.25" customHeight="1">
      <c r="A42" t="s" s="10">
        <v>291</v>
      </c>
      <c r="B42" t="s" s="256">
        <v>948</v>
      </c>
      <c r="C42" s="257">
        <v>26</v>
      </c>
      <c r="D42" t="s" s="256">
        <v>967</v>
      </c>
      <c r="E42" s="119">
        <v>80.8175</v>
      </c>
      <c r="F42" s="258">
        <v>18.7253208698856</v>
      </c>
      <c r="G42" s="259">
        <v>0.418340682274742</v>
      </c>
      <c r="H42" s="259">
        <v>0.519491976685758</v>
      </c>
      <c r="I42" s="259">
        <v>0.9378326589605001</v>
      </c>
      <c r="J42" s="259">
        <v>3.16347879948553</v>
      </c>
      <c r="K42" s="259">
        <v>0.117756018770788</v>
      </c>
      <c r="L42" s="259">
        <v>0.309804642882685</v>
      </c>
      <c r="M42" s="259">
        <v>1.35687310750075e-05</v>
      </c>
      <c r="N42" s="259">
        <v>2.29028949015379e-05</v>
      </c>
      <c r="O42" s="259">
        <v>0.411504909810741</v>
      </c>
      <c r="P42" s="259">
        <v>0.342868415407638</v>
      </c>
      <c r="Q42" s="259">
        <v>-0.0357671809890901</v>
      </c>
      <c r="R42" s="259">
        <v>0.327299335651133</v>
      </c>
      <c r="S42" s="259">
        <v>0.050365747151516</v>
      </c>
      <c r="T42" s="259">
        <v>0.0486782252317918</v>
      </c>
      <c r="U42" s="259">
        <v>0.0881686248124345</v>
      </c>
      <c r="V42" s="259">
        <v>0.355713158293815</v>
      </c>
      <c r="W42" s="259"/>
      <c r="X42" s="119"/>
      <c r="Y42" s="258"/>
      <c r="Z42" s="258"/>
      <c r="AA42" s="258"/>
      <c r="AB42" s="258"/>
      <c r="AC42" s="258"/>
      <c r="AD42" s="260"/>
      <c r="AE42" s="261"/>
    </row>
    <row r="43" ht="21.25" customHeight="1">
      <c r="A43" t="s" s="10">
        <v>289</v>
      </c>
      <c r="B43" t="s" s="256">
        <v>924</v>
      </c>
      <c r="C43" s="257">
        <v>31</v>
      </c>
      <c r="D43" t="s" s="256">
        <v>965</v>
      </c>
      <c r="E43" s="119">
        <v>79.77500000000001</v>
      </c>
      <c r="F43" s="258">
        <v>19.8271352069898</v>
      </c>
      <c r="G43" s="259">
        <v>0.282714330882679</v>
      </c>
      <c r="H43" s="259">
        <v>0.654415864630186</v>
      </c>
      <c r="I43" s="259">
        <v>0.937130195512865</v>
      </c>
      <c r="J43" s="259">
        <v>2.36865593057099</v>
      </c>
      <c r="K43" s="259">
        <v>0.085381790250476</v>
      </c>
      <c r="L43" s="259">
        <v>0.408524109574833</v>
      </c>
      <c r="M43" s="259">
        <v>0.0106117921112072</v>
      </c>
      <c r="N43" s="259">
        <v>0.043762860147749</v>
      </c>
      <c r="O43" s="259">
        <v>0.426890822613865</v>
      </c>
      <c r="P43" s="259">
        <v>0.770701384568662</v>
      </c>
      <c r="Q43" s="259">
        <v>0.109441652767968</v>
      </c>
      <c r="R43" s="259">
        <v>0.435144931511561</v>
      </c>
      <c r="S43" s="259">
        <v>0.0456513411096931</v>
      </c>
      <c r="T43" s="259">
        <v>3.02811014931771</v>
      </c>
      <c r="U43" s="259">
        <v>3.61895938612096</v>
      </c>
      <c r="V43" s="259">
        <v>0.455555660005274</v>
      </c>
      <c r="W43" s="259"/>
      <c r="X43" s="119"/>
      <c r="Y43" s="258"/>
      <c r="Z43" s="258"/>
      <c r="AA43" s="258"/>
      <c r="AB43" s="258"/>
      <c r="AC43" s="258"/>
      <c r="AD43" s="260"/>
      <c r="AE43" s="261"/>
    </row>
    <row r="44" ht="21.25" customHeight="1">
      <c r="A44" t="s" s="10">
        <v>223</v>
      </c>
      <c r="B44" t="s" s="256">
        <v>931</v>
      </c>
      <c r="C44" s="257">
        <v>26</v>
      </c>
      <c r="D44" t="s" s="256">
        <v>918</v>
      </c>
      <c r="E44" s="119">
        <v>79.855</v>
      </c>
      <c r="F44" s="258">
        <v>23.6188648815481</v>
      </c>
      <c r="G44" s="259">
        <v>0.174783742060651</v>
      </c>
      <c r="H44" s="259">
        <v>0.757418589051209</v>
      </c>
      <c r="I44" s="259">
        <v>0.93220233111186</v>
      </c>
      <c r="J44" s="259">
        <v>1.92822694780421</v>
      </c>
      <c r="K44" s="259">
        <v>0.0430381328485443</v>
      </c>
      <c r="L44" s="259">
        <v>0.411011824446379</v>
      </c>
      <c r="M44" s="259">
        <v>0.00703914759420624</v>
      </c>
      <c r="N44" s="259">
        <v>0.0185471707613114</v>
      </c>
      <c r="O44" s="259">
        <v>1.65736673931645</v>
      </c>
      <c r="P44" s="259">
        <v>0.68492552885903</v>
      </c>
      <c r="Q44" s="259">
        <v>0.0774256853828395</v>
      </c>
      <c r="R44" s="259">
        <v>0.458132553429609</v>
      </c>
      <c r="S44" s="259">
        <v>0.0285698540171386</v>
      </c>
      <c r="T44" s="259">
        <v>0</v>
      </c>
      <c r="U44" s="259">
        <v>0</v>
      </c>
      <c r="V44" s="259">
        <v>0</v>
      </c>
      <c r="W44" s="259"/>
      <c r="X44" s="119"/>
      <c r="Y44" s="258"/>
      <c r="Z44" s="258"/>
      <c r="AA44" s="258"/>
      <c r="AB44" s="258"/>
      <c r="AC44" s="258"/>
      <c r="AD44" s="260"/>
      <c r="AE44" s="261"/>
    </row>
    <row r="45" ht="21.25" customHeight="1">
      <c r="A45" t="s" s="10">
        <v>219</v>
      </c>
      <c r="B45" t="s" s="256">
        <v>924</v>
      </c>
      <c r="C45" s="257">
        <v>32</v>
      </c>
      <c r="D45" t="s" s="256">
        <v>966</v>
      </c>
      <c r="E45" s="119">
        <v>80.66249999999999</v>
      </c>
      <c r="F45" s="258">
        <v>19.6612430252031</v>
      </c>
      <c r="G45" s="259">
        <v>0.524274214404082</v>
      </c>
      <c r="H45" s="259">
        <v>0.407163866536381</v>
      </c>
      <c r="I45" s="259">
        <v>0.931438080940463</v>
      </c>
      <c r="J45" s="259">
        <v>3.48178404994193</v>
      </c>
      <c r="K45" s="259">
        <v>0.163744422038169</v>
      </c>
      <c r="L45" s="259">
        <v>0.261766071086918</v>
      </c>
      <c r="M45" s="259">
        <v>0.000238402232734284</v>
      </c>
      <c r="N45" s="259">
        <v>0.000732741666461438</v>
      </c>
      <c r="O45" s="259">
        <v>0.398908937895706</v>
      </c>
      <c r="P45" s="259">
        <v>1.03659833568211</v>
      </c>
      <c r="Q45" s="259">
        <v>0.149419270797866</v>
      </c>
      <c r="R45" s="259">
        <v>0.534714987687316</v>
      </c>
      <c r="S45" s="259">
        <v>0.08465726134947579</v>
      </c>
      <c r="T45" s="259">
        <v>0.151595350418372</v>
      </c>
      <c r="U45" s="259">
        <v>0.171010548005184</v>
      </c>
      <c r="V45" s="259">
        <v>0.469908799433479</v>
      </c>
      <c r="W45" s="259"/>
      <c r="X45" s="119"/>
      <c r="Y45" s="258"/>
      <c r="Z45" s="258"/>
      <c r="AA45" s="258"/>
      <c r="AB45" s="258"/>
      <c r="AC45" s="258"/>
      <c r="AD45" s="260"/>
      <c r="AE45" s="261"/>
    </row>
    <row r="46" ht="21.25" customHeight="1">
      <c r="A46" t="s" s="10">
        <v>195</v>
      </c>
      <c r="B46" t="s" s="256">
        <v>929</v>
      </c>
      <c r="C46" s="257">
        <v>27</v>
      </c>
      <c r="D46" t="s" s="256">
        <v>966</v>
      </c>
      <c r="E46" s="119">
        <v>78.6725</v>
      </c>
      <c r="F46" s="258">
        <v>18.8015170236282</v>
      </c>
      <c r="G46" s="259">
        <v>0.494738580120782</v>
      </c>
      <c r="H46" s="259">
        <v>0.436164795087657</v>
      </c>
      <c r="I46" s="259">
        <v>0.930903375208439</v>
      </c>
      <c r="J46" s="259">
        <v>3.55706568968436</v>
      </c>
      <c r="K46" s="259">
        <v>0.218032569271233</v>
      </c>
      <c r="L46" s="259">
        <v>0.35624816347024</v>
      </c>
      <c r="M46" s="259">
        <v>6.61178649588316e-05</v>
      </c>
      <c r="N46" s="259">
        <v>0.000111483775881697</v>
      </c>
      <c r="O46" s="259">
        <v>0.558633145340089</v>
      </c>
      <c r="P46" s="259">
        <v>1.58222379739772</v>
      </c>
      <c r="Q46" s="259">
        <v>0.0407619984228149</v>
      </c>
      <c r="R46" s="259">
        <v>0.572412912014106</v>
      </c>
      <c r="S46" s="259">
        <v>0.07464433686072661</v>
      </c>
      <c r="T46" s="259">
        <v>0.488750971341119</v>
      </c>
      <c r="U46" s="259">
        <v>0.637129566059997</v>
      </c>
      <c r="V46" s="259">
        <v>0.434105533495862</v>
      </c>
      <c r="W46" s="259"/>
      <c r="X46" s="119"/>
      <c r="Y46" s="258"/>
      <c r="Z46" s="258"/>
      <c r="AA46" s="258"/>
      <c r="AB46" s="258"/>
      <c r="AC46" s="258"/>
      <c r="AD46" s="260"/>
      <c r="AE46" s="261"/>
    </row>
    <row r="47" ht="21.25" customHeight="1">
      <c r="A47" t="s" s="10">
        <v>292</v>
      </c>
      <c r="B47" t="s" s="256">
        <v>932</v>
      </c>
      <c r="C47" s="257">
        <v>29</v>
      </c>
      <c r="D47" t="s" s="256">
        <v>965</v>
      </c>
      <c r="E47" s="119">
        <v>80.42749999999999</v>
      </c>
      <c r="F47" s="258">
        <v>18.4363587716247</v>
      </c>
      <c r="G47" s="259">
        <v>0.454471877564236</v>
      </c>
      <c r="H47" s="259">
        <v>0.472127553127621</v>
      </c>
      <c r="I47" s="259">
        <v>0.926599430691857</v>
      </c>
      <c r="J47" s="259">
        <v>3.23760642651048</v>
      </c>
      <c r="K47" s="259">
        <v>0.104978542949605</v>
      </c>
      <c r="L47" s="259">
        <v>0.24002410082243</v>
      </c>
      <c r="M47" s="259">
        <v>6.78573400217465e-05</v>
      </c>
      <c r="N47" s="259">
        <v>0.000114544386101744</v>
      </c>
      <c r="O47" s="259">
        <v>0.323912101227391</v>
      </c>
      <c r="P47" s="259">
        <v>0.696731911582017</v>
      </c>
      <c r="Q47" s="259">
        <v>0.0977077601348013</v>
      </c>
      <c r="R47" s="259">
        <v>0.560355901210814</v>
      </c>
      <c r="S47" s="259">
        <v>0.07742461554772311</v>
      </c>
      <c r="T47" s="259">
        <v>0.479185708693913</v>
      </c>
      <c r="U47" s="259">
        <v>0.468374354115129</v>
      </c>
      <c r="V47" s="259">
        <v>0.505704838670983</v>
      </c>
      <c r="W47" s="259"/>
      <c r="X47" s="119"/>
      <c r="Y47" s="258"/>
      <c r="Z47" s="258"/>
      <c r="AA47" s="258"/>
      <c r="AB47" s="258"/>
      <c r="AC47" s="258"/>
      <c r="AD47" s="260"/>
      <c r="AE47" s="261"/>
    </row>
    <row r="48" ht="21.25" customHeight="1">
      <c r="A48" t="s" s="10">
        <v>315</v>
      </c>
      <c r="B48" t="s" s="256">
        <v>948</v>
      </c>
      <c r="C48" s="257">
        <v>29</v>
      </c>
      <c r="D48" t="s" s="256">
        <v>965</v>
      </c>
      <c r="E48" s="119">
        <v>78.16249999999999</v>
      </c>
      <c r="F48" s="258">
        <v>19.8714289886043</v>
      </c>
      <c r="G48" s="259">
        <v>0.375477455153252</v>
      </c>
      <c r="H48" s="259">
        <v>0.549091710080712</v>
      </c>
      <c r="I48" s="259">
        <v>0.924569165233964</v>
      </c>
      <c r="J48" s="259">
        <v>2.60219166799532</v>
      </c>
      <c r="K48" s="259">
        <v>0.120505742127386</v>
      </c>
      <c r="L48" s="259">
        <v>0.286814645563501</v>
      </c>
      <c r="M48" s="259">
        <v>0.0143065940532166</v>
      </c>
      <c r="N48" s="259">
        <v>0.0314358679556963</v>
      </c>
      <c r="O48" s="259">
        <v>0.36321092487031</v>
      </c>
      <c r="P48" s="259">
        <v>0.642999537175585</v>
      </c>
      <c r="Q48" s="259">
        <v>-0.00766668133444252</v>
      </c>
      <c r="R48" s="259">
        <v>0.445217810940763</v>
      </c>
      <c r="S48" s="259">
        <v>0.0452052677844121</v>
      </c>
      <c r="T48" s="259">
        <v>0.829943967915831</v>
      </c>
      <c r="U48" s="259">
        <v>1.59688291695554</v>
      </c>
      <c r="V48" s="259">
        <v>0.341987297524034</v>
      </c>
      <c r="W48" s="259"/>
      <c r="X48" s="119"/>
      <c r="Y48" s="258"/>
      <c r="Z48" s="258"/>
      <c r="AA48" s="258"/>
      <c r="AB48" s="258"/>
      <c r="AC48" s="258"/>
      <c r="AD48" s="260"/>
      <c r="AE48" s="261"/>
    </row>
    <row r="49" ht="21.25" customHeight="1">
      <c r="A49" t="s" s="10">
        <v>229</v>
      </c>
      <c r="B49" t="s" s="256">
        <v>931</v>
      </c>
      <c r="C49" s="257">
        <v>31</v>
      </c>
      <c r="D49" t="s" s="256">
        <v>915</v>
      </c>
      <c r="E49" s="119">
        <v>81.7525</v>
      </c>
      <c r="F49" s="258">
        <v>19.7583542392249</v>
      </c>
      <c r="G49" s="259">
        <v>0.350668387978671</v>
      </c>
      <c r="H49" s="259">
        <v>0.5737054809112641</v>
      </c>
      <c r="I49" s="259">
        <v>0.924373868889935</v>
      </c>
      <c r="J49" s="259">
        <v>2.75933818955023</v>
      </c>
      <c r="K49" s="259">
        <v>0.153297676401222</v>
      </c>
      <c r="L49" s="259">
        <v>0.36367338273771</v>
      </c>
      <c r="M49" s="259">
        <v>0.0121276068809933</v>
      </c>
      <c r="N49" s="259">
        <v>0.0472517873665038</v>
      </c>
      <c r="O49" s="259">
        <v>0.643731593632322</v>
      </c>
      <c r="P49" s="259">
        <v>0.72899331731965</v>
      </c>
      <c r="Q49" s="259">
        <v>0.0550412427761648</v>
      </c>
      <c r="R49" s="259">
        <v>0.268046506570662</v>
      </c>
      <c r="S49" s="259">
        <v>0.0573196599115005</v>
      </c>
      <c r="T49" s="259">
        <v>7.32389314007711</v>
      </c>
      <c r="U49" s="259">
        <v>7.29853392900089</v>
      </c>
      <c r="V49" s="259">
        <v>0.500867134127475</v>
      </c>
      <c r="W49" s="259"/>
      <c r="X49" s="119"/>
      <c r="Y49" s="258"/>
      <c r="Z49" s="258"/>
      <c r="AA49" s="258"/>
      <c r="AB49" s="258"/>
      <c r="AC49" s="258"/>
      <c r="AD49" s="260"/>
      <c r="AE49" s="261"/>
    </row>
    <row r="50" ht="21.25" customHeight="1">
      <c r="A50" t="s" s="10">
        <v>228</v>
      </c>
      <c r="B50" t="s" s="256">
        <v>949</v>
      </c>
      <c r="C50" s="257">
        <v>24</v>
      </c>
      <c r="D50" t="s" s="256">
        <v>966</v>
      </c>
      <c r="E50" s="119">
        <v>75.07250000000001</v>
      </c>
      <c r="F50" s="258">
        <v>17.9672135483388</v>
      </c>
      <c r="G50" s="259">
        <v>0.366321570225736</v>
      </c>
      <c r="H50" s="259">
        <v>0.557129995511775</v>
      </c>
      <c r="I50" s="259">
        <v>0.923451565737511</v>
      </c>
      <c r="J50" s="259">
        <v>2.86504911732454</v>
      </c>
      <c r="K50" s="259">
        <v>0.08739399388542091</v>
      </c>
      <c r="L50" s="259">
        <v>0.287638749075339</v>
      </c>
      <c r="M50" s="259">
        <v>0.000142280648101835</v>
      </c>
      <c r="N50" s="259">
        <v>0.000239244128457725</v>
      </c>
      <c r="O50" s="259">
        <v>0.3564664665521</v>
      </c>
      <c r="P50" s="259">
        <v>2.15591217473413</v>
      </c>
      <c r="Q50" s="259">
        <v>0.088078923354491</v>
      </c>
      <c r="R50" s="259">
        <v>0.881792657409236</v>
      </c>
      <c r="S50" s="259">
        <v>0.0634782480212038</v>
      </c>
      <c r="T50" s="259">
        <v>0.0442497552734681</v>
      </c>
      <c r="U50" s="259">
        <v>0.08716004096818369</v>
      </c>
      <c r="V50" s="259">
        <v>0.336731024162738</v>
      </c>
      <c r="W50" s="259"/>
      <c r="X50" s="119"/>
      <c r="Y50" s="258"/>
      <c r="Z50" s="258"/>
      <c r="AA50" s="258"/>
      <c r="AB50" s="258"/>
      <c r="AC50" s="258"/>
      <c r="AD50" s="260"/>
      <c r="AE50" s="261"/>
    </row>
    <row r="51" ht="21.25" customHeight="1">
      <c r="A51" t="s" s="10">
        <v>252</v>
      </c>
      <c r="B51" t="s" s="256">
        <v>934</v>
      </c>
      <c r="C51" s="257">
        <v>28</v>
      </c>
      <c r="D51" t="s" s="256">
        <v>917</v>
      </c>
      <c r="E51" s="119">
        <v>76.4875</v>
      </c>
      <c r="F51" s="258">
        <v>19.886386341682</v>
      </c>
      <c r="G51" s="259">
        <v>0.363783397043251</v>
      </c>
      <c r="H51" s="259">
        <v>0.5559142643703679</v>
      </c>
      <c r="I51" s="259">
        <v>0.919697661413619</v>
      </c>
      <c r="J51" s="259">
        <v>2.75348526293544</v>
      </c>
      <c r="K51" s="259">
        <v>0.06642414874418739</v>
      </c>
      <c r="L51" s="259">
        <v>0.218887142442226</v>
      </c>
      <c r="M51" s="259">
        <v>0.0135840299446321</v>
      </c>
      <c r="N51" s="259">
        <v>0.0147411298199593</v>
      </c>
      <c r="O51" s="259">
        <v>0.92372950406496</v>
      </c>
      <c r="P51" s="259">
        <v>0.899125058841579</v>
      </c>
      <c r="Q51" s="259">
        <v>0.0134105601112855</v>
      </c>
      <c r="R51" s="259">
        <v>0.455486701278454</v>
      </c>
      <c r="S51" s="259">
        <v>0.0514591389920522</v>
      </c>
      <c r="T51" s="259">
        <v>0.523050867358991</v>
      </c>
      <c r="U51" s="259">
        <v>0.757725829636786</v>
      </c>
      <c r="V51" s="259">
        <v>0.408385683925912</v>
      </c>
      <c r="W51" s="259"/>
      <c r="X51" s="119"/>
      <c r="Y51" s="258"/>
      <c r="Z51" s="258"/>
      <c r="AA51" s="258"/>
      <c r="AB51" s="258"/>
      <c r="AC51" s="258"/>
      <c r="AD51" s="260"/>
      <c r="AE51" s="261"/>
    </row>
    <row r="52" ht="21.25" customHeight="1">
      <c r="A52" t="s" s="10">
        <v>135</v>
      </c>
      <c r="B52" t="s" s="256">
        <v>940</v>
      </c>
      <c r="C52" s="257">
        <v>24</v>
      </c>
      <c r="D52" t="s" s="256">
        <v>965</v>
      </c>
      <c r="E52" s="119">
        <v>81.55249999999999</v>
      </c>
      <c r="F52" s="258">
        <v>18.6435907241008</v>
      </c>
      <c r="G52" s="259">
        <v>0.419614740741339</v>
      </c>
      <c r="H52" s="259">
        <v>0.497985720312526</v>
      </c>
      <c r="I52" s="259">
        <v>0.9176004610538649</v>
      </c>
      <c r="J52" s="259">
        <v>4.02180549322684</v>
      </c>
      <c r="K52" s="259">
        <v>0.11074262505721</v>
      </c>
      <c r="L52" s="259">
        <v>0.236681978613691</v>
      </c>
      <c r="M52" s="259">
        <v>0.000219615794501967</v>
      </c>
      <c r="N52" s="259">
        <v>0.000370405011831337</v>
      </c>
      <c r="O52" s="259">
        <v>0.350442648059885</v>
      </c>
      <c r="P52" s="259">
        <v>3.17340911082601</v>
      </c>
      <c r="Q52" s="259">
        <v>0.0236264967651974</v>
      </c>
      <c r="R52" s="259">
        <v>1.0131402111019</v>
      </c>
      <c r="S52" s="259">
        <v>0.0651511635013628</v>
      </c>
      <c r="T52" s="259">
        <v>2.72351157497628</v>
      </c>
      <c r="U52" s="259">
        <v>2.66193988720119</v>
      </c>
      <c r="V52" s="259">
        <v>0.505716483400464</v>
      </c>
      <c r="W52" s="259"/>
      <c r="X52" s="119"/>
      <c r="Y52" s="258"/>
      <c r="Z52" s="258"/>
      <c r="AA52" s="258"/>
      <c r="AB52" s="258"/>
      <c r="AC52" s="258"/>
      <c r="AD52" s="260"/>
      <c r="AE52" s="261"/>
    </row>
    <row r="53" ht="21.25" customHeight="1">
      <c r="A53" t="s" s="10">
        <v>295</v>
      </c>
      <c r="B53" t="s" s="256">
        <v>938</v>
      </c>
      <c r="C53" s="257">
        <v>31</v>
      </c>
      <c r="D53" t="s" s="256">
        <v>915</v>
      </c>
      <c r="E53" s="119">
        <v>78.9725</v>
      </c>
      <c r="F53" s="258">
        <v>20.3001794042974</v>
      </c>
      <c r="G53" s="259">
        <v>0.397229301582954</v>
      </c>
      <c r="H53" s="259">
        <v>0.518533937150898</v>
      </c>
      <c r="I53" s="259">
        <v>0.915763238733852</v>
      </c>
      <c r="J53" s="259">
        <v>2.28009783010959</v>
      </c>
      <c r="K53" s="259">
        <v>0.099935893259924</v>
      </c>
      <c r="L53" s="259">
        <v>0.247867069654919</v>
      </c>
      <c r="M53" s="259">
        <v>0.000270583323848685</v>
      </c>
      <c r="N53" s="259">
        <v>0.0004599166355178</v>
      </c>
      <c r="O53" s="259">
        <v>0.529514634504644</v>
      </c>
      <c r="P53" s="259">
        <v>0.773674095172688</v>
      </c>
      <c r="Q53" s="259">
        <v>0.0194781287140026</v>
      </c>
      <c r="R53" s="259">
        <v>0.460752828234083</v>
      </c>
      <c r="S53" s="259">
        <v>0.0660300594848027</v>
      </c>
      <c r="T53" s="259">
        <v>7.78729197710236</v>
      </c>
      <c r="U53" s="259">
        <v>8.209960896208489</v>
      </c>
      <c r="V53" s="259">
        <v>0.486789328066093</v>
      </c>
      <c r="W53" s="259"/>
      <c r="X53" s="119"/>
      <c r="Y53" s="258"/>
      <c r="Z53" s="258"/>
      <c r="AA53" s="258"/>
      <c r="AB53" s="258"/>
      <c r="AC53" s="258"/>
      <c r="AD53" s="260"/>
      <c r="AE53" s="261"/>
    </row>
    <row r="54" ht="21.25" customHeight="1">
      <c r="A54" t="s" s="10">
        <v>255</v>
      </c>
      <c r="B54" t="s" s="256">
        <v>937</v>
      </c>
      <c r="C54" s="257">
        <v>27</v>
      </c>
      <c r="D54" t="s" s="256">
        <v>915</v>
      </c>
      <c r="E54" s="119">
        <v>80.2375</v>
      </c>
      <c r="F54" s="258">
        <v>18.4107987578245</v>
      </c>
      <c r="G54" s="259">
        <v>0.4292996600392</v>
      </c>
      <c r="H54" s="259">
        <v>0.48177140510448</v>
      </c>
      <c r="I54" s="259">
        <v>0.91107106514368</v>
      </c>
      <c r="J54" s="259">
        <v>2.51582830210099</v>
      </c>
      <c r="K54" s="259">
        <v>0.114920528536534</v>
      </c>
      <c r="L54" s="259">
        <v>0.279592859249242</v>
      </c>
      <c r="M54" s="259">
        <v>0.0305743414534426</v>
      </c>
      <c r="N54" s="259">
        <v>0.0400704734128828</v>
      </c>
      <c r="O54" s="259">
        <v>0.552164477244615</v>
      </c>
      <c r="P54" s="259">
        <v>0.614500450559163</v>
      </c>
      <c r="Q54" s="259">
        <v>0.107994648511308</v>
      </c>
      <c r="R54" s="259">
        <v>0.376139961909931</v>
      </c>
      <c r="S54" s="259">
        <v>0.068653049458647</v>
      </c>
      <c r="T54" s="259">
        <v>4.1166071141759</v>
      </c>
      <c r="U54" s="259">
        <v>3.50711065045135</v>
      </c>
      <c r="V54" s="259">
        <v>0.539973703286375</v>
      </c>
      <c r="W54" s="259"/>
      <c r="X54" s="119"/>
      <c r="Y54" s="258"/>
      <c r="Z54" s="258"/>
      <c r="AA54" s="258"/>
      <c r="AB54" s="258"/>
      <c r="AC54" s="258"/>
      <c r="AD54" s="260"/>
      <c r="AE54" s="261"/>
    </row>
    <row r="55" ht="21.25" customHeight="1">
      <c r="A55" t="s" s="10">
        <v>249</v>
      </c>
      <c r="B55" t="s" s="256">
        <v>937</v>
      </c>
      <c r="C55" s="257">
        <v>21</v>
      </c>
      <c r="D55" t="s" s="256">
        <v>967</v>
      </c>
      <c r="E55" s="119">
        <v>82.03</v>
      </c>
      <c r="F55" s="258">
        <v>19.9465854027308</v>
      </c>
      <c r="G55" s="259">
        <v>0.441651714541683</v>
      </c>
      <c r="H55" s="259">
        <v>0.461071127799923</v>
      </c>
      <c r="I55" s="259">
        <v>0.902722842341606</v>
      </c>
      <c r="J55" s="259">
        <v>3.02068679917346</v>
      </c>
      <c r="K55" s="259">
        <v>0.08080254571994611</v>
      </c>
      <c r="L55" s="259">
        <v>0.231308305946363</v>
      </c>
      <c r="M55" s="259">
        <v>0.0308009197291974</v>
      </c>
      <c r="N55" s="259">
        <v>0.0325585595596294</v>
      </c>
      <c r="O55" s="259">
        <v>0.54196983778063</v>
      </c>
      <c r="P55" s="259">
        <v>0.629015925894977</v>
      </c>
      <c r="Q55" s="259">
        <v>0.0825274044636387</v>
      </c>
      <c r="R55" s="259">
        <v>0.456753416320361</v>
      </c>
      <c r="S55" s="259">
        <v>0.0706283741271954</v>
      </c>
      <c r="T55" s="259">
        <v>3.99767008610226</v>
      </c>
      <c r="U55" s="259">
        <v>4.47199698988436</v>
      </c>
      <c r="V55" s="259">
        <v>0.471998491822251</v>
      </c>
      <c r="W55" s="259"/>
      <c r="X55" s="119"/>
      <c r="Y55" s="258"/>
      <c r="Z55" s="258"/>
      <c r="AA55" s="258"/>
      <c r="AB55" s="258"/>
      <c r="AC55" s="258"/>
      <c r="AD55" s="260"/>
      <c r="AE55" s="261"/>
    </row>
    <row r="56" ht="21.25" customHeight="1">
      <c r="A56" t="s" s="10">
        <v>233</v>
      </c>
      <c r="B56" t="s" s="256">
        <v>930</v>
      </c>
      <c r="C56" s="257">
        <v>34</v>
      </c>
      <c r="D56" t="s" s="256">
        <v>965</v>
      </c>
      <c r="E56" s="119">
        <v>81.26000000000001</v>
      </c>
      <c r="F56" s="258">
        <v>18.0168049660739</v>
      </c>
      <c r="G56" s="259">
        <v>0.392532767693569</v>
      </c>
      <c r="H56" s="259">
        <v>0.505017543196308</v>
      </c>
      <c r="I56" s="259">
        <v>0.897550310889877</v>
      </c>
      <c r="J56" s="259">
        <v>3.02507369268535</v>
      </c>
      <c r="K56" s="259">
        <v>0.163003724629789</v>
      </c>
      <c r="L56" s="259">
        <v>0.371384394297857</v>
      </c>
      <c r="M56" s="259">
        <v>0.000104031575665811</v>
      </c>
      <c r="N56" s="259">
        <v>0.00017678108842642</v>
      </c>
      <c r="O56" s="259">
        <v>0.54065022294413</v>
      </c>
      <c r="P56" s="259">
        <v>0.992476786362506</v>
      </c>
      <c r="Q56" s="259">
        <v>-0.00178844567265885</v>
      </c>
      <c r="R56" s="259">
        <v>0.471253638126264</v>
      </c>
      <c r="S56" s="259">
        <v>0.0555798215292984</v>
      </c>
      <c r="T56" s="259">
        <v>4.93455008018925</v>
      </c>
      <c r="U56" s="259">
        <v>4.20991692953711</v>
      </c>
      <c r="V56" s="259">
        <v>0.539621398922507</v>
      </c>
      <c r="W56" s="259"/>
      <c r="X56" s="119"/>
      <c r="Y56" s="258"/>
      <c r="Z56" s="258"/>
      <c r="AA56" s="258"/>
      <c r="AB56" s="258"/>
      <c r="AC56" s="258"/>
      <c r="AD56" s="260"/>
      <c r="AE56" s="261"/>
    </row>
    <row r="57" ht="21.25" customHeight="1">
      <c r="A57" t="s" s="10">
        <v>184</v>
      </c>
      <c r="B57" t="s" s="256">
        <v>924</v>
      </c>
      <c r="C57" s="257">
        <v>24</v>
      </c>
      <c r="D57" t="s" s="256">
        <v>918</v>
      </c>
      <c r="E57" s="119">
        <v>81.7525</v>
      </c>
      <c r="F57" s="258">
        <v>23.4995414380258</v>
      </c>
      <c r="G57" s="259">
        <v>0.197496140437447</v>
      </c>
      <c r="H57" s="259">
        <v>0.690965528722022</v>
      </c>
      <c r="I57" s="259">
        <v>0.888461669159469</v>
      </c>
      <c r="J57" s="259">
        <v>2.69577601697008</v>
      </c>
      <c r="K57" s="259">
        <v>0.0798551978304388</v>
      </c>
      <c r="L57" s="259">
        <v>0.373707503985088</v>
      </c>
      <c r="M57" s="259">
        <v>0.000243037294469043</v>
      </c>
      <c r="N57" s="259">
        <v>0.00530085407002408</v>
      </c>
      <c r="O57" s="259">
        <v>1.35453587900385</v>
      </c>
      <c r="P57" s="259">
        <v>1.06665856740362</v>
      </c>
      <c r="Q57" s="259">
        <v>0.145202168128094</v>
      </c>
      <c r="R57" s="259">
        <v>0.436095862160719</v>
      </c>
      <c r="S57" s="259">
        <v>0.0318907203848085</v>
      </c>
      <c r="T57" s="259">
        <v>0</v>
      </c>
      <c r="U57" s="259">
        <v>0</v>
      </c>
      <c r="V57" s="259">
        <v>0</v>
      </c>
      <c r="W57" s="259"/>
      <c r="X57" s="119"/>
      <c r="Y57" s="258"/>
      <c r="Z57" s="258"/>
      <c r="AA57" s="258"/>
      <c r="AB57" s="258"/>
      <c r="AC57" s="258"/>
      <c r="AD57" s="260"/>
      <c r="AE57" s="261"/>
    </row>
    <row r="58" ht="21.25" customHeight="1">
      <c r="A58" t="s" s="10">
        <v>191</v>
      </c>
      <c r="B58" t="s" s="256">
        <v>944</v>
      </c>
      <c r="C58" s="257">
        <v>38</v>
      </c>
      <c r="D58" t="s" s="256">
        <v>916</v>
      </c>
      <c r="E58" s="119">
        <v>79.76000000000001</v>
      </c>
      <c r="F58" s="258">
        <v>19.4551309433751</v>
      </c>
      <c r="G58" s="259">
        <v>0.450000453280423</v>
      </c>
      <c r="H58" s="259">
        <v>0.437929119912881</v>
      </c>
      <c r="I58" s="259">
        <v>0.887929573193304</v>
      </c>
      <c r="J58" s="259">
        <v>3.60895171487989</v>
      </c>
      <c r="K58" s="259">
        <v>0.171419005744259</v>
      </c>
      <c r="L58" s="259">
        <v>0.344461889988927</v>
      </c>
      <c r="M58" s="259">
        <v>8.30594029993678e-05</v>
      </c>
      <c r="N58" s="259">
        <v>0.000105365319468208</v>
      </c>
      <c r="O58" s="259">
        <v>0.349265577083861</v>
      </c>
      <c r="P58" s="259">
        <v>2.009467848837</v>
      </c>
      <c r="Q58" s="259">
        <v>-0.041719025077755</v>
      </c>
      <c r="R58" s="259">
        <v>0.352934184026918</v>
      </c>
      <c r="S58" s="259">
        <v>0.0638607050915397</v>
      </c>
      <c r="T58" s="259">
        <v>0.0133670684960183</v>
      </c>
      <c r="U58" s="259">
        <v>0.0457666258384129</v>
      </c>
      <c r="V58" s="259">
        <v>0.22604825635315</v>
      </c>
      <c r="W58" s="259"/>
      <c r="X58" s="119"/>
      <c r="Y58" s="258"/>
      <c r="Z58" s="258"/>
      <c r="AA58" s="258"/>
      <c r="AB58" s="258"/>
      <c r="AC58" s="258"/>
      <c r="AD58" s="260"/>
      <c r="AE58" s="261"/>
    </row>
    <row r="59" ht="21.25" customHeight="1">
      <c r="A59" t="s" s="10">
        <v>221</v>
      </c>
      <c r="B59" t="s" s="256">
        <v>927</v>
      </c>
      <c r="C59" s="257">
        <v>33</v>
      </c>
      <c r="D59" t="s" s="256">
        <v>918</v>
      </c>
      <c r="E59" s="119">
        <v>80.495</v>
      </c>
      <c r="F59" s="258">
        <v>24.4553251078458</v>
      </c>
      <c r="G59" s="259">
        <v>0.1622932361102</v>
      </c>
      <c r="H59" s="259">
        <v>0.7242559467295649</v>
      </c>
      <c r="I59" s="259">
        <v>0.886549182839765</v>
      </c>
      <c r="J59" s="259">
        <v>2.30157998297693</v>
      </c>
      <c r="K59" s="259">
        <v>0.0505983408241124</v>
      </c>
      <c r="L59" s="259">
        <v>0.381794707915404</v>
      </c>
      <c r="M59" s="259">
        <v>0.00262449752519414</v>
      </c>
      <c r="N59" s="259">
        <v>0.0061178477177491</v>
      </c>
      <c r="O59" s="259">
        <v>1.45915601680256</v>
      </c>
      <c r="P59" s="259">
        <v>1.01817574679878</v>
      </c>
      <c r="Q59" s="259">
        <v>0.0312198971823727</v>
      </c>
      <c r="R59" s="259">
        <v>0.514139972831828</v>
      </c>
      <c r="S59" s="259">
        <v>0.0255711855179254</v>
      </c>
      <c r="T59" s="259">
        <v>0</v>
      </c>
      <c r="U59" s="259">
        <v>0</v>
      </c>
      <c r="V59" s="259">
        <v>0</v>
      </c>
      <c r="W59" s="259"/>
      <c r="X59" s="119"/>
      <c r="Y59" s="258"/>
      <c r="Z59" s="258"/>
      <c r="AA59" s="258"/>
      <c r="AB59" s="258"/>
      <c r="AC59" s="258"/>
      <c r="AD59" s="260"/>
      <c r="AE59" s="261"/>
    </row>
    <row r="60" ht="21.25" customHeight="1">
      <c r="A60" t="s" s="10">
        <v>306</v>
      </c>
      <c r="B60" t="s" s="256">
        <v>942</v>
      </c>
      <c r="C60" s="257">
        <v>22</v>
      </c>
      <c r="D60" t="s" s="256">
        <v>966</v>
      </c>
      <c r="E60" s="119">
        <v>80.93000000000001</v>
      </c>
      <c r="F60" s="258">
        <v>18.7340133808761</v>
      </c>
      <c r="G60" s="259">
        <v>0.363613427352907</v>
      </c>
      <c r="H60" s="259">
        <v>0.517870682640946</v>
      </c>
      <c r="I60" s="259">
        <v>0.881484109993853</v>
      </c>
      <c r="J60" s="259">
        <v>2.18916720873033</v>
      </c>
      <c r="K60" s="259">
        <v>0.07916255796199401</v>
      </c>
      <c r="L60" s="259">
        <v>0.249674478456345</v>
      </c>
      <c r="M60" s="259">
        <v>0.00070527112796674</v>
      </c>
      <c r="N60" s="259">
        <v>0.00118398026829662</v>
      </c>
      <c r="O60" s="259">
        <v>0.350674785773739</v>
      </c>
      <c r="P60" s="259">
        <v>0.812107042896222</v>
      </c>
      <c r="Q60" s="259">
        <v>-0.0543528268321371</v>
      </c>
      <c r="R60" s="259">
        <v>0.35911061368321</v>
      </c>
      <c r="S60" s="259">
        <v>0.0499396371881794</v>
      </c>
      <c r="T60" s="259">
        <v>0.066788847380158</v>
      </c>
      <c r="U60" s="259">
        <v>0.116978908858263</v>
      </c>
      <c r="V60" s="259">
        <v>0.363441600133082</v>
      </c>
      <c r="W60" s="259"/>
      <c r="X60" s="119"/>
      <c r="Y60" s="258"/>
      <c r="Z60" s="258"/>
      <c r="AA60" s="258"/>
      <c r="AB60" s="258"/>
      <c r="AC60" s="258"/>
      <c r="AD60" s="260"/>
      <c r="AE60" s="261"/>
    </row>
    <row r="61" ht="21.25" customHeight="1">
      <c r="A61" t="s" s="10">
        <v>241</v>
      </c>
      <c r="B61" t="s" s="256">
        <v>956</v>
      </c>
      <c r="C61" s="257">
        <v>27</v>
      </c>
      <c r="D61" t="s" s="256">
        <v>966</v>
      </c>
      <c r="E61" s="119">
        <v>77.64</v>
      </c>
      <c r="F61" s="258">
        <v>19.6229153737227</v>
      </c>
      <c r="G61" s="259">
        <v>0.405089302398379</v>
      </c>
      <c r="H61" s="259">
        <v>0.474326861219433</v>
      </c>
      <c r="I61" s="259">
        <v>0.8794161636178121</v>
      </c>
      <c r="J61" s="259">
        <v>3.11781738894374</v>
      </c>
      <c r="K61" s="259">
        <v>0.0540057355810921</v>
      </c>
      <c r="L61" s="259">
        <v>0.152696274696133</v>
      </c>
      <c r="M61" s="259">
        <v>0.0577270881979091</v>
      </c>
      <c r="N61" s="259">
        <v>0.0796262068235524</v>
      </c>
      <c r="O61" s="259">
        <v>0.485274080742591</v>
      </c>
      <c r="P61" s="259">
        <v>1.07246833204491</v>
      </c>
      <c r="Q61" s="259">
        <v>-0.0207801360458605</v>
      </c>
      <c r="R61" s="259">
        <v>0.6777344343783001</v>
      </c>
      <c r="S61" s="259">
        <v>0.0587175027776396</v>
      </c>
      <c r="T61" s="259">
        <v>0.473327485914121</v>
      </c>
      <c r="U61" s="259">
        <v>0.638427907695406</v>
      </c>
      <c r="V61" s="259">
        <v>0.425747865614011</v>
      </c>
      <c r="W61" s="259"/>
      <c r="X61" s="119"/>
      <c r="Y61" s="258"/>
      <c r="Z61" s="258"/>
      <c r="AA61" s="258"/>
      <c r="AB61" s="258"/>
      <c r="AC61" s="258"/>
      <c r="AD61" s="260"/>
      <c r="AE61" s="261"/>
    </row>
    <row r="62" ht="21.25" customHeight="1">
      <c r="A62" t="s" s="10">
        <v>169</v>
      </c>
      <c r="B62" t="s" s="256">
        <v>931</v>
      </c>
      <c r="C62" s="257">
        <v>31</v>
      </c>
      <c r="D62" t="s" s="256">
        <v>915</v>
      </c>
      <c r="E62" s="119">
        <v>81.93000000000001</v>
      </c>
      <c r="F62" s="258">
        <v>21.6046958174308</v>
      </c>
      <c r="G62" s="259">
        <v>0.305379074821727</v>
      </c>
      <c r="H62" s="259">
        <v>0.569027620076747</v>
      </c>
      <c r="I62" s="259">
        <v>0.874406694898474</v>
      </c>
      <c r="J62" s="259">
        <v>2.70993132745823</v>
      </c>
      <c r="K62" s="259">
        <v>0.108258120863853</v>
      </c>
      <c r="L62" s="259">
        <v>0.2388454630093</v>
      </c>
      <c r="M62" s="259">
        <v>0.00862493536199886</v>
      </c>
      <c r="N62" s="259">
        <v>0.0104753124898738</v>
      </c>
      <c r="O62" s="259">
        <v>0.898277574315683</v>
      </c>
      <c r="P62" s="259">
        <v>2.07090860952524</v>
      </c>
      <c r="Q62" s="259">
        <v>0.0643778224109494</v>
      </c>
      <c r="R62" s="259">
        <v>0.754997251393183</v>
      </c>
      <c r="S62" s="259">
        <v>0.0499167456005038</v>
      </c>
      <c r="T62" s="259">
        <v>10.4329759150634</v>
      </c>
      <c r="U62" s="259">
        <v>7.88740201849295</v>
      </c>
      <c r="V62" s="259">
        <v>0.569473836888156</v>
      </c>
      <c r="W62" s="259"/>
      <c r="X62" s="119"/>
      <c r="Y62" s="258"/>
      <c r="Z62" s="258"/>
      <c r="AA62" s="258"/>
      <c r="AB62" s="258"/>
      <c r="AC62" s="258"/>
      <c r="AD62" s="260"/>
      <c r="AE62" s="261"/>
    </row>
    <row r="63" ht="21.25" customHeight="1">
      <c r="A63" t="s" s="10">
        <v>310</v>
      </c>
      <c r="B63" t="s" s="256">
        <v>933</v>
      </c>
      <c r="C63" s="257">
        <v>23</v>
      </c>
      <c r="D63" t="s" s="256">
        <v>966</v>
      </c>
      <c r="E63" s="119">
        <v>77.15000000000001</v>
      </c>
      <c r="F63" s="258">
        <v>18.3715980708901</v>
      </c>
      <c r="G63" s="259">
        <v>0.385930160531066</v>
      </c>
      <c r="H63" s="259">
        <v>0.488129998925864</v>
      </c>
      <c r="I63" s="259">
        <v>0.8740601594569301</v>
      </c>
      <c r="J63" s="259">
        <v>2.93323277008146</v>
      </c>
      <c r="K63" s="259">
        <v>0.109377290379505</v>
      </c>
      <c r="L63" s="259">
        <v>0.30183432847116</v>
      </c>
      <c r="M63" s="259">
        <v>0.000504206474970084</v>
      </c>
      <c r="N63" s="259">
        <v>0.000849092026904525</v>
      </c>
      <c r="O63" s="259">
        <v>0.413140524501045</v>
      </c>
      <c r="P63" s="259">
        <v>0.5878423728240481</v>
      </c>
      <c r="Q63" s="259">
        <v>0.0410608616373312</v>
      </c>
      <c r="R63" s="259">
        <v>0.511027111708976</v>
      </c>
      <c r="S63" s="259">
        <v>0.0637090140015014</v>
      </c>
      <c r="T63" s="259">
        <v>0.55526307107446</v>
      </c>
      <c r="U63" s="259">
        <v>0.6394004031206439</v>
      </c>
      <c r="V63" s="259">
        <v>0.464786178759307</v>
      </c>
      <c r="W63" s="259"/>
      <c r="X63" s="119"/>
      <c r="Y63" s="258"/>
      <c r="Z63" s="258"/>
      <c r="AA63" s="258"/>
      <c r="AB63" s="258"/>
      <c r="AC63" s="258"/>
      <c r="AD63" s="260"/>
      <c r="AE63" s="261"/>
    </row>
    <row r="64" ht="21.25" customHeight="1">
      <c r="A64" t="s" s="10">
        <v>262</v>
      </c>
      <c r="B64" t="s" s="256">
        <v>927</v>
      </c>
      <c r="C64" s="257">
        <v>26</v>
      </c>
      <c r="D64" t="s" s="256">
        <v>966</v>
      </c>
      <c r="E64" s="119">
        <v>81.3925</v>
      </c>
      <c r="F64" s="258">
        <v>19.9186361090581</v>
      </c>
      <c r="G64" s="259">
        <v>0.356584343554509</v>
      </c>
      <c r="H64" s="259">
        <v>0.513686521527242</v>
      </c>
      <c r="I64" s="259">
        <v>0.870270865081751</v>
      </c>
      <c r="J64" s="259">
        <v>2.35152137090744</v>
      </c>
      <c r="K64" s="259">
        <v>0.086565928893171</v>
      </c>
      <c r="L64" s="259">
        <v>0.208444448915557</v>
      </c>
      <c r="M64" s="259">
        <v>0.00702571218127071</v>
      </c>
      <c r="N64" s="259">
        <v>0.0311211633078638</v>
      </c>
      <c r="O64" s="259">
        <v>0.572074044174016</v>
      </c>
      <c r="P64" s="259">
        <v>0.781137168266105</v>
      </c>
      <c r="Q64" s="259">
        <v>0.0403612878309516</v>
      </c>
      <c r="R64" s="259">
        <v>0.598355219402365</v>
      </c>
      <c r="S64" s="259">
        <v>0.0561840075431642</v>
      </c>
      <c r="T64" s="259">
        <v>0.304965312159612</v>
      </c>
      <c r="U64" s="259">
        <v>0.523696003132997</v>
      </c>
      <c r="V64" s="259">
        <v>0.368021659188864</v>
      </c>
      <c r="W64" s="259"/>
      <c r="X64" s="119"/>
      <c r="Y64" s="258"/>
      <c r="Z64" s="258"/>
      <c r="AA64" s="258"/>
      <c r="AB64" s="258"/>
      <c r="AC64" s="258"/>
      <c r="AD64" s="260"/>
      <c r="AE64" s="261"/>
    </row>
    <row r="65" ht="21.25" customHeight="1">
      <c r="A65" t="s" s="10">
        <v>334</v>
      </c>
      <c r="B65" t="s" s="256">
        <v>944</v>
      </c>
      <c r="C65" s="257">
        <v>27</v>
      </c>
      <c r="D65" t="s" s="256">
        <v>915</v>
      </c>
      <c r="E65" s="119">
        <v>80.5925</v>
      </c>
      <c r="F65" s="258">
        <v>18.2168884104208</v>
      </c>
      <c r="G65" s="259">
        <v>0.33946261852392</v>
      </c>
      <c r="H65" s="259">
        <v>0.52844638571953</v>
      </c>
      <c r="I65" s="259">
        <v>0.86790900424345</v>
      </c>
      <c r="J65" s="259">
        <v>2.12838368260599</v>
      </c>
      <c r="K65" s="259">
        <v>0.0753983531530083</v>
      </c>
      <c r="L65" s="259">
        <v>0.287738296698469</v>
      </c>
      <c r="M65" s="259">
        <v>0.000156821398887776</v>
      </c>
      <c r="N65" s="259">
        <v>0.000265569626685918</v>
      </c>
      <c r="O65" s="259">
        <v>0.666529213397689</v>
      </c>
      <c r="P65" s="259">
        <v>0.255361175671376</v>
      </c>
      <c r="Q65" s="259">
        <v>0.00179498512741399</v>
      </c>
      <c r="R65" s="259">
        <v>0.350622611459547</v>
      </c>
      <c r="S65" s="259">
        <v>0.0481740007440588</v>
      </c>
      <c r="T65" s="259">
        <v>8.06924495879815</v>
      </c>
      <c r="U65" s="259">
        <v>7.64741862744493</v>
      </c>
      <c r="V65" s="259">
        <v>0.513419716246979</v>
      </c>
      <c r="W65" s="259"/>
      <c r="X65" s="119"/>
      <c r="Y65" s="258"/>
      <c r="Z65" s="258"/>
      <c r="AA65" s="258"/>
      <c r="AB65" s="258"/>
      <c r="AC65" s="258"/>
      <c r="AD65" s="260"/>
      <c r="AE65" s="261"/>
    </row>
    <row r="66" ht="21.25" customHeight="1">
      <c r="A66" t="s" s="10">
        <v>294</v>
      </c>
      <c r="B66" t="s" s="256">
        <v>939</v>
      </c>
      <c r="C66" s="257">
        <v>34</v>
      </c>
      <c r="D66" t="s" s="256">
        <v>918</v>
      </c>
      <c r="E66" s="119">
        <v>78.83</v>
      </c>
      <c r="F66" s="258">
        <v>24.3868461809675</v>
      </c>
      <c r="G66" s="259">
        <v>0.193314906093721</v>
      </c>
      <c r="H66" s="259">
        <v>0.668153706409836</v>
      </c>
      <c r="I66" s="259">
        <v>0.861468612503557</v>
      </c>
      <c r="J66" s="259">
        <v>2.53539636668348</v>
      </c>
      <c r="K66" s="259">
        <v>0.0348747283072806</v>
      </c>
      <c r="L66" s="259">
        <v>0.261215400818693</v>
      </c>
      <c r="M66" s="259">
        <v>6.50940814551257e-05</v>
      </c>
      <c r="N66" s="259">
        <v>0.000324092532401702</v>
      </c>
      <c r="O66" s="259">
        <v>1.21551440891454</v>
      </c>
      <c r="P66" s="259">
        <v>0.571028053336646</v>
      </c>
      <c r="Q66" s="259">
        <v>0.0281459099456927</v>
      </c>
      <c r="R66" s="259">
        <v>0.441331389401673</v>
      </c>
      <c r="S66" s="259">
        <v>0.0286575627197493</v>
      </c>
      <c r="T66" s="259">
        <v>0</v>
      </c>
      <c r="U66" s="259">
        <v>0.00188484002163022</v>
      </c>
      <c r="V66" s="259">
        <v>0</v>
      </c>
      <c r="W66" s="259"/>
      <c r="X66" s="119"/>
      <c r="Y66" s="258"/>
      <c r="Z66" s="258"/>
      <c r="AA66" s="258"/>
      <c r="AB66" s="258"/>
      <c r="AC66" s="258"/>
      <c r="AD66" s="260"/>
      <c r="AE66" s="261"/>
    </row>
    <row r="67" ht="21.25" customHeight="1">
      <c r="A67" t="s" s="10">
        <v>308</v>
      </c>
      <c r="B67" t="s" s="256">
        <v>954</v>
      </c>
      <c r="C67" s="257">
        <v>23</v>
      </c>
      <c r="D67" t="s" s="256">
        <v>966</v>
      </c>
      <c r="E67" s="119">
        <v>75.58</v>
      </c>
      <c r="F67" s="258">
        <v>19.5489909349314</v>
      </c>
      <c r="G67" s="259">
        <v>0.424355115269566</v>
      </c>
      <c r="H67" s="259">
        <v>0.436535745533307</v>
      </c>
      <c r="I67" s="259">
        <v>0.860890860802873</v>
      </c>
      <c r="J67" s="259">
        <v>3.70999374362981</v>
      </c>
      <c r="K67" s="259">
        <v>0.12658334574098</v>
      </c>
      <c r="L67" s="259">
        <v>0.270072447395565</v>
      </c>
      <c r="M67" s="259">
        <v>1.92906955687742e-05</v>
      </c>
      <c r="N67" s="259">
        <v>3.26003413901681e-05</v>
      </c>
      <c r="O67" s="259">
        <v>0.290086673389851</v>
      </c>
      <c r="P67" s="259">
        <v>0.62150697738503</v>
      </c>
      <c r="Q67" s="259">
        <v>-0.0304930377919077</v>
      </c>
      <c r="R67" s="259">
        <v>0.229451651757282</v>
      </c>
      <c r="S67" s="259">
        <v>0.0491832979215662</v>
      </c>
      <c r="T67" s="259">
        <v>0.061794678974506</v>
      </c>
      <c r="U67" s="259">
        <v>0.115292140532222</v>
      </c>
      <c r="V67" s="259">
        <v>0.348951317475993</v>
      </c>
      <c r="W67" s="259"/>
      <c r="X67" s="119"/>
      <c r="Y67" s="258"/>
      <c r="Z67" s="258"/>
      <c r="AA67" s="258"/>
      <c r="AB67" s="258"/>
      <c r="AC67" s="258"/>
      <c r="AD67" s="260"/>
      <c r="AE67" s="261"/>
    </row>
    <row r="68" ht="21.25" customHeight="1">
      <c r="A68" t="s" s="10">
        <v>410</v>
      </c>
      <c r="B68" t="s" s="256">
        <v>941</v>
      </c>
      <c r="C68" s="257">
        <v>32</v>
      </c>
      <c r="D68" t="s" s="256">
        <v>917</v>
      </c>
      <c r="E68" s="119">
        <v>67.55249999999999</v>
      </c>
      <c r="F68" s="258">
        <v>19.0289297477706</v>
      </c>
      <c r="G68" s="259">
        <v>0.29998871638958</v>
      </c>
      <c r="H68" s="259">
        <v>0.554645383691417</v>
      </c>
      <c r="I68" s="259">
        <v>0.8546341000809971</v>
      </c>
      <c r="J68" s="259">
        <v>2.15294179718539</v>
      </c>
      <c r="K68" s="259">
        <v>0.0760882261166055</v>
      </c>
      <c r="L68" s="259">
        <v>0.234671064482453</v>
      </c>
      <c r="M68" s="259">
        <v>0.0324845877200015</v>
      </c>
      <c r="N68" s="259">
        <v>0.0488300205579581</v>
      </c>
      <c r="O68" s="259">
        <v>0.653998388231954</v>
      </c>
      <c r="P68" s="259">
        <v>0.686076359484495</v>
      </c>
      <c r="Q68" s="259">
        <v>0.0452356524485759</v>
      </c>
      <c r="R68" s="259">
        <v>0.359241082529297</v>
      </c>
      <c r="S68" s="259">
        <v>0.0456286704363121</v>
      </c>
      <c r="T68" s="259">
        <v>0.011847802762166</v>
      </c>
      <c r="U68" s="259">
        <v>0.132278335548737</v>
      </c>
      <c r="V68" s="259">
        <v>0.0822044002636667</v>
      </c>
      <c r="W68" s="259"/>
      <c r="X68" s="119"/>
      <c r="Y68" s="258"/>
      <c r="Z68" s="258"/>
      <c r="AA68" s="258"/>
      <c r="AB68" s="258"/>
      <c r="AC68" s="258"/>
      <c r="AD68" s="260"/>
      <c r="AE68" s="261"/>
    </row>
    <row r="69" ht="21.25" customHeight="1">
      <c r="A69" t="s" s="10">
        <v>240</v>
      </c>
      <c r="B69" t="s" s="256">
        <v>936</v>
      </c>
      <c r="C69" s="257">
        <v>29</v>
      </c>
      <c r="D69" t="s" s="256">
        <v>915</v>
      </c>
      <c r="E69" s="119">
        <v>80.23999999999999</v>
      </c>
      <c r="F69" s="258">
        <v>20.1073567807708</v>
      </c>
      <c r="G69" s="259">
        <v>0.429255990938044</v>
      </c>
      <c r="H69" s="259">
        <v>0.423376865145334</v>
      </c>
      <c r="I69" s="259">
        <v>0.852632856083378</v>
      </c>
      <c r="J69" s="259">
        <v>3.04347002095397</v>
      </c>
      <c r="K69" s="259">
        <v>0.130919688330346</v>
      </c>
      <c r="L69" s="259">
        <v>0.243633772955965</v>
      </c>
      <c r="M69" s="259">
        <v>0.0121174537723816</v>
      </c>
      <c r="N69" s="259">
        <v>0.0199470608984532</v>
      </c>
      <c r="O69" s="259">
        <v>0.564817079261196</v>
      </c>
      <c r="P69" s="259">
        <v>0.776525166893295</v>
      </c>
      <c r="Q69" s="259">
        <v>0.0400420894390012</v>
      </c>
      <c r="R69" s="259">
        <v>0.394313229161477</v>
      </c>
      <c r="S69" s="259">
        <v>0.0674614157752941</v>
      </c>
      <c r="T69" s="259">
        <v>10.4710116790036</v>
      </c>
      <c r="U69" s="259">
        <v>8.34176629596497</v>
      </c>
      <c r="V69" s="259">
        <v>0.556590403232093</v>
      </c>
      <c r="W69" s="259"/>
      <c r="X69" s="119"/>
      <c r="Y69" s="258"/>
      <c r="Z69" s="258"/>
      <c r="AA69" s="258"/>
      <c r="AB69" s="258"/>
      <c r="AC69" s="258"/>
      <c r="AD69" s="260"/>
      <c r="AE69" s="261"/>
    </row>
    <row r="70" ht="21.25" customHeight="1">
      <c r="A70" t="s" s="10">
        <v>224</v>
      </c>
      <c r="B70" t="s" s="256">
        <v>950</v>
      </c>
      <c r="C70" s="257">
        <v>27</v>
      </c>
      <c r="D70" t="s" s="256">
        <v>967</v>
      </c>
      <c r="E70" s="119">
        <v>80.74250000000001</v>
      </c>
      <c r="F70" s="258">
        <v>18.8713013342113</v>
      </c>
      <c r="G70" s="259">
        <v>0.404074584151378</v>
      </c>
      <c r="H70" s="259">
        <v>0.446651428716773</v>
      </c>
      <c r="I70" s="259">
        <v>0.850726012868151</v>
      </c>
      <c r="J70" s="259">
        <v>3.09202002135663</v>
      </c>
      <c r="K70" s="259">
        <v>0.0881538220381836</v>
      </c>
      <c r="L70" s="259">
        <v>0.269663181562643</v>
      </c>
      <c r="M70" s="259">
        <v>0.0381816925539249</v>
      </c>
      <c r="N70" s="259">
        <v>0.0463260068913946</v>
      </c>
      <c r="O70" s="259">
        <v>0.429854403302988</v>
      </c>
      <c r="P70" s="259">
        <v>1.37375927957993</v>
      </c>
      <c r="Q70" s="259">
        <v>0.0299558360059138</v>
      </c>
      <c r="R70" s="259">
        <v>0.6434221371175231</v>
      </c>
      <c r="S70" s="259">
        <v>0.07201080659142831</v>
      </c>
      <c r="T70" s="259">
        <v>0.0997726226198094</v>
      </c>
      <c r="U70" s="259">
        <v>0.207892754539414</v>
      </c>
      <c r="V70" s="259">
        <v>0.324289406695817</v>
      </c>
      <c r="W70" s="259"/>
      <c r="X70" s="119"/>
      <c r="Y70" s="258"/>
      <c r="Z70" s="258"/>
      <c r="AA70" s="258"/>
      <c r="AB70" s="258"/>
      <c r="AC70" s="258"/>
      <c r="AD70" s="260"/>
      <c r="AE70" s="261"/>
    </row>
    <row r="71" ht="21.25" customHeight="1">
      <c r="A71" t="s" s="10">
        <v>189</v>
      </c>
      <c r="B71" t="s" s="256">
        <v>936</v>
      </c>
      <c r="C71" s="257">
        <v>24</v>
      </c>
      <c r="D71" t="s" s="256">
        <v>918</v>
      </c>
      <c r="E71" s="119">
        <v>80.7475</v>
      </c>
      <c r="F71" s="258">
        <v>24.7096723391515</v>
      </c>
      <c r="G71" s="259">
        <v>0.166770866162153</v>
      </c>
      <c r="H71" s="259">
        <v>0.683170146925036</v>
      </c>
      <c r="I71" s="259">
        <v>0.8499410130871889</v>
      </c>
      <c r="J71" s="259">
        <v>2.50444785767636</v>
      </c>
      <c r="K71" s="259">
        <v>0.0360069043479106</v>
      </c>
      <c r="L71" s="259">
        <v>0.297247004310885</v>
      </c>
      <c r="M71" s="259">
        <v>0.000283804183732173</v>
      </c>
      <c r="N71" s="259">
        <v>0.00660701597198165</v>
      </c>
      <c r="O71" s="259">
        <v>2.03489032118027</v>
      </c>
      <c r="P71" s="259">
        <v>1.05471321158066</v>
      </c>
      <c r="Q71" s="259">
        <v>0.04781424007252</v>
      </c>
      <c r="R71" s="259">
        <v>0.408256935761876</v>
      </c>
      <c r="S71" s="259">
        <v>0.0262095322578614</v>
      </c>
      <c r="T71" s="259">
        <v>0</v>
      </c>
      <c r="U71" s="259">
        <v>0</v>
      </c>
      <c r="V71" s="259">
        <v>0</v>
      </c>
      <c r="W71" s="259"/>
      <c r="X71" s="119"/>
      <c r="Y71" s="258"/>
      <c r="Z71" s="258"/>
      <c r="AA71" s="258"/>
      <c r="AB71" s="258"/>
      <c r="AC71" s="258"/>
      <c r="AD71" s="260"/>
      <c r="AE71" s="261"/>
    </row>
    <row r="72" ht="21.25" customHeight="1">
      <c r="A72" t="s" s="10">
        <v>287</v>
      </c>
      <c r="B72" t="s" s="256">
        <v>936</v>
      </c>
      <c r="C72" s="257">
        <v>32</v>
      </c>
      <c r="D72" t="s" s="256">
        <v>915</v>
      </c>
      <c r="E72" s="119">
        <v>81.03</v>
      </c>
      <c r="F72" s="258">
        <v>18.7872021367005</v>
      </c>
      <c r="G72" s="259">
        <v>0.415845066704758</v>
      </c>
      <c r="H72" s="259">
        <v>0.43087395242513</v>
      </c>
      <c r="I72" s="259">
        <v>0.846719019129888</v>
      </c>
      <c r="J72" s="259">
        <v>2.96073966069805</v>
      </c>
      <c r="K72" s="259">
        <v>0.104174305929153</v>
      </c>
      <c r="L72" s="259">
        <v>0.229701646541726</v>
      </c>
      <c r="M72" s="259">
        <v>0.007992751103868609</v>
      </c>
      <c r="N72" s="259">
        <v>0.0156079435070806</v>
      </c>
      <c r="O72" s="259">
        <v>0.57113520904606</v>
      </c>
      <c r="P72" s="259">
        <v>0.543365389636341</v>
      </c>
      <c r="Q72" s="259">
        <v>0.0458449442784113</v>
      </c>
      <c r="R72" s="259">
        <v>0.397551478669482</v>
      </c>
      <c r="S72" s="259">
        <v>0.0653537691617766</v>
      </c>
      <c r="T72" s="259">
        <v>5.13256040081462</v>
      </c>
      <c r="U72" s="259">
        <v>5.82264413524764</v>
      </c>
      <c r="V72" s="259">
        <v>0.468504297105481</v>
      </c>
      <c r="W72" s="259"/>
      <c r="X72" s="119"/>
      <c r="Y72" s="258"/>
      <c r="Z72" s="258"/>
      <c r="AA72" s="258"/>
      <c r="AB72" s="258"/>
      <c r="AC72" s="258"/>
      <c r="AD72" s="260"/>
      <c r="AE72" s="261"/>
    </row>
    <row r="73" ht="21.25" customHeight="1">
      <c r="A73" t="s" s="10">
        <v>152</v>
      </c>
      <c r="B73" t="s" s="256">
        <v>934</v>
      </c>
      <c r="C73" s="257">
        <v>24</v>
      </c>
      <c r="D73" t="s" s="256">
        <v>918</v>
      </c>
      <c r="E73" s="119">
        <v>81.10250000000001</v>
      </c>
      <c r="F73" s="258">
        <v>25.6570045998098</v>
      </c>
      <c r="G73" s="259">
        <v>0.222100177482363</v>
      </c>
      <c r="H73" s="259">
        <v>0.623303440818837</v>
      </c>
      <c r="I73" s="259">
        <v>0.8454036183012</v>
      </c>
      <c r="J73" s="259">
        <v>2.76717030725776</v>
      </c>
      <c r="K73" s="259">
        <v>0.07237963757791691</v>
      </c>
      <c r="L73" s="259">
        <v>0.326729233208937</v>
      </c>
      <c r="M73" s="259">
        <v>0.000229343429870201</v>
      </c>
      <c r="N73" s="259">
        <v>0.00259409091875921</v>
      </c>
      <c r="O73" s="259">
        <v>1.79003896273957</v>
      </c>
      <c r="P73" s="259">
        <v>1.88480802878435</v>
      </c>
      <c r="Q73" s="259">
        <v>-0.00463898028182633</v>
      </c>
      <c r="R73" s="259">
        <v>0.82415280193952</v>
      </c>
      <c r="S73" s="259">
        <v>0.0314172774132008</v>
      </c>
      <c r="T73" s="259">
        <v>0</v>
      </c>
      <c r="U73" s="259">
        <v>0</v>
      </c>
      <c r="V73" s="259">
        <v>0</v>
      </c>
      <c r="W73" s="259"/>
      <c r="X73" s="119"/>
      <c r="Y73" s="258"/>
      <c r="Z73" s="258"/>
      <c r="AA73" s="258"/>
      <c r="AB73" s="258"/>
      <c r="AC73" s="258"/>
      <c r="AD73" s="260"/>
      <c r="AE73" s="261"/>
    </row>
    <row r="74" ht="21.25" customHeight="1">
      <c r="A74" t="s" s="10">
        <v>234</v>
      </c>
      <c r="B74" t="s" s="256">
        <v>928</v>
      </c>
      <c r="C74" s="257">
        <v>29</v>
      </c>
      <c r="D74" t="s" s="256">
        <v>915</v>
      </c>
      <c r="E74" s="119">
        <v>80.5125</v>
      </c>
      <c r="F74" s="258">
        <v>20.3596832263846</v>
      </c>
      <c r="G74" s="259">
        <v>0.330610967068424</v>
      </c>
      <c r="H74" s="259">
        <v>0.512792617135969</v>
      </c>
      <c r="I74" s="259">
        <v>0.843403584204393</v>
      </c>
      <c r="J74" s="259">
        <v>2.57428197304016</v>
      </c>
      <c r="K74" s="259">
        <v>0.114452035195391</v>
      </c>
      <c r="L74" s="259">
        <v>0.241855806234962</v>
      </c>
      <c r="M74" s="259">
        <v>0.0124597997020652</v>
      </c>
      <c r="N74" s="259">
        <v>0.0341461678073286</v>
      </c>
      <c r="O74" s="259">
        <v>0.7557856129881519</v>
      </c>
      <c r="P74" s="259">
        <v>1.17308053676764</v>
      </c>
      <c r="Q74" s="259">
        <v>0.00244306719665948</v>
      </c>
      <c r="R74" s="259">
        <v>0.321195074030865</v>
      </c>
      <c r="S74" s="259">
        <v>0.0514938873217295</v>
      </c>
      <c r="T74" s="259">
        <v>10.500856472769</v>
      </c>
      <c r="U74" s="259">
        <v>8.50935247876348</v>
      </c>
      <c r="V74" s="259">
        <v>0.552379855452483</v>
      </c>
      <c r="W74" s="259"/>
      <c r="X74" s="119"/>
      <c r="Y74" s="258"/>
      <c r="Z74" s="258"/>
      <c r="AA74" s="258"/>
      <c r="AB74" s="258"/>
      <c r="AC74" s="258"/>
      <c r="AD74" s="260"/>
      <c r="AE74" s="261"/>
    </row>
    <row r="75" ht="21.25" customHeight="1">
      <c r="A75" t="s" s="10">
        <v>208</v>
      </c>
      <c r="B75" t="s" s="256">
        <v>926</v>
      </c>
      <c r="C75" s="257">
        <v>33</v>
      </c>
      <c r="D75" t="s" s="256">
        <v>915</v>
      </c>
      <c r="E75" s="119">
        <v>81.09999999999999</v>
      </c>
      <c r="F75" s="258">
        <v>18.0089316276098</v>
      </c>
      <c r="G75" s="259">
        <v>0.358572570970179</v>
      </c>
      <c r="H75" s="259">
        <v>0.484054960733802</v>
      </c>
      <c r="I75" s="259">
        <v>0.842627531703981</v>
      </c>
      <c r="J75" s="259">
        <v>3.35534495016043</v>
      </c>
      <c r="K75" s="259">
        <v>0.134288195729197</v>
      </c>
      <c r="L75" s="259">
        <v>0.311236939002729</v>
      </c>
      <c r="M75" s="259">
        <v>8.09115126881921e-05</v>
      </c>
      <c r="N75" s="259">
        <v>0.000137848811049246</v>
      </c>
      <c r="O75" s="259">
        <v>0.470587099910706</v>
      </c>
      <c r="P75" s="259">
        <v>1.49502878104479</v>
      </c>
      <c r="Q75" s="259">
        <v>0.0887059788121161</v>
      </c>
      <c r="R75" s="259">
        <v>0.400967528605961</v>
      </c>
      <c r="S75" s="259">
        <v>0.0573651837262538</v>
      </c>
      <c r="T75" s="259">
        <v>9.997585443512079</v>
      </c>
      <c r="U75" s="259">
        <v>6.86345226136964</v>
      </c>
      <c r="V75" s="259">
        <v>0.592940103598577</v>
      </c>
      <c r="W75" s="259"/>
      <c r="X75" s="119"/>
      <c r="Y75" s="258"/>
      <c r="Z75" s="258"/>
      <c r="AA75" s="258"/>
      <c r="AB75" s="258"/>
      <c r="AC75" s="258"/>
      <c r="AD75" s="260"/>
      <c r="AE75" s="261"/>
    </row>
    <row r="76" ht="21.25" customHeight="1">
      <c r="A76" t="s" s="10">
        <v>339</v>
      </c>
      <c r="B76" t="s" s="256">
        <v>951</v>
      </c>
      <c r="C76" s="257">
        <v>21</v>
      </c>
      <c r="D76" t="s" s="256">
        <v>916</v>
      </c>
      <c r="E76" s="119">
        <v>75.47499999999999</v>
      </c>
      <c r="F76" s="258">
        <v>17.639158663726</v>
      </c>
      <c r="G76" s="259">
        <v>0.398872488015549</v>
      </c>
      <c r="H76" s="259">
        <v>0.443252022656979</v>
      </c>
      <c r="I76" s="259">
        <v>0.842124510672528</v>
      </c>
      <c r="J76" s="259">
        <v>2.75575455690941</v>
      </c>
      <c r="K76" s="259">
        <v>0.209568089404837</v>
      </c>
      <c r="L76" s="259">
        <v>0.345097007657142</v>
      </c>
      <c r="M76" s="259">
        <v>0.00847688295906965</v>
      </c>
      <c r="N76" s="259">
        <v>0.0165456634979817</v>
      </c>
      <c r="O76" s="259">
        <v>0.535271420940954</v>
      </c>
      <c r="P76" s="259">
        <v>0.853270812878162</v>
      </c>
      <c r="Q76" s="259">
        <v>0.00114642120672543</v>
      </c>
      <c r="R76" s="259">
        <v>0.404917088913349</v>
      </c>
      <c r="S76" s="259">
        <v>0.0583667689929886</v>
      </c>
      <c r="T76" s="259">
        <v>0.19416763576854</v>
      </c>
      <c r="U76" s="259">
        <v>0.446067827762844</v>
      </c>
      <c r="V76" s="259">
        <v>0.303275352317346</v>
      </c>
      <c r="W76" s="259"/>
      <c r="X76" s="119"/>
      <c r="Y76" s="258"/>
      <c r="Z76" s="258"/>
      <c r="AA76" s="258"/>
      <c r="AB76" s="258"/>
      <c r="AC76" s="258"/>
      <c r="AD76" s="260"/>
      <c r="AE76" s="261"/>
    </row>
    <row r="77" ht="21.25" customHeight="1">
      <c r="A77" t="s" s="10">
        <v>404</v>
      </c>
      <c r="B77" t="s" s="256">
        <v>958</v>
      </c>
      <c r="C77" s="257">
        <v>26</v>
      </c>
      <c r="D77" t="s" s="256">
        <v>967</v>
      </c>
      <c r="E77" s="119">
        <v>78.61499999999999</v>
      </c>
      <c r="F77" s="258">
        <v>18.9159920009418</v>
      </c>
      <c r="G77" s="259">
        <v>0.343564075662474</v>
      </c>
      <c r="H77" s="259">
        <v>0.497128272290502</v>
      </c>
      <c r="I77" s="259">
        <v>0.840692347952976</v>
      </c>
      <c r="J77" s="259">
        <v>2.50663822483506</v>
      </c>
      <c r="K77" s="259">
        <v>0.0848306219829221</v>
      </c>
      <c r="L77" s="259">
        <v>0.20857721001002</v>
      </c>
      <c r="M77" s="259">
        <v>0.000236351103976752</v>
      </c>
      <c r="N77" s="259">
        <v>0.000399828209152879</v>
      </c>
      <c r="O77" s="259">
        <v>0.383342623218102</v>
      </c>
      <c r="P77" s="259">
        <v>0.273882708056599</v>
      </c>
      <c r="Q77" s="259">
        <v>-0.07603119799672731</v>
      </c>
      <c r="R77" s="259">
        <v>0.359980164943762</v>
      </c>
      <c r="S77" s="259">
        <v>0.0400456738252357</v>
      </c>
      <c r="T77" s="259">
        <v>0.0993103503237682</v>
      </c>
      <c r="U77" s="259">
        <v>0.0971928515356003</v>
      </c>
      <c r="V77" s="259">
        <v>0.505387949835248</v>
      </c>
      <c r="W77" s="259"/>
      <c r="X77" s="119"/>
      <c r="Y77" s="258"/>
      <c r="Z77" s="258"/>
      <c r="AA77" s="258"/>
      <c r="AB77" s="258"/>
      <c r="AC77" s="258"/>
      <c r="AD77" s="260"/>
      <c r="AE77" s="261"/>
    </row>
    <row r="78" ht="21.25" customHeight="1">
      <c r="A78" t="s" s="10">
        <v>359</v>
      </c>
      <c r="B78" t="s" s="256">
        <v>939</v>
      </c>
      <c r="C78" s="257">
        <v>38</v>
      </c>
      <c r="D78" t="s" s="256">
        <v>915</v>
      </c>
      <c r="E78" s="119">
        <v>77.93000000000001</v>
      </c>
      <c r="F78" s="258">
        <v>18.6766232194188</v>
      </c>
      <c r="G78" s="259">
        <v>0.313066399797607</v>
      </c>
      <c r="H78" s="259">
        <v>0.524699380023238</v>
      </c>
      <c r="I78" s="259">
        <v>0.837765779820845</v>
      </c>
      <c r="J78" s="259">
        <v>2.59368620210299</v>
      </c>
      <c r="K78" s="259">
        <v>0.09526017319329851</v>
      </c>
      <c r="L78" s="259">
        <v>0.282249914783155</v>
      </c>
      <c r="M78" s="259">
        <v>8.66162171242653e-05</v>
      </c>
      <c r="N78" s="259">
        <v>0.000149222960860834</v>
      </c>
      <c r="O78" s="259">
        <v>0.484897504360963</v>
      </c>
      <c r="P78" s="259">
        <v>0.500841369059461</v>
      </c>
      <c r="Q78" s="259">
        <v>0.0178246715999934</v>
      </c>
      <c r="R78" s="259">
        <v>0.728812773858783</v>
      </c>
      <c r="S78" s="259">
        <v>0.0464098716903727</v>
      </c>
      <c r="T78" s="259">
        <v>4.76280501737956</v>
      </c>
      <c r="U78" s="259">
        <v>5.12373539923283</v>
      </c>
      <c r="V78" s="259">
        <v>0.481746376050474</v>
      </c>
      <c r="W78" s="259"/>
      <c r="X78" s="119"/>
      <c r="Y78" s="258"/>
      <c r="Z78" s="258"/>
      <c r="AA78" s="258"/>
      <c r="AB78" s="258"/>
      <c r="AC78" s="258"/>
      <c r="AD78" s="260"/>
      <c r="AE78" s="261"/>
    </row>
    <row r="79" ht="21.25" customHeight="1">
      <c r="A79" t="s" s="10">
        <v>432</v>
      </c>
      <c r="B79" t="s" s="256">
        <v>951</v>
      </c>
      <c r="C79" s="257">
        <v>28</v>
      </c>
      <c r="D79" t="s" s="256">
        <v>967</v>
      </c>
      <c r="E79" s="119">
        <v>76.985</v>
      </c>
      <c r="F79" s="258">
        <v>18.9124496780219</v>
      </c>
      <c r="G79" s="259">
        <v>0.312399909698962</v>
      </c>
      <c r="H79" s="259">
        <v>0.523399189862969</v>
      </c>
      <c r="I79" s="259">
        <v>0.835799099561931</v>
      </c>
      <c r="J79" s="259">
        <v>2.05384635317482</v>
      </c>
      <c r="K79" s="259">
        <v>0.10714748175927</v>
      </c>
      <c r="L79" s="259">
        <v>0.231646302110676</v>
      </c>
      <c r="M79" s="259">
        <v>0.00465138349271082</v>
      </c>
      <c r="N79" s="259">
        <v>0.00750779345048839</v>
      </c>
      <c r="O79" s="259">
        <v>0.483465989453737</v>
      </c>
      <c r="P79" s="259">
        <v>0.272949102043752</v>
      </c>
      <c r="Q79" s="259">
        <v>0.00635439301751488</v>
      </c>
      <c r="R79" s="259">
        <v>0.267275552035125</v>
      </c>
      <c r="S79" s="259">
        <v>0.0457132891103761</v>
      </c>
      <c r="T79" s="259">
        <v>1.87713127201999</v>
      </c>
      <c r="U79" s="259">
        <v>2.54939377033208</v>
      </c>
      <c r="V79" s="259">
        <v>0.424064306439021</v>
      </c>
      <c r="W79" s="259"/>
      <c r="X79" s="119"/>
      <c r="Y79" s="258"/>
      <c r="Z79" s="258"/>
      <c r="AA79" s="258"/>
      <c r="AB79" s="258"/>
      <c r="AC79" s="258"/>
      <c r="AD79" s="260"/>
      <c r="AE79" s="261"/>
    </row>
    <row r="80" ht="21.25" customHeight="1">
      <c r="A80" t="s" s="10">
        <v>290</v>
      </c>
      <c r="B80" t="s" s="256">
        <v>945</v>
      </c>
      <c r="C80" s="257">
        <v>33</v>
      </c>
      <c r="D80" t="s" s="256">
        <v>915</v>
      </c>
      <c r="E80" s="119">
        <v>80.93000000000001</v>
      </c>
      <c r="F80" s="258">
        <v>18.7311887700206</v>
      </c>
      <c r="G80" s="259">
        <v>0.313734995113565</v>
      </c>
      <c r="H80" s="259">
        <v>0.521933181471756</v>
      </c>
      <c r="I80" s="259">
        <v>0.835668176585321</v>
      </c>
      <c r="J80" s="259">
        <v>3.32862563370523</v>
      </c>
      <c r="K80" s="259">
        <v>0.106635552451823</v>
      </c>
      <c r="L80" s="259">
        <v>0.253842068135083</v>
      </c>
      <c r="M80" s="259">
        <v>0.00173527998255881</v>
      </c>
      <c r="N80" s="259">
        <v>0.00298758720264375</v>
      </c>
      <c r="O80" s="259">
        <v>0.356991740494683</v>
      </c>
      <c r="P80" s="259">
        <v>0.854567095948555</v>
      </c>
      <c r="Q80" s="259">
        <v>-0.0161802610715267</v>
      </c>
      <c r="R80" s="259">
        <v>0.573157123711036</v>
      </c>
      <c r="S80" s="259">
        <v>0.0455806054895474</v>
      </c>
      <c r="T80" s="259">
        <v>7.46827195999265</v>
      </c>
      <c r="U80" s="259">
        <v>7.88022466017692</v>
      </c>
      <c r="V80" s="259">
        <v>0.486580030918373</v>
      </c>
      <c r="W80" s="259"/>
      <c r="X80" s="119"/>
      <c r="Y80" s="258"/>
      <c r="Z80" s="258"/>
      <c r="AA80" s="258"/>
      <c r="AB80" s="258"/>
      <c r="AC80" s="258"/>
      <c r="AD80" s="260"/>
      <c r="AE80" s="261"/>
    </row>
    <row r="81" ht="21.25" customHeight="1">
      <c r="A81" t="s" s="10">
        <v>303</v>
      </c>
      <c r="B81" t="s" s="256">
        <v>955</v>
      </c>
      <c r="C81" s="257">
        <v>28</v>
      </c>
      <c r="D81" t="s" s="256">
        <v>965</v>
      </c>
      <c r="E81" s="119">
        <v>80.46250000000001</v>
      </c>
      <c r="F81" s="258">
        <v>17.8854949870603</v>
      </c>
      <c r="G81" s="259">
        <v>0.420685853462806</v>
      </c>
      <c r="H81" s="259">
        <v>0.413857213486998</v>
      </c>
      <c r="I81" s="259">
        <v>0.834543066949804</v>
      </c>
      <c r="J81" s="259">
        <v>2.83129158931602</v>
      </c>
      <c r="K81" s="259">
        <v>0.0993815986648742</v>
      </c>
      <c r="L81" s="259">
        <v>0.249355849194687</v>
      </c>
      <c r="M81" s="259">
        <v>0.0339895486322487</v>
      </c>
      <c r="N81" s="259">
        <v>0.0360282921917664</v>
      </c>
      <c r="O81" s="259">
        <v>0.404085978732013</v>
      </c>
      <c r="P81" s="259">
        <v>0.729765807567095</v>
      </c>
      <c r="Q81" s="259">
        <v>0.000430672274024713</v>
      </c>
      <c r="R81" s="259">
        <v>0.355895606204582</v>
      </c>
      <c r="S81" s="259">
        <v>0.06388016700849181</v>
      </c>
      <c r="T81" s="259">
        <v>1.73515683129564</v>
      </c>
      <c r="U81" s="259">
        <v>2.36198552322918</v>
      </c>
      <c r="V81" s="259">
        <v>0.423504160010297</v>
      </c>
      <c r="W81" s="259"/>
      <c r="X81" s="119"/>
      <c r="Y81" s="258"/>
      <c r="Z81" s="258"/>
      <c r="AA81" s="258"/>
      <c r="AB81" s="258"/>
      <c r="AC81" s="258"/>
      <c r="AD81" s="260"/>
      <c r="AE81" s="261"/>
    </row>
    <row r="82" ht="21.25" customHeight="1">
      <c r="A82" t="s" s="10">
        <v>286</v>
      </c>
      <c r="B82" t="s" s="256">
        <v>942</v>
      </c>
      <c r="C82" s="257">
        <v>26</v>
      </c>
      <c r="D82" t="s" s="256">
        <v>966</v>
      </c>
      <c r="E82" s="119">
        <v>82.03</v>
      </c>
      <c r="F82" s="258">
        <v>18.2025138776383</v>
      </c>
      <c r="G82" s="259">
        <v>0.354729324602812</v>
      </c>
      <c r="H82" s="259">
        <v>0.475940320533069</v>
      </c>
      <c r="I82" s="259">
        <v>0.830669645135881</v>
      </c>
      <c r="J82" s="259">
        <v>2.94040615509451</v>
      </c>
      <c r="K82" s="259">
        <v>0.121804243022718</v>
      </c>
      <c r="L82" s="259">
        <v>0.268273622985922</v>
      </c>
      <c r="M82" s="259">
        <v>0.000112999600519879</v>
      </c>
      <c r="N82" s="259">
        <v>0.000190969881089854</v>
      </c>
      <c r="O82" s="259">
        <v>0.437431294647959</v>
      </c>
      <c r="P82" s="259">
        <v>0.926361838470527</v>
      </c>
      <c r="Q82" s="259">
        <v>-0.023394981416096</v>
      </c>
      <c r="R82" s="259">
        <v>0.350560285131558</v>
      </c>
      <c r="S82" s="259">
        <v>0.0487194708392298</v>
      </c>
      <c r="T82" s="259">
        <v>0.208446079177665</v>
      </c>
      <c r="U82" s="259">
        <v>0.260094645674849</v>
      </c>
      <c r="V82" s="259">
        <v>0.4448835888135</v>
      </c>
      <c r="W82" s="259"/>
      <c r="X82" s="119"/>
      <c r="Y82" s="258"/>
      <c r="Z82" s="258"/>
      <c r="AA82" s="258"/>
      <c r="AB82" s="258"/>
      <c r="AC82" s="258"/>
      <c r="AD82" s="260"/>
      <c r="AE82" s="261"/>
    </row>
    <row r="83" ht="21.25" customHeight="1">
      <c r="A83" t="s" s="10">
        <v>448</v>
      </c>
      <c r="B83" t="s" s="256">
        <v>954</v>
      </c>
      <c r="C83" s="257">
        <v>26</v>
      </c>
      <c r="D83" t="s" s="256">
        <v>916</v>
      </c>
      <c r="E83" s="119">
        <v>64.3575</v>
      </c>
      <c r="F83" s="258">
        <v>17.7656710718722</v>
      </c>
      <c r="G83" s="259">
        <v>0.378318675772442</v>
      </c>
      <c r="H83" s="259">
        <v>0.452342605379487</v>
      </c>
      <c r="I83" s="259">
        <v>0.8306612811519291</v>
      </c>
      <c r="J83" s="259">
        <v>2.81293021091155</v>
      </c>
      <c r="K83" s="259">
        <v>0.110455026887038</v>
      </c>
      <c r="L83" s="259">
        <v>0.249030146826984</v>
      </c>
      <c r="M83" s="259">
        <v>0.000110331781453033</v>
      </c>
      <c r="N83" s="259">
        <v>0.000186317594779455</v>
      </c>
      <c r="O83" s="259">
        <v>0.554325475655545</v>
      </c>
      <c r="P83" s="259">
        <v>0.571669208464072</v>
      </c>
      <c r="Q83" s="259">
        <v>-0.0904048532034189</v>
      </c>
      <c r="R83" s="259">
        <v>0.327680073428055</v>
      </c>
      <c r="S83" s="259">
        <v>0.0438476159948929</v>
      </c>
      <c r="T83" s="259">
        <v>0.936447063490192</v>
      </c>
      <c r="U83" s="259">
        <v>1.65700657033661</v>
      </c>
      <c r="V83" s="259">
        <v>0.361081089430701</v>
      </c>
      <c r="W83" s="259"/>
      <c r="X83" s="119"/>
      <c r="Y83" s="258"/>
      <c r="Z83" s="258"/>
      <c r="AA83" s="258"/>
      <c r="AB83" s="258"/>
      <c r="AC83" s="258"/>
      <c r="AD83" s="260"/>
      <c r="AE83" s="261"/>
    </row>
    <row r="84" ht="21.25" customHeight="1">
      <c r="A84" t="s" s="10">
        <v>296</v>
      </c>
      <c r="B84" t="s" s="256">
        <v>930</v>
      </c>
      <c r="C84" s="257">
        <v>33</v>
      </c>
      <c r="D84" t="s" s="256">
        <v>917</v>
      </c>
      <c r="E84" s="119">
        <v>80.605</v>
      </c>
      <c r="F84" s="258">
        <v>17.7723797355315</v>
      </c>
      <c r="G84" s="259">
        <v>0.435558349577252</v>
      </c>
      <c r="H84" s="259">
        <v>0.394438546454112</v>
      </c>
      <c r="I84" s="259">
        <v>0.829996896031364</v>
      </c>
      <c r="J84" s="259">
        <v>3.19482675261028</v>
      </c>
      <c r="K84" s="259">
        <v>0.113580974074256</v>
      </c>
      <c r="L84" s="259">
        <v>0.258132526312601</v>
      </c>
      <c r="M84" s="259">
        <v>7.179077958969871e-05</v>
      </c>
      <c r="N84" s="259">
        <v>0.000120710292711017</v>
      </c>
      <c r="O84" s="259">
        <v>0.285354319225195</v>
      </c>
      <c r="P84" s="259">
        <v>1.16089859677686</v>
      </c>
      <c r="Q84" s="259">
        <v>0.00515260656706352</v>
      </c>
      <c r="R84" s="259">
        <v>0.418037573794552</v>
      </c>
      <c r="S84" s="259">
        <v>0.0616719350013542</v>
      </c>
      <c r="T84" s="259">
        <v>0.165172636115841</v>
      </c>
      <c r="U84" s="259">
        <v>0.330951884955802</v>
      </c>
      <c r="V84" s="259">
        <v>0.332925765811904</v>
      </c>
      <c r="W84" s="259"/>
      <c r="X84" s="119"/>
      <c r="Y84" s="258"/>
      <c r="Z84" s="258"/>
      <c r="AA84" s="258"/>
      <c r="AB84" s="258"/>
      <c r="AC84" s="258"/>
      <c r="AD84" s="260"/>
      <c r="AE84" s="261"/>
    </row>
    <row r="85" ht="21.25" customHeight="1">
      <c r="A85" t="s" s="10">
        <v>269</v>
      </c>
      <c r="B85" t="s" s="256">
        <v>934</v>
      </c>
      <c r="C85" s="257">
        <v>23</v>
      </c>
      <c r="D85" t="s" s="256">
        <v>915</v>
      </c>
      <c r="E85" s="119">
        <v>81.06</v>
      </c>
      <c r="F85" s="258">
        <v>18.7394568936425</v>
      </c>
      <c r="G85" s="259">
        <v>0.335571598083937</v>
      </c>
      <c r="H85" s="259">
        <v>0.493536804895459</v>
      </c>
      <c r="I85" s="259">
        <v>0.829108402979396</v>
      </c>
      <c r="J85" s="259">
        <v>2.75556899741367</v>
      </c>
      <c r="K85" s="259">
        <v>0.064519712247806</v>
      </c>
      <c r="L85" s="259">
        <v>0.233666315587839</v>
      </c>
      <c r="M85" s="259">
        <v>0.0221920161025574</v>
      </c>
      <c r="N85" s="259">
        <v>0.0285045096035985</v>
      </c>
      <c r="O85" s="259">
        <v>0.390847532428435</v>
      </c>
      <c r="P85" s="259">
        <v>1.15603398365226</v>
      </c>
      <c r="Q85" s="259">
        <v>-0.0178996744910439</v>
      </c>
      <c r="R85" s="259">
        <v>0.501736916380907</v>
      </c>
      <c r="S85" s="259">
        <v>0.0474684266735058</v>
      </c>
      <c r="T85" s="259">
        <v>7.17874386957201</v>
      </c>
      <c r="U85" s="259">
        <v>8.261054587469649</v>
      </c>
      <c r="V85" s="259">
        <v>0.464950620278206</v>
      </c>
      <c r="W85" s="259"/>
      <c r="X85" s="119"/>
      <c r="Y85" s="258"/>
      <c r="Z85" s="258"/>
      <c r="AA85" s="258"/>
      <c r="AB85" s="258"/>
      <c r="AC85" s="258"/>
      <c r="AD85" s="260"/>
      <c r="AE85" s="261"/>
    </row>
    <row r="86" ht="21.25" customHeight="1">
      <c r="A86" t="s" s="10">
        <v>257</v>
      </c>
      <c r="B86" t="s" s="256">
        <v>937</v>
      </c>
      <c r="C86" s="257">
        <v>25</v>
      </c>
      <c r="D86" t="s" s="256">
        <v>918</v>
      </c>
      <c r="E86" s="119">
        <v>78.465</v>
      </c>
      <c r="F86" s="258">
        <v>24.6868002490022</v>
      </c>
      <c r="G86" s="259">
        <v>0.13291374829494</v>
      </c>
      <c r="H86" s="259">
        <v>0.695589682477206</v>
      </c>
      <c r="I86" s="259">
        <v>0.8285034307721461</v>
      </c>
      <c r="J86" s="259">
        <v>2.39361893794003</v>
      </c>
      <c r="K86" s="259">
        <v>0.0368092174913479</v>
      </c>
      <c r="L86" s="259">
        <v>0.357605242382493</v>
      </c>
      <c r="M86" s="259">
        <v>0.000182989619724429</v>
      </c>
      <c r="N86" s="259">
        <v>0.00281249139217425</v>
      </c>
      <c r="O86" s="259">
        <v>1.3818711882553</v>
      </c>
      <c r="P86" s="259">
        <v>0.814851638242721</v>
      </c>
      <c r="Q86" s="259">
        <v>0.09909779071194</v>
      </c>
      <c r="R86" s="259">
        <v>0.408956079137862</v>
      </c>
      <c r="S86" s="259">
        <v>0.0212553956706918</v>
      </c>
      <c r="T86" s="259">
        <v>0</v>
      </c>
      <c r="U86" s="259">
        <v>0</v>
      </c>
      <c r="V86" s="259">
        <v>0</v>
      </c>
      <c r="W86" s="259"/>
      <c r="X86" s="119"/>
      <c r="Y86" s="258"/>
      <c r="Z86" s="258"/>
      <c r="AA86" s="258"/>
      <c r="AB86" s="258"/>
      <c r="AC86" s="258"/>
      <c r="AD86" s="260"/>
      <c r="AE86" s="261"/>
    </row>
    <row r="87" ht="21.25" customHeight="1">
      <c r="A87" t="s" s="10">
        <v>374</v>
      </c>
      <c r="B87" t="s" s="256">
        <v>938</v>
      </c>
      <c r="C87" s="257">
        <v>28</v>
      </c>
      <c r="D87" t="s" s="256">
        <v>916</v>
      </c>
      <c r="E87" s="119">
        <v>74.9425</v>
      </c>
      <c r="F87" s="258">
        <v>17.4798078610123</v>
      </c>
      <c r="G87" s="259">
        <v>0.328362793572264</v>
      </c>
      <c r="H87" s="259">
        <v>0.499220252721424</v>
      </c>
      <c r="I87" s="259">
        <v>0.827583046293688</v>
      </c>
      <c r="J87" s="259">
        <v>3.16747446400066</v>
      </c>
      <c r="K87" s="259">
        <v>0.040287906530141</v>
      </c>
      <c r="L87" s="259">
        <v>0.17834375341505</v>
      </c>
      <c r="M87" s="259">
        <v>4.73095593965895e-05</v>
      </c>
      <c r="N87" s="259">
        <v>8.02900745897442e-05</v>
      </c>
      <c r="O87" s="259">
        <v>0.464325757961954</v>
      </c>
      <c r="P87" s="259">
        <v>0.539904299086127</v>
      </c>
      <c r="Q87" s="259">
        <v>0.07664609429130589</v>
      </c>
      <c r="R87" s="259">
        <v>0.371506735868291</v>
      </c>
      <c r="S87" s="259">
        <v>0.0545826169060812</v>
      </c>
      <c r="T87" s="259">
        <v>0.0707914652089961</v>
      </c>
      <c r="U87" s="259">
        <v>0.0962344487393082</v>
      </c>
      <c r="V87" s="259">
        <v>0.423835221347189</v>
      </c>
      <c r="W87" s="259"/>
      <c r="X87" s="119"/>
      <c r="Y87" s="258"/>
      <c r="Z87" s="258"/>
      <c r="AA87" s="258"/>
      <c r="AB87" s="258"/>
      <c r="AC87" s="258"/>
      <c r="AD87" s="260"/>
      <c r="AE87" s="261"/>
    </row>
    <row r="88" ht="21.25" customHeight="1">
      <c r="A88" t="s" s="10">
        <v>352</v>
      </c>
      <c r="B88" t="s" s="256">
        <v>951</v>
      </c>
      <c r="C88" s="257">
        <v>20</v>
      </c>
      <c r="D88" t="s" s="256">
        <v>915</v>
      </c>
      <c r="E88" s="119">
        <v>80.68000000000001</v>
      </c>
      <c r="F88" s="258">
        <v>18.3350173890489</v>
      </c>
      <c r="G88" s="259">
        <v>0.347956043165912</v>
      </c>
      <c r="H88" s="259">
        <v>0.477379009176711</v>
      </c>
      <c r="I88" s="259">
        <v>0.8253350523426231</v>
      </c>
      <c r="J88" s="259">
        <v>2.23745084123376</v>
      </c>
      <c r="K88" s="259">
        <v>0.0885243965498867</v>
      </c>
      <c r="L88" s="259">
        <v>0.316992334232521</v>
      </c>
      <c r="M88" s="259">
        <v>0.0084193995655335</v>
      </c>
      <c r="N88" s="259">
        <v>0.00948572657934345</v>
      </c>
      <c r="O88" s="259">
        <v>0.391913053112612</v>
      </c>
      <c r="P88" s="259">
        <v>0.732052346052115</v>
      </c>
      <c r="Q88" s="259">
        <v>-0.00961427682744438</v>
      </c>
      <c r="R88" s="259">
        <v>0.33251844664451</v>
      </c>
      <c r="S88" s="259">
        <v>0.0509161965324303</v>
      </c>
      <c r="T88" s="259">
        <v>3.70427241709012</v>
      </c>
      <c r="U88" s="259">
        <v>6.03711573319649</v>
      </c>
      <c r="V88" s="259">
        <v>0.380261248185776</v>
      </c>
      <c r="W88" s="259"/>
      <c r="X88" s="119"/>
      <c r="Y88" s="258"/>
      <c r="Z88" s="258"/>
      <c r="AA88" s="258"/>
      <c r="AB88" s="258"/>
      <c r="AC88" s="258"/>
      <c r="AD88" s="260"/>
      <c r="AE88" s="261"/>
    </row>
    <row r="89" ht="21.25" customHeight="1">
      <c r="A89" t="s" s="10">
        <v>368</v>
      </c>
      <c r="B89" t="s" s="256">
        <v>945</v>
      </c>
      <c r="C89" s="257">
        <v>31</v>
      </c>
      <c r="D89" t="s" s="256">
        <v>965</v>
      </c>
      <c r="E89" s="119">
        <v>81.23999999999999</v>
      </c>
      <c r="F89" s="258">
        <v>18.3243569840886</v>
      </c>
      <c r="G89" s="259">
        <v>0.211978043719727</v>
      </c>
      <c r="H89" s="259">
        <v>0.604669033192885</v>
      </c>
      <c r="I89" s="259">
        <v>0.816647076912612</v>
      </c>
      <c r="J89" s="259">
        <v>2.02157945969221</v>
      </c>
      <c r="K89" s="259">
        <v>0.0556410672557228</v>
      </c>
      <c r="L89" s="259">
        <v>0.261493032675011</v>
      </c>
      <c r="M89" s="259">
        <v>0.00042838340106463</v>
      </c>
      <c r="N89" s="259">
        <v>0.000749639655743187</v>
      </c>
      <c r="O89" s="259">
        <v>0.443819156450943</v>
      </c>
      <c r="P89" s="259">
        <v>0.8425801762449699</v>
      </c>
      <c r="Q89" s="259">
        <v>-0.0278064551881761</v>
      </c>
      <c r="R89" s="259">
        <v>0.475876344155397</v>
      </c>
      <c r="S89" s="259">
        <v>0.0307969711180528</v>
      </c>
      <c r="T89" s="259">
        <v>0.163269738930608</v>
      </c>
      <c r="U89" s="259">
        <v>0.249797293128194</v>
      </c>
      <c r="V89" s="259">
        <v>0.395262091280539</v>
      </c>
      <c r="W89" s="259"/>
      <c r="X89" s="119"/>
      <c r="Y89" s="258"/>
      <c r="Z89" s="258"/>
      <c r="AA89" s="258"/>
      <c r="AB89" s="258"/>
      <c r="AC89" s="258"/>
      <c r="AD89" s="260"/>
      <c r="AE89" s="261"/>
    </row>
    <row r="90" ht="21.25" customHeight="1">
      <c r="A90" t="s" s="10">
        <v>236</v>
      </c>
      <c r="B90" t="s" s="256">
        <v>949</v>
      </c>
      <c r="C90" s="257">
        <v>22</v>
      </c>
      <c r="D90" t="s" s="256">
        <v>967</v>
      </c>
      <c r="E90" s="119">
        <v>80.4525</v>
      </c>
      <c r="F90" s="258">
        <v>19.1920467220281</v>
      </c>
      <c r="G90" s="259">
        <v>0.368765522971328</v>
      </c>
      <c r="H90" s="259">
        <v>0.446159471609167</v>
      </c>
      <c r="I90" s="259">
        <v>0.8149249945804951</v>
      </c>
      <c r="J90" s="259">
        <v>2.37290806914245</v>
      </c>
      <c r="K90" s="259">
        <v>0.10652890842813</v>
      </c>
      <c r="L90" s="259">
        <v>0.220176277428531</v>
      </c>
      <c r="M90" s="259">
        <v>0.02911236114403</v>
      </c>
      <c r="N90" s="259">
        <v>0.0419021464169581</v>
      </c>
      <c r="O90" s="259">
        <v>0.671402855056955</v>
      </c>
      <c r="P90" s="259">
        <v>1.27140060123821</v>
      </c>
      <c r="Q90" s="259">
        <v>0.104590420631998</v>
      </c>
      <c r="R90" s="259">
        <v>0.265497783005068</v>
      </c>
      <c r="S90" s="259">
        <v>0.0639017498052816</v>
      </c>
      <c r="T90" s="259">
        <v>1.43686937746381</v>
      </c>
      <c r="U90" s="259">
        <v>2.06505103447839</v>
      </c>
      <c r="V90" s="259">
        <v>0.410308975773354</v>
      </c>
      <c r="W90" s="259"/>
      <c r="X90" s="119"/>
      <c r="Y90" s="258"/>
      <c r="Z90" s="258"/>
      <c r="AA90" s="258"/>
      <c r="AB90" s="258"/>
      <c r="AC90" s="258"/>
      <c r="AD90" s="260"/>
      <c r="AE90" s="261"/>
    </row>
    <row r="91" ht="21.25" customHeight="1">
      <c r="A91" t="s" s="10">
        <v>288</v>
      </c>
      <c r="B91" t="s" s="256">
        <v>928</v>
      </c>
      <c r="C91" s="257">
        <v>36</v>
      </c>
      <c r="D91" t="s" s="256">
        <v>916</v>
      </c>
      <c r="E91" s="119">
        <v>79.5925</v>
      </c>
      <c r="F91" s="258">
        <v>18.9353261930065</v>
      </c>
      <c r="G91" s="259">
        <v>0.308209131875899</v>
      </c>
      <c r="H91" s="259">
        <v>0.505805403190009</v>
      </c>
      <c r="I91" s="259">
        <v>0.814014535065908</v>
      </c>
      <c r="J91" s="259">
        <v>2.62435881745151</v>
      </c>
      <c r="K91" s="259">
        <v>0.0824069123622431</v>
      </c>
      <c r="L91" s="259">
        <v>0.312088696802612</v>
      </c>
      <c r="M91" s="259">
        <v>0.0193547858212362</v>
      </c>
      <c r="N91" s="259">
        <v>0.028659044969279</v>
      </c>
      <c r="O91" s="259">
        <v>0.401112670783074</v>
      </c>
      <c r="P91" s="259">
        <v>1.28430706651491</v>
      </c>
      <c r="Q91" s="259">
        <v>0.0492073946842063</v>
      </c>
      <c r="R91" s="259">
        <v>0.896358304640425</v>
      </c>
      <c r="S91" s="259">
        <v>0.0480047182011991</v>
      </c>
      <c r="T91" s="259">
        <v>0.267293278153912</v>
      </c>
      <c r="U91" s="259">
        <v>0.403438413783347</v>
      </c>
      <c r="V91" s="259">
        <v>0.398509987476356</v>
      </c>
      <c r="W91" s="259"/>
      <c r="X91" s="119"/>
      <c r="Y91" s="258"/>
      <c r="Z91" s="258"/>
      <c r="AA91" s="258"/>
      <c r="AB91" s="258"/>
      <c r="AC91" s="258"/>
      <c r="AD91" s="260"/>
      <c r="AE91" s="261"/>
    </row>
    <row r="92" ht="21.25" customHeight="1">
      <c r="A92" t="s" s="10">
        <v>222</v>
      </c>
      <c r="B92" t="s" s="256">
        <v>926</v>
      </c>
      <c r="C92" s="257">
        <v>30</v>
      </c>
      <c r="D92" t="s" s="256">
        <v>918</v>
      </c>
      <c r="E92" s="119">
        <v>77.9175</v>
      </c>
      <c r="F92" s="258">
        <v>24.4251828657397</v>
      </c>
      <c r="G92" s="259">
        <v>0.103226019316778</v>
      </c>
      <c r="H92" s="259">
        <v>0.704944605924865</v>
      </c>
      <c r="I92" s="259">
        <v>0.808170625241643</v>
      </c>
      <c r="J92" s="259">
        <v>2.42915755495654</v>
      </c>
      <c r="K92" s="259">
        <v>0.0213798572858273</v>
      </c>
      <c r="L92" s="259">
        <v>0.305262105276352</v>
      </c>
      <c r="M92" s="259">
        <v>0.000165266881608923</v>
      </c>
      <c r="N92" s="259">
        <v>0.00410117842754568</v>
      </c>
      <c r="O92" s="259">
        <v>1.74385010143095</v>
      </c>
      <c r="P92" s="259">
        <v>1.31138864349751</v>
      </c>
      <c r="Q92" s="259">
        <v>0.0691156787979906</v>
      </c>
      <c r="R92" s="259">
        <v>0.405289428725012</v>
      </c>
      <c r="S92" s="259">
        <v>0.0165143127022096</v>
      </c>
      <c r="T92" s="259">
        <v>0</v>
      </c>
      <c r="U92" s="259">
        <v>0</v>
      </c>
      <c r="V92" s="259">
        <v>0</v>
      </c>
      <c r="W92" s="259"/>
      <c r="X92" s="119"/>
      <c r="Y92" s="258"/>
      <c r="Z92" s="258"/>
      <c r="AA92" s="258"/>
      <c r="AB92" s="258"/>
      <c r="AC92" s="258"/>
      <c r="AD92" s="260"/>
      <c r="AE92" s="261"/>
    </row>
    <row r="93" ht="21.25" customHeight="1">
      <c r="A93" t="s" s="10">
        <v>237</v>
      </c>
      <c r="B93" t="s" s="256">
        <v>931</v>
      </c>
      <c r="C93" s="257">
        <v>33</v>
      </c>
      <c r="D93" t="s" s="256">
        <v>916</v>
      </c>
      <c r="E93" s="119">
        <v>81.5175</v>
      </c>
      <c r="F93" s="258">
        <v>18.8387935653515</v>
      </c>
      <c r="G93" s="259">
        <v>0.458003594484419</v>
      </c>
      <c r="H93" s="259">
        <v>0.349490834797816</v>
      </c>
      <c r="I93" s="259">
        <v>0.807494429282235</v>
      </c>
      <c r="J93" s="259">
        <v>2.97116211281583</v>
      </c>
      <c r="K93" s="259">
        <v>0.171500012959278</v>
      </c>
      <c r="L93" s="259">
        <v>0.289410660919442</v>
      </c>
      <c r="M93" s="259">
        <v>0.0325483257053032</v>
      </c>
      <c r="N93" s="259">
        <v>0.0512342335622865</v>
      </c>
      <c r="O93" s="259">
        <v>0.313041195669644</v>
      </c>
      <c r="P93" s="259">
        <v>1.31101492130921</v>
      </c>
      <c r="Q93" s="259">
        <v>0.0639970402438902</v>
      </c>
      <c r="R93" s="259">
        <v>0.348590823879697</v>
      </c>
      <c r="S93" s="259">
        <v>0.0748644907099196</v>
      </c>
      <c r="T93" s="259">
        <v>0.525455821015121</v>
      </c>
      <c r="U93" s="259">
        <v>0.713201104250083</v>
      </c>
      <c r="V93" s="259">
        <v>0.42421417125054</v>
      </c>
      <c r="W93" s="259"/>
      <c r="X93" s="119"/>
      <c r="Y93" s="258"/>
      <c r="Z93" s="258"/>
      <c r="AA93" s="258"/>
      <c r="AB93" s="258"/>
      <c r="AC93" s="258"/>
      <c r="AD93" s="260"/>
      <c r="AE93" s="261"/>
    </row>
    <row r="94" ht="21.25" customHeight="1">
      <c r="A94" t="s" s="10">
        <v>358</v>
      </c>
      <c r="B94" t="s" s="256">
        <v>935</v>
      </c>
      <c r="C94" s="257">
        <v>27</v>
      </c>
      <c r="D94" t="s" s="256">
        <v>917</v>
      </c>
      <c r="E94" s="119">
        <v>79.6525</v>
      </c>
      <c r="F94" s="258">
        <v>17.9223499854661</v>
      </c>
      <c r="G94" s="259">
        <v>0.378957106975124</v>
      </c>
      <c r="H94" s="259">
        <v>0.423090794374576</v>
      </c>
      <c r="I94" s="259">
        <v>0.8020479013497001</v>
      </c>
      <c r="J94" s="259">
        <v>2.49833986636036</v>
      </c>
      <c r="K94" s="259">
        <v>0.153748087905694</v>
      </c>
      <c r="L94" s="259">
        <v>0.279509773560408</v>
      </c>
      <c r="M94" s="259">
        <v>6.474256670601171e-05</v>
      </c>
      <c r="N94" s="259">
        <v>0.000109409649555585</v>
      </c>
      <c r="O94" s="259">
        <v>0.380914307722222</v>
      </c>
      <c r="P94" s="259">
        <v>0.6719572085279319</v>
      </c>
      <c r="Q94" s="259">
        <v>0.0553891501150171</v>
      </c>
      <c r="R94" s="259">
        <v>0.290235763022209</v>
      </c>
      <c r="S94" s="259">
        <v>0.0647160980807686</v>
      </c>
      <c r="T94" s="259">
        <v>0.198785336687634</v>
      </c>
      <c r="U94" s="259">
        <v>0.21963255439952</v>
      </c>
      <c r="V94" s="259">
        <v>0.475088042175109</v>
      </c>
      <c r="W94" s="259"/>
      <c r="X94" s="119"/>
      <c r="Y94" s="258"/>
      <c r="Z94" s="258"/>
      <c r="AA94" s="258"/>
      <c r="AB94" s="258"/>
      <c r="AC94" s="258"/>
      <c r="AD94" s="260"/>
      <c r="AE94" s="261"/>
    </row>
    <row r="95" ht="21.25" customHeight="1">
      <c r="A95" t="s" s="10">
        <v>446</v>
      </c>
      <c r="B95" t="s" s="256">
        <v>942</v>
      </c>
      <c r="C95" s="257">
        <v>35</v>
      </c>
      <c r="D95" t="s" s="256">
        <v>917</v>
      </c>
      <c r="E95" s="119">
        <v>74.71250000000001</v>
      </c>
      <c r="F95" s="258">
        <v>18.3820174836543</v>
      </c>
      <c r="G95" s="259">
        <v>0.299872468873921</v>
      </c>
      <c r="H95" s="259">
        <v>0.500542634140853</v>
      </c>
      <c r="I95" s="259">
        <v>0.800415103014774</v>
      </c>
      <c r="J95" s="259">
        <v>2.9266362151544</v>
      </c>
      <c r="K95" s="259">
        <v>0.0574500955685064</v>
      </c>
      <c r="L95" s="259">
        <v>0.257129644190782</v>
      </c>
      <c r="M95" s="259">
        <v>4.49543671123337e-05</v>
      </c>
      <c r="N95" s="259">
        <v>7.75685832289384e-05</v>
      </c>
      <c r="O95" s="259">
        <v>0.290283671999161</v>
      </c>
      <c r="P95" s="259">
        <v>0.317975592851194</v>
      </c>
      <c r="Q95" s="259">
        <v>-0.0318672156811988</v>
      </c>
      <c r="R95" s="259">
        <v>0.286755105959737</v>
      </c>
      <c r="S95" s="259">
        <v>0.0411852840730017</v>
      </c>
      <c r="T95" s="259">
        <v>0.008526875224527461</v>
      </c>
      <c r="U95" s="259">
        <v>0.015744905042622</v>
      </c>
      <c r="V95" s="259">
        <v>0.351308191268859</v>
      </c>
      <c r="W95" s="259"/>
      <c r="X95" s="119"/>
      <c r="Y95" s="258"/>
      <c r="Z95" s="258"/>
      <c r="AA95" s="258"/>
      <c r="AB95" s="258"/>
      <c r="AC95" s="258"/>
      <c r="AD95" s="260"/>
      <c r="AE95" s="261"/>
    </row>
    <row r="96" ht="21.25" customHeight="1">
      <c r="A96" t="s" s="10">
        <v>299</v>
      </c>
      <c r="B96" t="s" s="256">
        <v>950</v>
      </c>
      <c r="C96" s="257">
        <v>37</v>
      </c>
      <c r="D96" t="s" s="256">
        <v>915</v>
      </c>
      <c r="E96" s="119">
        <v>81.7525</v>
      </c>
      <c r="F96" s="258">
        <v>19.7039148154219</v>
      </c>
      <c r="G96" s="259">
        <v>0.282830522007773</v>
      </c>
      <c r="H96" s="259">
        <v>0.509123186922282</v>
      </c>
      <c r="I96" s="259">
        <v>0.791953708930055</v>
      </c>
      <c r="J96" s="259">
        <v>1.89317895904987</v>
      </c>
      <c r="K96" s="259">
        <v>0.0804165817199676</v>
      </c>
      <c r="L96" s="259">
        <v>0.237207218722659</v>
      </c>
      <c r="M96" s="259">
        <v>0.00679360499598999</v>
      </c>
      <c r="N96" s="259">
        <v>0.0243957507623749</v>
      </c>
      <c r="O96" s="259">
        <v>0.838331701050655</v>
      </c>
      <c r="P96" s="259">
        <v>0.606894411306022</v>
      </c>
      <c r="Q96" s="259">
        <v>0.0396094236088204</v>
      </c>
      <c r="R96" s="259">
        <v>0.182091792473887</v>
      </c>
      <c r="S96" s="259">
        <v>0.0504036997556481</v>
      </c>
      <c r="T96" s="259">
        <v>10.6112487491621</v>
      </c>
      <c r="U96" s="259">
        <v>8.407295425158541</v>
      </c>
      <c r="V96" s="259">
        <v>0.55794221954642</v>
      </c>
      <c r="W96" s="259"/>
      <c r="X96" s="119"/>
      <c r="Y96" s="258"/>
      <c r="Z96" s="258"/>
      <c r="AA96" s="258"/>
      <c r="AB96" s="258"/>
      <c r="AC96" s="258"/>
      <c r="AD96" s="260"/>
      <c r="AE96" s="261"/>
    </row>
    <row r="97" ht="21.25" customHeight="1">
      <c r="A97" t="s" s="10">
        <v>298</v>
      </c>
      <c r="B97" t="s" s="256">
        <v>939</v>
      </c>
      <c r="C97" s="257">
        <v>32</v>
      </c>
      <c r="D97" t="s" s="256">
        <v>917</v>
      </c>
      <c r="E97" s="119">
        <v>76.1425</v>
      </c>
      <c r="F97" s="258">
        <v>20.527099367516</v>
      </c>
      <c r="G97" s="259">
        <v>0.355252312865253</v>
      </c>
      <c r="H97" s="259">
        <v>0.434336706257516</v>
      </c>
      <c r="I97" s="259">
        <v>0.789589019122769</v>
      </c>
      <c r="J97" s="259">
        <v>3.19378383713077</v>
      </c>
      <c r="K97" s="259">
        <v>0.07091668618192749</v>
      </c>
      <c r="L97" s="259">
        <v>0.214216750912552</v>
      </c>
      <c r="M97" s="259">
        <v>0.00194055558015664</v>
      </c>
      <c r="N97" s="259">
        <v>0.00765516715602006</v>
      </c>
      <c r="O97" s="259">
        <v>0.751236978280316</v>
      </c>
      <c r="P97" s="259">
        <v>0.962248100564287</v>
      </c>
      <c r="Q97" s="259">
        <v>0.0329878836957754</v>
      </c>
      <c r="R97" s="259">
        <v>0.389099631375736</v>
      </c>
      <c r="S97" s="259">
        <v>0.0526636338758912</v>
      </c>
      <c r="T97" s="259">
        <v>0.0438245493998264</v>
      </c>
      <c r="U97" s="259">
        <v>0.08909155613640631</v>
      </c>
      <c r="V97" s="259">
        <v>0.329715870195128</v>
      </c>
      <c r="W97" s="259"/>
      <c r="X97" s="119"/>
      <c r="Y97" s="258"/>
      <c r="Z97" s="258"/>
      <c r="AA97" s="258"/>
      <c r="AB97" s="258"/>
      <c r="AC97" s="258"/>
      <c r="AD97" s="260"/>
      <c r="AE97" s="261"/>
    </row>
    <row r="98" ht="21.25" customHeight="1">
      <c r="A98" t="s" s="10">
        <v>607</v>
      </c>
      <c r="B98" t="s" s="256">
        <v>925</v>
      </c>
      <c r="C98" s="257">
        <v>29</v>
      </c>
      <c r="D98" t="s" s="256">
        <v>917</v>
      </c>
      <c r="E98" s="119">
        <v>52</v>
      </c>
      <c r="F98" s="258">
        <v>18.4955395378529</v>
      </c>
      <c r="G98" s="259">
        <v>0.355550526869977</v>
      </c>
      <c r="H98" s="259">
        <v>0.431766975564311</v>
      </c>
      <c r="I98" s="259">
        <v>0.787317502434288</v>
      </c>
      <c r="J98" s="259">
        <v>2.56989653018461</v>
      </c>
      <c r="K98" s="259">
        <v>0.155567523245525</v>
      </c>
      <c r="L98" s="259">
        <v>0.238433298610395</v>
      </c>
      <c r="M98" s="259">
        <v>0.00487992009934699</v>
      </c>
      <c r="N98" s="259">
        <v>0.0225303765494688</v>
      </c>
      <c r="O98" s="259">
        <v>0.470941867910501</v>
      </c>
      <c r="P98" s="259">
        <v>1.16452933845237</v>
      </c>
      <c r="Q98" s="259">
        <v>0.0573137605210944</v>
      </c>
      <c r="R98" s="259">
        <v>0.35</v>
      </c>
      <c r="S98" s="259">
        <v>0.053123036974886</v>
      </c>
      <c r="T98" s="259">
        <v>0.0121865011110917</v>
      </c>
      <c r="U98" s="259">
        <v>0.0891060565586313</v>
      </c>
      <c r="V98" s="259">
        <v>0.120309935808189</v>
      </c>
      <c r="W98" s="259"/>
      <c r="X98" s="119"/>
      <c r="Y98" s="258"/>
      <c r="Z98" s="258"/>
      <c r="AA98" s="258"/>
      <c r="AB98" s="258"/>
      <c r="AC98" s="258"/>
      <c r="AD98" s="260"/>
      <c r="AE98" s="261"/>
    </row>
    <row r="99" ht="21.25" customHeight="1">
      <c r="A99" t="s" s="10">
        <v>246</v>
      </c>
      <c r="B99" t="s" s="256">
        <v>938</v>
      </c>
      <c r="C99" s="257">
        <v>29</v>
      </c>
      <c r="D99" t="s" s="256">
        <v>918</v>
      </c>
      <c r="E99" s="119">
        <v>81.0025</v>
      </c>
      <c r="F99" s="258">
        <v>24.1754959185637</v>
      </c>
      <c r="G99" s="259">
        <v>0.156727981590639</v>
      </c>
      <c r="H99" s="259">
        <v>0.62983480382385</v>
      </c>
      <c r="I99" s="259">
        <v>0.786562785414489</v>
      </c>
      <c r="J99" s="259">
        <v>2.34090610950263</v>
      </c>
      <c r="K99" s="259">
        <v>0.0370544423551191</v>
      </c>
      <c r="L99" s="259">
        <v>0.255480843668975</v>
      </c>
      <c r="M99" s="259">
        <v>5.30593116786146e-05</v>
      </c>
      <c r="N99" s="259">
        <v>0.000262183413935912</v>
      </c>
      <c r="O99" s="259">
        <v>1.38745908054039</v>
      </c>
      <c r="P99" s="259">
        <v>1.18588483318106</v>
      </c>
      <c r="Q99" s="259">
        <v>0.0720079361413923</v>
      </c>
      <c r="R99" s="259">
        <v>0.591546492487854</v>
      </c>
      <c r="S99" s="259">
        <v>0.0260523529007636</v>
      </c>
      <c r="T99" s="259">
        <v>0</v>
      </c>
      <c r="U99" s="259">
        <v>0</v>
      </c>
      <c r="V99" s="259">
        <v>0</v>
      </c>
      <c r="W99" s="259"/>
      <c r="X99" s="119"/>
      <c r="Y99" s="258"/>
      <c r="Z99" s="258"/>
      <c r="AA99" s="258"/>
      <c r="AB99" s="258"/>
      <c r="AC99" s="258"/>
      <c r="AD99" s="260"/>
      <c r="AE99" s="261"/>
    </row>
    <row r="100" ht="21.25" customHeight="1">
      <c r="A100" t="s" s="10">
        <v>372</v>
      </c>
      <c r="B100" t="s" s="256">
        <v>941</v>
      </c>
      <c r="C100" s="257">
        <v>29</v>
      </c>
      <c r="D100" t="s" s="256">
        <v>918</v>
      </c>
      <c r="E100" s="119">
        <v>71.705</v>
      </c>
      <c r="F100" s="258">
        <v>22.0700633710829</v>
      </c>
      <c r="G100" s="259">
        <v>0.145743388520255</v>
      </c>
      <c r="H100" s="259">
        <v>0.638959421964701</v>
      </c>
      <c r="I100" s="259">
        <v>0.784702810484956</v>
      </c>
      <c r="J100" s="259">
        <v>2.31969476958965</v>
      </c>
      <c r="K100" s="259">
        <v>0.0385015726936829</v>
      </c>
      <c r="L100" s="259">
        <v>0.268998494944347</v>
      </c>
      <c r="M100" s="259">
        <v>7.90678312577783e-05</v>
      </c>
      <c r="N100" s="259">
        <v>0.00039038880273483</v>
      </c>
      <c r="O100" s="259">
        <v>1.52733006138827</v>
      </c>
      <c r="P100" s="259">
        <v>0.495320589170523</v>
      </c>
      <c r="Q100" s="259">
        <v>0.049828357499386</v>
      </c>
      <c r="R100" s="259">
        <v>0.320888881593595</v>
      </c>
      <c r="S100" s="259">
        <v>0.0221677572513294</v>
      </c>
      <c r="T100" s="259">
        <v>0</v>
      </c>
      <c r="U100" s="259">
        <v>0</v>
      </c>
      <c r="V100" s="259">
        <v>0</v>
      </c>
      <c r="W100" s="259"/>
      <c r="X100" s="119"/>
      <c r="Y100" s="258"/>
      <c r="Z100" s="258"/>
      <c r="AA100" s="258"/>
      <c r="AB100" s="258"/>
      <c r="AC100" s="258"/>
      <c r="AD100" s="260"/>
      <c r="AE100" s="261"/>
    </row>
    <row r="101" ht="21.25" customHeight="1">
      <c r="A101" t="s" s="10">
        <v>273</v>
      </c>
      <c r="B101" t="s" s="256">
        <v>935</v>
      </c>
      <c r="C101" s="257">
        <v>27</v>
      </c>
      <c r="D101" t="s" s="256">
        <v>966</v>
      </c>
      <c r="E101" s="119">
        <v>78.7</v>
      </c>
      <c r="F101" s="258">
        <v>18.7885664555986</v>
      </c>
      <c r="G101" s="259">
        <v>0.379454001007021</v>
      </c>
      <c r="H101" s="259">
        <v>0.402115826002524</v>
      </c>
      <c r="I101" s="259">
        <v>0.781569827009545</v>
      </c>
      <c r="J101" s="259">
        <v>2.81244352766783</v>
      </c>
      <c r="K101" s="259">
        <v>0.07884444823659641</v>
      </c>
      <c r="L101" s="259">
        <v>0.229305964445339</v>
      </c>
      <c r="M101" s="259">
        <v>0.00583832192094299</v>
      </c>
      <c r="N101" s="259">
        <v>0.009363384659847261</v>
      </c>
      <c r="O101" s="259">
        <v>0.560170348533034</v>
      </c>
      <c r="P101" s="259">
        <v>1.3756660245749</v>
      </c>
      <c r="Q101" s="259">
        <v>0.0507133060372761</v>
      </c>
      <c r="R101" s="259">
        <v>0.281993973971318</v>
      </c>
      <c r="S101" s="259">
        <v>0.0648009547632588</v>
      </c>
      <c r="T101" s="259">
        <v>0.104419089202365</v>
      </c>
      <c r="U101" s="259">
        <v>0.214049395974384</v>
      </c>
      <c r="V101" s="259">
        <v>0.327878876757342</v>
      </c>
      <c r="W101" s="259"/>
      <c r="X101" s="119"/>
      <c r="Y101" s="258"/>
      <c r="Z101" s="258"/>
      <c r="AA101" s="258"/>
      <c r="AB101" s="258"/>
      <c r="AC101" s="258"/>
      <c r="AD101" s="260"/>
      <c r="AE101" s="261"/>
    </row>
    <row r="102" ht="21.25" customHeight="1">
      <c r="A102" t="s" s="10">
        <v>331</v>
      </c>
      <c r="B102" t="s" s="256">
        <v>952</v>
      </c>
      <c r="C102" s="257">
        <v>27</v>
      </c>
      <c r="D102" t="s" s="256">
        <v>918</v>
      </c>
      <c r="E102" s="119">
        <v>69.0125</v>
      </c>
      <c r="F102" s="258">
        <v>24.7616890265747</v>
      </c>
      <c r="G102" s="259">
        <v>0.168928454665832</v>
      </c>
      <c r="H102" s="259">
        <v>0.611744657074591</v>
      </c>
      <c r="I102" s="259">
        <v>0.780673111740423</v>
      </c>
      <c r="J102" s="259">
        <v>2.90041408699834</v>
      </c>
      <c r="K102" s="259">
        <v>0.040142349163709</v>
      </c>
      <c r="L102" s="259">
        <v>0.206784015087633</v>
      </c>
      <c r="M102" s="259">
        <v>0.000335491407184913</v>
      </c>
      <c r="N102" s="259">
        <v>0.00380053987363198</v>
      </c>
      <c r="O102" s="259">
        <v>1.79473528407537</v>
      </c>
      <c r="P102" s="259">
        <v>0.5501738486029319</v>
      </c>
      <c r="Q102" s="259">
        <v>-0.086603718340018</v>
      </c>
      <c r="R102" s="259">
        <v>0.362097199659953</v>
      </c>
      <c r="S102" s="259">
        <v>0.0186808432090623</v>
      </c>
      <c r="T102" s="259">
        <v>0</v>
      </c>
      <c r="U102" s="259">
        <v>0</v>
      </c>
      <c r="V102" s="259">
        <v>0</v>
      </c>
      <c r="W102" s="259"/>
      <c r="X102" s="119"/>
      <c r="Y102" s="258"/>
      <c r="Z102" s="258"/>
      <c r="AA102" s="258"/>
      <c r="AB102" s="258"/>
      <c r="AC102" s="258"/>
      <c r="AD102" s="260"/>
      <c r="AE102" s="261"/>
    </row>
    <row r="103" ht="21.25" customHeight="1">
      <c r="A103" t="s" s="10">
        <v>390</v>
      </c>
      <c r="B103" t="s" s="256">
        <v>950</v>
      </c>
      <c r="C103" s="257">
        <v>22</v>
      </c>
      <c r="D103" t="s" s="256">
        <v>915</v>
      </c>
      <c r="E103" s="119">
        <v>76.71250000000001</v>
      </c>
      <c r="F103" s="258">
        <v>18.6537215488873</v>
      </c>
      <c r="G103" s="259">
        <v>0.275978570821965</v>
      </c>
      <c r="H103" s="259">
        <v>0.502211838717344</v>
      </c>
      <c r="I103" s="259">
        <v>0.778190409539309</v>
      </c>
      <c r="J103" s="259">
        <v>2.27436335480793</v>
      </c>
      <c r="K103" s="259">
        <v>0.0995757588831987</v>
      </c>
      <c r="L103" s="259">
        <v>0.208922779544374</v>
      </c>
      <c r="M103" s="259">
        <v>0.00320918130791618</v>
      </c>
      <c r="N103" s="259">
        <v>0.00533917352887321</v>
      </c>
      <c r="O103" s="259">
        <v>0.32472219850999</v>
      </c>
      <c r="P103" s="259">
        <v>0.933607041188068</v>
      </c>
      <c r="Q103" s="259">
        <v>0.0586100487685472</v>
      </c>
      <c r="R103" s="259">
        <v>0.570204368015803</v>
      </c>
      <c r="S103" s="259">
        <v>0.0491826020896037</v>
      </c>
      <c r="T103" s="259">
        <v>0.91923395138347</v>
      </c>
      <c r="U103" s="259">
        <v>1.07902347544607</v>
      </c>
      <c r="V103" s="259">
        <v>0.460017783015043</v>
      </c>
      <c r="W103" s="259"/>
      <c r="X103" s="119"/>
      <c r="Y103" s="258"/>
      <c r="Z103" s="258"/>
      <c r="AA103" s="258"/>
      <c r="AB103" s="258"/>
      <c r="AC103" s="258"/>
      <c r="AD103" s="260"/>
      <c r="AE103" s="261"/>
    </row>
    <row r="104" ht="21.25" customHeight="1">
      <c r="A104" t="s" s="10">
        <v>403</v>
      </c>
      <c r="B104" t="s" s="256">
        <v>934</v>
      </c>
      <c r="C104" s="257">
        <v>22</v>
      </c>
      <c r="D104" t="s" s="256">
        <v>917</v>
      </c>
      <c r="E104" s="119">
        <v>80.3425</v>
      </c>
      <c r="F104" s="258">
        <v>17.8798997013355</v>
      </c>
      <c r="G104" s="259">
        <v>0.369106464886675</v>
      </c>
      <c r="H104" s="259">
        <v>0.409059140285406</v>
      </c>
      <c r="I104" s="259">
        <v>0.778165605172081</v>
      </c>
      <c r="J104" s="259">
        <v>2.86134108536683</v>
      </c>
      <c r="K104" s="259">
        <v>0.0754217449620567</v>
      </c>
      <c r="L104" s="259">
        <v>0.185386057704245</v>
      </c>
      <c r="M104" s="259">
        <v>1.458303829611e-05</v>
      </c>
      <c r="N104" s="259">
        <v>2.46193457062868e-05</v>
      </c>
      <c r="O104" s="259">
        <v>0.246230075819765</v>
      </c>
      <c r="P104" s="259">
        <v>0.396139821359071</v>
      </c>
      <c r="Q104" s="259">
        <v>0.0030067149133778</v>
      </c>
      <c r="R104" s="259">
        <v>0.345709700895384</v>
      </c>
      <c r="S104" s="259">
        <v>0.0522121158740244</v>
      </c>
      <c r="T104" s="259">
        <v>0.06479215465974569</v>
      </c>
      <c r="U104" s="259">
        <v>0.127482869042942</v>
      </c>
      <c r="V104" s="259">
        <v>0.336976448693268</v>
      </c>
      <c r="W104" s="259"/>
      <c r="X104" s="119"/>
      <c r="Y104" s="258"/>
      <c r="Z104" s="258"/>
      <c r="AA104" s="258"/>
      <c r="AB104" s="258"/>
      <c r="AC104" s="258"/>
      <c r="AD104" s="260"/>
      <c r="AE104" s="261"/>
    </row>
    <row r="105" ht="21.25" customHeight="1">
      <c r="A105" t="s" s="10">
        <v>335</v>
      </c>
      <c r="B105" t="s" s="256">
        <v>958</v>
      </c>
      <c r="C105" s="257">
        <v>21</v>
      </c>
      <c r="D105" t="s" s="256">
        <v>915</v>
      </c>
      <c r="E105" s="119">
        <v>76.76000000000001</v>
      </c>
      <c r="F105" s="258">
        <v>18.0121164294665</v>
      </c>
      <c r="G105" s="259">
        <v>0.332728451797897</v>
      </c>
      <c r="H105" s="259">
        <v>0.441547851645629</v>
      </c>
      <c r="I105" s="259">
        <v>0.774276303443526</v>
      </c>
      <c r="J105" s="259">
        <v>2.33847241480951</v>
      </c>
      <c r="K105" s="259">
        <v>0.102294012811131</v>
      </c>
      <c r="L105" s="259">
        <v>0.220906823120197</v>
      </c>
      <c r="M105" s="259">
        <v>0.0184036391891708</v>
      </c>
      <c r="N105" s="259">
        <v>0.0357694584635652</v>
      </c>
      <c r="O105" s="259">
        <v>0.551969439466044</v>
      </c>
      <c r="P105" s="259">
        <v>0.999402254732768</v>
      </c>
      <c r="Q105" s="259">
        <v>-0.109202659179455</v>
      </c>
      <c r="R105" s="259">
        <v>0.8559419172084</v>
      </c>
      <c r="S105" s="259">
        <v>0.03878267839087</v>
      </c>
      <c r="T105" s="259">
        <v>6.19018616717075</v>
      </c>
      <c r="U105" s="259">
        <v>7.39906422871788</v>
      </c>
      <c r="V105" s="259">
        <v>0.455520796720588</v>
      </c>
      <c r="W105" s="259"/>
      <c r="X105" s="119"/>
      <c r="Y105" s="258"/>
      <c r="Z105" s="258"/>
      <c r="AA105" s="258"/>
      <c r="AB105" s="258"/>
      <c r="AC105" s="258"/>
      <c r="AD105" s="260"/>
      <c r="AE105" s="261"/>
    </row>
    <row r="106" ht="21.25" customHeight="1">
      <c r="A106" t="s" s="10">
        <v>297</v>
      </c>
      <c r="B106" t="s" s="256">
        <v>941</v>
      </c>
      <c r="C106" s="257">
        <v>30</v>
      </c>
      <c r="D106" t="s" s="256">
        <v>915</v>
      </c>
      <c r="E106" s="119">
        <v>76.64749999999999</v>
      </c>
      <c r="F106" s="258">
        <v>19.6578705778367</v>
      </c>
      <c r="G106" s="259">
        <v>0.315738673120929</v>
      </c>
      <c r="H106" s="259">
        <v>0.456953180441187</v>
      </c>
      <c r="I106" s="259">
        <v>0.772691853562116</v>
      </c>
      <c r="J106" s="259">
        <v>2.3572917762346</v>
      </c>
      <c r="K106" s="259">
        <v>0.111427663984163</v>
      </c>
      <c r="L106" s="259">
        <v>0.287513630923728</v>
      </c>
      <c r="M106" s="259">
        <v>0.00949357584836466</v>
      </c>
      <c r="N106" s="259">
        <v>0.0136138574816301</v>
      </c>
      <c r="O106" s="259">
        <v>0.752023579403484</v>
      </c>
      <c r="P106" s="259">
        <v>1.0641110385188</v>
      </c>
      <c r="Q106" s="259">
        <v>0.00225298323199968</v>
      </c>
      <c r="R106" s="259">
        <v>0.398416559056891</v>
      </c>
      <c r="S106" s="259">
        <v>0.0480242591562146</v>
      </c>
      <c r="T106" s="259">
        <v>9.742887724384159</v>
      </c>
      <c r="U106" s="259">
        <v>7.96168957120026</v>
      </c>
      <c r="V106" s="259">
        <v>0.550303323356614</v>
      </c>
      <c r="W106" s="259"/>
      <c r="X106" s="119"/>
      <c r="Y106" s="258"/>
      <c r="Z106" s="258"/>
      <c r="AA106" s="258"/>
      <c r="AB106" s="258"/>
      <c r="AC106" s="258"/>
      <c r="AD106" s="260"/>
      <c r="AE106" s="261"/>
    </row>
    <row r="107" ht="21.25" customHeight="1">
      <c r="A107" t="s" s="10">
        <v>260</v>
      </c>
      <c r="B107" t="s" s="256">
        <v>951</v>
      </c>
      <c r="C107" s="257">
        <v>26</v>
      </c>
      <c r="D107" t="s" s="256">
        <v>918</v>
      </c>
      <c r="E107" s="119">
        <v>72.69750000000001</v>
      </c>
      <c r="F107" s="258">
        <v>24.2848853180643</v>
      </c>
      <c r="G107" s="259">
        <v>0.116268086593104</v>
      </c>
      <c r="H107" s="259">
        <v>0.6552412115806731</v>
      </c>
      <c r="I107" s="259">
        <v>0.771509298173777</v>
      </c>
      <c r="J107" s="259">
        <v>2.00166259633868</v>
      </c>
      <c r="K107" s="259">
        <v>0.0360692582534746</v>
      </c>
      <c r="L107" s="259">
        <v>0.35047114752631</v>
      </c>
      <c r="M107" s="259">
        <v>0.000492382681788928</v>
      </c>
      <c r="N107" s="259">
        <v>0.009377717556339789</v>
      </c>
      <c r="O107" s="259">
        <v>1.89980913416882</v>
      </c>
      <c r="P107" s="259">
        <v>1.34191808766255</v>
      </c>
      <c r="Q107" s="259">
        <v>0.008874384437928951</v>
      </c>
      <c r="R107" s="259">
        <v>0.669712649229348</v>
      </c>
      <c r="S107" s="259">
        <v>0.0170134385181561</v>
      </c>
      <c r="T107" s="259">
        <v>0</v>
      </c>
      <c r="U107" s="259">
        <v>0</v>
      </c>
      <c r="V107" s="259">
        <v>0</v>
      </c>
      <c r="W107" s="259"/>
      <c r="X107" s="119"/>
      <c r="Y107" s="258"/>
      <c r="Z107" s="258"/>
      <c r="AA107" s="258"/>
      <c r="AB107" s="258"/>
      <c r="AC107" s="258"/>
      <c r="AD107" s="260"/>
      <c r="AE107" s="261"/>
    </row>
    <row r="108" ht="21.25" customHeight="1">
      <c r="A108" t="s" s="10">
        <v>202</v>
      </c>
      <c r="B108" t="s" s="256">
        <v>928</v>
      </c>
      <c r="C108" s="257">
        <v>26</v>
      </c>
      <c r="D108" t="s" s="256">
        <v>918</v>
      </c>
      <c r="E108" s="119">
        <v>78.14749999999999</v>
      </c>
      <c r="F108" s="258">
        <v>24.7892169531024</v>
      </c>
      <c r="G108" s="259">
        <v>0.143823640118289</v>
      </c>
      <c r="H108" s="259">
        <v>0.617910563162975</v>
      </c>
      <c r="I108" s="259">
        <v>0.761734203281264</v>
      </c>
      <c r="J108" s="259">
        <v>1.88442365297133</v>
      </c>
      <c r="K108" s="259">
        <v>0.0324288331907879</v>
      </c>
      <c r="L108" s="259">
        <v>0.26263108836131</v>
      </c>
      <c r="M108" s="259">
        <v>0.000415943314775362</v>
      </c>
      <c r="N108" s="259">
        <v>0.00179848016157253</v>
      </c>
      <c r="O108" s="259">
        <v>2.0279456714096</v>
      </c>
      <c r="P108" s="259">
        <v>1.79044735126665</v>
      </c>
      <c r="Q108" s="259">
        <v>0.0595422961113913</v>
      </c>
      <c r="R108" s="259">
        <v>0.840375973061958</v>
      </c>
      <c r="S108" s="259">
        <v>0.0224010666800396</v>
      </c>
      <c r="T108" s="259">
        <v>0</v>
      </c>
      <c r="U108" s="259">
        <v>0</v>
      </c>
      <c r="V108" s="259">
        <v>0</v>
      </c>
      <c r="W108" s="259"/>
      <c r="X108" s="119"/>
      <c r="Y108" s="258"/>
      <c r="Z108" s="258"/>
      <c r="AA108" s="258"/>
      <c r="AB108" s="258"/>
      <c r="AC108" s="258"/>
      <c r="AD108" s="260"/>
      <c r="AE108" s="261"/>
    </row>
    <row r="109" ht="21.25" customHeight="1">
      <c r="A109" t="s" s="10">
        <v>427</v>
      </c>
      <c r="B109" t="s" s="256">
        <v>939</v>
      </c>
      <c r="C109" s="257">
        <v>28</v>
      </c>
      <c r="D109" t="s" s="256">
        <v>916</v>
      </c>
      <c r="E109" s="119">
        <v>81.55249999999999</v>
      </c>
      <c r="F109" s="258">
        <v>17.1898901990267</v>
      </c>
      <c r="G109" s="259">
        <v>0.292444542258263</v>
      </c>
      <c r="H109" s="259">
        <v>0.467860430479587</v>
      </c>
      <c r="I109" s="259">
        <v>0.76030497273785</v>
      </c>
      <c r="J109" s="259">
        <v>2.36641608040784</v>
      </c>
      <c r="K109" s="259">
        <v>0.109255097013521</v>
      </c>
      <c r="L109" s="259">
        <v>0.271940765359103</v>
      </c>
      <c r="M109" s="259">
        <v>6.60499507520162e-05</v>
      </c>
      <c r="N109" s="259">
        <v>0.000112411300989975</v>
      </c>
      <c r="O109" s="259">
        <v>0.285121069593372</v>
      </c>
      <c r="P109" s="259">
        <v>0.794098601265341</v>
      </c>
      <c r="Q109" s="259">
        <v>0.0101933169526935</v>
      </c>
      <c r="R109" s="259">
        <v>0.759217824579178</v>
      </c>
      <c r="S109" s="259">
        <v>0.0433528276797832</v>
      </c>
      <c r="T109" s="259">
        <v>0.0931870910384727</v>
      </c>
      <c r="U109" s="259">
        <v>0.165253889201856</v>
      </c>
      <c r="V109" s="259">
        <v>0.360573973027871</v>
      </c>
      <c r="W109" s="259"/>
      <c r="X109" s="119"/>
      <c r="Y109" s="258"/>
      <c r="Z109" s="258"/>
      <c r="AA109" s="258"/>
      <c r="AB109" s="258"/>
      <c r="AC109" s="258"/>
      <c r="AD109" s="260"/>
      <c r="AE109" s="261"/>
    </row>
    <row r="110" ht="21.25" customHeight="1">
      <c r="A110" t="s" s="10">
        <v>210</v>
      </c>
      <c r="B110" t="s" s="256">
        <v>933</v>
      </c>
      <c r="C110" s="257">
        <v>27</v>
      </c>
      <c r="D110" t="s" s="256">
        <v>915</v>
      </c>
      <c r="E110" s="119">
        <v>80.0925</v>
      </c>
      <c r="F110" s="258">
        <v>19.6094569771094</v>
      </c>
      <c r="G110" s="259">
        <v>0.33155439125051</v>
      </c>
      <c r="H110" s="259">
        <v>0.427921281975625</v>
      </c>
      <c r="I110" s="259">
        <v>0.759475673226135</v>
      </c>
      <c r="J110" s="259">
        <v>3.17063296373882</v>
      </c>
      <c r="K110" s="259">
        <v>0.138407330712894</v>
      </c>
      <c r="L110" s="259">
        <v>0.247038153273293</v>
      </c>
      <c r="M110" s="259">
        <v>0.0134152647796194</v>
      </c>
      <c r="N110" s="259">
        <v>0.0178562393453243</v>
      </c>
      <c r="O110" s="259">
        <v>0.692692131178782</v>
      </c>
      <c r="P110" s="259">
        <v>1.86870103769183</v>
      </c>
      <c r="Q110" s="259">
        <v>0.0293729184826822</v>
      </c>
      <c r="R110" s="259">
        <v>0.547677589398193</v>
      </c>
      <c r="S110" s="259">
        <v>0.0547327094761688</v>
      </c>
      <c r="T110" s="259">
        <v>9.66406556104025</v>
      </c>
      <c r="U110" s="259">
        <v>10.0232205337784</v>
      </c>
      <c r="V110" s="259">
        <v>0.490878504761694</v>
      </c>
      <c r="W110" s="259"/>
      <c r="X110" s="119"/>
      <c r="Y110" s="258"/>
      <c r="Z110" s="258"/>
      <c r="AA110" s="258"/>
      <c r="AB110" s="258"/>
      <c r="AC110" s="258"/>
      <c r="AD110" s="260"/>
      <c r="AE110" s="261"/>
    </row>
    <row r="111" ht="21.25" customHeight="1">
      <c r="A111" t="s" s="10">
        <v>343</v>
      </c>
      <c r="B111" t="s" s="256">
        <v>949</v>
      </c>
      <c r="C111" s="257">
        <v>25</v>
      </c>
      <c r="D111" t="s" s="256">
        <v>967</v>
      </c>
      <c r="E111" s="119">
        <v>80.74250000000001</v>
      </c>
      <c r="F111" s="258">
        <v>17.500334909653</v>
      </c>
      <c r="G111" s="259">
        <v>0.320148099813914</v>
      </c>
      <c r="H111" s="259">
        <v>0.438728288014547</v>
      </c>
      <c r="I111" s="259">
        <v>0.758876387828461</v>
      </c>
      <c r="J111" s="259">
        <v>2.86104783521409</v>
      </c>
      <c r="K111" s="259">
        <v>0.104672473691485</v>
      </c>
      <c r="L111" s="259">
        <v>0.231504584072568</v>
      </c>
      <c r="M111" s="259">
        <v>0.000608435655758315</v>
      </c>
      <c r="N111" s="259">
        <v>0.00138369289305275</v>
      </c>
      <c r="O111" s="259">
        <v>0.35861006281587</v>
      </c>
      <c r="P111" s="259">
        <v>0.886117375179389</v>
      </c>
      <c r="Q111" s="259">
        <v>0.047499505632786</v>
      </c>
      <c r="R111" s="259">
        <v>0.480324893749351</v>
      </c>
      <c r="S111" s="259">
        <v>0.0554770511356499</v>
      </c>
      <c r="T111" s="259">
        <v>0.900501064650541</v>
      </c>
      <c r="U111" s="259">
        <v>1.31606644456027</v>
      </c>
      <c r="V111" s="259">
        <v>0.406259254865266</v>
      </c>
      <c r="W111" s="259"/>
      <c r="X111" s="119"/>
      <c r="Y111" s="258"/>
      <c r="Z111" s="258"/>
      <c r="AA111" s="258"/>
      <c r="AB111" s="258"/>
      <c r="AC111" s="258"/>
      <c r="AD111" s="260"/>
      <c r="AE111" s="261"/>
    </row>
    <row r="112" ht="21.25" customHeight="1">
      <c r="A112" t="s" s="10">
        <v>375</v>
      </c>
      <c r="B112" t="s" s="256">
        <v>945</v>
      </c>
      <c r="C112" s="257">
        <v>26</v>
      </c>
      <c r="D112" t="s" s="256">
        <v>967</v>
      </c>
      <c r="E112" s="119">
        <v>80.4675</v>
      </c>
      <c r="F112" s="258">
        <v>18.2878523117691</v>
      </c>
      <c r="G112" s="259">
        <v>0.35379264451894</v>
      </c>
      <c r="H112" s="259">
        <v>0.397458663300899</v>
      </c>
      <c r="I112" s="259">
        <v>0.751251307819839</v>
      </c>
      <c r="J112" s="259">
        <v>2.40850150341025</v>
      </c>
      <c r="K112" s="259">
        <v>0.0891939752872488</v>
      </c>
      <c r="L112" s="259">
        <v>0.242714008791292</v>
      </c>
      <c r="M112" s="259">
        <v>0.0273180941813875</v>
      </c>
      <c r="N112" s="259">
        <v>0.0585583417576944</v>
      </c>
      <c r="O112" s="259">
        <v>0.552201959705895</v>
      </c>
      <c r="P112" s="259">
        <v>0.317797946476307</v>
      </c>
      <c r="Q112" s="259">
        <v>-0.0683549172896793</v>
      </c>
      <c r="R112" s="259">
        <v>0.225808393346</v>
      </c>
      <c r="S112" s="259">
        <v>0.0514003321468305</v>
      </c>
      <c r="T112" s="259">
        <v>1.45531550807762</v>
      </c>
      <c r="U112" s="259">
        <v>2.41866722420052</v>
      </c>
      <c r="V112" s="259">
        <v>0.375663911961168</v>
      </c>
      <c r="W112" s="259"/>
      <c r="X112" s="119"/>
      <c r="Y112" s="258"/>
      <c r="Z112" s="258"/>
      <c r="AA112" s="258"/>
      <c r="AB112" s="258"/>
      <c r="AC112" s="258"/>
      <c r="AD112" s="260"/>
      <c r="AE112" s="261"/>
    </row>
    <row r="113" ht="21.25" customHeight="1">
      <c r="A113" t="s" s="10">
        <v>367</v>
      </c>
      <c r="B113" t="s" s="256">
        <v>959</v>
      </c>
      <c r="C113" s="257">
        <v>18</v>
      </c>
      <c r="D113" t="s" s="256">
        <v>915</v>
      </c>
      <c r="E113" s="119">
        <v>78</v>
      </c>
      <c r="F113" s="258">
        <v>18</v>
      </c>
      <c r="G113" s="259">
        <v>0.31</v>
      </c>
      <c r="H113" s="259">
        <v>0.44</v>
      </c>
      <c r="I113" s="259">
        <v>0.75</v>
      </c>
      <c r="J113" s="259">
        <v>2.22529268292683</v>
      </c>
      <c r="K113" s="259">
        <v>0.08871544715447161</v>
      </c>
      <c r="L113" s="259">
        <v>0.214634146341463</v>
      </c>
      <c r="M113" s="259">
        <v>0</v>
      </c>
      <c r="N113" s="259">
        <v>0</v>
      </c>
      <c r="O113" s="259">
        <v>0.448780487804878</v>
      </c>
      <c r="P113" s="259">
        <v>1.18309240326726</v>
      </c>
      <c r="Q113" s="259">
        <v>-0.07505440240867151</v>
      </c>
      <c r="R113" s="259">
        <v>0.404066898383504</v>
      </c>
      <c r="S113" s="259">
        <v>0.0331111387246458</v>
      </c>
      <c r="T113" s="259">
        <v>2.92682926829268</v>
      </c>
      <c r="U113" s="259">
        <v>4.39024390243902</v>
      </c>
      <c r="V113" s="259">
        <v>0.4</v>
      </c>
      <c r="W113" s="259"/>
      <c r="X113" s="119"/>
      <c r="Y113" s="259"/>
      <c r="Z113" s="259"/>
      <c r="AA113" s="259"/>
      <c r="AB113" s="259"/>
      <c r="AC113" s="258"/>
      <c r="AD113" s="260"/>
      <c r="AE113" s="261"/>
    </row>
    <row r="114" ht="21.25" customHeight="1">
      <c r="A114" t="s" s="10">
        <v>365</v>
      </c>
      <c r="B114" t="s" s="256">
        <v>930</v>
      </c>
      <c r="C114" s="257">
        <v>33</v>
      </c>
      <c r="D114" t="s" s="256">
        <v>915</v>
      </c>
      <c r="E114" s="119">
        <v>77.6425</v>
      </c>
      <c r="F114" s="258">
        <v>19.7877778496588</v>
      </c>
      <c r="G114" s="259">
        <v>0.302016248268153</v>
      </c>
      <c r="H114" s="259">
        <v>0.446730416412612</v>
      </c>
      <c r="I114" s="259">
        <v>0.748746664680765</v>
      </c>
      <c r="J114" s="259">
        <v>2.21815751486101</v>
      </c>
      <c r="K114" s="259">
        <v>0.127197761342651</v>
      </c>
      <c r="L114" s="259">
        <v>0.277760685496956</v>
      </c>
      <c r="M114" s="259">
        <v>0.00523222651736614</v>
      </c>
      <c r="N114" s="259">
        <v>0.009004320813402409</v>
      </c>
      <c r="O114" s="259">
        <v>0.6239680010959699</v>
      </c>
      <c r="P114" s="259">
        <v>0.411923367350129</v>
      </c>
      <c r="Q114" s="259">
        <v>0.0306457956926282</v>
      </c>
      <c r="R114" s="259">
        <v>0.27926965750457</v>
      </c>
      <c r="S114" s="259">
        <v>0.0427633322851565</v>
      </c>
      <c r="T114" s="259">
        <v>10.5134949113212</v>
      </c>
      <c r="U114" s="259">
        <v>8.561550535507109</v>
      </c>
      <c r="V114" s="259">
        <v>0.551164868289702</v>
      </c>
      <c r="W114" s="259"/>
      <c r="X114" s="119"/>
      <c r="Y114" s="258"/>
      <c r="Z114" s="258"/>
      <c r="AA114" s="258"/>
      <c r="AB114" s="258"/>
      <c r="AC114" s="258"/>
      <c r="AD114" s="260"/>
      <c r="AE114" s="261"/>
    </row>
    <row r="115" ht="21.25" customHeight="1">
      <c r="A115" t="s" s="10">
        <v>251</v>
      </c>
      <c r="B115" t="s" s="256">
        <v>954</v>
      </c>
      <c r="C115" s="257">
        <v>20</v>
      </c>
      <c r="D115" t="s" s="256">
        <v>916</v>
      </c>
      <c r="E115" s="119">
        <v>76.2175</v>
      </c>
      <c r="F115" s="258">
        <v>19.2690625217244</v>
      </c>
      <c r="G115" s="259">
        <v>0.304166582134327</v>
      </c>
      <c r="H115" s="259">
        <v>0.444420868751532</v>
      </c>
      <c r="I115" s="259">
        <v>0.748587450885859</v>
      </c>
      <c r="J115" s="259">
        <v>2.12182883497837</v>
      </c>
      <c r="K115" s="259">
        <v>0.105534107788373</v>
      </c>
      <c r="L115" s="259">
        <v>0.249448217068984</v>
      </c>
      <c r="M115" s="259">
        <v>7.66059870869546e-05</v>
      </c>
      <c r="N115" s="259">
        <v>0.000128221723264933</v>
      </c>
      <c r="O115" s="259">
        <v>0.842992237928135</v>
      </c>
      <c r="P115" s="259">
        <v>1.7466449642671</v>
      </c>
      <c r="Q115" s="259">
        <v>-0.0532381560113533</v>
      </c>
      <c r="R115" s="259">
        <v>0.693170864596617</v>
      </c>
      <c r="S115" s="259">
        <v>0.035253293971475</v>
      </c>
      <c r="T115" s="259">
        <v>0.135470521844375</v>
      </c>
      <c r="U115" s="259">
        <v>0.135470521844374</v>
      </c>
      <c r="V115" s="259">
        <v>0.5</v>
      </c>
      <c r="W115" s="259"/>
      <c r="X115" s="119"/>
      <c r="Y115" s="258"/>
      <c r="Z115" s="258"/>
      <c r="AA115" s="258"/>
      <c r="AB115" s="258"/>
      <c r="AC115" s="258"/>
      <c r="AD115" s="260"/>
      <c r="AE115" s="261"/>
    </row>
    <row r="116" ht="21.25" customHeight="1">
      <c r="A116" t="s" s="10">
        <v>356</v>
      </c>
      <c r="B116" t="s" s="256">
        <v>940</v>
      </c>
      <c r="C116" s="257">
        <v>26</v>
      </c>
      <c r="D116" t="s" s="256">
        <v>966</v>
      </c>
      <c r="E116" s="119">
        <v>78.43000000000001</v>
      </c>
      <c r="F116" s="258">
        <v>17.5752069803382</v>
      </c>
      <c r="G116" s="259">
        <v>0.297308852463211</v>
      </c>
      <c r="H116" s="259">
        <v>0.447348172488967</v>
      </c>
      <c r="I116" s="259">
        <v>0.744657024952178</v>
      </c>
      <c r="J116" s="259">
        <v>2.39507391554876</v>
      </c>
      <c r="K116" s="259">
        <v>0.0771980201390199</v>
      </c>
      <c r="L116" s="259">
        <v>0.213752769351679</v>
      </c>
      <c r="M116" s="259">
        <v>0.00015136731390687</v>
      </c>
      <c r="N116" s="259">
        <v>0.000255847074286907</v>
      </c>
      <c r="O116" s="259">
        <v>0.414739239946913</v>
      </c>
      <c r="P116" s="259">
        <v>1.20955162048438</v>
      </c>
      <c r="Q116" s="259">
        <v>-0.0149913310172629</v>
      </c>
      <c r="R116" s="259">
        <v>0.403720931842908</v>
      </c>
      <c r="S116" s="259">
        <v>0.0461614328014596</v>
      </c>
      <c r="T116" s="259">
        <v>0.373551862680339</v>
      </c>
      <c r="U116" s="259">
        <v>0.598178635690675</v>
      </c>
      <c r="V116" s="259">
        <v>0.384419201935673</v>
      </c>
      <c r="W116" s="259"/>
      <c r="X116" s="119"/>
      <c r="Y116" s="258"/>
      <c r="Z116" s="258"/>
      <c r="AA116" s="258"/>
      <c r="AB116" s="258"/>
      <c r="AC116" s="258"/>
      <c r="AD116" s="260"/>
      <c r="AE116" s="261"/>
    </row>
    <row r="117" ht="21.25" customHeight="1">
      <c r="A117" t="s" s="10">
        <v>451</v>
      </c>
      <c r="B117" t="s" s="256">
        <v>958</v>
      </c>
      <c r="C117" s="257">
        <v>23</v>
      </c>
      <c r="D117" t="s" s="256">
        <v>915</v>
      </c>
      <c r="E117" s="119">
        <v>72.14</v>
      </c>
      <c r="F117" s="258">
        <v>17.6842796920641</v>
      </c>
      <c r="G117" s="259">
        <v>0.284409103005822</v>
      </c>
      <c r="H117" s="259">
        <v>0.459702726199335</v>
      </c>
      <c r="I117" s="259">
        <v>0.7441118292051569</v>
      </c>
      <c r="J117" s="259">
        <v>2.36839337105142</v>
      </c>
      <c r="K117" s="259">
        <v>0.0763119323587953</v>
      </c>
      <c r="L117" s="259">
        <v>0.20216837751249</v>
      </c>
      <c r="M117" s="259">
        <v>9.20847252986245e-05</v>
      </c>
      <c r="N117" s="259">
        <v>0.000154378449583364</v>
      </c>
      <c r="O117" s="259">
        <v>0.413953939235118</v>
      </c>
      <c r="P117" s="259">
        <v>0.630094057191612</v>
      </c>
      <c r="Q117" s="259">
        <v>-0.081520252534137</v>
      </c>
      <c r="R117" s="259">
        <v>0.591018629450443</v>
      </c>
      <c r="S117" s="259">
        <v>0.0331505968717411</v>
      </c>
      <c r="T117" s="259">
        <v>2.3483640457683</v>
      </c>
      <c r="U117" s="259">
        <v>3.47894031584938</v>
      </c>
      <c r="V117" s="259">
        <v>0.402993202352036</v>
      </c>
      <c r="W117" s="259"/>
      <c r="X117" s="119"/>
      <c r="Y117" s="258"/>
      <c r="Z117" s="258"/>
      <c r="AA117" s="258"/>
      <c r="AB117" s="258"/>
      <c r="AC117" s="258"/>
      <c r="AD117" s="260"/>
      <c r="AE117" s="261"/>
    </row>
    <row r="118" ht="21.25" customHeight="1">
      <c r="A118" t="s" s="10">
        <v>327</v>
      </c>
      <c r="B118" t="s" s="256">
        <v>944</v>
      </c>
      <c r="C118" s="257">
        <v>26</v>
      </c>
      <c r="D118" t="s" s="256">
        <v>965</v>
      </c>
      <c r="E118" s="119">
        <v>80.6925</v>
      </c>
      <c r="F118" s="258">
        <v>17.7961064982424</v>
      </c>
      <c r="G118" s="259">
        <v>0.315677707637671</v>
      </c>
      <c r="H118" s="259">
        <v>0.427285395525509</v>
      </c>
      <c r="I118" s="259">
        <v>0.74296310316318</v>
      </c>
      <c r="J118" s="259">
        <v>2.33820776647359</v>
      </c>
      <c r="K118" s="259">
        <v>0.132911168407205</v>
      </c>
      <c r="L118" s="259">
        <v>0.222684747942376</v>
      </c>
      <c r="M118" s="259">
        <v>0.000279322973664825</v>
      </c>
      <c r="N118" s="259">
        <v>0.000472025402605186</v>
      </c>
      <c r="O118" s="259">
        <v>0.52438170492745</v>
      </c>
      <c r="P118" s="259">
        <v>1.16596323719757</v>
      </c>
      <c r="Q118" s="259">
        <v>0.0270908720804363</v>
      </c>
      <c r="R118" s="259">
        <v>0.858519773114118</v>
      </c>
      <c r="S118" s="259">
        <v>0.0447986237446299</v>
      </c>
      <c r="T118" s="259">
        <v>6.09333054322098</v>
      </c>
      <c r="U118" s="259">
        <v>6.41555858027122</v>
      </c>
      <c r="V118" s="259">
        <v>0.487120037843925</v>
      </c>
      <c r="W118" s="259"/>
      <c r="X118" s="119"/>
      <c r="Y118" s="258"/>
      <c r="Z118" s="258"/>
      <c r="AA118" s="258"/>
      <c r="AB118" s="258"/>
      <c r="AC118" s="258"/>
      <c r="AD118" s="260"/>
      <c r="AE118" s="261"/>
    </row>
    <row r="119" ht="21.25" customHeight="1">
      <c r="A119" t="s" s="10">
        <v>370</v>
      </c>
      <c r="B119" t="s" s="256">
        <v>928</v>
      </c>
      <c r="C119" s="257">
        <v>27</v>
      </c>
      <c r="D119" t="s" s="256">
        <v>915</v>
      </c>
      <c r="E119" s="119">
        <v>80.12</v>
      </c>
      <c r="F119" s="258">
        <v>18.1736110587842</v>
      </c>
      <c r="G119" s="259">
        <v>0.275844307594245</v>
      </c>
      <c r="H119" s="259">
        <v>0.463402320207016</v>
      </c>
      <c r="I119" s="259">
        <v>0.739246627801261</v>
      </c>
      <c r="J119" s="259">
        <v>2.01850364343278</v>
      </c>
      <c r="K119" s="259">
        <v>0.0772924995270699</v>
      </c>
      <c r="L119" s="259">
        <v>0.190127970564799</v>
      </c>
      <c r="M119" s="259">
        <v>0.00151985955465222</v>
      </c>
      <c r="N119" s="259">
        <v>0.00639384706351073</v>
      </c>
      <c r="O119" s="259">
        <v>0.404120008534763</v>
      </c>
      <c r="P119" s="259">
        <v>1.24370115915446</v>
      </c>
      <c r="Q119" s="259">
        <v>0.0408590748599573</v>
      </c>
      <c r="R119" s="259">
        <v>0.297208746535994</v>
      </c>
      <c r="S119" s="259">
        <v>0.0429637764879674</v>
      </c>
      <c r="T119" s="259">
        <v>5.75164694947932</v>
      </c>
      <c r="U119" s="259">
        <v>5.63274253902924</v>
      </c>
      <c r="V119" s="259">
        <v>0.505222256782856</v>
      </c>
      <c r="W119" s="259"/>
      <c r="X119" s="119"/>
      <c r="Y119" s="258"/>
      <c r="Z119" s="258"/>
      <c r="AA119" s="258"/>
      <c r="AB119" s="258"/>
      <c r="AC119" s="258"/>
      <c r="AD119" s="260"/>
      <c r="AE119" s="261"/>
    </row>
    <row r="120" ht="21.25" customHeight="1">
      <c r="A120" t="s" s="10">
        <v>376</v>
      </c>
      <c r="B120" t="s" s="256">
        <v>952</v>
      </c>
      <c r="C120" s="257">
        <v>19</v>
      </c>
      <c r="D120" t="s" s="256">
        <v>915</v>
      </c>
      <c r="E120" s="119">
        <v>71.70999999999999</v>
      </c>
      <c r="F120" s="258">
        <v>17.7742867970202</v>
      </c>
      <c r="G120" s="259">
        <v>0.317880893463677</v>
      </c>
      <c r="H120" s="259">
        <v>0.421365087862789</v>
      </c>
      <c r="I120" s="259">
        <v>0.739245981326466</v>
      </c>
      <c r="J120" s="259">
        <v>2.66050503117855</v>
      </c>
      <c r="K120" s="259">
        <v>0.0619884640376029</v>
      </c>
      <c r="L120" s="259">
        <v>0.167500413075194</v>
      </c>
      <c r="M120" s="259">
        <v>0.000164252194353718</v>
      </c>
      <c r="N120" s="259">
        <v>0.000276022866822885</v>
      </c>
      <c r="O120" s="259">
        <v>0.543543689871493</v>
      </c>
      <c r="P120" s="259">
        <v>1.317371079149</v>
      </c>
      <c r="Q120" s="259">
        <v>-0.118463402956974</v>
      </c>
      <c r="R120" s="259">
        <v>0.412888384152667</v>
      </c>
      <c r="S120" s="259">
        <v>0.0351526517051166</v>
      </c>
      <c r="T120" s="259">
        <v>3.9483022113412</v>
      </c>
      <c r="U120" s="259">
        <v>5.10277654214272</v>
      </c>
      <c r="V120" s="259">
        <v>0.436224489795918</v>
      </c>
      <c r="W120" s="259"/>
      <c r="X120" s="119"/>
      <c r="Y120" s="258"/>
      <c r="Z120" s="258"/>
      <c r="AA120" s="258"/>
      <c r="AB120" s="258"/>
      <c r="AC120" s="258"/>
      <c r="AD120" s="260"/>
      <c r="AE120" s="261"/>
    </row>
    <row r="121" ht="21.25" customHeight="1">
      <c r="A121" t="s" s="10">
        <v>524</v>
      </c>
      <c r="B121" t="s" s="256">
        <v>958</v>
      </c>
      <c r="C121" s="257">
        <v>19</v>
      </c>
      <c r="D121" t="s" s="256">
        <v>915</v>
      </c>
      <c r="E121" s="119">
        <v>70.825</v>
      </c>
      <c r="F121" s="258">
        <v>19.0729387377393</v>
      </c>
      <c r="G121" s="259">
        <v>0.302154347419703</v>
      </c>
      <c r="H121" s="259">
        <v>0.434177041926635</v>
      </c>
      <c r="I121" s="259">
        <v>0.736331389346338</v>
      </c>
      <c r="J121" s="259">
        <v>2.2819203475138</v>
      </c>
      <c r="K121" s="259">
        <v>0.07640641439626469</v>
      </c>
      <c r="L121" s="259">
        <v>0.229369732190528</v>
      </c>
      <c r="M121" s="259">
        <v>0.00158858708457259</v>
      </c>
      <c r="N121" s="259">
        <v>0.00266035452201835</v>
      </c>
      <c r="O121" s="259">
        <v>0.473732173687205</v>
      </c>
      <c r="P121" s="259">
        <v>0.58370775125813</v>
      </c>
      <c r="Q121" s="259">
        <v>-0.0716679614855834</v>
      </c>
      <c r="R121" s="259">
        <v>0.388433297445902</v>
      </c>
      <c r="S121" s="259">
        <v>0.0352189745633758</v>
      </c>
      <c r="T121" s="259">
        <v>3.73408471100898</v>
      </c>
      <c r="U121" s="259">
        <v>7.00858976527839</v>
      </c>
      <c r="V121" s="259">
        <v>0.347593582887701</v>
      </c>
      <c r="W121" s="259"/>
      <c r="X121" s="119"/>
      <c r="Y121" s="258"/>
      <c r="Z121" s="258"/>
      <c r="AA121" s="258"/>
      <c r="AB121" s="258"/>
      <c r="AC121" s="258"/>
      <c r="AD121" s="260"/>
      <c r="AE121" s="261"/>
    </row>
    <row r="122" ht="21.25" customHeight="1">
      <c r="A122" t="s" s="10">
        <v>369</v>
      </c>
      <c r="B122" t="s" s="256">
        <v>940</v>
      </c>
      <c r="C122" s="257">
        <v>36</v>
      </c>
      <c r="D122" t="s" s="256">
        <v>917</v>
      </c>
      <c r="E122" s="119">
        <v>81.33</v>
      </c>
      <c r="F122" s="258">
        <v>19.5924550802476</v>
      </c>
      <c r="G122" s="259">
        <v>0.277087048371738</v>
      </c>
      <c r="H122" s="259">
        <v>0.459118205333411</v>
      </c>
      <c r="I122" s="259">
        <v>0.736205253705149</v>
      </c>
      <c r="J122" s="259">
        <v>2.35854843647293</v>
      </c>
      <c r="K122" s="259">
        <v>0.0400363961463689</v>
      </c>
      <c r="L122" s="259">
        <v>0.183806698306757</v>
      </c>
      <c r="M122" s="259">
        <v>0.0147773818454879</v>
      </c>
      <c r="N122" s="259">
        <v>0.0235050457777054</v>
      </c>
      <c r="O122" s="259">
        <v>0.393008957401523</v>
      </c>
      <c r="P122" s="259">
        <v>0.654523925831996</v>
      </c>
      <c r="Q122" s="259">
        <v>-0.00231972172240799</v>
      </c>
      <c r="R122" s="259">
        <v>0.384473754026234</v>
      </c>
      <c r="S122" s="259">
        <v>0.0430217097728346</v>
      </c>
      <c r="T122" s="259">
        <v>8.409058338384019</v>
      </c>
      <c r="U122" s="259">
        <v>5.93182026144893</v>
      </c>
      <c r="V122" s="259">
        <v>0.586369815478528</v>
      </c>
      <c r="W122" s="259"/>
      <c r="X122" s="119"/>
      <c r="Y122" s="259"/>
      <c r="Z122" s="259"/>
      <c r="AA122" s="259"/>
      <c r="AB122" s="259"/>
      <c r="AC122" s="258"/>
      <c r="AD122" s="260"/>
      <c r="AE122" s="261"/>
    </row>
    <row r="123" ht="21.25" customHeight="1">
      <c r="A123" t="s" s="10">
        <v>357</v>
      </c>
      <c r="B123" t="s" s="256">
        <v>929</v>
      </c>
      <c r="C123" s="257">
        <v>31</v>
      </c>
      <c r="D123" t="s" s="256">
        <v>918</v>
      </c>
      <c r="E123" s="119">
        <v>69.02500000000001</v>
      </c>
      <c r="F123" s="258">
        <v>22.0192259525411</v>
      </c>
      <c r="G123" s="259">
        <v>0.212896020931256</v>
      </c>
      <c r="H123" s="259">
        <v>0.521817551659069</v>
      </c>
      <c r="I123" s="259">
        <v>0.734713572590325</v>
      </c>
      <c r="J123" s="259">
        <v>3.07941030873545</v>
      </c>
      <c r="K123" s="259">
        <v>0.085858538037861</v>
      </c>
      <c r="L123" s="259">
        <v>0.256516751156907</v>
      </c>
      <c r="M123" s="259">
        <v>0.000132244882409534</v>
      </c>
      <c r="N123" s="259">
        <v>0.000649149350216782</v>
      </c>
      <c r="O123" s="259">
        <v>1.25920308549562</v>
      </c>
      <c r="P123" s="259">
        <v>0.99172371963519</v>
      </c>
      <c r="Q123" s="259">
        <v>0.0475883590682601</v>
      </c>
      <c r="R123" s="259">
        <v>0.627239410890634</v>
      </c>
      <c r="S123" s="259">
        <v>0.0321209684088541</v>
      </c>
      <c r="T123" s="259">
        <v>0</v>
      </c>
      <c r="U123" s="259">
        <v>0</v>
      </c>
      <c r="V123" s="259">
        <v>0</v>
      </c>
      <c r="W123" s="259"/>
      <c r="X123" s="119"/>
      <c r="Y123" s="258"/>
      <c r="Z123" s="258"/>
      <c r="AA123" s="258"/>
      <c r="AB123" s="258"/>
      <c r="AC123" s="258"/>
      <c r="AD123" s="260"/>
      <c r="AE123" s="261"/>
    </row>
    <row r="124" ht="21.25" customHeight="1">
      <c r="A124" t="s" s="10">
        <v>520</v>
      </c>
      <c r="B124" t="s" s="256">
        <v>938</v>
      </c>
      <c r="C124" s="257">
        <v>25</v>
      </c>
      <c r="D124" t="s" s="256">
        <v>967</v>
      </c>
      <c r="E124" s="119">
        <v>67.505</v>
      </c>
      <c r="F124" s="258">
        <v>16.7366974941929</v>
      </c>
      <c r="G124" s="259">
        <v>0.404358936232323</v>
      </c>
      <c r="H124" s="259">
        <v>0.328226351958542</v>
      </c>
      <c r="I124" s="259">
        <v>0.732585288190865</v>
      </c>
      <c r="J124" s="259">
        <v>2.3167947451668</v>
      </c>
      <c r="K124" s="259">
        <v>0.133336074185805</v>
      </c>
      <c r="L124" s="259">
        <v>0.232237917528067</v>
      </c>
      <c r="M124" s="259">
        <v>2.78684490464765e-05</v>
      </c>
      <c r="N124" s="259">
        <v>4.71419145236254e-05</v>
      </c>
      <c r="O124" s="259">
        <v>0.515265714340151</v>
      </c>
      <c r="P124" s="259">
        <v>0.523987603039041</v>
      </c>
      <c r="Q124" s="259">
        <v>0.0394190981174754</v>
      </c>
      <c r="R124" s="259">
        <v>0.349695713181734</v>
      </c>
      <c r="S124" s="259">
        <v>0.0672151941113943</v>
      </c>
      <c r="T124" s="259">
        <v>0.789949091599603</v>
      </c>
      <c r="U124" s="259">
        <v>0.916960043407931</v>
      </c>
      <c r="V124" s="259">
        <v>0.462795045968347</v>
      </c>
      <c r="W124" s="259"/>
      <c r="X124" s="119"/>
      <c r="Y124" s="258"/>
      <c r="Z124" s="258"/>
      <c r="AA124" s="258"/>
      <c r="AB124" s="258"/>
      <c r="AC124" s="258"/>
      <c r="AD124" s="260"/>
      <c r="AE124" s="261"/>
    </row>
    <row r="125" ht="21.25" customHeight="1">
      <c r="A125" t="s" s="10">
        <v>556</v>
      </c>
      <c r="B125" t="s" s="256">
        <v>951</v>
      </c>
      <c r="C125" s="257">
        <v>23</v>
      </c>
      <c r="D125" t="s" s="256">
        <v>916</v>
      </c>
      <c r="E125" s="119">
        <v>77.755</v>
      </c>
      <c r="F125" s="258">
        <v>16.0358161010958</v>
      </c>
      <c r="G125" s="259">
        <v>0.215171971624094</v>
      </c>
      <c r="H125" s="259">
        <v>0.5126398286142479</v>
      </c>
      <c r="I125" s="259">
        <v>0.727811800238342</v>
      </c>
      <c r="J125" s="259">
        <v>1.68536362195862</v>
      </c>
      <c r="K125" s="259">
        <v>0.0304576493635082</v>
      </c>
      <c r="L125" s="259">
        <v>0.174603015942007</v>
      </c>
      <c r="M125" s="259">
        <v>0.000271703149757755</v>
      </c>
      <c r="N125" s="259">
        <v>0.00162119459780179</v>
      </c>
      <c r="O125" s="259">
        <v>0.287441097790339</v>
      </c>
      <c r="P125" s="259">
        <v>0.421351117574763</v>
      </c>
      <c r="Q125" s="259">
        <v>0.0215948197575215</v>
      </c>
      <c r="R125" s="259">
        <v>0.222287133393813</v>
      </c>
      <c r="S125" s="259">
        <v>0.0314859839645291</v>
      </c>
      <c r="T125" s="259">
        <v>0.0523406712201305</v>
      </c>
      <c r="U125" s="259">
        <v>0.126025309057304</v>
      </c>
      <c r="V125" s="259">
        <v>0.293445370797271</v>
      </c>
      <c r="W125" s="259"/>
      <c r="X125" s="119"/>
      <c r="Y125" s="258"/>
      <c r="Z125" s="258"/>
      <c r="AA125" s="258"/>
      <c r="AB125" s="258"/>
      <c r="AC125" s="258"/>
      <c r="AD125" s="260"/>
      <c r="AE125" s="261"/>
    </row>
    <row r="126" ht="21.25" customHeight="1">
      <c r="A126" t="s" s="10">
        <v>431</v>
      </c>
      <c r="B126" t="s" s="256">
        <v>947</v>
      </c>
      <c r="C126" s="257">
        <v>29</v>
      </c>
      <c r="D126" t="s" s="256">
        <v>966</v>
      </c>
      <c r="E126" s="119">
        <v>78.54000000000001</v>
      </c>
      <c r="F126" s="258">
        <v>19.0365702426685</v>
      </c>
      <c r="G126" s="259">
        <v>0.289482764902883</v>
      </c>
      <c r="H126" s="259">
        <v>0.431500645938077</v>
      </c>
      <c r="I126" s="259">
        <v>0.72098341084096</v>
      </c>
      <c r="J126" s="259">
        <v>2.33542689299052</v>
      </c>
      <c r="K126" s="259">
        <v>0.108731679938349</v>
      </c>
      <c r="L126" s="259">
        <v>0.24916480171799</v>
      </c>
      <c r="M126" s="259">
        <v>0.0207506417724778</v>
      </c>
      <c r="N126" s="259">
        <v>0.0492671012770777</v>
      </c>
      <c r="O126" s="259">
        <v>0.401078312637402</v>
      </c>
      <c r="P126" s="259">
        <v>0.340765394289109</v>
      </c>
      <c r="Q126" s="259">
        <v>0.07493637437791589</v>
      </c>
      <c r="R126" s="259">
        <v>0.287815151610247</v>
      </c>
      <c r="S126" s="259">
        <v>0.0374113761394889</v>
      </c>
      <c r="T126" s="259">
        <v>0.925808402893213</v>
      </c>
      <c r="U126" s="259">
        <v>0.798448014985102</v>
      </c>
      <c r="V126" s="259">
        <v>0.536931974440561</v>
      </c>
      <c r="W126" s="259"/>
      <c r="X126" s="119"/>
      <c r="Y126" s="258"/>
      <c r="Z126" s="258"/>
      <c r="AA126" s="258"/>
      <c r="AB126" s="258"/>
      <c r="AC126" s="258"/>
      <c r="AD126" s="260"/>
      <c r="AE126" s="261"/>
    </row>
    <row r="127" ht="21.25" customHeight="1">
      <c r="A127" t="s" s="10">
        <v>514</v>
      </c>
      <c r="B127" t="s" s="256">
        <v>945</v>
      </c>
      <c r="C127" s="257">
        <v>28</v>
      </c>
      <c r="D127" t="s" s="256">
        <v>966</v>
      </c>
      <c r="E127" s="119">
        <v>79.61750000000001</v>
      </c>
      <c r="F127" s="258">
        <v>15.5465506811692</v>
      </c>
      <c r="G127" s="259">
        <v>0.347018309702798</v>
      </c>
      <c r="H127" s="259">
        <v>0.373605634679617</v>
      </c>
      <c r="I127" s="259">
        <v>0.7206239443824149</v>
      </c>
      <c r="J127" s="259">
        <v>1.76593572257964</v>
      </c>
      <c r="K127" s="259">
        <v>0.111827203363699</v>
      </c>
      <c r="L127" s="259">
        <v>0.230809056516454</v>
      </c>
      <c r="M127" s="259">
        <v>3.4151527956458e-06</v>
      </c>
      <c r="N127" s="259">
        <v>5.77007761581031e-06</v>
      </c>
      <c r="O127" s="259">
        <v>0.270225376222876</v>
      </c>
      <c r="P127" s="259">
        <v>0.328497726348909</v>
      </c>
      <c r="Q127" s="259">
        <v>0.0104934118113322</v>
      </c>
      <c r="R127" s="259">
        <v>0.20740887698601</v>
      </c>
      <c r="S127" s="259">
        <v>0.0504161311889587</v>
      </c>
      <c r="T127" s="259">
        <v>0.00691903518772298</v>
      </c>
      <c r="U127" s="259">
        <v>0.00704509256988135</v>
      </c>
      <c r="V127" s="259">
        <v>0.495486385388814</v>
      </c>
      <c r="W127" s="259"/>
      <c r="X127" s="119"/>
      <c r="Y127" s="258"/>
      <c r="Z127" s="258"/>
      <c r="AA127" s="258"/>
      <c r="AB127" s="258"/>
      <c r="AC127" s="258"/>
      <c r="AD127" s="260"/>
      <c r="AE127" s="261"/>
    </row>
    <row r="128" ht="21.25" customHeight="1">
      <c r="A128" t="s" s="10">
        <v>393</v>
      </c>
      <c r="B128" t="s" s="256">
        <v>955</v>
      </c>
      <c r="C128" s="257">
        <v>21</v>
      </c>
      <c r="D128" t="s" s="256">
        <v>915</v>
      </c>
      <c r="E128" s="119">
        <v>80.1675</v>
      </c>
      <c r="F128" s="258">
        <v>18.579948781943</v>
      </c>
      <c r="G128" s="259">
        <v>0.295112372454441</v>
      </c>
      <c r="H128" s="259">
        <v>0.417681603452192</v>
      </c>
      <c r="I128" s="259">
        <v>0.712793975906633</v>
      </c>
      <c r="J128" s="259">
        <v>1.92398165903561</v>
      </c>
      <c r="K128" s="259">
        <v>0.0865357927963394</v>
      </c>
      <c r="L128" s="259">
        <v>0.191546848090423</v>
      </c>
      <c r="M128" s="259">
        <v>0.00279281063905631</v>
      </c>
      <c r="N128" s="259">
        <v>0.0116160405156915</v>
      </c>
      <c r="O128" s="259">
        <v>0.60421670542187</v>
      </c>
      <c r="P128" s="259">
        <v>0.772360957884849</v>
      </c>
      <c r="Q128" s="259">
        <v>0.000113698324044491</v>
      </c>
      <c r="R128" s="259">
        <v>0.234352611769873</v>
      </c>
      <c r="S128" s="259">
        <v>0.0448121263966597</v>
      </c>
      <c r="T128" s="259">
        <v>6.53694110973716</v>
      </c>
      <c r="U128" s="259">
        <v>7.99677976884039</v>
      </c>
      <c r="V128" s="259">
        <v>0.449777532150937</v>
      </c>
      <c r="W128" s="259"/>
      <c r="X128" s="119"/>
      <c r="Y128" s="258"/>
      <c r="Z128" s="258"/>
      <c r="AA128" s="258"/>
      <c r="AB128" s="258"/>
      <c r="AC128" s="258"/>
      <c r="AD128" s="260"/>
      <c r="AE128" s="261"/>
    </row>
    <row r="129" ht="21.25" customHeight="1">
      <c r="A129" t="s" s="10">
        <v>338</v>
      </c>
      <c r="B129" t="s" s="256">
        <v>931</v>
      </c>
      <c r="C129" s="257">
        <v>22</v>
      </c>
      <c r="D129" t="s" s="256">
        <v>966</v>
      </c>
      <c r="E129" s="119">
        <v>81.5925</v>
      </c>
      <c r="F129" s="258">
        <v>18.0020093233018</v>
      </c>
      <c r="G129" s="259">
        <v>0.329627233611968</v>
      </c>
      <c r="H129" s="259">
        <v>0.379966619980009</v>
      </c>
      <c r="I129" s="259">
        <v>0.709593853591977</v>
      </c>
      <c r="J129" s="259">
        <v>2.53873691834862</v>
      </c>
      <c r="K129" s="259">
        <v>0.0407555815573355</v>
      </c>
      <c r="L129" s="259">
        <v>0.0845615951509084</v>
      </c>
      <c r="M129" s="259">
        <v>0.000124625561373637</v>
      </c>
      <c r="N129" s="259">
        <v>0.000210402998132449</v>
      </c>
      <c r="O129" s="259">
        <v>0.319373840111182</v>
      </c>
      <c r="P129" s="259">
        <v>1.15235818501925</v>
      </c>
      <c r="Q129" s="259">
        <v>0.0504304451809344</v>
      </c>
      <c r="R129" s="259">
        <v>0.463747274544652</v>
      </c>
      <c r="S129" s="259">
        <v>0.0538803085077517</v>
      </c>
      <c r="T129" s="259">
        <v>0.261798794550978</v>
      </c>
      <c r="U129" s="259">
        <v>0.606669534840113</v>
      </c>
      <c r="V129" s="259">
        <v>0.301448867726164</v>
      </c>
      <c r="W129" s="259"/>
      <c r="X129" s="119"/>
      <c r="Y129" s="258"/>
      <c r="Z129" s="258"/>
      <c r="AA129" s="258"/>
      <c r="AB129" s="258"/>
      <c r="AC129" s="258"/>
      <c r="AD129" s="260"/>
      <c r="AE129" s="261"/>
    </row>
    <row r="130" ht="21.25" customHeight="1">
      <c r="A130" t="s" s="10">
        <v>232</v>
      </c>
      <c r="B130" t="s" s="256">
        <v>944</v>
      </c>
      <c r="C130" s="257">
        <v>34</v>
      </c>
      <c r="D130" t="s" s="256">
        <v>918</v>
      </c>
      <c r="E130" s="119">
        <v>75.855</v>
      </c>
      <c r="F130" s="258">
        <v>26.1428511340085</v>
      </c>
      <c r="G130" s="259">
        <v>0.162067748664711</v>
      </c>
      <c r="H130" s="259">
        <v>0.546987169225435</v>
      </c>
      <c r="I130" s="259">
        <v>0.709054917890146</v>
      </c>
      <c r="J130" s="259">
        <v>2.36017815496349</v>
      </c>
      <c r="K130" s="259">
        <v>0.0636152433517779</v>
      </c>
      <c r="L130" s="259">
        <v>0.251646689373824</v>
      </c>
      <c r="M130" s="259">
        <v>0.00449080565613968</v>
      </c>
      <c r="N130" s="259">
        <v>0.0136643468456733</v>
      </c>
      <c r="O130" s="259">
        <v>2.28083936128059</v>
      </c>
      <c r="P130" s="259">
        <v>0.970110457831271</v>
      </c>
      <c r="Q130" s="259">
        <v>-0.0321211447164357</v>
      </c>
      <c r="R130" s="259">
        <v>0.392079787336998</v>
      </c>
      <c r="S130" s="259">
        <v>0.022999445060286</v>
      </c>
      <c r="T130" s="259">
        <v>0</v>
      </c>
      <c r="U130" s="259">
        <v>0</v>
      </c>
      <c r="V130" s="259">
        <v>0</v>
      </c>
      <c r="W130" s="259"/>
      <c r="X130" s="119"/>
      <c r="Y130" s="258"/>
      <c r="Z130" s="258"/>
      <c r="AA130" s="258"/>
      <c r="AB130" s="258"/>
      <c r="AC130" s="258"/>
      <c r="AD130" s="260"/>
      <c r="AE130" s="261"/>
    </row>
    <row r="131" ht="21.25" customHeight="1">
      <c r="A131" t="s" s="10">
        <v>508</v>
      </c>
      <c r="B131" t="s" s="256">
        <v>934</v>
      </c>
      <c r="C131" s="257">
        <v>22</v>
      </c>
      <c r="D131" t="s" s="256">
        <v>917</v>
      </c>
      <c r="E131" s="119">
        <v>68.205</v>
      </c>
      <c r="F131" s="258">
        <v>16.9674310275332</v>
      </c>
      <c r="G131" s="259">
        <v>0.299740078812863</v>
      </c>
      <c r="H131" s="259">
        <v>0.409290026480828</v>
      </c>
      <c r="I131" s="259">
        <v>0.709030105293691</v>
      </c>
      <c r="J131" s="259">
        <v>2.19018320041362</v>
      </c>
      <c r="K131" s="259">
        <v>0.0434300281311922</v>
      </c>
      <c r="L131" s="259">
        <v>0.127022099780866</v>
      </c>
      <c r="M131" s="259">
        <v>0.00208507217350628</v>
      </c>
      <c r="N131" s="259">
        <v>0.00869171924075168</v>
      </c>
      <c r="O131" s="259">
        <v>0.423197297272409</v>
      </c>
      <c r="P131" s="259">
        <v>0.949212269077188</v>
      </c>
      <c r="Q131" s="259">
        <v>0.0013255347227242</v>
      </c>
      <c r="R131" s="259">
        <v>0.332174720620777</v>
      </c>
      <c r="S131" s="259">
        <v>0.0423998634970303</v>
      </c>
      <c r="T131" s="259">
        <v>0.137217009893478</v>
      </c>
      <c r="U131" s="259">
        <v>0.280045759800529</v>
      </c>
      <c r="V131" s="259">
        <v>0.328850354883337</v>
      </c>
      <c r="W131" s="259"/>
      <c r="X131" s="119"/>
      <c r="Y131" s="258"/>
      <c r="Z131" s="258"/>
      <c r="AA131" s="258"/>
      <c r="AB131" s="258"/>
      <c r="AC131" s="258"/>
      <c r="AD131" s="260"/>
      <c r="AE131" s="261"/>
    </row>
    <row r="132" ht="21.25" customHeight="1">
      <c r="A132" t="s" s="10">
        <v>566</v>
      </c>
      <c r="B132" t="s" s="256">
        <v>925</v>
      </c>
      <c r="C132" s="257">
        <v>25</v>
      </c>
      <c r="D132" t="s" s="256">
        <v>915</v>
      </c>
      <c r="E132" s="119">
        <v>77.47499999999999</v>
      </c>
      <c r="F132" s="258">
        <v>16.8462965672436</v>
      </c>
      <c r="G132" s="259">
        <v>0.21612593919022</v>
      </c>
      <c r="H132" s="259">
        <v>0.491703171500144</v>
      </c>
      <c r="I132" s="259">
        <v>0.707829110690364</v>
      </c>
      <c r="J132" s="259">
        <v>1.65075185984868</v>
      </c>
      <c r="K132" s="259">
        <v>0.0284165810876169</v>
      </c>
      <c r="L132" s="259">
        <v>0.0951308563508128</v>
      </c>
      <c r="M132" s="259">
        <v>0.00116893023903058</v>
      </c>
      <c r="N132" s="259">
        <v>0.00140291877562915</v>
      </c>
      <c r="O132" s="259">
        <v>0.350404493612627</v>
      </c>
      <c r="P132" s="259">
        <v>0.41347235203428</v>
      </c>
      <c r="Q132" s="259">
        <v>0.00928800284390398</v>
      </c>
      <c r="R132" s="259">
        <v>0.30628383333577</v>
      </c>
      <c r="S132" s="259">
        <v>0.0322915180576646</v>
      </c>
      <c r="T132" s="259">
        <v>5.87912697372548</v>
      </c>
      <c r="U132" s="259">
        <v>6.81200186807608</v>
      </c>
      <c r="V132" s="259">
        <v>0.463246969360285</v>
      </c>
      <c r="W132" s="259"/>
      <c r="X132" s="119"/>
      <c r="Y132" s="258"/>
      <c r="Z132" s="258"/>
      <c r="AA132" s="258"/>
      <c r="AB132" s="258"/>
      <c r="AC132" s="258"/>
      <c r="AD132" s="260"/>
      <c r="AE132" s="261"/>
    </row>
    <row r="133" ht="21.25" customHeight="1">
      <c r="A133" t="s" s="10">
        <v>447</v>
      </c>
      <c r="B133" t="s" s="256">
        <v>937</v>
      </c>
      <c r="C133" s="257">
        <v>33</v>
      </c>
      <c r="D133" t="s" s="256">
        <v>967</v>
      </c>
      <c r="E133" s="119">
        <v>79.7625</v>
      </c>
      <c r="F133" s="258">
        <v>16.2386835614281</v>
      </c>
      <c r="G133" s="259">
        <v>0.282778995672543</v>
      </c>
      <c r="H133" s="259">
        <v>0.420170852751922</v>
      </c>
      <c r="I133" s="259">
        <v>0.702949848424465</v>
      </c>
      <c r="J133" s="259">
        <v>2.10005946702416</v>
      </c>
      <c r="K133" s="259">
        <v>0.0640426760009582</v>
      </c>
      <c r="L133" s="259">
        <v>0.154000228902171</v>
      </c>
      <c r="M133" s="259">
        <v>0.000822846321858087</v>
      </c>
      <c r="N133" s="259">
        <v>0.00140931782847226</v>
      </c>
      <c r="O133" s="259">
        <v>0.519456935755599</v>
      </c>
      <c r="P133" s="259">
        <v>0.438330407617135</v>
      </c>
      <c r="Q133" s="259">
        <v>0.07342519014987491</v>
      </c>
      <c r="R133" s="259">
        <v>0.323585565390817</v>
      </c>
      <c r="S133" s="259">
        <v>0.0452216532712859</v>
      </c>
      <c r="T133" s="259">
        <v>3.41306027200999</v>
      </c>
      <c r="U133" s="259">
        <v>2.82794226354915</v>
      </c>
      <c r="V133" s="259">
        <v>0.546876924430572</v>
      </c>
      <c r="W133" s="259"/>
      <c r="X133" s="119"/>
      <c r="Y133" s="258"/>
      <c r="Z133" s="258"/>
      <c r="AA133" s="258"/>
      <c r="AB133" s="258"/>
      <c r="AC133" s="258"/>
      <c r="AD133" s="260"/>
      <c r="AE133" s="261"/>
    </row>
    <row r="134" ht="21.25" customHeight="1">
      <c r="A134" t="s" s="10">
        <v>409</v>
      </c>
      <c r="B134" t="s" s="256">
        <v>959</v>
      </c>
      <c r="C134" s="257">
        <v>35</v>
      </c>
      <c r="D134" t="s" s="256">
        <v>915</v>
      </c>
      <c r="E134" s="119">
        <v>68.04000000000001</v>
      </c>
      <c r="F134" s="258">
        <v>18.0481944867134</v>
      </c>
      <c r="G134" s="259">
        <v>0.26981662280294</v>
      </c>
      <c r="H134" s="259">
        <v>0.429753511014665</v>
      </c>
      <c r="I134" s="259">
        <v>0.699570133817605</v>
      </c>
      <c r="J134" s="259">
        <v>2.30208594971104</v>
      </c>
      <c r="K134" s="259">
        <v>0.0655578599136574</v>
      </c>
      <c r="L134" s="259">
        <v>0.227927521251141</v>
      </c>
      <c r="M134" s="259">
        <v>0.00667987684590509</v>
      </c>
      <c r="N134" s="259">
        <v>0.009183724013191371</v>
      </c>
      <c r="O134" s="259">
        <v>0.730019360895135</v>
      </c>
      <c r="P134" s="259">
        <v>1.34599098196917</v>
      </c>
      <c r="Q134" s="259">
        <v>-0.0966410034183549</v>
      </c>
      <c r="R134" s="259">
        <v>0.300888333550407</v>
      </c>
      <c r="S134" s="259">
        <v>0.0288191471865922</v>
      </c>
      <c r="T134" s="259">
        <v>7.48358536191107</v>
      </c>
      <c r="U134" s="259">
        <v>8.125746363329631</v>
      </c>
      <c r="V134" s="259">
        <v>0.47943022120607</v>
      </c>
      <c r="W134" s="259"/>
      <c r="X134" s="119"/>
      <c r="Y134" s="258"/>
      <c r="Z134" s="258"/>
      <c r="AA134" s="258"/>
      <c r="AB134" s="258"/>
      <c r="AC134" s="258"/>
      <c r="AD134" s="260"/>
      <c r="AE134" s="261"/>
    </row>
    <row r="135" ht="21.25" customHeight="1">
      <c r="A135" t="s" s="10">
        <v>248</v>
      </c>
      <c r="B135" t="s" s="256">
        <v>956</v>
      </c>
      <c r="C135" s="257">
        <v>25</v>
      </c>
      <c r="D135" t="s" s="256">
        <v>966</v>
      </c>
      <c r="E135" s="119">
        <v>78.7325</v>
      </c>
      <c r="F135" s="258">
        <v>17.4747066562133</v>
      </c>
      <c r="G135" s="259">
        <v>0.353440227025814</v>
      </c>
      <c r="H135" s="259">
        <v>0.343306154712933</v>
      </c>
      <c r="I135" s="259">
        <v>0.696746381738747</v>
      </c>
      <c r="J135" s="259">
        <v>3.4751933507172</v>
      </c>
      <c r="K135" s="259">
        <v>0.079456597389477</v>
      </c>
      <c r="L135" s="259">
        <v>0.142354800366474</v>
      </c>
      <c r="M135" s="259">
        <v>0.000110923028532303</v>
      </c>
      <c r="N135" s="259">
        <v>0.00018756373955414</v>
      </c>
      <c r="O135" s="259">
        <v>0.665563481845538</v>
      </c>
      <c r="P135" s="259">
        <v>1.76286419109933</v>
      </c>
      <c r="Q135" s="259">
        <v>-0.0330916972220699</v>
      </c>
      <c r="R135" s="259">
        <v>0.240467788292144</v>
      </c>
      <c r="S135" s="259">
        <v>0.051230993732114</v>
      </c>
      <c r="T135" s="259">
        <v>0.310608474826844</v>
      </c>
      <c r="U135" s="259">
        <v>0.315372347279676</v>
      </c>
      <c r="V135" s="259">
        <v>0.496194873481266</v>
      </c>
      <c r="W135" s="259"/>
      <c r="X135" s="119"/>
      <c r="Y135" s="258"/>
      <c r="Z135" s="258"/>
      <c r="AA135" s="258"/>
      <c r="AB135" s="258"/>
      <c r="AC135" s="258"/>
      <c r="AD135" s="260"/>
      <c r="AE135" s="261"/>
    </row>
    <row r="136" ht="21.25" customHeight="1">
      <c r="A136" t="s" s="10">
        <v>305</v>
      </c>
      <c r="B136" t="s" s="256">
        <v>937</v>
      </c>
      <c r="C136" s="257">
        <v>35</v>
      </c>
      <c r="D136" t="s" s="256">
        <v>916</v>
      </c>
      <c r="E136" s="119">
        <v>82.03</v>
      </c>
      <c r="F136" s="258">
        <v>15.7138775244771</v>
      </c>
      <c r="G136" s="259">
        <v>0.262305666829634</v>
      </c>
      <c r="H136" s="259">
        <v>0.433312764202507</v>
      </c>
      <c r="I136" s="259">
        <v>0.695618431032141</v>
      </c>
      <c r="J136" s="259">
        <v>2.07715851718715</v>
      </c>
      <c r="K136" s="259">
        <v>0.0840061526085731</v>
      </c>
      <c r="L136" s="259">
        <v>0.237669634199116</v>
      </c>
      <c r="M136" s="259">
        <v>0.0143182397002914</v>
      </c>
      <c r="N136" s="259">
        <v>0.0294619787304352</v>
      </c>
      <c r="O136" s="259">
        <v>0.582202109372233</v>
      </c>
      <c r="P136" s="259">
        <v>1.31987035003993</v>
      </c>
      <c r="Q136" s="259">
        <v>0.074732925051355</v>
      </c>
      <c r="R136" s="259">
        <v>0.570959557500539</v>
      </c>
      <c r="S136" s="259">
        <v>0.0419475848559812</v>
      </c>
      <c r="T136" s="259">
        <v>5.59622511860818</v>
      </c>
      <c r="U136" s="259">
        <v>3.83311319355432</v>
      </c>
      <c r="V136" s="259">
        <v>0.593490755484916</v>
      </c>
      <c r="W136" s="259"/>
      <c r="X136" s="119"/>
      <c r="Y136" s="258"/>
      <c r="Z136" s="258"/>
      <c r="AA136" s="258"/>
      <c r="AB136" s="258"/>
      <c r="AC136" s="258"/>
      <c r="AD136" s="260"/>
      <c r="AE136" s="261"/>
    </row>
    <row r="137" ht="21.25" customHeight="1">
      <c r="A137" t="s" s="10">
        <v>383</v>
      </c>
      <c r="B137" t="s" s="256">
        <v>959</v>
      </c>
      <c r="C137" s="257">
        <v>32</v>
      </c>
      <c r="D137" t="s" s="256">
        <v>966</v>
      </c>
      <c r="E137" s="119">
        <v>80.69750000000001</v>
      </c>
      <c r="F137" s="258">
        <v>17.2531536974876</v>
      </c>
      <c r="G137" s="259">
        <v>0.350106739095349</v>
      </c>
      <c r="H137" s="259">
        <v>0.340419795937704</v>
      </c>
      <c r="I137" s="259">
        <v>0.6905265350330529</v>
      </c>
      <c r="J137" s="259">
        <v>2.95752944213053</v>
      </c>
      <c r="K137" s="259">
        <v>0.107163441458158</v>
      </c>
      <c r="L137" s="259">
        <v>0.224267843316275</v>
      </c>
      <c r="M137" s="259">
        <v>7.08239077308509e-05</v>
      </c>
      <c r="N137" s="259">
        <v>0.000133312880839385</v>
      </c>
      <c r="O137" s="259">
        <v>0.204152748595618</v>
      </c>
      <c r="P137" s="259">
        <v>0.940785621250778</v>
      </c>
      <c r="Q137" s="259">
        <v>0.0129508698514384</v>
      </c>
      <c r="R137" s="259">
        <v>0.281634921708483</v>
      </c>
      <c r="S137" s="259">
        <v>0.0373949445374821</v>
      </c>
      <c r="T137" s="259">
        <v>0.360921505132878</v>
      </c>
      <c r="U137" s="259">
        <v>0.38215927754587</v>
      </c>
      <c r="V137" s="259">
        <v>0.48570964765336</v>
      </c>
      <c r="W137" s="259"/>
      <c r="X137" s="119"/>
      <c r="Y137" s="258"/>
      <c r="Z137" s="258"/>
      <c r="AA137" s="258"/>
      <c r="AB137" s="258"/>
      <c r="AC137" s="258"/>
      <c r="AD137" s="260"/>
      <c r="AE137" s="261"/>
    </row>
    <row r="138" ht="21.25" customHeight="1">
      <c r="A138" t="s" s="10">
        <v>382</v>
      </c>
      <c r="B138" t="s" s="256">
        <v>955</v>
      </c>
      <c r="C138" s="257">
        <v>27</v>
      </c>
      <c r="D138" t="s" s="256">
        <v>918</v>
      </c>
      <c r="E138" s="119">
        <v>76.91</v>
      </c>
      <c r="F138" s="258">
        <v>22.6821536844542</v>
      </c>
      <c r="G138" s="259">
        <v>0.15529370234657</v>
      </c>
      <c r="H138" s="259">
        <v>0.534641701977827</v>
      </c>
      <c r="I138" s="259">
        <v>0.689935404324397</v>
      </c>
      <c r="J138" s="259">
        <v>1.91993115022211</v>
      </c>
      <c r="K138" s="259">
        <v>0.0290847752312505</v>
      </c>
      <c r="L138" s="259">
        <v>0.188128505127791</v>
      </c>
      <c r="M138" s="259">
        <v>9.73044571664197e-05</v>
      </c>
      <c r="N138" s="259">
        <v>0.00228086868333738</v>
      </c>
      <c r="O138" s="259">
        <v>1.15846732041538</v>
      </c>
      <c r="P138" s="259">
        <v>0.949923083540977</v>
      </c>
      <c r="Q138" s="259">
        <v>0.0215048242557821</v>
      </c>
      <c r="R138" s="259">
        <v>0.744859778140792</v>
      </c>
      <c r="S138" s="259">
        <v>0.0235809869992288</v>
      </c>
      <c r="T138" s="259">
        <v>0</v>
      </c>
      <c r="U138" s="259">
        <v>0</v>
      </c>
      <c r="V138" s="259">
        <v>0</v>
      </c>
      <c r="W138" s="259"/>
      <c r="X138" s="119"/>
      <c r="Y138" s="258"/>
      <c r="Z138" s="258"/>
      <c r="AA138" s="258"/>
      <c r="AB138" s="258"/>
      <c r="AC138" s="258"/>
      <c r="AD138" s="260"/>
      <c r="AE138" s="261"/>
    </row>
    <row r="139" ht="21.25" customHeight="1">
      <c r="A139" t="s" s="10">
        <v>808</v>
      </c>
      <c r="B139" t="s" s="256">
        <v>925</v>
      </c>
      <c r="C139" s="257">
        <v>31</v>
      </c>
      <c r="D139" t="s" s="256">
        <v>916</v>
      </c>
      <c r="E139" s="119">
        <v>41</v>
      </c>
      <c r="F139" s="258">
        <v>15.8359688326638</v>
      </c>
      <c r="G139" s="259">
        <v>0.322183740255756</v>
      </c>
      <c r="H139" s="259">
        <v>0.360930178660468</v>
      </c>
      <c r="I139" s="259">
        <v>0.683113918916224</v>
      </c>
      <c r="J139" s="259">
        <v>2.08174634058087</v>
      </c>
      <c r="K139" s="259">
        <v>0.0412093742373481</v>
      </c>
      <c r="L139" s="259">
        <v>0.0950113947398547</v>
      </c>
      <c r="M139" s="259">
        <v>0</v>
      </c>
      <c r="N139" s="259">
        <v>0</v>
      </c>
      <c r="O139" s="259">
        <v>0.500349679118294</v>
      </c>
      <c r="P139" s="259">
        <v>1.14773055107888</v>
      </c>
      <c r="Q139" s="259">
        <v>0.008477060636837881</v>
      </c>
      <c r="R139" s="259">
        <v>0.676353735162467</v>
      </c>
      <c r="S139" s="259">
        <v>0.048137683543843</v>
      </c>
      <c r="T139" s="259">
        <v>3.68322055120878</v>
      </c>
      <c r="U139" s="259">
        <v>3.02604838541687</v>
      </c>
      <c r="V139" s="259">
        <v>0.548974945854714</v>
      </c>
      <c r="W139" s="259"/>
      <c r="X139" s="119"/>
      <c r="Y139" s="258"/>
      <c r="Z139" s="258"/>
      <c r="AA139" s="258"/>
      <c r="AB139" s="258"/>
      <c r="AC139" s="258"/>
      <c r="AD139" s="260"/>
      <c r="AE139" s="261"/>
    </row>
    <row r="140" ht="21.25" customHeight="1">
      <c r="A140" t="s" s="10">
        <v>564</v>
      </c>
      <c r="B140" t="s" s="256">
        <v>925</v>
      </c>
      <c r="C140" s="257">
        <v>29</v>
      </c>
      <c r="D140" t="s" s="256">
        <v>916</v>
      </c>
      <c r="E140" s="119">
        <v>73.39749999999999</v>
      </c>
      <c r="F140" s="258">
        <v>17.0232648006024</v>
      </c>
      <c r="G140" s="259">
        <v>0.200044638872665</v>
      </c>
      <c r="H140" s="259">
        <v>0.481667215851693</v>
      </c>
      <c r="I140" s="259">
        <v>0.681711854724358</v>
      </c>
      <c r="J140" s="259">
        <v>1.57886903189724</v>
      </c>
      <c r="K140" s="259">
        <v>0.0480984105471463</v>
      </c>
      <c r="L140" s="259">
        <v>0.214668230236652</v>
      </c>
      <c r="M140" s="259">
        <v>3.98733205530146e-05</v>
      </c>
      <c r="N140" s="259">
        <v>6.899545359053261e-05</v>
      </c>
      <c r="O140" s="259">
        <v>0.416012594316237</v>
      </c>
      <c r="P140" s="259">
        <v>0.580097985498696</v>
      </c>
      <c r="Q140" s="259">
        <v>0.0128666077461052</v>
      </c>
      <c r="R140" s="259">
        <v>0.387254657179772</v>
      </c>
      <c r="S140" s="259">
        <v>0.0298888004498627</v>
      </c>
      <c r="T140" s="259">
        <v>0.850325025156791</v>
      </c>
      <c r="U140" s="259">
        <v>0.883392838630264</v>
      </c>
      <c r="V140" s="259">
        <v>0.490463323311083</v>
      </c>
      <c r="W140" s="259"/>
      <c r="X140" s="119"/>
      <c r="Y140" s="258"/>
      <c r="Z140" s="258"/>
      <c r="AA140" s="258"/>
      <c r="AB140" s="258"/>
      <c r="AC140" s="258"/>
      <c r="AD140" s="260"/>
      <c r="AE140" s="261"/>
    </row>
    <row r="141" ht="21.25" customHeight="1">
      <c r="A141" t="s" s="10">
        <v>482</v>
      </c>
      <c r="B141" t="s" s="256">
        <v>933</v>
      </c>
      <c r="C141" s="257">
        <v>37</v>
      </c>
      <c r="D141" t="s" s="256">
        <v>917</v>
      </c>
      <c r="E141" s="119">
        <v>77.9725</v>
      </c>
      <c r="F141" s="258">
        <v>16.9242672078006</v>
      </c>
      <c r="G141" s="259">
        <v>0.172955669453781</v>
      </c>
      <c r="H141" s="259">
        <v>0.504990693281603</v>
      </c>
      <c r="I141" s="259">
        <v>0.677946362735384</v>
      </c>
      <c r="J141" s="259">
        <v>2.11314294449237</v>
      </c>
      <c r="K141" s="259">
        <v>0.0586833731479129</v>
      </c>
      <c r="L141" s="259">
        <v>0.284551616044788</v>
      </c>
      <c r="M141" s="259">
        <v>0.000122477270199179</v>
      </c>
      <c r="N141" s="259">
        <v>0.000222570962436979</v>
      </c>
      <c r="O141" s="259">
        <v>0.606768551500979</v>
      </c>
      <c r="P141" s="259">
        <v>0.48154934206045</v>
      </c>
      <c r="Q141" s="259">
        <v>0.00745247796070249</v>
      </c>
      <c r="R141" s="259">
        <v>0.353098564169137</v>
      </c>
      <c r="S141" s="259">
        <v>0.0285513709312258</v>
      </c>
      <c r="T141" s="259">
        <v>0.329905455020273</v>
      </c>
      <c r="U141" s="259">
        <v>0.524284920883104</v>
      </c>
      <c r="V141" s="259">
        <v>0.386220056239068</v>
      </c>
      <c r="W141" s="259"/>
      <c r="X141" s="119"/>
      <c r="Y141" s="258"/>
      <c r="Z141" s="258"/>
      <c r="AA141" s="258"/>
      <c r="AB141" s="258"/>
      <c r="AC141" s="258"/>
      <c r="AD141" s="260"/>
      <c r="AE141" s="261"/>
    </row>
    <row r="142" ht="21.25" customHeight="1">
      <c r="A142" t="s" s="10">
        <v>412</v>
      </c>
      <c r="B142" t="s" s="256">
        <v>925</v>
      </c>
      <c r="C142" s="257">
        <v>29</v>
      </c>
      <c r="D142" t="s" s="256">
        <v>916</v>
      </c>
      <c r="E142" s="119">
        <v>72.1875</v>
      </c>
      <c r="F142" s="258">
        <v>18.1668501778968</v>
      </c>
      <c r="G142" s="259">
        <v>0.297719476648187</v>
      </c>
      <c r="H142" s="259">
        <v>0.377417088720775</v>
      </c>
      <c r="I142" s="259">
        <v>0.675136565368962</v>
      </c>
      <c r="J142" s="259">
        <v>2.26587384710526</v>
      </c>
      <c r="K142" s="259">
        <v>0.09375551235437771</v>
      </c>
      <c r="L142" s="259">
        <v>0.194727651356775</v>
      </c>
      <c r="M142" s="259">
        <v>0.0097076170595794</v>
      </c>
      <c r="N142" s="259">
        <v>0.0108540179020951</v>
      </c>
      <c r="O142" s="259">
        <v>0.504617408000041</v>
      </c>
      <c r="P142" s="259">
        <v>1.15568631641823</v>
      </c>
      <c r="Q142" s="259">
        <v>0.0634541605186843</v>
      </c>
      <c r="R142" s="259">
        <v>0.401980159951913</v>
      </c>
      <c r="S142" s="259">
        <v>0.0444824619031126</v>
      </c>
      <c r="T142" s="259">
        <v>0.138338261811786</v>
      </c>
      <c r="U142" s="259">
        <v>0.458328835550867</v>
      </c>
      <c r="V142" s="259">
        <v>0.23185166807967</v>
      </c>
      <c r="W142" s="259"/>
      <c r="X142" s="119"/>
      <c r="Y142" s="258"/>
      <c r="Z142" s="258"/>
      <c r="AA142" s="258"/>
      <c r="AB142" s="258"/>
      <c r="AC142" s="258"/>
      <c r="AD142" s="260"/>
      <c r="AE142" s="261"/>
    </row>
    <row r="143" ht="21.25" customHeight="1">
      <c r="A143" t="s" s="10">
        <v>381</v>
      </c>
      <c r="B143" t="s" s="256">
        <v>941</v>
      </c>
      <c r="C143" s="257">
        <v>31</v>
      </c>
      <c r="D143" t="s" s="256">
        <v>915</v>
      </c>
      <c r="E143" s="119">
        <v>78.40000000000001</v>
      </c>
      <c r="F143" s="258">
        <v>17.8268616837611</v>
      </c>
      <c r="G143" s="259">
        <v>0.270480315780117</v>
      </c>
      <c r="H143" s="259">
        <v>0.403209023709515</v>
      </c>
      <c r="I143" s="259">
        <v>0.6736893394896321</v>
      </c>
      <c r="J143" s="259">
        <v>2.26457172936788</v>
      </c>
      <c r="K143" s="259">
        <v>0.0535407740057328</v>
      </c>
      <c r="L143" s="259">
        <v>0.140250491108449</v>
      </c>
      <c r="M143" s="259">
        <v>0.018496780566269</v>
      </c>
      <c r="N143" s="259">
        <v>0.0393368186916686</v>
      </c>
      <c r="O143" s="259">
        <v>0.650814400432712</v>
      </c>
      <c r="P143" s="259">
        <v>0.6475923381826439</v>
      </c>
      <c r="Q143" s="259">
        <v>0.0492175296065254</v>
      </c>
      <c r="R143" s="259">
        <v>0.213206087361667</v>
      </c>
      <c r="S143" s="259">
        <v>0.0411404046684646</v>
      </c>
      <c r="T143" s="259">
        <v>7.75377150235814</v>
      </c>
      <c r="U143" s="259">
        <v>6.36947622786877</v>
      </c>
      <c r="V143" s="259">
        <v>0.549007682260174</v>
      </c>
      <c r="W143" s="259"/>
      <c r="X143" s="119"/>
      <c r="Y143" s="258"/>
      <c r="Z143" s="258"/>
      <c r="AA143" s="258"/>
      <c r="AB143" s="258"/>
      <c r="AC143" s="258"/>
      <c r="AD143" s="260"/>
      <c r="AE143" s="261"/>
    </row>
    <row r="144" ht="21.25" customHeight="1">
      <c r="A144" t="s" s="10">
        <v>516</v>
      </c>
      <c r="B144" t="s" s="256">
        <v>924</v>
      </c>
      <c r="C144" s="257">
        <v>32</v>
      </c>
      <c r="D144" t="s" s="256">
        <v>916</v>
      </c>
      <c r="E144" s="119">
        <v>79.9975</v>
      </c>
      <c r="F144" s="258">
        <v>14.5830182404601</v>
      </c>
      <c r="G144" s="259">
        <v>0.311210171181485</v>
      </c>
      <c r="H144" s="259">
        <v>0.360777345853652</v>
      </c>
      <c r="I144" s="259">
        <v>0.671987517035137</v>
      </c>
      <c r="J144" s="259">
        <v>2.43234849624252</v>
      </c>
      <c r="K144" s="259">
        <v>0.0390902569445654</v>
      </c>
      <c r="L144" s="259">
        <v>0.07785820937682859</v>
      </c>
      <c r="M144" s="259">
        <v>0.000197450702252672</v>
      </c>
      <c r="N144" s="259">
        <v>0.000334482140152542</v>
      </c>
      <c r="O144" s="259">
        <v>0.215814048709401</v>
      </c>
      <c r="P144" s="259">
        <v>0.417421988180484</v>
      </c>
      <c r="Q144" s="259">
        <v>0.0076526390688911</v>
      </c>
      <c r="R144" s="259">
        <v>0.326700222416617</v>
      </c>
      <c r="S144" s="259">
        <v>0.0502527114103305</v>
      </c>
      <c r="T144" s="259">
        <v>0.842859213946258</v>
      </c>
      <c r="U144" s="259">
        <v>1.09179602263614</v>
      </c>
      <c r="V144" s="259">
        <v>0.435663780299784</v>
      </c>
      <c r="W144" s="259"/>
      <c r="X144" s="119"/>
      <c r="Y144" s="258"/>
      <c r="Z144" s="258"/>
      <c r="AA144" s="258"/>
      <c r="AB144" s="258"/>
      <c r="AC144" s="258"/>
      <c r="AD144" s="260"/>
      <c r="AE144" s="261"/>
    </row>
    <row r="145" ht="21.25" customHeight="1">
      <c r="A145" t="s" s="10">
        <v>438</v>
      </c>
      <c r="B145" t="s" s="256">
        <v>959</v>
      </c>
      <c r="C145" s="257">
        <v>21</v>
      </c>
      <c r="D145" t="s" s="256">
        <v>915</v>
      </c>
      <c r="E145" s="119">
        <v>79.84999999999999</v>
      </c>
      <c r="F145" s="258">
        <v>17.8123139816797</v>
      </c>
      <c r="G145" s="259">
        <v>0.255569073970123</v>
      </c>
      <c r="H145" s="259">
        <v>0.407301253338346</v>
      </c>
      <c r="I145" s="259">
        <v>0.662870327308469</v>
      </c>
      <c r="J145" s="259">
        <v>1.70201509733109</v>
      </c>
      <c r="K145" s="259">
        <v>0.11449224306678</v>
      </c>
      <c r="L145" s="259">
        <v>0.259910969384972</v>
      </c>
      <c r="M145" s="259">
        <v>0.000651435436858233</v>
      </c>
      <c r="N145" s="259">
        <v>0.00390498094777887</v>
      </c>
      <c r="O145" s="259">
        <v>0.790743516309915</v>
      </c>
      <c r="P145" s="259">
        <v>0.525054553468422</v>
      </c>
      <c r="Q145" s="259">
        <v>-0.138769624197862</v>
      </c>
      <c r="R145" s="259">
        <v>0.417862849537675</v>
      </c>
      <c r="S145" s="259">
        <v>0.0272973647159806</v>
      </c>
      <c r="T145" s="259">
        <v>0.8482011674380751</v>
      </c>
      <c r="U145" s="259">
        <v>1.82432732490988</v>
      </c>
      <c r="V145" s="259">
        <v>0.317377782825015</v>
      </c>
      <c r="W145" s="259"/>
      <c r="X145" s="119"/>
      <c r="Y145" s="258"/>
      <c r="Z145" s="258"/>
      <c r="AA145" s="258"/>
      <c r="AB145" s="258"/>
      <c r="AC145" s="258"/>
      <c r="AD145" s="260"/>
      <c r="AE145" s="261"/>
    </row>
    <row r="146" ht="21.25" customHeight="1">
      <c r="A146" t="s" s="10">
        <v>328</v>
      </c>
      <c r="B146" t="s" s="256">
        <v>948</v>
      </c>
      <c r="C146" s="257">
        <v>22</v>
      </c>
      <c r="D146" t="s" s="256">
        <v>966</v>
      </c>
      <c r="E146" s="119">
        <v>74.63</v>
      </c>
      <c r="F146" s="258">
        <v>17.6036314809639</v>
      </c>
      <c r="G146" s="259">
        <v>0.394864819854866</v>
      </c>
      <c r="H146" s="259">
        <v>0.267355357375723</v>
      </c>
      <c r="I146" s="259">
        <v>0.662220177230589</v>
      </c>
      <c r="J146" s="259">
        <v>2.15082687317843</v>
      </c>
      <c r="K146" s="259">
        <v>0.128450102705346</v>
      </c>
      <c r="L146" s="259">
        <v>0.252062705213312</v>
      </c>
      <c r="M146" s="259">
        <v>0.0015845587783619</v>
      </c>
      <c r="N146" s="259">
        <v>0.00270348080585913</v>
      </c>
      <c r="O146" s="259">
        <v>0.6200454509276661</v>
      </c>
      <c r="P146" s="259">
        <v>1.82675500983418</v>
      </c>
      <c r="Q146" s="259">
        <v>-0.0772906610463463</v>
      </c>
      <c r="R146" s="259">
        <v>0.414049273034815</v>
      </c>
      <c r="S146" s="259">
        <v>0.0475393919799988</v>
      </c>
      <c r="T146" s="259">
        <v>0.165648496591572</v>
      </c>
      <c r="U146" s="259">
        <v>0.275913822336214</v>
      </c>
      <c r="V146" s="259">
        <v>0.37514183047549</v>
      </c>
      <c r="W146" s="259"/>
      <c r="X146" s="119"/>
      <c r="Y146" s="258"/>
      <c r="Z146" s="258"/>
      <c r="AA146" s="258"/>
      <c r="AB146" s="258"/>
      <c r="AC146" s="258"/>
      <c r="AD146" s="260"/>
      <c r="AE146" s="261"/>
    </row>
    <row r="147" ht="21.25" customHeight="1">
      <c r="A147" t="s" s="10">
        <v>531</v>
      </c>
      <c r="B147" t="s" s="256">
        <v>936</v>
      </c>
      <c r="C147" s="257">
        <v>29</v>
      </c>
      <c r="D147" t="s" s="256">
        <v>916</v>
      </c>
      <c r="E147" s="119">
        <v>71.1075</v>
      </c>
      <c r="F147" s="258">
        <v>16.530124048920</v>
      </c>
      <c r="G147" s="259">
        <v>0.32915270080026</v>
      </c>
      <c r="H147" s="259">
        <v>0.327994270854882</v>
      </c>
      <c r="I147" s="259">
        <v>0.657146971655142</v>
      </c>
      <c r="J147" s="259">
        <v>2.0542381970745</v>
      </c>
      <c r="K147" s="259">
        <v>0.0867453298209456</v>
      </c>
      <c r="L147" s="259">
        <v>0.20937697801896</v>
      </c>
      <c r="M147" s="259">
        <v>0.000386429425358053</v>
      </c>
      <c r="N147" s="259">
        <v>0.000652965282807325</v>
      </c>
      <c r="O147" s="259">
        <v>0.465947526281212</v>
      </c>
      <c r="P147" s="259">
        <v>0.74689674762808</v>
      </c>
      <c r="Q147" s="259">
        <v>0.0138679311952015</v>
      </c>
      <c r="R147" s="259">
        <v>0.338479093184563</v>
      </c>
      <c r="S147" s="259">
        <v>0.0517292889814374</v>
      </c>
      <c r="T147" s="259">
        <v>0.195203774665505</v>
      </c>
      <c r="U147" s="259">
        <v>0.337140625617371</v>
      </c>
      <c r="V147" s="259">
        <v>0.36668700668548</v>
      </c>
      <c r="W147" s="259"/>
      <c r="X147" s="119"/>
      <c r="Y147" s="258"/>
      <c r="Z147" s="258"/>
      <c r="AA147" s="258"/>
      <c r="AB147" s="258"/>
      <c r="AC147" s="258"/>
      <c r="AD147" s="260"/>
      <c r="AE147" s="261"/>
    </row>
    <row r="148" ht="21.25" customHeight="1">
      <c r="A148" t="s" s="10">
        <v>430</v>
      </c>
      <c r="B148" t="s" s="256">
        <v>956</v>
      </c>
      <c r="C148" s="257">
        <v>19</v>
      </c>
      <c r="D148" t="s" s="256">
        <v>917</v>
      </c>
      <c r="E148" s="119">
        <v>76</v>
      </c>
      <c r="F148" s="258">
        <v>16</v>
      </c>
      <c r="G148" s="259">
        <v>0.283817318764823</v>
      </c>
      <c r="H148" s="259">
        <v>0.372875517612724</v>
      </c>
      <c r="I148" s="259">
        <v>0.6566928363775471</v>
      </c>
      <c r="J148" s="259">
        <v>2.1022340811215</v>
      </c>
      <c r="K148" s="259">
        <v>0.0766324977858118</v>
      </c>
      <c r="L148" s="259">
        <v>0.177311280892483</v>
      </c>
      <c r="M148" s="259">
        <v>0</v>
      </c>
      <c r="N148" s="259">
        <v>0</v>
      </c>
      <c r="O148" s="259">
        <v>0.434146341463415</v>
      </c>
      <c r="P148" s="259">
        <v>1.18309240326726</v>
      </c>
      <c r="Q148" s="259">
        <v>-0.0308152472908156</v>
      </c>
      <c r="R148" s="259">
        <v>0.404066898383504</v>
      </c>
      <c r="S148" s="259">
        <v>0.0411391861109349</v>
      </c>
      <c r="T148" s="259">
        <v>0</v>
      </c>
      <c r="U148" s="259">
        <v>0</v>
      </c>
      <c r="V148" s="259">
        <v>0</v>
      </c>
      <c r="W148" s="259"/>
      <c r="X148" s="119"/>
      <c r="Y148" s="259"/>
      <c r="Z148" s="259"/>
      <c r="AA148" s="259"/>
      <c r="AB148" s="259"/>
      <c r="AC148" s="258"/>
      <c r="AD148" s="260"/>
      <c r="AE148" s="261"/>
    </row>
    <row r="149" ht="21.25" customHeight="1">
      <c r="A149" t="s" s="10">
        <v>155</v>
      </c>
      <c r="B149" t="s" s="256">
        <v>942</v>
      </c>
      <c r="C149" s="257">
        <v>23</v>
      </c>
      <c r="D149" t="s" s="256">
        <v>918</v>
      </c>
      <c r="E149" s="119">
        <v>82.03</v>
      </c>
      <c r="F149" s="258">
        <v>24.832920092955</v>
      </c>
      <c r="G149" s="259">
        <v>0.113910470981207</v>
      </c>
      <c r="H149" s="259">
        <v>0.541337245227443</v>
      </c>
      <c r="I149" s="259">
        <v>0.65524771620865</v>
      </c>
      <c r="J149" s="259">
        <v>2.0303476910694</v>
      </c>
      <c r="K149" s="259">
        <v>0.03608139260414</v>
      </c>
      <c r="L149" s="259">
        <v>0.260761827713885</v>
      </c>
      <c r="M149" s="259">
        <v>0.00297312137688462</v>
      </c>
      <c r="N149" s="259">
        <v>0.0145015470250444</v>
      </c>
      <c r="O149" s="259">
        <v>2.43755938777066</v>
      </c>
      <c r="P149" s="259">
        <v>2.35618480743999</v>
      </c>
      <c r="Q149" s="259">
        <v>-0.0637203551097687</v>
      </c>
      <c r="R149" s="259">
        <v>0.58812971585286</v>
      </c>
      <c r="S149" s="259">
        <v>0.0156447676702955</v>
      </c>
      <c r="T149" s="259">
        <v>0</v>
      </c>
      <c r="U149" s="259">
        <v>0</v>
      </c>
      <c r="V149" s="259">
        <v>0</v>
      </c>
      <c r="W149" s="259"/>
      <c r="X149" s="119"/>
      <c r="Y149" s="259"/>
      <c r="Z149" s="259"/>
      <c r="AA149" s="259"/>
      <c r="AB149" s="259"/>
      <c r="AC149" s="258"/>
      <c r="AD149" s="260"/>
      <c r="AE149" s="261"/>
    </row>
    <row r="150" ht="21.25" customHeight="1">
      <c r="A150" t="s" s="10">
        <v>387</v>
      </c>
      <c r="B150" t="s" s="256">
        <v>947</v>
      </c>
      <c r="C150" s="257">
        <v>29</v>
      </c>
      <c r="D150" t="s" s="256">
        <v>916</v>
      </c>
      <c r="E150" s="119">
        <v>75.875</v>
      </c>
      <c r="F150" s="258">
        <v>17.9864193650252</v>
      </c>
      <c r="G150" s="259">
        <v>0.284591838009785</v>
      </c>
      <c r="H150" s="259">
        <v>0.370173218651044</v>
      </c>
      <c r="I150" s="259">
        <v>0.654765056660829</v>
      </c>
      <c r="J150" s="259">
        <v>2.36402654811175</v>
      </c>
      <c r="K150" s="259">
        <v>0.0944679914710299</v>
      </c>
      <c r="L150" s="259">
        <v>0.186734740880683</v>
      </c>
      <c r="M150" s="259">
        <v>0.000113227156347017</v>
      </c>
      <c r="N150" s="259">
        <v>0.000214789477266871</v>
      </c>
      <c r="O150" s="259">
        <v>0.5411972988681349</v>
      </c>
      <c r="P150" s="259">
        <v>1.19518475596516</v>
      </c>
      <c r="Q150" s="259">
        <v>0.0164378258045006</v>
      </c>
      <c r="R150" s="259">
        <v>0.518645682675509</v>
      </c>
      <c r="S150" s="259">
        <v>0.0367792960025944</v>
      </c>
      <c r="T150" s="259">
        <v>0.0609507159211056</v>
      </c>
      <c r="U150" s="259">
        <v>0.159646007083395</v>
      </c>
      <c r="V150" s="259">
        <v>0.276299280836833</v>
      </c>
      <c r="W150" s="259"/>
      <c r="X150" s="119"/>
      <c r="Y150" s="258"/>
      <c r="Z150" s="258"/>
      <c r="AA150" s="258"/>
      <c r="AB150" s="258"/>
      <c r="AC150" s="258"/>
      <c r="AD150" s="260"/>
      <c r="AE150" s="261"/>
    </row>
    <row r="151" ht="21.25" customHeight="1">
      <c r="A151" t="s" s="10">
        <v>329</v>
      </c>
      <c r="B151" t="s" s="256">
        <v>948</v>
      </c>
      <c r="C151" s="257">
        <v>33</v>
      </c>
      <c r="D151" t="s" s="256">
        <v>965</v>
      </c>
      <c r="E151" s="119">
        <v>80.03</v>
      </c>
      <c r="F151" s="258">
        <v>17.8349157283729</v>
      </c>
      <c r="G151" s="259">
        <v>0.246656723214786</v>
      </c>
      <c r="H151" s="259">
        <v>0.406091334235947</v>
      </c>
      <c r="I151" s="259">
        <v>0.6527480574507331</v>
      </c>
      <c r="J151" s="259">
        <v>1.99729490691048</v>
      </c>
      <c r="K151" s="259">
        <v>0.0669742750717732</v>
      </c>
      <c r="L151" s="259">
        <v>0.183603928591799</v>
      </c>
      <c r="M151" s="259">
        <v>0.00579330822074901</v>
      </c>
      <c r="N151" s="259">
        <v>0.00672192262499288</v>
      </c>
      <c r="O151" s="259">
        <v>0.554654463649628</v>
      </c>
      <c r="P151" s="259">
        <v>1.80186947050194</v>
      </c>
      <c r="Q151" s="259">
        <v>-0.06631087789014389</v>
      </c>
      <c r="R151" s="259">
        <v>0.5589463747540701</v>
      </c>
      <c r="S151" s="259">
        <v>0.0296960125587275</v>
      </c>
      <c r="T151" s="259">
        <v>5.38974758834528</v>
      </c>
      <c r="U151" s="259">
        <v>5.76406482543691</v>
      </c>
      <c r="V151" s="259">
        <v>0.483220211027168</v>
      </c>
      <c r="W151" s="259"/>
      <c r="X151" s="119"/>
      <c r="Y151" s="258"/>
      <c r="Z151" s="258"/>
      <c r="AA151" s="258"/>
      <c r="AB151" s="258"/>
      <c r="AC151" s="258"/>
      <c r="AD151" s="260"/>
      <c r="AE151" s="261"/>
    </row>
    <row r="152" ht="21.25" customHeight="1">
      <c r="A152" t="s" s="10">
        <v>501</v>
      </c>
      <c r="B152" t="s" s="256">
        <v>937</v>
      </c>
      <c r="C152" s="257">
        <v>21</v>
      </c>
      <c r="D152" t="s" s="256">
        <v>915</v>
      </c>
      <c r="E152" s="119">
        <v>70.3</v>
      </c>
      <c r="F152" s="258">
        <v>15.1005459136322</v>
      </c>
      <c r="G152" s="259">
        <v>0.27601733851849</v>
      </c>
      <c r="H152" s="259">
        <v>0.373012253906297</v>
      </c>
      <c r="I152" s="259">
        <v>0.649029592424787</v>
      </c>
      <c r="J152" s="259">
        <v>2.10097678163866</v>
      </c>
      <c r="K152" s="259">
        <v>0.053745768162278</v>
      </c>
      <c r="L152" s="259">
        <v>0.124203840854782</v>
      </c>
      <c r="M152" s="259">
        <v>7.044397864877101e-05</v>
      </c>
      <c r="N152" s="259">
        <v>0.000118339301262009</v>
      </c>
      <c r="O152" s="259">
        <v>0.466981759696483</v>
      </c>
      <c r="P152" s="259">
        <v>0.9859583625681539</v>
      </c>
      <c r="Q152" s="259">
        <v>0.0807193924873572</v>
      </c>
      <c r="R152" s="259">
        <v>0.323665060175468</v>
      </c>
      <c r="S152" s="259">
        <v>0.0441403377562044</v>
      </c>
      <c r="T152" s="259">
        <v>0.471717845823855</v>
      </c>
      <c r="U152" s="259">
        <v>0.257300643176648</v>
      </c>
      <c r="V152" s="259">
        <v>0.647058823529412</v>
      </c>
      <c r="W152" s="259"/>
      <c r="X152" s="119"/>
      <c r="Y152" s="258"/>
      <c r="Z152" s="258"/>
      <c r="AA152" s="258"/>
      <c r="AB152" s="258"/>
      <c r="AC152" s="258"/>
      <c r="AD152" s="260"/>
      <c r="AE152" s="261"/>
    </row>
    <row r="153" ht="21.25" customHeight="1">
      <c r="A153" t="s" s="10">
        <v>632</v>
      </c>
      <c r="B153" t="s" s="256">
        <v>930</v>
      </c>
      <c r="C153" s="257">
        <v>27</v>
      </c>
      <c r="D153" t="s" s="256">
        <v>915</v>
      </c>
      <c r="E153" s="119">
        <v>70.315</v>
      </c>
      <c r="F153" s="258">
        <v>15.4325540310236</v>
      </c>
      <c r="G153" s="259">
        <v>0.251668693121394</v>
      </c>
      <c r="H153" s="259">
        <v>0.397204636557637</v>
      </c>
      <c r="I153" s="259">
        <v>0.648873329679031</v>
      </c>
      <c r="J153" s="259">
        <v>1.71923777341955</v>
      </c>
      <c r="K153" s="259">
        <v>0.06300658400288831</v>
      </c>
      <c r="L153" s="259">
        <v>0.142866173390828</v>
      </c>
      <c r="M153" s="259">
        <v>0.000144678305287867</v>
      </c>
      <c r="N153" s="259">
        <v>0.000245268018759252</v>
      </c>
      <c r="O153" s="259">
        <v>0.483592566825485</v>
      </c>
      <c r="P153" s="259">
        <v>0.249972941404909</v>
      </c>
      <c r="Q153" s="259">
        <v>0.0391886970007674</v>
      </c>
      <c r="R153" s="259">
        <v>0.197732800950714</v>
      </c>
      <c r="S153" s="259">
        <v>0.0356344799706463</v>
      </c>
      <c r="T153" s="259">
        <v>3.32070622748661</v>
      </c>
      <c r="U153" s="259">
        <v>4.37012552827273</v>
      </c>
      <c r="V153" s="259">
        <v>0.431774654932462</v>
      </c>
      <c r="W153" s="259"/>
      <c r="X153" s="119"/>
      <c r="Y153" s="258"/>
      <c r="Z153" s="258"/>
      <c r="AA153" s="258"/>
      <c r="AB153" s="258"/>
      <c r="AC153" s="258"/>
      <c r="AD153" s="260"/>
      <c r="AE153" s="261"/>
    </row>
    <row r="154" ht="21.25" customHeight="1">
      <c r="A154" t="s" s="10">
        <v>322</v>
      </c>
      <c r="B154" t="s" s="256">
        <v>926</v>
      </c>
      <c r="C154" s="257">
        <v>21</v>
      </c>
      <c r="D154" t="s" s="256">
        <v>916</v>
      </c>
      <c r="E154" s="119">
        <v>79.84999999999999</v>
      </c>
      <c r="F154" s="258">
        <v>16.3663390764516</v>
      </c>
      <c r="G154" s="259">
        <v>0.267557982544088</v>
      </c>
      <c r="H154" s="259">
        <v>0.375182092376667</v>
      </c>
      <c r="I154" s="259">
        <v>0.642740074920755</v>
      </c>
      <c r="J154" s="259">
        <v>1.83616664428488</v>
      </c>
      <c r="K154" s="259">
        <v>0.0227321339792277</v>
      </c>
      <c r="L154" s="259">
        <v>0.08742872608877141</v>
      </c>
      <c r="M154" s="259">
        <v>0.00140186812812814</v>
      </c>
      <c r="N154" s="259">
        <v>0.00235232233963839</v>
      </c>
      <c r="O154" s="259">
        <v>0.447384031267756</v>
      </c>
      <c r="P154" s="259">
        <v>2.18278543647327</v>
      </c>
      <c r="Q154" s="259">
        <v>0.07904803555050841</v>
      </c>
      <c r="R154" s="259">
        <v>0.58647587222594</v>
      </c>
      <c r="S154" s="259">
        <v>0.0428044810693116</v>
      </c>
      <c r="T154" s="259">
        <v>0</v>
      </c>
      <c r="U154" s="259">
        <v>0.0148474576939335</v>
      </c>
      <c r="V154" s="259">
        <v>0</v>
      </c>
      <c r="W154" s="259"/>
      <c r="X154" s="119"/>
      <c r="Y154" s="258"/>
      <c r="Z154" s="258"/>
      <c r="AA154" s="258"/>
      <c r="AB154" s="258"/>
      <c r="AC154" s="258"/>
      <c r="AD154" s="260"/>
      <c r="AE154" s="261"/>
    </row>
    <row r="155" ht="21.25" customHeight="1">
      <c r="A155" t="s" s="10">
        <v>510</v>
      </c>
      <c r="B155" t="s" s="256">
        <v>952</v>
      </c>
      <c r="C155" s="257">
        <v>29</v>
      </c>
      <c r="D155" t="s" s="256">
        <v>915</v>
      </c>
      <c r="E155" s="119">
        <v>72.67</v>
      </c>
      <c r="F155" s="258">
        <v>17.8585603378695</v>
      </c>
      <c r="G155" s="259">
        <v>0.266155479622313</v>
      </c>
      <c r="H155" s="259">
        <v>0.37619685875253</v>
      </c>
      <c r="I155" s="259">
        <v>0.642352338374843</v>
      </c>
      <c r="J155" s="259">
        <v>2.04956392173278</v>
      </c>
      <c r="K155" s="259">
        <v>0.08076895105728039</v>
      </c>
      <c r="L155" s="259">
        <v>0.203273269805997</v>
      </c>
      <c r="M155" s="259">
        <v>0.0167377932471067</v>
      </c>
      <c r="N155" s="259">
        <v>0.0182105096435666</v>
      </c>
      <c r="O155" s="259">
        <v>0.52307202444917</v>
      </c>
      <c r="P155" s="259">
        <v>0.48740799367046</v>
      </c>
      <c r="Q155" s="259">
        <v>-0.00380933602032884</v>
      </c>
      <c r="R155" s="259">
        <v>0.285356445028102</v>
      </c>
      <c r="S155" s="259">
        <v>0.0294326304818963</v>
      </c>
      <c r="T155" s="259">
        <v>8.20034343825569</v>
      </c>
      <c r="U155" s="259">
        <v>6.83880067522199</v>
      </c>
      <c r="V155" s="259">
        <v>0.545266630626058</v>
      </c>
      <c r="W155" s="259"/>
      <c r="X155" s="119"/>
      <c r="Y155" s="258"/>
      <c r="Z155" s="258"/>
      <c r="AA155" s="258"/>
      <c r="AB155" s="258"/>
      <c r="AC155" s="258"/>
      <c r="AD155" s="260"/>
      <c r="AE155" s="261"/>
    </row>
    <row r="156" ht="21.25" customHeight="1">
      <c r="A156" t="s" s="10">
        <v>419</v>
      </c>
      <c r="B156" t="s" s="256">
        <v>937</v>
      </c>
      <c r="C156" s="257">
        <v>32</v>
      </c>
      <c r="D156" t="s" s="256">
        <v>967</v>
      </c>
      <c r="E156" s="119">
        <v>78.62</v>
      </c>
      <c r="F156" s="258">
        <v>16.7124370217708</v>
      </c>
      <c r="G156" s="259">
        <v>0.285004138520379</v>
      </c>
      <c r="H156" s="259">
        <v>0.357010932960394</v>
      </c>
      <c r="I156" s="259">
        <v>0.642015071480773</v>
      </c>
      <c r="J156" s="259">
        <v>2.3071093374523</v>
      </c>
      <c r="K156" s="259">
        <v>0.0500756954477859</v>
      </c>
      <c r="L156" s="259">
        <v>0.118350209859741</v>
      </c>
      <c r="M156" s="259">
        <v>0.00520100973055689</v>
      </c>
      <c r="N156" s="259">
        <v>0.0166513291408736</v>
      </c>
      <c r="O156" s="259">
        <v>0.353172206634478</v>
      </c>
      <c r="P156" s="259">
        <v>0.970253863716678</v>
      </c>
      <c r="Q156" s="259">
        <v>0.0577339684705094</v>
      </c>
      <c r="R156" s="259">
        <v>0.370968454151443</v>
      </c>
      <c r="S156" s="259">
        <v>0.0455774952534834</v>
      </c>
      <c r="T156" s="259">
        <v>5.2951023856891</v>
      </c>
      <c r="U156" s="259">
        <v>4.21859979969491</v>
      </c>
      <c r="V156" s="259">
        <v>0.556576428661391</v>
      </c>
      <c r="W156" s="259"/>
      <c r="X156" s="119"/>
      <c r="Y156" s="258"/>
      <c r="Z156" s="258"/>
      <c r="AA156" s="258"/>
      <c r="AB156" s="258"/>
      <c r="AC156" s="258"/>
      <c r="AD156" s="260"/>
      <c r="AE156" s="261"/>
    </row>
    <row r="157" ht="21.25" customHeight="1">
      <c r="A157" t="s" s="10">
        <v>314</v>
      </c>
      <c r="B157" t="s" s="256">
        <v>933</v>
      </c>
      <c r="C157" s="257">
        <v>22</v>
      </c>
      <c r="D157" t="s" s="256">
        <v>918</v>
      </c>
      <c r="E157" s="119">
        <v>80.68000000000001</v>
      </c>
      <c r="F157" s="258">
        <v>24.3061976881464</v>
      </c>
      <c r="G157" s="259">
        <v>0.115711521233453</v>
      </c>
      <c r="H157" s="259">
        <v>0.525050091318035</v>
      </c>
      <c r="I157" s="259">
        <v>0.640761612551488</v>
      </c>
      <c r="J157" s="259">
        <v>1.79528984867199</v>
      </c>
      <c r="K157" s="259">
        <v>0.0314309685858272</v>
      </c>
      <c r="L157" s="259">
        <v>0.224004290732611</v>
      </c>
      <c r="M157" s="259">
        <v>0.00046632517046545</v>
      </c>
      <c r="N157" s="259">
        <v>0.00199413387908088</v>
      </c>
      <c r="O157" s="259">
        <v>1.75024610525787</v>
      </c>
      <c r="P157" s="259">
        <v>0.855958498467295</v>
      </c>
      <c r="Q157" s="259">
        <v>0.00266295136232489</v>
      </c>
      <c r="R157" s="259">
        <v>0.387963274605477</v>
      </c>
      <c r="S157" s="259">
        <v>0.0191015569144762</v>
      </c>
      <c r="T157" s="259">
        <v>0</v>
      </c>
      <c r="U157" s="259">
        <v>0</v>
      </c>
      <c r="V157" s="259">
        <v>0</v>
      </c>
      <c r="W157" s="259"/>
      <c r="X157" s="119"/>
      <c r="Y157" s="258"/>
      <c r="Z157" s="258"/>
      <c r="AA157" s="258"/>
      <c r="AB157" s="258"/>
      <c r="AC157" s="258"/>
      <c r="AD157" s="260"/>
      <c r="AE157" s="261"/>
    </row>
    <row r="158" ht="21.25" customHeight="1">
      <c r="A158" t="s" s="10">
        <v>282</v>
      </c>
      <c r="B158" t="s" s="256">
        <v>954</v>
      </c>
      <c r="C158" s="257">
        <v>30</v>
      </c>
      <c r="D158" t="s" s="256">
        <v>918</v>
      </c>
      <c r="E158" s="119">
        <v>76.55500000000001</v>
      </c>
      <c r="F158" s="258">
        <v>24.4563510761505</v>
      </c>
      <c r="G158" s="259">
        <v>0.146311934230412</v>
      </c>
      <c r="H158" s="259">
        <v>0.493476765339386</v>
      </c>
      <c r="I158" s="259">
        <v>0.639788699569798</v>
      </c>
      <c r="J158" s="259">
        <v>2.19946500795517</v>
      </c>
      <c r="K158" s="259">
        <v>0.0247991112934158</v>
      </c>
      <c r="L158" s="259">
        <v>0.203259442866935</v>
      </c>
      <c r="M158" s="259">
        <v>0.0150847774542626</v>
      </c>
      <c r="N158" s="259">
        <v>0.0253309525045312</v>
      </c>
      <c r="O158" s="259">
        <v>2.0453575556753</v>
      </c>
      <c r="P158" s="259">
        <v>0.939935961596576</v>
      </c>
      <c r="Q158" s="259">
        <v>-0.066652835534098</v>
      </c>
      <c r="R158" s="259">
        <v>0.6481199651721889</v>
      </c>
      <c r="S158" s="259">
        <v>0.0169577393833552</v>
      </c>
      <c r="T158" s="259">
        <v>0</v>
      </c>
      <c r="U158" s="259">
        <v>0</v>
      </c>
      <c r="V158" s="259">
        <v>0</v>
      </c>
      <c r="W158" s="259"/>
      <c r="X158" s="119"/>
      <c r="Y158" s="258"/>
      <c r="Z158" s="258"/>
      <c r="AA158" s="258"/>
      <c r="AB158" s="258"/>
      <c r="AC158" s="258"/>
      <c r="AD158" s="260"/>
      <c r="AE158" s="261"/>
    </row>
    <row r="159" ht="21.25" customHeight="1">
      <c r="A159" t="s" s="10">
        <v>585</v>
      </c>
      <c r="B159" t="s" s="256">
        <v>947</v>
      </c>
      <c r="C159" s="257">
        <v>32</v>
      </c>
      <c r="D159" t="s" s="256">
        <v>916</v>
      </c>
      <c r="E159" s="119">
        <v>66.2625</v>
      </c>
      <c r="F159" s="258">
        <v>17.2218101060184</v>
      </c>
      <c r="G159" s="259">
        <v>0.256372604386475</v>
      </c>
      <c r="H159" s="259">
        <v>0.376768310848554</v>
      </c>
      <c r="I159" s="259">
        <v>0.633140915235029</v>
      </c>
      <c r="J159" s="259">
        <v>2.55166894838062</v>
      </c>
      <c r="K159" s="259">
        <v>0.07633322818341449</v>
      </c>
      <c r="L159" s="259">
        <v>0.185336183039605</v>
      </c>
      <c r="M159" s="259">
        <v>4.67590170980744e-05</v>
      </c>
      <c r="N159" s="259">
        <v>8.024031710938629e-05</v>
      </c>
      <c r="O159" s="259">
        <v>0.485662434135029</v>
      </c>
      <c r="P159" s="259">
        <v>0.753796939940346</v>
      </c>
      <c r="Q159" s="259">
        <v>-0.0599272413806666</v>
      </c>
      <c r="R159" s="259">
        <v>0.475067531149216</v>
      </c>
      <c r="S159" s="259">
        <v>0.0331323764224116</v>
      </c>
      <c r="T159" s="259">
        <v>0.241331193107103</v>
      </c>
      <c r="U159" s="259">
        <v>0.269098566858623</v>
      </c>
      <c r="V159" s="259">
        <v>0.472800005084555</v>
      </c>
      <c r="W159" s="259"/>
      <c r="X159" s="119"/>
      <c r="Y159" s="258"/>
      <c r="Z159" s="258"/>
      <c r="AA159" s="258"/>
      <c r="AB159" s="258"/>
      <c r="AC159" s="258"/>
      <c r="AD159" s="260"/>
      <c r="AE159" s="261"/>
    </row>
    <row r="160" ht="21.25" customHeight="1">
      <c r="A160" t="s" s="10">
        <v>568</v>
      </c>
      <c r="B160" t="s" s="256">
        <v>924</v>
      </c>
      <c r="C160" s="257">
        <v>31</v>
      </c>
      <c r="D160" t="s" s="256">
        <v>916</v>
      </c>
      <c r="E160" s="119">
        <v>68.38249999999999</v>
      </c>
      <c r="F160" s="258">
        <v>14.6814860016397</v>
      </c>
      <c r="G160" s="259">
        <v>0.269949009925758</v>
      </c>
      <c r="H160" s="259">
        <v>0.363173659261037</v>
      </c>
      <c r="I160" s="259">
        <v>0.6331226691867951</v>
      </c>
      <c r="J160" s="259">
        <v>2.59768874410601</v>
      </c>
      <c r="K160" s="259">
        <v>0.0366311838703644</v>
      </c>
      <c r="L160" s="259">
        <v>0.10646329624388</v>
      </c>
      <c r="M160" s="259">
        <v>0.000592923834347231</v>
      </c>
      <c r="N160" s="259">
        <v>0.000718649455738941</v>
      </c>
      <c r="O160" s="259">
        <v>0.651404086513884</v>
      </c>
      <c r="P160" s="259">
        <v>0.470535282228902</v>
      </c>
      <c r="Q160" s="259">
        <v>0.0362269444430395</v>
      </c>
      <c r="R160" s="259">
        <v>0.354204044770344</v>
      </c>
      <c r="S160" s="259">
        <v>0.0435900588975051</v>
      </c>
      <c r="T160" s="259">
        <v>0.201810166086785</v>
      </c>
      <c r="U160" s="259">
        <v>0.335876392383376</v>
      </c>
      <c r="V160" s="259">
        <v>0.375330502330169</v>
      </c>
      <c r="W160" s="259"/>
      <c r="X160" s="119"/>
      <c r="Y160" s="258"/>
      <c r="Z160" s="258"/>
      <c r="AA160" s="258"/>
      <c r="AB160" s="258"/>
      <c r="AC160" s="258"/>
      <c r="AD160" s="260"/>
      <c r="AE160" s="261"/>
    </row>
    <row r="161" ht="21.25" customHeight="1">
      <c r="A161" t="s" s="10">
        <v>280</v>
      </c>
      <c r="B161" t="s" s="256">
        <v>952</v>
      </c>
      <c r="C161" s="257">
        <v>31</v>
      </c>
      <c r="D161" t="s" s="256">
        <v>965</v>
      </c>
      <c r="E161" s="119">
        <v>73.545</v>
      </c>
      <c r="F161" s="258">
        <v>20.0777547330518</v>
      </c>
      <c r="G161" s="259">
        <v>0.347707349891041</v>
      </c>
      <c r="H161" s="259">
        <v>0.284025510119463</v>
      </c>
      <c r="I161" s="259">
        <v>0.631732860010504</v>
      </c>
      <c r="J161" s="259">
        <v>2.73592853955158</v>
      </c>
      <c r="K161" s="259">
        <v>0.0869749088044225</v>
      </c>
      <c r="L161" s="259">
        <v>0.146033371434303</v>
      </c>
      <c r="M161" s="259">
        <v>0.00245774828241937</v>
      </c>
      <c r="N161" s="259">
        <v>0.00451936420017173</v>
      </c>
      <c r="O161" s="259">
        <v>1.11468515804788</v>
      </c>
      <c r="P161" s="259">
        <v>1.75716334727798</v>
      </c>
      <c r="Q161" s="259">
        <v>-0.09501239385103449</v>
      </c>
      <c r="R161" s="259">
        <v>0.499483992426287</v>
      </c>
      <c r="S161" s="259">
        <v>0.0384509909760448</v>
      </c>
      <c r="T161" s="259">
        <v>10.5614215249704</v>
      </c>
      <c r="U161" s="259">
        <v>8.90037468398166</v>
      </c>
      <c r="V161" s="259">
        <v>0.542674551288968</v>
      </c>
      <c r="W161" s="259"/>
      <c r="X161" s="119"/>
      <c r="Y161" s="258"/>
      <c r="Z161" s="258"/>
      <c r="AA161" s="258"/>
      <c r="AB161" s="258"/>
      <c r="AC161" s="258"/>
      <c r="AD161" s="260"/>
      <c r="AE161" s="261"/>
    </row>
    <row r="162" ht="21.25" customHeight="1">
      <c r="A162" t="s" s="10">
        <v>173</v>
      </c>
      <c r="B162" t="s" s="256">
        <v>945</v>
      </c>
      <c r="C162" s="257">
        <v>30</v>
      </c>
      <c r="D162" t="s" s="256">
        <v>918</v>
      </c>
      <c r="E162" s="119">
        <v>81.6925</v>
      </c>
      <c r="F162" s="258">
        <v>23.8205761869568</v>
      </c>
      <c r="G162" s="259">
        <v>0.149490848449689</v>
      </c>
      <c r="H162" s="259">
        <v>0.480056796539449</v>
      </c>
      <c r="I162" s="259">
        <v>0.629547644989138</v>
      </c>
      <c r="J162" s="259">
        <v>2.52729632754457</v>
      </c>
      <c r="K162" s="259">
        <v>0.0392331398578329</v>
      </c>
      <c r="L162" s="259">
        <v>0.216085204589671</v>
      </c>
      <c r="M162" s="259">
        <v>0.00219633392389271</v>
      </c>
      <c r="N162" s="259">
        <v>0.0192324798755012</v>
      </c>
      <c r="O162" s="259">
        <v>2.09389518506168</v>
      </c>
      <c r="P162" s="259">
        <v>2.15971140655317</v>
      </c>
      <c r="Q162" s="259">
        <v>-0.0241473045901107</v>
      </c>
      <c r="R162" s="259">
        <v>0.632186021239991</v>
      </c>
      <c r="S162" s="259">
        <v>0.0217185952909605</v>
      </c>
      <c r="T162" s="259">
        <v>0</v>
      </c>
      <c r="U162" s="259">
        <v>0</v>
      </c>
      <c r="V162" s="259">
        <v>0</v>
      </c>
      <c r="W162" s="259"/>
      <c r="X162" s="119"/>
      <c r="Y162" s="258"/>
      <c r="Z162" s="258"/>
      <c r="AA162" s="258"/>
      <c r="AB162" s="258"/>
      <c r="AC162" s="258"/>
      <c r="AD162" s="260"/>
      <c r="AE162" s="261"/>
    </row>
    <row r="163" ht="21.25" customHeight="1">
      <c r="A163" t="s" s="10">
        <v>545</v>
      </c>
      <c r="B163" t="s" s="256">
        <v>930</v>
      </c>
      <c r="C163" s="257">
        <v>35</v>
      </c>
      <c r="D163" t="s" s="256">
        <v>916</v>
      </c>
      <c r="E163" s="119">
        <v>77.59</v>
      </c>
      <c r="F163" s="258">
        <v>16.5492885738026</v>
      </c>
      <c r="G163" s="259">
        <v>0.207588254771842</v>
      </c>
      <c r="H163" s="259">
        <v>0.421865284996944</v>
      </c>
      <c r="I163" s="259">
        <v>0.629453539768786</v>
      </c>
      <c r="J163" s="259">
        <v>1.72018408160466</v>
      </c>
      <c r="K163" s="259">
        <v>0.0303569137689636</v>
      </c>
      <c r="L163" s="259">
        <v>0.128121180347457</v>
      </c>
      <c r="M163" s="259">
        <v>0.0096982140886977</v>
      </c>
      <c r="N163" s="259">
        <v>0.0138293550975865</v>
      </c>
      <c r="O163" s="259">
        <v>0.488622375689987</v>
      </c>
      <c r="P163" s="259">
        <v>0.560701422408454</v>
      </c>
      <c r="Q163" s="259">
        <v>0.0316676687172923</v>
      </c>
      <c r="R163" s="259">
        <v>0.245716452093497</v>
      </c>
      <c r="S163" s="259">
        <v>0.0293930063968684</v>
      </c>
      <c r="T163" s="259">
        <v>0.187417371589073</v>
      </c>
      <c r="U163" s="259">
        <v>0.257995501043466</v>
      </c>
      <c r="V163" s="259">
        <v>0.420772238757659</v>
      </c>
      <c r="W163" s="259"/>
      <c r="X163" s="119"/>
      <c r="Y163" s="258"/>
      <c r="Z163" s="258"/>
      <c r="AA163" s="258"/>
      <c r="AB163" s="258"/>
      <c r="AC163" s="258"/>
      <c r="AD163" s="260"/>
      <c r="AE163" s="261"/>
    </row>
    <row r="164" ht="21.25" customHeight="1">
      <c r="A164" t="s" s="10">
        <v>599</v>
      </c>
      <c r="B164" t="s" s="256">
        <v>938</v>
      </c>
      <c r="C164" s="257">
        <v>22</v>
      </c>
      <c r="D164" t="s" s="256">
        <v>965</v>
      </c>
      <c r="E164" s="119">
        <v>72.715</v>
      </c>
      <c r="F164" s="258">
        <v>15.1703224022207</v>
      </c>
      <c r="G164" s="259">
        <v>0.257318241981228</v>
      </c>
      <c r="H164" s="259">
        <v>0.36533710320384</v>
      </c>
      <c r="I164" s="259">
        <v>0.622655345185068</v>
      </c>
      <c r="J164" s="259">
        <v>2.09409136831873</v>
      </c>
      <c r="K164" s="259">
        <v>0.0619136399909841</v>
      </c>
      <c r="L164" s="259">
        <v>0.152547060095904</v>
      </c>
      <c r="M164" s="259">
        <v>1.90112244280626e-05</v>
      </c>
      <c r="N164" s="259">
        <v>3.19273371018059e-05</v>
      </c>
      <c r="O164" s="259">
        <v>0.389793641853085</v>
      </c>
      <c r="P164" s="259">
        <v>0.592223497878506</v>
      </c>
      <c r="Q164" s="259">
        <v>0.0534730702762459</v>
      </c>
      <c r="R164" s="259">
        <v>0.269910249036811</v>
      </c>
      <c r="S164" s="259">
        <v>0.0427731256401213</v>
      </c>
      <c r="T164" s="259">
        <v>0.41127172465354</v>
      </c>
      <c r="U164" s="259">
        <v>0.930610044781582</v>
      </c>
      <c r="V164" s="259">
        <v>0.306488793589221</v>
      </c>
      <c r="W164" s="259"/>
      <c r="X164" s="119"/>
      <c r="Y164" s="258"/>
      <c r="Z164" s="258"/>
      <c r="AA164" s="258"/>
      <c r="AB164" s="258"/>
      <c r="AC164" s="258"/>
      <c r="AD164" s="260"/>
      <c r="AE164" s="261"/>
    </row>
    <row r="165" ht="21.25" customHeight="1">
      <c r="A165" t="s" s="10">
        <v>318</v>
      </c>
      <c r="B165" t="s" s="256">
        <v>950</v>
      </c>
      <c r="C165" s="257">
        <v>34</v>
      </c>
      <c r="D165" t="s" s="256">
        <v>918</v>
      </c>
      <c r="E165" s="119">
        <v>77.5925</v>
      </c>
      <c r="F165" s="258">
        <v>25.5997276068931</v>
      </c>
      <c r="G165" s="259">
        <v>0.141428371543969</v>
      </c>
      <c r="H165" s="259">
        <v>0.477385927567517</v>
      </c>
      <c r="I165" s="259">
        <v>0.618814299111486</v>
      </c>
      <c r="J165" s="259">
        <v>1.77520065842624</v>
      </c>
      <c r="K165" s="259">
        <v>0.055667127062764</v>
      </c>
      <c r="L165" s="259">
        <v>0.254078616574806</v>
      </c>
      <c r="M165" s="259">
        <v>0.000309195840177381</v>
      </c>
      <c r="N165" s="259">
        <v>0.00134599820233962</v>
      </c>
      <c r="O165" s="259">
        <v>1.62766740684141</v>
      </c>
      <c r="P165" s="259">
        <v>1.3072930419718</v>
      </c>
      <c r="Q165" s="259">
        <v>0.044904929177838</v>
      </c>
      <c r="R165" s="259">
        <v>0.544412060154176</v>
      </c>
      <c r="S165" s="259">
        <v>0.0252041863290715</v>
      </c>
      <c r="T165" s="259">
        <v>0</v>
      </c>
      <c r="U165" s="259">
        <v>0</v>
      </c>
      <c r="V165" s="259">
        <v>0</v>
      </c>
      <c r="W165" s="259"/>
      <c r="X165" s="119"/>
      <c r="Y165" s="258"/>
      <c r="Z165" s="258"/>
      <c r="AA165" s="258"/>
      <c r="AB165" s="258"/>
      <c r="AC165" s="258"/>
      <c r="AD165" s="260"/>
      <c r="AE165" s="261"/>
    </row>
    <row r="166" ht="21.25" customHeight="1">
      <c r="A166" t="s" s="10">
        <v>463</v>
      </c>
      <c r="B166" t="s" s="256">
        <v>955</v>
      </c>
      <c r="C166" s="257">
        <v>30</v>
      </c>
      <c r="D166" t="s" s="256">
        <v>915</v>
      </c>
      <c r="E166" s="119">
        <v>80.34999999999999</v>
      </c>
      <c r="F166" s="258">
        <v>17.6537657218503</v>
      </c>
      <c r="G166" s="259">
        <v>0.184633266688411</v>
      </c>
      <c r="H166" s="259">
        <v>0.434180842240122</v>
      </c>
      <c r="I166" s="259">
        <v>0.6188141089285329</v>
      </c>
      <c r="J166" s="259">
        <v>1.33334784244703</v>
      </c>
      <c r="K166" s="259">
        <v>0.0355118074038806</v>
      </c>
      <c r="L166" s="259">
        <v>0.112132140818939</v>
      </c>
      <c r="M166" s="259">
        <v>0.018750973146179</v>
      </c>
      <c r="N166" s="259">
        <v>0.0361461317992396</v>
      </c>
      <c r="O166" s="259">
        <v>0.567154129462399</v>
      </c>
      <c r="P166" s="259">
        <v>0.710495083355979</v>
      </c>
      <c r="Q166" s="259">
        <v>-0.00566788639288518</v>
      </c>
      <c r="R166" s="259">
        <v>0.259520831260915</v>
      </c>
      <c r="S166" s="259">
        <v>0.0280361315083343</v>
      </c>
      <c r="T166" s="259">
        <v>7.36884851425962</v>
      </c>
      <c r="U166" s="259">
        <v>6.17318352859104</v>
      </c>
      <c r="V166" s="259">
        <v>0.544146439097366</v>
      </c>
      <c r="W166" s="259"/>
      <c r="X166" s="119"/>
      <c r="Y166" s="258"/>
      <c r="Z166" s="258"/>
      <c r="AA166" s="258"/>
      <c r="AB166" s="258"/>
      <c r="AC166" s="258"/>
      <c r="AD166" s="260"/>
      <c r="AE166" s="261"/>
    </row>
    <row r="167" ht="21.25" customHeight="1">
      <c r="A167" t="s" s="10">
        <v>436</v>
      </c>
      <c r="B167" t="s" s="256">
        <v>940</v>
      </c>
      <c r="C167" s="257">
        <v>23</v>
      </c>
      <c r="D167" t="s" s="256">
        <v>915</v>
      </c>
      <c r="E167" s="119">
        <v>72.7525</v>
      </c>
      <c r="F167" s="258">
        <v>18.3752425149623</v>
      </c>
      <c r="G167" s="259">
        <v>0.268838275038028</v>
      </c>
      <c r="H167" s="259">
        <v>0.344042145969507</v>
      </c>
      <c r="I167" s="259">
        <v>0.612880421007535</v>
      </c>
      <c r="J167" s="259">
        <v>2.53171466662335</v>
      </c>
      <c r="K167" s="259">
        <v>0.0794543767673174</v>
      </c>
      <c r="L167" s="259">
        <v>0.14593779174492</v>
      </c>
      <c r="M167" s="259">
        <v>0.00193060900711566</v>
      </c>
      <c r="N167" s="259">
        <v>0.0032574924080072</v>
      </c>
      <c r="O167" s="259">
        <v>0.694132293249889</v>
      </c>
      <c r="P167" s="259">
        <v>0.9325384341497091</v>
      </c>
      <c r="Q167" s="259">
        <v>-0.00721187314513729</v>
      </c>
      <c r="R167" s="259">
        <v>0.368827742296224</v>
      </c>
      <c r="S167" s="259">
        <v>0.0417409702563897</v>
      </c>
      <c r="T167" s="259">
        <v>6.2643568746298</v>
      </c>
      <c r="U167" s="259">
        <v>5.99402266465033</v>
      </c>
      <c r="V167" s="259">
        <v>0.511026506770867</v>
      </c>
      <c r="W167" s="259"/>
      <c r="X167" s="119"/>
      <c r="Y167" s="258"/>
      <c r="Z167" s="258"/>
      <c r="AA167" s="258"/>
      <c r="AB167" s="258"/>
      <c r="AC167" s="258"/>
      <c r="AD167" s="260"/>
      <c r="AE167" s="261"/>
    </row>
    <row r="168" ht="21.25" customHeight="1">
      <c r="A168" t="s" s="10">
        <v>455</v>
      </c>
      <c r="B168" t="s" s="256">
        <v>942</v>
      </c>
      <c r="C168" s="257">
        <v>32</v>
      </c>
      <c r="D168" t="s" s="256">
        <v>966</v>
      </c>
      <c r="E168" s="119">
        <v>78.47750000000001</v>
      </c>
      <c r="F168" s="258">
        <v>14.8372563780273</v>
      </c>
      <c r="G168" s="259">
        <v>0.240485678555128</v>
      </c>
      <c r="H168" s="259">
        <v>0.369852942698534</v>
      </c>
      <c r="I168" s="259">
        <v>0.610338621253662</v>
      </c>
      <c r="J168" s="259">
        <v>2.03242544660747</v>
      </c>
      <c r="K168" s="259">
        <v>0.0351582080868274</v>
      </c>
      <c r="L168" s="259">
        <v>0.125892875933267</v>
      </c>
      <c r="M168" s="259">
        <v>4.43398534172442e-05</v>
      </c>
      <c r="N168" s="259">
        <v>7.60660492046425e-05</v>
      </c>
      <c r="O168" s="259">
        <v>0.482444829303578</v>
      </c>
      <c r="P168" s="259">
        <v>1.04931871942894</v>
      </c>
      <c r="Q168" s="259">
        <v>0.00482572533817029</v>
      </c>
      <c r="R168" s="259">
        <v>0.217884944952593</v>
      </c>
      <c r="S168" s="259">
        <v>0.0330289440173508</v>
      </c>
      <c r="T168" s="259">
        <v>0.0278491033993832</v>
      </c>
      <c r="U168" s="259">
        <v>0.0568225608056358</v>
      </c>
      <c r="V168" s="259">
        <v>0.328907004023814</v>
      </c>
      <c r="W168" s="259"/>
      <c r="X168" s="119"/>
      <c r="Y168" s="258"/>
      <c r="Z168" s="258"/>
      <c r="AA168" s="258"/>
      <c r="AB168" s="258"/>
      <c r="AC168" s="258"/>
      <c r="AD168" s="260"/>
      <c r="AE168" s="261"/>
    </row>
    <row r="169" ht="21.25" customHeight="1">
      <c r="A169" t="s" s="10">
        <v>558</v>
      </c>
      <c r="B169" t="s" s="256">
        <v>955</v>
      </c>
      <c r="C169" s="257">
        <v>34</v>
      </c>
      <c r="D169" t="s" s="256">
        <v>917</v>
      </c>
      <c r="E169" s="119">
        <v>81.02</v>
      </c>
      <c r="F169" s="258">
        <v>17.2303646259669</v>
      </c>
      <c r="G169" s="259">
        <v>0.219668045624487</v>
      </c>
      <c r="H169" s="259">
        <v>0.386935867915855</v>
      </c>
      <c r="I169" s="259">
        <v>0.606603913540342</v>
      </c>
      <c r="J169" s="259">
        <v>2.12140368065752</v>
      </c>
      <c r="K169" s="259">
        <v>0.0505308145971174</v>
      </c>
      <c r="L169" s="259">
        <v>0.128041400231891</v>
      </c>
      <c r="M169" s="259">
        <v>0.000116217300220943</v>
      </c>
      <c r="N169" s="259">
        <v>0.000202259102749252</v>
      </c>
      <c r="O169" s="259">
        <v>0.332677285648996</v>
      </c>
      <c r="P169" s="259">
        <v>0.487154218815189</v>
      </c>
      <c r="Q169" s="259">
        <v>0.0167518702515467</v>
      </c>
      <c r="R169" s="259">
        <v>0.308156991194721</v>
      </c>
      <c r="S169" s="259">
        <v>0.0333560810885738</v>
      </c>
      <c r="T169" s="259">
        <v>0.330582767482508</v>
      </c>
      <c r="U169" s="259">
        <v>0.497563250209784</v>
      </c>
      <c r="V169" s="259">
        <v>0.399184154026012</v>
      </c>
      <c r="W169" s="259"/>
      <c r="X169" s="119"/>
      <c r="Y169" s="258"/>
      <c r="Z169" s="258"/>
      <c r="AA169" s="258"/>
      <c r="AB169" s="258"/>
      <c r="AC169" s="258"/>
      <c r="AD169" s="260"/>
      <c r="AE169" s="261"/>
    </row>
    <row r="170" ht="21.25" customHeight="1">
      <c r="A170" t="s" s="10">
        <v>457</v>
      </c>
      <c r="B170" t="s" s="256">
        <v>937</v>
      </c>
      <c r="C170" s="257">
        <v>29</v>
      </c>
      <c r="D170" t="s" s="256">
        <v>916</v>
      </c>
      <c r="E170" s="119">
        <v>77.1275</v>
      </c>
      <c r="F170" s="258">
        <v>15.0985417022267</v>
      </c>
      <c r="G170" s="259">
        <v>0.239953321770957</v>
      </c>
      <c r="H170" s="259">
        <v>0.361007836998279</v>
      </c>
      <c r="I170" s="259">
        <v>0.6009611587692359</v>
      </c>
      <c r="J170" s="259">
        <v>1.95004225433593</v>
      </c>
      <c r="K170" s="259">
        <v>0.0494711497764222</v>
      </c>
      <c r="L170" s="259">
        <v>0.102376582357811</v>
      </c>
      <c r="M170" s="259">
        <v>0.000130122430145509</v>
      </c>
      <c r="N170" s="259">
        <v>0.000221631059121201</v>
      </c>
      <c r="O170" s="259">
        <v>0.443801312571235</v>
      </c>
      <c r="P170" s="259">
        <v>1.25186375617384</v>
      </c>
      <c r="Q170" s="259">
        <v>0.0723547528899379</v>
      </c>
      <c r="R170" s="259">
        <v>0.681523792080702</v>
      </c>
      <c r="S170" s="259">
        <v>0.0383730265842836</v>
      </c>
      <c r="T170" s="259">
        <v>0.0845155581667628</v>
      </c>
      <c r="U170" s="259">
        <v>0.127155701655576</v>
      </c>
      <c r="V170" s="259">
        <v>0.399277437275609</v>
      </c>
      <c r="W170" s="259"/>
      <c r="X170" s="119"/>
      <c r="Y170" s="258"/>
      <c r="Z170" s="258"/>
      <c r="AA170" s="258"/>
      <c r="AB170" s="258"/>
      <c r="AC170" s="258"/>
      <c r="AD170" s="260"/>
      <c r="AE170" s="261"/>
    </row>
    <row r="171" ht="21.25" customHeight="1">
      <c r="A171" t="s" s="10">
        <v>379</v>
      </c>
      <c r="B171" t="s" s="256">
        <v>950</v>
      </c>
      <c r="C171" s="257">
        <v>29</v>
      </c>
      <c r="D171" t="s" s="256">
        <v>966</v>
      </c>
      <c r="E171" s="119">
        <v>78.7675</v>
      </c>
      <c r="F171" s="258">
        <v>17.3753708953217</v>
      </c>
      <c r="G171" s="259">
        <v>0.276479327071913</v>
      </c>
      <c r="H171" s="259">
        <v>0.324409302295171</v>
      </c>
      <c r="I171" s="259">
        <v>0.600888629367084</v>
      </c>
      <c r="J171" s="259">
        <v>2.75539186312019</v>
      </c>
      <c r="K171" s="259">
        <v>0.025105497716525</v>
      </c>
      <c r="L171" s="259">
        <v>0.07871727445534731</v>
      </c>
      <c r="M171" s="259">
        <v>0.0243643282828871</v>
      </c>
      <c r="N171" s="259">
        <v>0.0325641086172662</v>
      </c>
      <c r="O171" s="259">
        <v>0.618302216938594</v>
      </c>
      <c r="P171" s="259">
        <v>1.05664495944374</v>
      </c>
      <c r="Q171" s="259">
        <v>0.048469875402061</v>
      </c>
      <c r="R171" s="259">
        <v>0.335094294724967</v>
      </c>
      <c r="S171" s="259">
        <v>0.0492718426973499</v>
      </c>
      <c r="T171" s="259">
        <v>0.212941098257228</v>
      </c>
      <c r="U171" s="259">
        <v>0.411702470102135</v>
      </c>
      <c r="V171" s="259">
        <v>0.340900169382232</v>
      </c>
      <c r="W171" s="259"/>
      <c r="X171" s="119"/>
      <c r="Y171" s="258"/>
      <c r="Z171" s="258"/>
      <c r="AA171" s="258"/>
      <c r="AB171" s="258"/>
      <c r="AC171" s="258"/>
      <c r="AD171" s="260"/>
      <c r="AE171" s="261"/>
    </row>
    <row r="172" ht="21.25" customHeight="1">
      <c r="A172" t="s" s="10">
        <v>517</v>
      </c>
      <c r="B172" t="s" s="256">
        <v>959</v>
      </c>
      <c r="C172" s="257">
        <v>19</v>
      </c>
      <c r="D172" t="s" s="256">
        <v>915</v>
      </c>
      <c r="E172" s="119">
        <v>74</v>
      </c>
      <c r="F172" s="258">
        <v>16</v>
      </c>
      <c r="G172" s="259">
        <v>0.22</v>
      </c>
      <c r="H172" s="259">
        <v>0.38</v>
      </c>
      <c r="I172" s="259">
        <v>0.6</v>
      </c>
      <c r="J172" s="259">
        <v>1.80229268292683</v>
      </c>
      <c r="K172" s="259">
        <v>0.0566991869918699</v>
      </c>
      <c r="L172" s="259">
        <v>0.154634146341463</v>
      </c>
      <c r="M172" s="259">
        <v>0</v>
      </c>
      <c r="N172" s="259">
        <v>0</v>
      </c>
      <c r="O172" s="259">
        <v>0.434146341463415</v>
      </c>
      <c r="P172" s="259">
        <v>1.18309240326726</v>
      </c>
      <c r="Q172" s="259">
        <v>-0.07505440240867151</v>
      </c>
      <c r="R172" s="259">
        <v>0.404066898383504</v>
      </c>
      <c r="S172" s="259">
        <v>0.0234982274820067</v>
      </c>
      <c r="T172" s="259">
        <v>1.95121951219512</v>
      </c>
      <c r="U172" s="259">
        <v>2.92682926829268</v>
      </c>
      <c r="V172" s="259">
        <v>0.4</v>
      </c>
      <c r="W172" s="259"/>
      <c r="X172" s="119"/>
      <c r="Y172" s="259"/>
      <c r="Z172" s="259"/>
      <c r="AA172" s="259"/>
      <c r="AB172" s="259"/>
      <c r="AC172" s="258"/>
      <c r="AD172" s="260"/>
      <c r="AE172" s="261"/>
    </row>
    <row r="173" ht="21.25" customHeight="1">
      <c r="A173" t="s" s="10">
        <v>453</v>
      </c>
      <c r="B173" t="s" s="256">
        <v>929</v>
      </c>
      <c r="C173" s="257">
        <v>22</v>
      </c>
      <c r="D173" t="s" s="256">
        <v>915</v>
      </c>
      <c r="E173" s="119">
        <v>82.03</v>
      </c>
      <c r="F173" s="258">
        <v>17.4988918971526</v>
      </c>
      <c r="G173" s="259">
        <v>0.301495573261393</v>
      </c>
      <c r="H173" s="259">
        <v>0.295820609723674</v>
      </c>
      <c r="I173" s="259">
        <v>0.5973161829850669</v>
      </c>
      <c r="J173" s="259">
        <v>1.81691360721704</v>
      </c>
      <c r="K173" s="259">
        <v>0.0427984668150836</v>
      </c>
      <c r="L173" s="259">
        <v>0.09566849138148591</v>
      </c>
      <c r="M173" s="259">
        <v>0.0102550887916219</v>
      </c>
      <c r="N173" s="259">
        <v>0.0173314708292783</v>
      </c>
      <c r="O173" s="259">
        <v>0.606505195947779</v>
      </c>
      <c r="P173" s="259">
        <v>0.439548341517046</v>
      </c>
      <c r="Q173" s="259">
        <v>0.020465160742713</v>
      </c>
      <c r="R173" s="259">
        <v>0.287859207431001</v>
      </c>
      <c r="S173" s="259">
        <v>0.0454885429130008</v>
      </c>
      <c r="T173" s="259">
        <v>1.5605408485409</v>
      </c>
      <c r="U173" s="259">
        <v>2.17280155072484</v>
      </c>
      <c r="V173" s="259">
        <v>0.418000997938957</v>
      </c>
      <c r="W173" s="259"/>
      <c r="X173" s="119"/>
      <c r="Y173" s="258"/>
      <c r="Z173" s="258"/>
      <c r="AA173" s="258"/>
      <c r="AB173" s="258"/>
      <c r="AC173" s="258"/>
      <c r="AD173" s="260"/>
      <c r="AE173" s="261"/>
    </row>
    <row r="174" ht="21.25" customHeight="1">
      <c r="A174" t="s" s="10">
        <v>307</v>
      </c>
      <c r="B174" t="s" s="256">
        <v>948</v>
      </c>
      <c r="C174" s="257">
        <v>32</v>
      </c>
      <c r="D174" t="s" s="256">
        <v>918</v>
      </c>
      <c r="E174" s="119">
        <v>77.52500000000001</v>
      </c>
      <c r="F174" s="258">
        <v>23.0847739339676</v>
      </c>
      <c r="G174" s="259">
        <v>0.119748664305319</v>
      </c>
      <c r="H174" s="259">
        <v>0.477343178590059</v>
      </c>
      <c r="I174" s="259">
        <v>0.597091842895378</v>
      </c>
      <c r="J174" s="259">
        <v>2.28232683375004</v>
      </c>
      <c r="K174" s="259">
        <v>0.0280299921284177</v>
      </c>
      <c r="L174" s="259">
        <v>0.166715958953471</v>
      </c>
      <c r="M174" s="259">
        <v>0.000358993339708049</v>
      </c>
      <c r="N174" s="259">
        <v>0.00665009998660662</v>
      </c>
      <c r="O174" s="259">
        <v>1.652231538453</v>
      </c>
      <c r="P174" s="259">
        <v>1.35798026735182</v>
      </c>
      <c r="Q174" s="259">
        <v>-0.0536050279823982</v>
      </c>
      <c r="R174" s="259">
        <v>0.447379330570049</v>
      </c>
      <c r="S174" s="259">
        <v>0.0144170318682334</v>
      </c>
      <c r="T174" s="259">
        <v>0</v>
      </c>
      <c r="U174" s="259">
        <v>0</v>
      </c>
      <c r="V174" s="259">
        <v>0</v>
      </c>
      <c r="W174" s="259"/>
      <c r="X174" s="119"/>
      <c r="Y174" s="258"/>
      <c r="Z174" s="258"/>
      <c r="AA174" s="258"/>
      <c r="AB174" s="258"/>
      <c r="AC174" s="258"/>
      <c r="AD174" s="260"/>
      <c r="AE174" s="261"/>
    </row>
    <row r="175" ht="21.25" customHeight="1">
      <c r="A175" t="s" s="10">
        <v>312</v>
      </c>
      <c r="B175" t="s" s="256">
        <v>932</v>
      </c>
      <c r="C175" s="257">
        <v>28</v>
      </c>
      <c r="D175" t="s" s="256">
        <v>915</v>
      </c>
      <c r="E175" s="119">
        <v>76.01000000000001</v>
      </c>
      <c r="F175" s="258">
        <v>16.7133476137625</v>
      </c>
      <c r="G175" s="259">
        <v>0.278883661171487</v>
      </c>
      <c r="H175" s="259">
        <v>0.317866738170264</v>
      </c>
      <c r="I175" s="259">
        <v>0.596750399341751</v>
      </c>
      <c r="J175" s="259">
        <v>2.59813371024948</v>
      </c>
      <c r="K175" s="259">
        <v>0.0553553819095219</v>
      </c>
      <c r="L175" s="259">
        <v>0.127738034847141</v>
      </c>
      <c r="M175" s="259">
        <v>0.00136277167994196</v>
      </c>
      <c r="N175" s="259">
        <v>0.00438184760964558</v>
      </c>
      <c r="O175" s="259">
        <v>0.585763945076866</v>
      </c>
      <c r="P175" s="259">
        <v>2.17963370667051</v>
      </c>
      <c r="Q175" s="259">
        <v>0.090350088019127</v>
      </c>
      <c r="R175" s="259">
        <v>0.858248315366811</v>
      </c>
      <c r="S175" s="259">
        <v>0.0475111031390318</v>
      </c>
      <c r="T175" s="259">
        <v>5.85069916641346</v>
      </c>
      <c r="U175" s="259">
        <v>6.78792347025686</v>
      </c>
      <c r="V175" s="259">
        <v>0.462922213488514</v>
      </c>
      <c r="W175" s="259"/>
      <c r="X175" s="119"/>
      <c r="Y175" s="258"/>
      <c r="Z175" s="258"/>
      <c r="AA175" s="258"/>
      <c r="AB175" s="258"/>
      <c r="AC175" s="258"/>
      <c r="AD175" s="260"/>
      <c r="AE175" s="261"/>
    </row>
    <row r="176" ht="21.25" customHeight="1">
      <c r="A176" t="s" s="10">
        <v>420</v>
      </c>
      <c r="B176" t="s" s="256">
        <v>927</v>
      </c>
      <c r="C176" s="257">
        <v>27</v>
      </c>
      <c r="D176" t="s" s="256">
        <v>915</v>
      </c>
      <c r="E176" s="119">
        <v>77.5975</v>
      </c>
      <c r="F176" s="258">
        <v>18.5812100454341</v>
      </c>
      <c r="G176" s="259">
        <v>0.246026979010385</v>
      </c>
      <c r="H176" s="259">
        <v>0.34544008366266</v>
      </c>
      <c r="I176" s="259">
        <v>0.5914670626730451</v>
      </c>
      <c r="J176" s="259">
        <v>1.82817816531746</v>
      </c>
      <c r="K176" s="259">
        <v>0.0437070684469748</v>
      </c>
      <c r="L176" s="259">
        <v>0.0975732441097916</v>
      </c>
      <c r="M176" s="259">
        <v>0.0234539928490395</v>
      </c>
      <c r="N176" s="259">
        <v>0.0247975926845423</v>
      </c>
      <c r="O176" s="259">
        <v>0.8916701378277681</v>
      </c>
      <c r="P176" s="259">
        <v>0.796513791346699</v>
      </c>
      <c r="Q176" s="259">
        <v>0.025963035663987</v>
      </c>
      <c r="R176" s="259">
        <v>0.462470247531849</v>
      </c>
      <c r="S176" s="259">
        <v>0.0387644098637448</v>
      </c>
      <c r="T176" s="259">
        <v>6.09110917456614</v>
      </c>
      <c r="U176" s="259">
        <v>6.32175883425021</v>
      </c>
      <c r="V176" s="259">
        <v>0.490709251902129</v>
      </c>
      <c r="W176" s="259"/>
      <c r="X176" s="119"/>
      <c r="Y176" s="258"/>
      <c r="Z176" s="258"/>
      <c r="AA176" s="258"/>
      <c r="AB176" s="258"/>
      <c r="AC176" s="258"/>
      <c r="AD176" s="260"/>
      <c r="AE176" s="261"/>
    </row>
    <row r="177" ht="21.25" customHeight="1">
      <c r="A177" t="s" s="10">
        <v>347</v>
      </c>
      <c r="B177" t="s" s="256">
        <v>928</v>
      </c>
      <c r="C177" s="257">
        <v>32</v>
      </c>
      <c r="D177" t="s" s="256">
        <v>915</v>
      </c>
      <c r="E177" s="119">
        <v>82.03</v>
      </c>
      <c r="F177" s="258">
        <v>17.4596735321298</v>
      </c>
      <c r="G177" s="259">
        <v>0.227923811314831</v>
      </c>
      <c r="H177" s="259">
        <v>0.361265534147488</v>
      </c>
      <c r="I177" s="259">
        <v>0.589189345462319</v>
      </c>
      <c r="J177" s="259">
        <v>1.71335764662319</v>
      </c>
      <c r="K177" s="259">
        <v>0.0501786314606286</v>
      </c>
      <c r="L177" s="259">
        <v>0.0967988818588599</v>
      </c>
      <c r="M177" s="259">
        <v>0.008992114815050819</v>
      </c>
      <c r="N177" s="259">
        <v>0.0404894157046807</v>
      </c>
      <c r="O177" s="259">
        <v>0.694751117852545</v>
      </c>
      <c r="P177" s="259">
        <v>1.34670153241771</v>
      </c>
      <c r="Q177" s="259">
        <v>0.0201206447694913</v>
      </c>
      <c r="R177" s="259">
        <v>0.395910874585629</v>
      </c>
      <c r="S177" s="259">
        <v>0.0354999810256022</v>
      </c>
      <c r="T177" s="259">
        <v>8.314310696940071</v>
      </c>
      <c r="U177" s="259">
        <v>7.8892027567762</v>
      </c>
      <c r="V177" s="259">
        <v>0.513117770456949</v>
      </c>
      <c r="W177" s="259"/>
      <c r="X177" s="119"/>
      <c r="Y177" s="258"/>
      <c r="Z177" s="258"/>
      <c r="AA177" s="258"/>
      <c r="AB177" s="258"/>
      <c r="AC177" s="258"/>
      <c r="AD177" s="260"/>
      <c r="AE177" s="261"/>
    </row>
    <row r="178" ht="21.25" customHeight="1">
      <c r="A178" t="s" s="10">
        <v>256</v>
      </c>
      <c r="B178" t="s" s="256">
        <v>944</v>
      </c>
      <c r="C178" s="257">
        <v>30</v>
      </c>
      <c r="D178" t="s" s="256">
        <v>917</v>
      </c>
      <c r="E178" s="119">
        <v>73.4725</v>
      </c>
      <c r="F178" s="258">
        <v>18.3943843388978</v>
      </c>
      <c r="G178" s="259">
        <v>0.289585532828041</v>
      </c>
      <c r="H178" s="259">
        <v>0.297465774122714</v>
      </c>
      <c r="I178" s="259">
        <v>0.587051306950755</v>
      </c>
      <c r="J178" s="259">
        <v>2.26039351764851</v>
      </c>
      <c r="K178" s="259">
        <v>0.0731477547092242</v>
      </c>
      <c r="L178" s="259">
        <v>0.150160301085407</v>
      </c>
      <c r="M178" s="259">
        <v>0.0219855421973901</v>
      </c>
      <c r="N178" s="259">
        <v>0.0265170619921599</v>
      </c>
      <c r="O178" s="259">
        <v>0.91525462413891</v>
      </c>
      <c r="P178" s="259">
        <v>2.80810508901738</v>
      </c>
      <c r="Q178" s="259">
        <v>-0.0352603236802468</v>
      </c>
      <c r="R178" s="259">
        <v>1.16771895932943</v>
      </c>
      <c r="S178" s="259">
        <v>0.0410958170728413</v>
      </c>
      <c r="T178" s="259">
        <v>0.292444587561865</v>
      </c>
      <c r="U178" s="259">
        <v>0.479909761575345</v>
      </c>
      <c r="V178" s="259">
        <v>0.378640436075167</v>
      </c>
      <c r="W178" s="259"/>
      <c r="X178" s="119"/>
      <c r="Y178" s="258"/>
      <c r="Z178" s="258"/>
      <c r="AA178" s="258"/>
      <c r="AB178" s="258"/>
      <c r="AC178" s="258"/>
      <c r="AD178" s="260"/>
      <c r="AE178" s="261"/>
    </row>
    <row r="179" ht="21.25" customHeight="1">
      <c r="A179" t="s" s="10">
        <v>360</v>
      </c>
      <c r="B179" t="s" s="256">
        <v>941</v>
      </c>
      <c r="C179" s="257">
        <v>28</v>
      </c>
      <c r="D179" t="s" s="256">
        <v>965</v>
      </c>
      <c r="E179" s="119">
        <v>81.93000000000001</v>
      </c>
      <c r="F179" s="258">
        <v>16.2544142607567</v>
      </c>
      <c r="G179" s="259">
        <v>0.236917534535888</v>
      </c>
      <c r="H179" s="259">
        <v>0.347893536189363</v>
      </c>
      <c r="I179" s="259">
        <v>0.584811070725251</v>
      </c>
      <c r="J179" s="259">
        <v>1.51688264363282</v>
      </c>
      <c r="K179" s="259">
        <v>0.0395307639000062</v>
      </c>
      <c r="L179" s="259">
        <v>0.0841916223324834</v>
      </c>
      <c r="M179" s="259">
        <v>0.000116857948977492</v>
      </c>
      <c r="N179" s="259">
        <v>0.000222009464321699</v>
      </c>
      <c r="O179" s="259">
        <v>0.506801499962521</v>
      </c>
      <c r="P179" s="259">
        <v>2.01766125343117</v>
      </c>
      <c r="Q179" s="259">
        <v>0.0277957021538562</v>
      </c>
      <c r="R179" s="259">
        <v>0.475883713705643</v>
      </c>
      <c r="S179" s="259">
        <v>0.0360354623801348</v>
      </c>
      <c r="T179" s="259">
        <v>0.6474498180727279</v>
      </c>
      <c r="U179" s="259">
        <v>0.946289067102221</v>
      </c>
      <c r="V179" s="259">
        <v>0.406245856266258</v>
      </c>
      <c r="W179" s="259"/>
      <c r="X179" s="119"/>
      <c r="Y179" s="258"/>
      <c r="Z179" s="258"/>
      <c r="AA179" s="258"/>
      <c r="AB179" s="258"/>
      <c r="AC179" s="258"/>
      <c r="AD179" s="260"/>
      <c r="AE179" s="261"/>
    </row>
    <row r="180" ht="21.25" customHeight="1">
      <c r="A180" t="s" s="10">
        <v>469</v>
      </c>
      <c r="B180" t="s" s="256">
        <v>956</v>
      </c>
      <c r="C180" s="257">
        <v>25</v>
      </c>
      <c r="D180" t="s" s="256">
        <v>915</v>
      </c>
      <c r="E180" s="119">
        <v>77.23999999999999</v>
      </c>
      <c r="F180" s="258">
        <v>16.2378372136084</v>
      </c>
      <c r="G180" s="259">
        <v>0.214669347914394</v>
      </c>
      <c r="H180" s="259">
        <v>0.369565632636343</v>
      </c>
      <c r="I180" s="259">
        <v>0.584234980550737</v>
      </c>
      <c r="J180" s="259">
        <v>1.93583997664909</v>
      </c>
      <c r="K180" s="259">
        <v>0.0354112417892501</v>
      </c>
      <c r="L180" s="259">
        <v>0.12030584011255</v>
      </c>
      <c r="M180" s="259">
        <v>0.000155658548272907</v>
      </c>
      <c r="N180" s="259">
        <v>0.000262363107516806</v>
      </c>
      <c r="O180" s="259">
        <v>0.702647454281439</v>
      </c>
      <c r="P180" s="259">
        <v>0.9015228275634</v>
      </c>
      <c r="Q180" s="259">
        <v>-0.0155570190030963</v>
      </c>
      <c r="R180" s="259">
        <v>0.33413505484819</v>
      </c>
      <c r="S180" s="259">
        <v>0.031116220442774</v>
      </c>
      <c r="T180" s="259">
        <v>5.56976074424093</v>
      </c>
      <c r="U180" s="259">
        <v>6.0843221226224</v>
      </c>
      <c r="V180" s="259">
        <v>0.477923557595229</v>
      </c>
      <c r="W180" s="259"/>
      <c r="X180" s="119"/>
      <c r="Y180" s="258"/>
      <c r="Z180" s="258"/>
      <c r="AA180" s="258"/>
      <c r="AB180" s="258"/>
      <c r="AC180" s="258"/>
      <c r="AD180" s="260"/>
      <c r="AE180" s="261"/>
    </row>
    <row r="181" ht="21.25" customHeight="1">
      <c r="A181" t="s" s="10">
        <v>326</v>
      </c>
      <c r="B181" t="s" s="256">
        <v>941</v>
      </c>
      <c r="C181" s="257">
        <v>27</v>
      </c>
      <c r="D181" t="s" s="256">
        <v>918</v>
      </c>
      <c r="E181" s="119">
        <v>81.4375</v>
      </c>
      <c r="F181" s="258">
        <v>23.5740480390846</v>
      </c>
      <c r="G181" s="259">
        <v>0.133190589076877</v>
      </c>
      <c r="H181" s="259">
        <v>0.448945284352494</v>
      </c>
      <c r="I181" s="259">
        <v>0.582135873429371</v>
      </c>
      <c r="J181" s="259">
        <v>2.15675804469581</v>
      </c>
      <c r="K181" s="259">
        <v>0.0347424698283762</v>
      </c>
      <c r="L181" s="259">
        <v>0.144257224640798</v>
      </c>
      <c r="M181" s="259">
        <v>0.000327651961226064</v>
      </c>
      <c r="N181" s="259">
        <v>0.0150730940133233</v>
      </c>
      <c r="O181" s="259">
        <v>1.55881108090546</v>
      </c>
      <c r="P181" s="259">
        <v>0.906266256088241</v>
      </c>
      <c r="Q181" s="259">
        <v>0.0187151494305571</v>
      </c>
      <c r="R181" s="259">
        <v>0.379768152738306</v>
      </c>
      <c r="S181" s="259">
        <v>0.0202584602759352</v>
      </c>
      <c r="T181" s="259">
        <v>0</v>
      </c>
      <c r="U181" s="259">
        <v>0</v>
      </c>
      <c r="V181" s="259">
        <v>0</v>
      </c>
      <c r="W181" s="259"/>
      <c r="X181" s="119"/>
      <c r="Y181" s="258"/>
      <c r="Z181" s="258"/>
      <c r="AA181" s="258"/>
      <c r="AB181" s="258"/>
      <c r="AC181" s="258"/>
      <c r="AD181" s="260"/>
      <c r="AE181" s="261"/>
    </row>
    <row r="182" ht="21.25" customHeight="1">
      <c r="A182" t="s" s="10">
        <v>272</v>
      </c>
      <c r="B182" t="s" s="256">
        <v>947</v>
      </c>
      <c r="C182" s="257">
        <v>29</v>
      </c>
      <c r="D182" t="s" s="256">
        <v>918</v>
      </c>
      <c r="E182" s="119">
        <v>77.5925</v>
      </c>
      <c r="F182" s="258">
        <v>25.8583008478248</v>
      </c>
      <c r="G182" s="259">
        <v>0.129833396772956</v>
      </c>
      <c r="H182" s="259">
        <v>0.451426060406512</v>
      </c>
      <c r="I182" s="259">
        <v>0.581259457179468</v>
      </c>
      <c r="J182" s="259">
        <v>2.53882081028872</v>
      </c>
      <c r="K182" s="259">
        <v>0.0310341978147093</v>
      </c>
      <c r="L182" s="259">
        <v>0.194542447283782</v>
      </c>
      <c r="M182" s="259">
        <v>0.000437386877981945</v>
      </c>
      <c r="N182" s="259">
        <v>0.008449207951544359</v>
      </c>
      <c r="O182" s="259">
        <v>1.93784162598013</v>
      </c>
      <c r="P182" s="259">
        <v>1.23932776105413</v>
      </c>
      <c r="Q182" s="259">
        <v>-0.0900795715229343</v>
      </c>
      <c r="R182" s="259">
        <v>0.478009958442075</v>
      </c>
      <c r="S182" s="259">
        <v>0.0167790508832887</v>
      </c>
      <c r="T182" s="259">
        <v>0</v>
      </c>
      <c r="U182" s="259">
        <v>0</v>
      </c>
      <c r="V182" s="259">
        <v>0</v>
      </c>
      <c r="W182" s="259"/>
      <c r="X182" s="119"/>
      <c r="Y182" s="258"/>
      <c r="Z182" s="258"/>
      <c r="AA182" s="258"/>
      <c r="AB182" s="258"/>
      <c r="AC182" s="258"/>
      <c r="AD182" s="260"/>
      <c r="AE182" s="261"/>
    </row>
    <row r="183" ht="21.25" customHeight="1">
      <c r="A183" t="s" s="10">
        <v>523</v>
      </c>
      <c r="B183" t="s" s="256">
        <v>959</v>
      </c>
      <c r="C183" s="257">
        <v>32</v>
      </c>
      <c r="D183" t="s" s="256">
        <v>967</v>
      </c>
      <c r="E183" s="119">
        <v>79.11</v>
      </c>
      <c r="F183" s="258">
        <v>18.0642889983873</v>
      </c>
      <c r="G183" s="259">
        <v>0.130566533964944</v>
      </c>
      <c r="H183" s="259">
        <v>0.449506783401986</v>
      </c>
      <c r="I183" s="259">
        <v>0.58007331736693</v>
      </c>
      <c r="J183" s="259">
        <v>1.55168194482776</v>
      </c>
      <c r="K183" s="259">
        <v>0.0149125232569489</v>
      </c>
      <c r="L183" s="259">
        <v>0.170558548598551</v>
      </c>
      <c r="M183" s="259">
        <v>0.0010222755501473</v>
      </c>
      <c r="N183" s="259">
        <v>0.008864843166573259</v>
      </c>
      <c r="O183" s="259">
        <v>0.716576683781463</v>
      </c>
      <c r="P183" s="259">
        <v>0.830624905590985</v>
      </c>
      <c r="Q183" s="259">
        <v>-0.120516293447326</v>
      </c>
      <c r="R183" s="259">
        <v>0.394671395228639</v>
      </c>
      <c r="S183" s="259">
        <v>0.0139458278029337</v>
      </c>
      <c r="T183" s="259">
        <v>5.555714648483</v>
      </c>
      <c r="U183" s="259">
        <v>6.47769877168448</v>
      </c>
      <c r="V183" s="259">
        <v>0.461690665357833</v>
      </c>
      <c r="W183" s="259"/>
      <c r="X183" s="119"/>
      <c r="Y183" s="258"/>
      <c r="Z183" s="258"/>
      <c r="AA183" s="258"/>
      <c r="AB183" s="258"/>
      <c r="AC183" s="258"/>
      <c r="AD183" s="260"/>
      <c r="AE183" s="261"/>
    </row>
    <row r="184" ht="21.25" customHeight="1">
      <c r="A184" t="s" s="10">
        <v>500</v>
      </c>
      <c r="B184" t="s" s="256">
        <v>935</v>
      </c>
      <c r="C184" s="257">
        <v>28</v>
      </c>
      <c r="D184" t="s" s="256">
        <v>917</v>
      </c>
      <c r="E184" s="119">
        <v>81.3925</v>
      </c>
      <c r="F184" s="258">
        <v>15.3673847424928</v>
      </c>
      <c r="G184" s="259">
        <v>0.226636520199582</v>
      </c>
      <c r="H184" s="259">
        <v>0.353016441002942</v>
      </c>
      <c r="I184" s="259">
        <v>0.579652961202524</v>
      </c>
      <c r="J184" s="259">
        <v>2.40155212848458</v>
      </c>
      <c r="K184" s="259">
        <v>0.0239743362558454</v>
      </c>
      <c r="L184" s="259">
        <v>0.101648734537064</v>
      </c>
      <c r="M184" s="259">
        <v>4.24989211625797e-05</v>
      </c>
      <c r="N184" s="259">
        <v>7.23598099939333e-05</v>
      </c>
      <c r="O184" s="259">
        <v>0.38389298829915</v>
      </c>
      <c r="P184" s="259">
        <v>0.690565163082591</v>
      </c>
      <c r="Q184" s="259">
        <v>0.09672703239720221</v>
      </c>
      <c r="R184" s="259">
        <v>0.323938096518628</v>
      </c>
      <c r="S184" s="259">
        <v>0.0387036712069977</v>
      </c>
      <c r="T184" s="259">
        <v>0.0377853911029574</v>
      </c>
      <c r="U184" s="259">
        <v>0.0969685291428224</v>
      </c>
      <c r="V184" s="259">
        <v>0.280402908012175</v>
      </c>
      <c r="W184" s="259"/>
      <c r="X184" s="119"/>
      <c r="Y184" s="258"/>
      <c r="Z184" s="258"/>
      <c r="AA184" s="258"/>
      <c r="AB184" s="258"/>
      <c r="AC184" s="258"/>
      <c r="AD184" s="260"/>
      <c r="AE184" s="261"/>
    </row>
    <row r="185" ht="21.25" customHeight="1">
      <c r="A185" t="s" s="10">
        <v>502</v>
      </c>
      <c r="B185" t="s" s="256">
        <v>958</v>
      </c>
      <c r="C185" s="257">
        <v>34</v>
      </c>
      <c r="D185" t="s" s="256">
        <v>965</v>
      </c>
      <c r="E185" s="119">
        <v>78.6575</v>
      </c>
      <c r="F185" s="258">
        <v>17.418181699659</v>
      </c>
      <c r="G185" s="259">
        <v>0.257158337725209</v>
      </c>
      <c r="H185" s="259">
        <v>0.321725675009978</v>
      </c>
      <c r="I185" s="259">
        <v>0.578884012735187</v>
      </c>
      <c r="J185" s="259">
        <v>1.94940891176387</v>
      </c>
      <c r="K185" s="259">
        <v>0.0411332258612519</v>
      </c>
      <c r="L185" s="259">
        <v>0.0887847958045518</v>
      </c>
      <c r="M185" s="259">
        <v>0.00480594658986432</v>
      </c>
      <c r="N185" s="259">
        <v>0.009513014548006271</v>
      </c>
      <c r="O185" s="259">
        <v>0.40413965072591</v>
      </c>
      <c r="P185" s="259">
        <v>0.96321416369183</v>
      </c>
      <c r="Q185" s="259">
        <v>-0.0766289976089473</v>
      </c>
      <c r="R185" s="259">
        <v>0.615022412977972</v>
      </c>
      <c r="S185" s="259">
        <v>0.0299742599517321</v>
      </c>
      <c r="T185" s="259">
        <v>0.145560103503328</v>
      </c>
      <c r="U185" s="259">
        <v>0.262854912857971</v>
      </c>
      <c r="V185" s="259">
        <v>0.356402428099166</v>
      </c>
      <c r="W185" s="259"/>
      <c r="X185" s="119"/>
      <c r="Y185" s="258"/>
      <c r="Z185" s="258"/>
      <c r="AA185" s="258"/>
      <c r="AB185" s="258"/>
      <c r="AC185" s="258"/>
      <c r="AD185" s="260"/>
      <c r="AE185" s="261"/>
    </row>
    <row r="186" ht="21.25" customHeight="1">
      <c r="A186" t="s" s="10">
        <v>389</v>
      </c>
      <c r="B186" t="s" s="256">
        <v>937</v>
      </c>
      <c r="C186" s="257">
        <v>23</v>
      </c>
      <c r="D186" t="s" s="256">
        <v>918</v>
      </c>
      <c r="E186" s="119">
        <v>74.77249999999999</v>
      </c>
      <c r="F186" s="258">
        <v>21.2810601806003</v>
      </c>
      <c r="G186" s="259">
        <v>0.158960788048912</v>
      </c>
      <c r="H186" s="259">
        <v>0.417655779169412</v>
      </c>
      <c r="I186" s="259">
        <v>0.576616567218324</v>
      </c>
      <c r="J186" s="259">
        <v>1.85151174553141</v>
      </c>
      <c r="K186" s="259">
        <v>0.0154539905703698</v>
      </c>
      <c r="L186" s="259">
        <v>0.129769258940278</v>
      </c>
      <c r="M186" s="259">
        <v>0.00764342249278876</v>
      </c>
      <c r="N186" s="259">
        <v>0.00925413972152608</v>
      </c>
      <c r="O186" s="259">
        <v>1.64044769978284</v>
      </c>
      <c r="P186" s="259">
        <v>0.92309799163988</v>
      </c>
      <c r="Q186" s="259">
        <v>0.101687872274695</v>
      </c>
      <c r="R186" s="259">
        <v>0.325266295852647</v>
      </c>
      <c r="S186" s="259">
        <v>0.0254208047658621</v>
      </c>
      <c r="T186" s="259">
        <v>0</v>
      </c>
      <c r="U186" s="259">
        <v>0</v>
      </c>
      <c r="V186" s="259">
        <v>0</v>
      </c>
      <c r="W186" s="259"/>
      <c r="X186" s="119"/>
      <c r="Y186" s="258"/>
      <c r="Z186" s="258"/>
      <c r="AA186" s="258"/>
      <c r="AB186" s="258"/>
      <c r="AC186" s="258"/>
      <c r="AD186" s="260"/>
      <c r="AE186" s="261"/>
    </row>
    <row r="187" ht="21.25" customHeight="1">
      <c r="A187" t="s" s="10">
        <v>351</v>
      </c>
      <c r="B187" t="s" s="256">
        <v>955</v>
      </c>
      <c r="C187" s="257">
        <v>30</v>
      </c>
      <c r="D187" t="s" s="256">
        <v>918</v>
      </c>
      <c r="E187" s="119">
        <v>78.815</v>
      </c>
      <c r="F187" s="258">
        <v>22.2986769906874</v>
      </c>
      <c r="G187" s="259">
        <v>0.142596986306599</v>
      </c>
      <c r="H187" s="259">
        <v>0.433593442357778</v>
      </c>
      <c r="I187" s="259">
        <v>0.576190428664377</v>
      </c>
      <c r="J187" s="259">
        <v>2.41185297540873</v>
      </c>
      <c r="K187" s="259">
        <v>0.0159679098673933</v>
      </c>
      <c r="L187" s="259">
        <v>0.179990645436357</v>
      </c>
      <c r="M187" s="259">
        <v>0.000305916789520332</v>
      </c>
      <c r="N187" s="259">
        <v>0.00151131421925667</v>
      </c>
      <c r="O187" s="259">
        <v>1.1635397152358</v>
      </c>
      <c r="P187" s="259">
        <v>1.3435965843916</v>
      </c>
      <c r="Q187" s="259">
        <v>0.008321391180882</v>
      </c>
      <c r="R187" s="259">
        <v>0.574815189904947</v>
      </c>
      <c r="S187" s="259">
        <v>0.0216530202410967</v>
      </c>
      <c r="T187" s="259">
        <v>0</v>
      </c>
      <c r="U187" s="259">
        <v>0</v>
      </c>
      <c r="V187" s="259">
        <v>0</v>
      </c>
      <c r="W187" s="259"/>
      <c r="X187" s="119"/>
      <c r="Y187" s="258"/>
      <c r="Z187" s="258"/>
      <c r="AA187" s="258"/>
      <c r="AB187" s="258"/>
      <c r="AC187" s="258"/>
      <c r="AD187" s="260"/>
      <c r="AE187" s="261"/>
    </row>
    <row r="188" ht="21.25" customHeight="1">
      <c r="A188" t="s" s="10">
        <v>445</v>
      </c>
      <c r="B188" t="s" s="256">
        <v>936</v>
      </c>
      <c r="C188" s="257">
        <v>33</v>
      </c>
      <c r="D188" t="s" s="256">
        <v>917</v>
      </c>
      <c r="E188" s="119">
        <v>77.0175</v>
      </c>
      <c r="F188" s="258">
        <v>17.0680207219104</v>
      </c>
      <c r="G188" s="259">
        <v>0.291236481772687</v>
      </c>
      <c r="H188" s="259">
        <v>0.283928606626269</v>
      </c>
      <c r="I188" s="259">
        <v>0.575165088398956</v>
      </c>
      <c r="J188" s="259">
        <v>2.48637003545792</v>
      </c>
      <c r="K188" s="259">
        <v>0.0801113902046476</v>
      </c>
      <c r="L188" s="259">
        <v>0.166371637710025</v>
      </c>
      <c r="M188" s="259">
        <v>0.00152391552303293</v>
      </c>
      <c r="N188" s="259">
        <v>0.00257168697422785</v>
      </c>
      <c r="O188" s="259">
        <v>0.471704010078082</v>
      </c>
      <c r="P188" s="259">
        <v>1.10798211874695</v>
      </c>
      <c r="Q188" s="259">
        <v>0.0454892653241191</v>
      </c>
      <c r="R188" s="259">
        <v>0.455778879929268</v>
      </c>
      <c r="S188" s="259">
        <v>0.0457704162564311</v>
      </c>
      <c r="T188" s="259">
        <v>0.166547408863135</v>
      </c>
      <c r="U188" s="259">
        <v>0.295421012507436</v>
      </c>
      <c r="V188" s="259">
        <v>0.360516869029752</v>
      </c>
      <c r="W188" s="259"/>
      <c r="X188" s="119"/>
      <c r="Y188" s="258"/>
      <c r="Z188" s="258"/>
      <c r="AA188" s="258"/>
      <c r="AB188" s="258"/>
      <c r="AC188" s="258"/>
      <c r="AD188" s="260"/>
      <c r="AE188" s="261"/>
    </row>
    <row r="189" ht="21.25" customHeight="1">
      <c r="A189" t="s" s="10">
        <v>644</v>
      </c>
      <c r="B189" t="s" s="256">
        <v>931</v>
      </c>
      <c r="C189" s="257">
        <v>24</v>
      </c>
      <c r="D189" t="s" s="256">
        <v>915</v>
      </c>
      <c r="E189" s="119">
        <v>66.65000000000001</v>
      </c>
      <c r="F189" s="258">
        <v>15.6686962623154</v>
      </c>
      <c r="G189" s="259">
        <v>0.23835227050463</v>
      </c>
      <c r="H189" s="259">
        <v>0.334186222783276</v>
      </c>
      <c r="I189" s="259">
        <v>0.572538493287906</v>
      </c>
      <c r="J189" s="259">
        <v>2.24733434519877</v>
      </c>
      <c r="K189" s="259">
        <v>0.0138681415763213</v>
      </c>
      <c r="L189" s="259">
        <v>0.0453860452119442</v>
      </c>
      <c r="M189" s="259">
        <v>0.00655712648596533</v>
      </c>
      <c r="N189" s="259">
        <v>0.0110638222338825</v>
      </c>
      <c r="O189" s="259">
        <v>0.519499648589237</v>
      </c>
      <c r="P189" s="259">
        <v>0.60681238014696</v>
      </c>
      <c r="Q189" s="259">
        <v>0.0507749564146624</v>
      </c>
      <c r="R189" s="259">
        <v>0.380610791759225</v>
      </c>
      <c r="S189" s="259">
        <v>0.038960657854595</v>
      </c>
      <c r="T189" s="259">
        <v>2.99186505560126</v>
      </c>
      <c r="U189" s="259">
        <v>4.24801700758142</v>
      </c>
      <c r="V189" s="259">
        <v>0.413247761426382</v>
      </c>
      <c r="W189" s="259"/>
      <c r="X189" s="119"/>
      <c r="Y189" s="258"/>
      <c r="Z189" s="258"/>
      <c r="AA189" s="258"/>
      <c r="AB189" s="258"/>
      <c r="AC189" s="258"/>
      <c r="AD189" s="260"/>
      <c r="AE189" s="261"/>
    </row>
    <row r="190" ht="21.25" customHeight="1">
      <c r="A190" t="s" s="10">
        <v>385</v>
      </c>
      <c r="B190" t="s" s="256">
        <v>950</v>
      </c>
      <c r="C190" s="257">
        <v>31</v>
      </c>
      <c r="D190" t="s" s="256">
        <v>915</v>
      </c>
      <c r="E190" s="119">
        <v>81.02</v>
      </c>
      <c r="F190" s="258">
        <v>17.8906338156749</v>
      </c>
      <c r="G190" s="259">
        <v>0.219547834230426</v>
      </c>
      <c r="H190" s="259">
        <v>0.350666539002368</v>
      </c>
      <c r="I190" s="259">
        <v>0.570214373232794</v>
      </c>
      <c r="J190" s="259">
        <v>2.02983943178127</v>
      </c>
      <c r="K190" s="259">
        <v>0.0284976667971493</v>
      </c>
      <c r="L190" s="259">
        <v>0.104280966398617</v>
      </c>
      <c r="M190" s="259">
        <v>0.00159733719827924</v>
      </c>
      <c r="N190" s="259">
        <v>0.0218399926948599</v>
      </c>
      <c r="O190" s="259">
        <v>0.783559341092917</v>
      </c>
      <c r="P190" s="259">
        <v>1.00348258056605</v>
      </c>
      <c r="Q190" s="259">
        <v>0.0474468022012774</v>
      </c>
      <c r="R190" s="259">
        <v>0.441910868749568</v>
      </c>
      <c r="S190" s="259">
        <v>0.0391259862620098</v>
      </c>
      <c r="T190" s="259">
        <v>7.93954215854629</v>
      </c>
      <c r="U190" s="259">
        <v>7.00664138430385</v>
      </c>
      <c r="V190" s="259">
        <v>0.531208661782048</v>
      </c>
      <c r="W190" s="259"/>
      <c r="X190" s="119"/>
      <c r="Y190" s="258"/>
      <c r="Z190" s="258"/>
      <c r="AA190" s="258"/>
      <c r="AB190" s="258"/>
      <c r="AC190" s="258"/>
      <c r="AD190" s="260"/>
      <c r="AE190" s="261"/>
    </row>
    <row r="191" ht="21.25" customHeight="1">
      <c r="A191" t="s" s="10">
        <v>618</v>
      </c>
      <c r="B191" t="s" s="256">
        <v>951</v>
      </c>
      <c r="C191" s="257">
        <v>22</v>
      </c>
      <c r="D191" t="s" s="256">
        <v>966</v>
      </c>
      <c r="E191" s="119">
        <v>68</v>
      </c>
      <c r="F191" s="258">
        <v>13.4208049335411</v>
      </c>
      <c r="G191" s="259">
        <v>0.274323667211376</v>
      </c>
      <c r="H191" s="259">
        <v>0.295264705096553</v>
      </c>
      <c r="I191" s="259">
        <v>0.569588372307929</v>
      </c>
      <c r="J191" s="259">
        <v>1.91409652140946</v>
      </c>
      <c r="K191" s="259">
        <v>0.0153199659911379</v>
      </c>
      <c r="L191" s="259">
        <v>0.0353365076574455</v>
      </c>
      <c r="M191" s="259">
        <v>0</v>
      </c>
      <c r="N191" s="259">
        <v>0</v>
      </c>
      <c r="O191" s="259">
        <v>0.528805001362461</v>
      </c>
      <c r="P191" s="259">
        <v>0.953729909887682</v>
      </c>
      <c r="Q191" s="259">
        <v>0.0209707126356698</v>
      </c>
      <c r="R191" s="259">
        <v>0.298222834375745</v>
      </c>
      <c r="S191" s="259">
        <v>0.0401416156654347</v>
      </c>
      <c r="T191" s="259">
        <v>0.495671625555514</v>
      </c>
      <c r="U191" s="259">
        <v>0.693940275777719</v>
      </c>
      <c r="V191" s="259">
        <v>0.416666666666667</v>
      </c>
      <c r="W191" s="259"/>
      <c r="X191" s="119"/>
      <c r="Y191" s="258"/>
      <c r="Z191" s="258"/>
      <c r="AA191" s="258"/>
      <c r="AB191" s="258"/>
      <c r="AC191" s="258"/>
      <c r="AD191" s="260"/>
      <c r="AE191" s="261"/>
    </row>
    <row r="192" ht="21.25" customHeight="1">
      <c r="A192" t="s" s="10">
        <v>495</v>
      </c>
      <c r="B192" t="s" s="256">
        <v>955</v>
      </c>
      <c r="C192" s="257">
        <v>29</v>
      </c>
      <c r="D192" t="s" s="256">
        <v>917</v>
      </c>
      <c r="E192" s="119">
        <v>81.6925</v>
      </c>
      <c r="F192" s="258">
        <v>15.3713986304154</v>
      </c>
      <c r="G192" s="259">
        <v>0.224272410318394</v>
      </c>
      <c r="H192" s="259">
        <v>0.344977957261247</v>
      </c>
      <c r="I192" s="259">
        <v>0.569250367579641</v>
      </c>
      <c r="J192" s="259">
        <v>2.16132556392103</v>
      </c>
      <c r="K192" s="259">
        <v>0.0610882708670225</v>
      </c>
      <c r="L192" s="259">
        <v>0.167324778080759</v>
      </c>
      <c r="M192" s="259">
        <v>1.8213120100529e-05</v>
      </c>
      <c r="N192" s="259">
        <v>3.10895175504386e-05</v>
      </c>
      <c r="O192" s="259">
        <v>0.388025889761152</v>
      </c>
      <c r="P192" s="259">
        <v>0.834584449727467</v>
      </c>
      <c r="Q192" s="259">
        <v>-0.0133802343304548</v>
      </c>
      <c r="R192" s="259">
        <v>0.208420021746193</v>
      </c>
      <c r="S192" s="259">
        <v>0.0340552431430943</v>
      </c>
      <c r="T192" s="259">
        <v>0.126695137346749</v>
      </c>
      <c r="U192" s="259">
        <v>0.239659544709759</v>
      </c>
      <c r="V192" s="259">
        <v>0.345826445114758</v>
      </c>
      <c r="W192" s="259"/>
      <c r="X192" s="119"/>
      <c r="Y192" s="258"/>
      <c r="Z192" s="258"/>
      <c r="AA192" s="258"/>
      <c r="AB192" s="258"/>
      <c r="AC192" s="258"/>
      <c r="AD192" s="260"/>
      <c r="AE192" s="261"/>
    </row>
    <row r="193" ht="21.25" customHeight="1">
      <c r="A193" t="s" s="10">
        <v>361</v>
      </c>
      <c r="B193" t="s" s="256">
        <v>930</v>
      </c>
      <c r="C193" s="257">
        <v>30</v>
      </c>
      <c r="D193" t="s" s="256">
        <v>918</v>
      </c>
      <c r="E193" s="119">
        <v>81.53749999999999</v>
      </c>
      <c r="F193" s="258">
        <v>21.785682637399</v>
      </c>
      <c r="G193" s="259">
        <v>0.16608308135679</v>
      </c>
      <c r="H193" s="259">
        <v>0.402789465651772</v>
      </c>
      <c r="I193" s="259">
        <v>0.568872547008562</v>
      </c>
      <c r="J193" s="259">
        <v>2.30933269644695</v>
      </c>
      <c r="K193" s="259">
        <v>0.035124378701117</v>
      </c>
      <c r="L193" s="259">
        <v>0.168267053703606</v>
      </c>
      <c r="M193" s="259">
        <v>0.00808827231529965</v>
      </c>
      <c r="N193" s="259">
        <v>0.0241531304930673</v>
      </c>
      <c r="O193" s="259">
        <v>1.15841060508235</v>
      </c>
      <c r="P193" s="259">
        <v>0.978181883539648</v>
      </c>
      <c r="Q193" s="259">
        <v>0.00308679549263321</v>
      </c>
      <c r="R193" s="259">
        <v>0.53857237231625</v>
      </c>
      <c r="S193" s="259">
        <v>0.0235161718474734</v>
      </c>
      <c r="T193" s="259">
        <v>0</v>
      </c>
      <c r="U193" s="259">
        <v>0</v>
      </c>
      <c r="V193" s="259">
        <v>0</v>
      </c>
      <c r="W193" s="259"/>
      <c r="X193" s="119"/>
      <c r="Y193" s="258"/>
      <c r="Z193" s="258"/>
      <c r="AA193" s="258"/>
      <c r="AB193" s="258"/>
      <c r="AC193" s="258"/>
      <c r="AD193" s="260"/>
      <c r="AE193" s="261"/>
    </row>
    <row r="194" ht="21.25" customHeight="1">
      <c r="A194" t="s" s="10">
        <v>380</v>
      </c>
      <c r="B194" t="s" s="256">
        <v>925</v>
      </c>
      <c r="C194" s="257">
        <v>30</v>
      </c>
      <c r="D194" t="s" s="256">
        <v>918</v>
      </c>
      <c r="E194" s="119">
        <v>80.155</v>
      </c>
      <c r="F194" s="258">
        <v>22.5662692963687</v>
      </c>
      <c r="G194" s="259">
        <v>0.115793625394502</v>
      </c>
      <c r="H194" s="259">
        <v>0.451638261735381</v>
      </c>
      <c r="I194" s="259">
        <v>0.567431887129883</v>
      </c>
      <c r="J194" s="259">
        <v>1.87173731496049</v>
      </c>
      <c r="K194" s="259">
        <v>0.00545792123731577</v>
      </c>
      <c r="L194" s="259">
        <v>0.0492467781059321</v>
      </c>
      <c r="M194" s="259">
        <v>0.000312582560507871</v>
      </c>
      <c r="N194" s="259">
        <v>0.00647657717851921</v>
      </c>
      <c r="O194" s="259">
        <v>1.44330187955273</v>
      </c>
      <c r="P194" s="259">
        <v>0.987316700936168</v>
      </c>
      <c r="Q194" s="259">
        <v>0.079983311713345</v>
      </c>
      <c r="R194" s="259">
        <v>0.299108195432201</v>
      </c>
      <c r="S194" s="259">
        <v>0.0173008013725648</v>
      </c>
      <c r="T194" s="259">
        <v>0</v>
      </c>
      <c r="U194" s="259">
        <v>0</v>
      </c>
      <c r="V194" s="259">
        <v>0</v>
      </c>
      <c r="W194" s="259"/>
      <c r="X194" s="119"/>
      <c r="Y194" s="258"/>
      <c r="Z194" s="258"/>
      <c r="AA194" s="258"/>
      <c r="AB194" s="258"/>
      <c r="AC194" s="258"/>
      <c r="AD194" s="260"/>
      <c r="AE194" s="261"/>
    </row>
    <row r="195" ht="21.25" customHeight="1">
      <c r="A195" t="s" s="10">
        <v>301</v>
      </c>
      <c r="B195" t="s" s="256">
        <v>958</v>
      </c>
      <c r="C195" s="257">
        <v>30</v>
      </c>
      <c r="D195" t="s" s="256">
        <v>965</v>
      </c>
      <c r="E195" s="119">
        <v>80.7925</v>
      </c>
      <c r="F195" s="258">
        <v>16.7122561895313</v>
      </c>
      <c r="G195" s="259">
        <v>0.32050968977673</v>
      </c>
      <c r="H195" s="259">
        <v>0.24577701170646</v>
      </c>
      <c r="I195" s="259">
        <v>0.56628670148319</v>
      </c>
      <c r="J195" s="259">
        <v>2.79045478188607</v>
      </c>
      <c r="K195" s="259">
        <v>0.08157568007769821</v>
      </c>
      <c r="L195" s="259">
        <v>0.136752267504933</v>
      </c>
      <c r="M195" s="259">
        <v>0.0169784794762268</v>
      </c>
      <c r="N195" s="259">
        <v>0.0262221900269788</v>
      </c>
      <c r="O195" s="259">
        <v>0.852595521152978</v>
      </c>
      <c r="P195" s="259">
        <v>1.4897917003279</v>
      </c>
      <c r="Q195" s="259">
        <v>-0.113330914669521</v>
      </c>
      <c r="R195" s="259">
        <v>0.649948724226589</v>
      </c>
      <c r="S195" s="259">
        <v>0.0373584649963108</v>
      </c>
      <c r="T195" s="259">
        <v>0.116574856570593</v>
      </c>
      <c r="U195" s="259">
        <v>0.185111624815899</v>
      </c>
      <c r="V195" s="259">
        <v>0.386410607577899</v>
      </c>
      <c r="W195" s="259"/>
      <c r="X195" s="119"/>
      <c r="Y195" s="258"/>
      <c r="Z195" s="258"/>
      <c r="AA195" s="258"/>
      <c r="AB195" s="258"/>
      <c r="AC195" s="258"/>
      <c r="AD195" s="260"/>
      <c r="AE195" s="261"/>
    </row>
    <row r="196" ht="21.25" customHeight="1">
      <c r="A196" t="s" s="10">
        <v>268</v>
      </c>
      <c r="B196" t="s" s="256">
        <v>939</v>
      </c>
      <c r="C196" s="257">
        <v>37</v>
      </c>
      <c r="D196" t="s" s="256">
        <v>918</v>
      </c>
      <c r="E196" s="119">
        <v>79.155</v>
      </c>
      <c r="F196" s="258">
        <v>24.7192504793146</v>
      </c>
      <c r="G196" s="259">
        <v>0.112067510870494</v>
      </c>
      <c r="H196" s="259">
        <v>0.449475358298496</v>
      </c>
      <c r="I196" s="259">
        <v>0.56154286916899</v>
      </c>
      <c r="J196" s="259">
        <v>2.09036944638793</v>
      </c>
      <c r="K196" s="259">
        <v>0.0174294525338698</v>
      </c>
      <c r="L196" s="259">
        <v>0.110068493766664</v>
      </c>
      <c r="M196" s="259">
        <v>0.00429949642104906</v>
      </c>
      <c r="N196" s="259">
        <v>0.00601317258286249</v>
      </c>
      <c r="O196" s="259">
        <v>1.75388277357777</v>
      </c>
      <c r="P196" s="259">
        <v>1.7576096448565</v>
      </c>
      <c r="Q196" s="259">
        <v>0.00601618030880178</v>
      </c>
      <c r="R196" s="259">
        <v>0.592690184065373</v>
      </c>
      <c r="S196" s="259">
        <v>0.016613213054871</v>
      </c>
      <c r="T196" s="259">
        <v>0</v>
      </c>
      <c r="U196" s="259">
        <v>3.41694694473911e-07</v>
      </c>
      <c r="V196" s="259">
        <v>0</v>
      </c>
      <c r="W196" s="259"/>
      <c r="X196" s="119"/>
      <c r="Y196" s="258"/>
      <c r="Z196" s="258"/>
      <c r="AA196" s="258"/>
      <c r="AB196" s="258"/>
      <c r="AC196" s="258"/>
      <c r="AD196" s="260"/>
      <c r="AE196" s="261"/>
    </row>
    <row r="197" ht="21.25" customHeight="1">
      <c r="A197" t="s" s="10">
        <v>677</v>
      </c>
      <c r="B197" t="s" s="256">
        <v>941</v>
      </c>
      <c r="C197" s="257">
        <v>23</v>
      </c>
      <c r="D197" t="s" s="256">
        <v>916</v>
      </c>
      <c r="E197" s="119">
        <v>64.63</v>
      </c>
      <c r="F197" s="258">
        <v>14.6131877009357</v>
      </c>
      <c r="G197" s="259">
        <v>0.303782927233608</v>
      </c>
      <c r="H197" s="259">
        <v>0.256848637684874</v>
      </c>
      <c r="I197" s="259">
        <v>0.560631564918482</v>
      </c>
      <c r="J197" s="259">
        <v>2.15684384913961</v>
      </c>
      <c r="K197" s="259">
        <v>0.009946890316086209</v>
      </c>
      <c r="L197" s="259">
        <v>0.0234364629145302</v>
      </c>
      <c r="M197" s="259">
        <v>3.98302086402045e-05</v>
      </c>
      <c r="N197" s="259">
        <v>6.754508658581421e-05</v>
      </c>
      <c r="O197" s="259">
        <v>0.539945510637648</v>
      </c>
      <c r="P197" s="259">
        <v>0.560217811261124</v>
      </c>
      <c r="Q197" s="259">
        <v>0.0506609402070383</v>
      </c>
      <c r="R197" s="259">
        <v>0.347838301614005</v>
      </c>
      <c r="S197" s="259">
        <v>0.0462057747962748</v>
      </c>
      <c r="T197" s="259">
        <v>0.03343658619891</v>
      </c>
      <c r="U197" s="259">
        <v>0.0570252527717969</v>
      </c>
      <c r="V197" s="259">
        <v>0.369620898484468</v>
      </c>
      <c r="W197" s="259"/>
      <c r="X197" s="119"/>
      <c r="Y197" s="258"/>
      <c r="Z197" s="258"/>
      <c r="AA197" s="258"/>
      <c r="AB197" s="258"/>
      <c r="AC197" s="258"/>
      <c r="AD197" s="260"/>
      <c r="AE197" s="261"/>
    </row>
    <row r="198" ht="21.25" customHeight="1">
      <c r="A198" t="s" s="10">
        <v>542</v>
      </c>
      <c r="B198" t="s" s="256">
        <v>929</v>
      </c>
      <c r="C198" s="257">
        <v>20</v>
      </c>
      <c r="D198" t="s" s="256">
        <v>918</v>
      </c>
      <c r="E198" s="119">
        <v>80.68000000000001</v>
      </c>
      <c r="F198" s="258">
        <v>20.6632501312081</v>
      </c>
      <c r="G198" s="259">
        <v>0.113493208530485</v>
      </c>
      <c r="H198" s="259">
        <v>0.443685891719987</v>
      </c>
      <c r="I198" s="259">
        <v>0.557179100250472</v>
      </c>
      <c r="J198" s="259">
        <v>1.57742705276056</v>
      </c>
      <c r="K198" s="259">
        <v>0.0397122845427238</v>
      </c>
      <c r="L198" s="259">
        <v>0.239072586352554</v>
      </c>
      <c r="M198" s="259">
        <v>7.7298471005827e-05</v>
      </c>
      <c r="N198" s="259">
        <v>0.000376998794344252</v>
      </c>
      <c r="O198" s="259">
        <v>0.88356154199823</v>
      </c>
      <c r="P198" s="259">
        <v>0.546213284461728</v>
      </c>
      <c r="Q198" s="259">
        <v>0.0288158458127417</v>
      </c>
      <c r="R198" s="259">
        <v>0.39666247944277</v>
      </c>
      <c r="S198" s="259">
        <v>0.0171234377696722</v>
      </c>
      <c r="T198" s="259">
        <v>0</v>
      </c>
      <c r="U198" s="259">
        <v>0</v>
      </c>
      <c r="V198" s="259">
        <v>0</v>
      </c>
      <c r="W198" s="259"/>
      <c r="X198" s="119"/>
      <c r="Y198" s="258"/>
      <c r="Z198" s="258"/>
      <c r="AA198" s="258"/>
      <c r="AB198" s="258"/>
      <c r="AC198" s="258"/>
      <c r="AD198" s="260"/>
      <c r="AE198" s="261"/>
    </row>
    <row r="199" ht="21.25" customHeight="1">
      <c r="A199" t="s" s="10">
        <v>477</v>
      </c>
      <c r="B199" t="s" s="256">
        <v>940</v>
      </c>
      <c r="C199" s="257">
        <v>25</v>
      </c>
      <c r="D199" t="s" s="256">
        <v>915</v>
      </c>
      <c r="E199" s="119">
        <v>67.59999999999999</v>
      </c>
      <c r="F199" s="258">
        <v>16.7821748279087</v>
      </c>
      <c r="G199" s="259">
        <v>0.297419104520686</v>
      </c>
      <c r="H199" s="259">
        <v>0.255889256537702</v>
      </c>
      <c r="I199" s="259">
        <v>0.553308361058388</v>
      </c>
      <c r="J199" s="259">
        <v>2.13233174276275</v>
      </c>
      <c r="K199" s="259">
        <v>0.0910402556084805</v>
      </c>
      <c r="L199" s="259">
        <v>0.181324724481841</v>
      </c>
      <c r="M199" s="259">
        <v>0.00231156766034664</v>
      </c>
      <c r="N199" s="259">
        <v>0.0140593414687619</v>
      </c>
      <c r="O199" s="259">
        <v>0.588552693342049</v>
      </c>
      <c r="P199" s="259">
        <v>1.48392150745032</v>
      </c>
      <c r="Q199" s="259">
        <v>-0.0278672821222615</v>
      </c>
      <c r="R199" s="259">
        <v>0.379326528053555</v>
      </c>
      <c r="S199" s="259">
        <v>0.0461785510032898</v>
      </c>
      <c r="T199" s="259">
        <v>6.41421361532307</v>
      </c>
      <c r="U199" s="259">
        <v>5.89939249880176</v>
      </c>
      <c r="V199" s="259">
        <v>0.520904563283487</v>
      </c>
      <c r="W199" s="259"/>
      <c r="X199" s="119"/>
      <c r="Y199" s="258"/>
      <c r="Z199" s="258"/>
      <c r="AA199" s="258"/>
      <c r="AB199" s="258"/>
      <c r="AC199" s="258"/>
      <c r="AD199" s="260"/>
      <c r="AE199" s="261"/>
    </row>
    <row r="200" ht="21.25" customHeight="1">
      <c r="A200" t="s" s="10">
        <v>440</v>
      </c>
      <c r="B200" t="s" s="256">
        <v>928</v>
      </c>
      <c r="C200" s="257">
        <v>26</v>
      </c>
      <c r="D200" t="s" s="256">
        <v>967</v>
      </c>
      <c r="E200" s="119">
        <v>78.2775</v>
      </c>
      <c r="F200" s="258">
        <v>15.4105303646322</v>
      </c>
      <c r="G200" s="259">
        <v>0.215960190944975</v>
      </c>
      <c r="H200" s="259">
        <v>0.335671580963994</v>
      </c>
      <c r="I200" s="259">
        <v>0.5516317719089689</v>
      </c>
      <c r="J200" s="259">
        <v>1.74181123428805</v>
      </c>
      <c r="K200" s="259">
        <v>0.0473097109288476</v>
      </c>
      <c r="L200" s="259">
        <v>0.131440589685768</v>
      </c>
      <c r="M200" s="259">
        <v>0.000145351955728816</v>
      </c>
      <c r="N200" s="259">
        <v>0.000245850000644056</v>
      </c>
      <c r="O200" s="259">
        <v>0.591584737313091</v>
      </c>
      <c r="P200" s="259">
        <v>1.50667915086809</v>
      </c>
      <c r="Q200" s="259">
        <v>0.0299341084108291</v>
      </c>
      <c r="R200" s="259">
        <v>0.401480289115564</v>
      </c>
      <c r="S200" s="259">
        <v>0.0336366026726457</v>
      </c>
      <c r="T200" s="259">
        <v>4.46338810955822</v>
      </c>
      <c r="U200" s="259">
        <v>4.95489526682058</v>
      </c>
      <c r="V200" s="259">
        <v>0.473906754680207</v>
      </c>
      <c r="W200" s="259"/>
      <c r="X200" s="119"/>
      <c r="Y200" s="258"/>
      <c r="Z200" s="258"/>
      <c r="AA200" s="258"/>
      <c r="AB200" s="258"/>
      <c r="AC200" s="258"/>
      <c r="AD200" s="260"/>
      <c r="AE200" s="261"/>
    </row>
    <row r="201" ht="21.25" customHeight="1">
      <c r="A201" t="s" s="10">
        <v>471</v>
      </c>
      <c r="B201" t="s" s="256">
        <v>944</v>
      </c>
      <c r="C201" s="257">
        <v>28</v>
      </c>
      <c r="D201" t="s" s="256">
        <v>916</v>
      </c>
      <c r="E201" s="119">
        <v>80.78749999999999</v>
      </c>
      <c r="F201" s="258">
        <v>16.8166595445281</v>
      </c>
      <c r="G201" s="259">
        <v>0.235153316839366</v>
      </c>
      <c r="H201" s="259">
        <v>0.315864376084582</v>
      </c>
      <c r="I201" s="259">
        <v>0.551017692923948</v>
      </c>
      <c r="J201" s="259">
        <v>1.98321022674724</v>
      </c>
      <c r="K201" s="259">
        <v>0.0450573725840273</v>
      </c>
      <c r="L201" s="259">
        <v>0.07925851492639301</v>
      </c>
      <c r="M201" s="259">
        <v>0.00773077640231434</v>
      </c>
      <c r="N201" s="259">
        <v>0.014541777914529</v>
      </c>
      <c r="O201" s="259">
        <v>0.420064892084595</v>
      </c>
      <c r="P201" s="259">
        <v>1.11771371321042</v>
      </c>
      <c r="Q201" s="259">
        <v>-0.0106208249432191</v>
      </c>
      <c r="R201" s="259">
        <v>0.458231323507186</v>
      </c>
      <c r="S201" s="259">
        <v>0.0333712033143622</v>
      </c>
      <c r="T201" s="259">
        <v>0.0973763441291447</v>
      </c>
      <c r="U201" s="259">
        <v>0.135347321489554</v>
      </c>
      <c r="V201" s="259">
        <v>0.418420463901978</v>
      </c>
      <c r="W201" s="259"/>
      <c r="X201" s="119"/>
      <c r="Y201" s="258"/>
      <c r="Z201" s="258"/>
      <c r="AA201" s="258"/>
      <c r="AB201" s="258"/>
      <c r="AC201" s="258"/>
      <c r="AD201" s="260"/>
      <c r="AE201" s="261"/>
    </row>
    <row r="202" ht="21.25" customHeight="1">
      <c r="A202" t="s" s="10">
        <v>539</v>
      </c>
      <c r="B202" t="s" s="256">
        <v>952</v>
      </c>
      <c r="C202" s="257">
        <v>24</v>
      </c>
      <c r="D202" t="s" s="256">
        <v>917</v>
      </c>
      <c r="E202" s="119">
        <v>75.8575</v>
      </c>
      <c r="F202" s="258">
        <v>16.0057062782688</v>
      </c>
      <c r="G202" s="259">
        <v>0.313527566739061</v>
      </c>
      <c r="H202" s="259">
        <v>0.231830649970724</v>
      </c>
      <c r="I202" s="259">
        <v>0.545358216709785</v>
      </c>
      <c r="J202" s="259">
        <v>2.29352262808598</v>
      </c>
      <c r="K202" s="259">
        <v>0.092748268297197</v>
      </c>
      <c r="L202" s="259">
        <v>0.138366870780729</v>
      </c>
      <c r="M202" s="259">
        <v>0.000521488886445969</v>
      </c>
      <c r="N202" s="259">
        <v>0.000886599600783629</v>
      </c>
      <c r="O202" s="259">
        <v>0.534769701252552</v>
      </c>
      <c r="P202" s="259">
        <v>0.677813847262551</v>
      </c>
      <c r="Q202" s="259">
        <v>-0.0832705295345013</v>
      </c>
      <c r="R202" s="259">
        <v>0.262186885709557</v>
      </c>
      <c r="S202" s="259">
        <v>0.0346712419027169</v>
      </c>
      <c r="T202" s="259">
        <v>0.373071692959798</v>
      </c>
      <c r="U202" s="259">
        <v>0.518742294188798</v>
      </c>
      <c r="V202" s="259">
        <v>0.418329044325289</v>
      </c>
      <c r="W202" s="259"/>
      <c r="X202" s="119"/>
      <c r="Y202" s="258"/>
      <c r="Z202" s="258"/>
      <c r="AA202" s="258"/>
      <c r="AB202" s="258"/>
      <c r="AC202" s="258"/>
      <c r="AD202" s="260"/>
      <c r="AE202" s="261"/>
    </row>
    <row r="203" ht="21.25" customHeight="1">
      <c r="A203" t="s" s="10">
        <v>574</v>
      </c>
      <c r="B203" t="s" s="256">
        <v>955</v>
      </c>
      <c r="C203" s="257">
        <v>20</v>
      </c>
      <c r="D203" t="s" s="256">
        <v>915</v>
      </c>
      <c r="E203" s="119">
        <v>75</v>
      </c>
      <c r="F203" s="258">
        <v>14.0459177536868</v>
      </c>
      <c r="G203" s="259">
        <v>0.280956780915973</v>
      </c>
      <c r="H203" s="259">
        <v>0.264009727241492</v>
      </c>
      <c r="I203" s="259">
        <v>0.5449665081574649</v>
      </c>
      <c r="J203" s="259">
        <v>1.67125293326563</v>
      </c>
      <c r="K203" s="259">
        <v>0.0356873205762682</v>
      </c>
      <c r="L203" s="259">
        <v>0.114961990020686</v>
      </c>
      <c r="M203" s="259">
        <v>5.81792398096826e-05</v>
      </c>
      <c r="N203" s="259">
        <v>9.89074873644612e-05</v>
      </c>
      <c r="O203" s="259">
        <v>0.587722486804602</v>
      </c>
      <c r="P203" s="259">
        <v>0.768515603010983</v>
      </c>
      <c r="Q203" s="259">
        <v>0.00326051849665052</v>
      </c>
      <c r="R203" s="259">
        <v>0.331347053006028</v>
      </c>
      <c r="S203" s="259">
        <v>0.0426626327920185</v>
      </c>
      <c r="T203" s="259">
        <v>4.45122264575259</v>
      </c>
      <c r="U203" s="259">
        <v>5.58822120772357</v>
      </c>
      <c r="V203" s="259">
        <v>0.44337342891871</v>
      </c>
      <c r="W203" s="259"/>
      <c r="X203" s="119"/>
      <c r="Y203" s="258"/>
      <c r="Z203" s="258"/>
      <c r="AA203" s="258"/>
      <c r="AB203" s="258"/>
      <c r="AC203" s="258"/>
      <c r="AD203" s="260"/>
      <c r="AE203" s="261"/>
    </row>
    <row r="204" ht="21.25" customHeight="1">
      <c r="A204" t="s" s="10">
        <v>608</v>
      </c>
      <c r="B204" t="s" s="256">
        <v>941</v>
      </c>
      <c r="C204" s="257">
        <v>22</v>
      </c>
      <c r="D204" t="s" s="256">
        <v>917</v>
      </c>
      <c r="E204" s="119">
        <v>76.86750000000001</v>
      </c>
      <c r="F204" s="258">
        <v>15.0991819239659</v>
      </c>
      <c r="G204" s="259">
        <v>0.282299072354904</v>
      </c>
      <c r="H204" s="259">
        <v>0.261026557031427</v>
      </c>
      <c r="I204" s="259">
        <v>0.543325629386331</v>
      </c>
      <c r="J204" s="259">
        <v>1.92233451817101</v>
      </c>
      <c r="K204" s="259">
        <v>0.021148468554406</v>
      </c>
      <c r="L204" s="259">
        <v>0.0400500440016103</v>
      </c>
      <c r="M204" s="259">
        <v>2.06450666480861e-05</v>
      </c>
      <c r="N204" s="259">
        <v>3.50341664574305e-05</v>
      </c>
      <c r="O204" s="259">
        <v>0.322494864387022</v>
      </c>
      <c r="P204" s="259">
        <v>0.752772003628274</v>
      </c>
      <c r="Q204" s="259">
        <v>0.008258157590183781</v>
      </c>
      <c r="R204" s="259">
        <v>0.3085647387646</v>
      </c>
      <c r="S204" s="259">
        <v>0.0429380527773942</v>
      </c>
      <c r="T204" s="259">
        <v>0.0959663306738282</v>
      </c>
      <c r="U204" s="259">
        <v>0.30492759849145</v>
      </c>
      <c r="V204" s="259">
        <v>0.239380852869597</v>
      </c>
      <c r="W204" s="259"/>
      <c r="X204" s="119"/>
      <c r="Y204" s="258"/>
      <c r="Z204" s="258"/>
      <c r="AA204" s="258"/>
      <c r="AB204" s="258"/>
      <c r="AC204" s="258"/>
      <c r="AD204" s="260"/>
      <c r="AE204" s="261"/>
    </row>
    <row r="205" ht="21.25" customHeight="1">
      <c r="A205" t="s" s="10">
        <v>525</v>
      </c>
      <c r="B205" t="s" s="256">
        <v>956</v>
      </c>
      <c r="C205" s="257">
        <v>24</v>
      </c>
      <c r="D205" t="s" s="256">
        <v>966</v>
      </c>
      <c r="E205" s="119">
        <v>80.13</v>
      </c>
      <c r="F205" s="258">
        <v>15.378085962399</v>
      </c>
      <c r="G205" s="259">
        <v>0.231684018712362</v>
      </c>
      <c r="H205" s="259">
        <v>0.311619244551013</v>
      </c>
      <c r="I205" s="259">
        <v>0.543303263263375</v>
      </c>
      <c r="J205" s="259">
        <v>1.95328168502585</v>
      </c>
      <c r="K205" s="259">
        <v>0.018663381390635</v>
      </c>
      <c r="L205" s="259">
        <v>0.0631959236318356</v>
      </c>
      <c r="M205" s="259">
        <v>0.000278146237716312</v>
      </c>
      <c r="N205" s="259">
        <v>0.000355373672876239</v>
      </c>
      <c r="O205" s="259">
        <v>0.545397679616402</v>
      </c>
      <c r="P205" s="259">
        <v>0.832603703478393</v>
      </c>
      <c r="Q205" s="259">
        <v>-0.0340161269690711</v>
      </c>
      <c r="R205" s="259">
        <v>0.41183831320676</v>
      </c>
      <c r="S205" s="259">
        <v>0.0335824889270941</v>
      </c>
      <c r="T205" s="259">
        <v>0.346303931876776</v>
      </c>
      <c r="U205" s="259">
        <v>0.644624774922173</v>
      </c>
      <c r="V205" s="259">
        <v>0.349474114031332</v>
      </c>
      <c r="W205" s="259"/>
      <c r="X205" s="119"/>
      <c r="Y205" s="258"/>
      <c r="Z205" s="258"/>
      <c r="AA205" s="258"/>
      <c r="AB205" s="258"/>
      <c r="AC205" s="258"/>
      <c r="AD205" s="260"/>
      <c r="AE205" s="261"/>
    </row>
    <row r="206" ht="21.25" customHeight="1">
      <c r="A206" t="s" s="10">
        <v>537</v>
      </c>
      <c r="B206" t="s" s="256">
        <v>932</v>
      </c>
      <c r="C206" s="257">
        <v>22</v>
      </c>
      <c r="D206" t="s" s="256">
        <v>967</v>
      </c>
      <c r="E206" s="119">
        <v>78.38249999999999</v>
      </c>
      <c r="F206" s="258">
        <v>16.2135100108219</v>
      </c>
      <c r="G206" s="259">
        <v>0.206225408280297</v>
      </c>
      <c r="H206" s="259">
        <v>0.334945894221734</v>
      </c>
      <c r="I206" s="259">
        <v>0.541171302502031</v>
      </c>
      <c r="J206" s="259">
        <v>2.20387126000787</v>
      </c>
      <c r="K206" s="259">
        <v>0.0203739206798961</v>
      </c>
      <c r="L206" s="259">
        <v>0.0928858368180923</v>
      </c>
      <c r="M206" s="259">
        <v>0.00727123804602038</v>
      </c>
      <c r="N206" s="259">
        <v>0.0165176404412331</v>
      </c>
      <c r="O206" s="259">
        <v>0.508265584004887</v>
      </c>
      <c r="P206" s="259">
        <v>0.699243029708945</v>
      </c>
      <c r="Q206" s="259">
        <v>0.06424584376158241</v>
      </c>
      <c r="R206" s="259">
        <v>0.464933549971918</v>
      </c>
      <c r="S206" s="259">
        <v>0.0351329174378176</v>
      </c>
      <c r="T206" s="259">
        <v>5.60319858301037</v>
      </c>
      <c r="U206" s="259">
        <v>5.66568885049853</v>
      </c>
      <c r="V206" s="259">
        <v>0.497227309800685</v>
      </c>
      <c r="W206" s="259"/>
      <c r="X206" s="119"/>
      <c r="Y206" s="258"/>
      <c r="Z206" s="258"/>
      <c r="AA206" s="258"/>
      <c r="AB206" s="258"/>
      <c r="AC206" s="258"/>
      <c r="AD206" s="260"/>
      <c r="AE206" s="261"/>
    </row>
    <row r="207" ht="21.25" customHeight="1">
      <c r="A207" t="s" s="10">
        <v>553</v>
      </c>
      <c r="B207" t="s" s="256">
        <v>942</v>
      </c>
      <c r="C207" s="257">
        <v>29</v>
      </c>
      <c r="D207" t="s" s="256">
        <v>58</v>
      </c>
      <c r="E207" s="119">
        <v>79.9425</v>
      </c>
      <c r="F207" s="258">
        <v>17.8902432730235</v>
      </c>
      <c r="G207" s="259">
        <v>0.209742179042848</v>
      </c>
      <c r="H207" s="259">
        <v>0.329794267825507</v>
      </c>
      <c r="I207" s="259">
        <v>0.539536446868355</v>
      </c>
      <c r="J207" s="259">
        <v>1.43756804697172</v>
      </c>
      <c r="K207" s="259">
        <v>0.0437673063384784</v>
      </c>
      <c r="L207" s="259">
        <v>0.0987396954219686</v>
      </c>
      <c r="M207" s="259">
        <v>0.0144738042444622</v>
      </c>
      <c r="N207" s="259">
        <v>0.0157571588148369</v>
      </c>
      <c r="O207" s="259">
        <v>0.760536559480794</v>
      </c>
      <c r="P207" s="259">
        <v>0.593731762168366</v>
      </c>
      <c r="Q207" s="259">
        <v>-0.0348983219451593</v>
      </c>
      <c r="R207" s="259">
        <v>0.355981770232807</v>
      </c>
      <c r="S207" s="259">
        <v>0.0288065498590402</v>
      </c>
      <c r="T207" s="259">
        <v>6.22766536317423</v>
      </c>
      <c r="U207" s="259">
        <v>6.85468924659649</v>
      </c>
      <c r="V207" s="259">
        <v>0.476035511109217</v>
      </c>
      <c r="W207" s="259"/>
      <c r="X207" s="119"/>
      <c r="Y207" s="258"/>
      <c r="Z207" s="258"/>
      <c r="AA207" s="258"/>
      <c r="AB207" s="258"/>
      <c r="AC207" s="258"/>
      <c r="AD207" s="260"/>
      <c r="AE207" s="261"/>
    </row>
    <row r="208" ht="21.25" customHeight="1">
      <c r="A208" t="s" s="10">
        <v>628</v>
      </c>
      <c r="B208" t="s" s="256">
        <v>934</v>
      </c>
      <c r="C208" s="257">
        <v>19</v>
      </c>
      <c r="D208" t="s" s="256">
        <v>916</v>
      </c>
      <c r="E208" s="119">
        <v>77.465</v>
      </c>
      <c r="F208" s="258">
        <v>15.2010056811215</v>
      </c>
      <c r="G208" s="259">
        <v>0.209691320728819</v>
      </c>
      <c r="H208" s="259">
        <v>0.329643123855231</v>
      </c>
      <c r="I208" s="259">
        <v>0.53933444458405</v>
      </c>
      <c r="J208" s="259">
        <v>1.58887130636285</v>
      </c>
      <c r="K208" s="259">
        <v>0.0182567754343269</v>
      </c>
      <c r="L208" s="259">
        <v>0.06971434817315129</v>
      </c>
      <c r="M208" s="259">
        <v>0.00150261942041195</v>
      </c>
      <c r="N208" s="259">
        <v>0.00250335719897095</v>
      </c>
      <c r="O208" s="259">
        <v>0.498716278673991</v>
      </c>
      <c r="P208" s="259">
        <v>0.630717542584185</v>
      </c>
      <c r="Q208" s="259">
        <v>-0.00664528192866101</v>
      </c>
      <c r="R208" s="259">
        <v>0.485809651983769</v>
      </c>
      <c r="S208" s="259">
        <v>0.0296619771724447</v>
      </c>
      <c r="T208" s="259">
        <v>0.0737390280729268</v>
      </c>
      <c r="U208" s="259">
        <v>0.176973667375024</v>
      </c>
      <c r="V208" s="259">
        <v>0.294117647058824</v>
      </c>
      <c r="W208" s="259"/>
      <c r="X208" s="119"/>
      <c r="Y208" s="258"/>
      <c r="Z208" s="258"/>
      <c r="AA208" s="258"/>
      <c r="AB208" s="258"/>
      <c r="AC208" s="258"/>
      <c r="AD208" s="260"/>
      <c r="AE208" s="261"/>
    </row>
    <row r="209" ht="21.25" customHeight="1">
      <c r="A209" t="s" s="10">
        <v>340</v>
      </c>
      <c r="B209" t="s" s="256">
        <v>932</v>
      </c>
      <c r="C209" s="257">
        <v>28</v>
      </c>
      <c r="D209" t="s" s="256">
        <v>918</v>
      </c>
      <c r="E209" s="119">
        <v>80.39749999999999</v>
      </c>
      <c r="F209" s="258">
        <v>23.6984527524087</v>
      </c>
      <c r="G209" s="259">
        <v>0.147034924665386</v>
      </c>
      <c r="H209" s="259">
        <v>0.391886703773069</v>
      </c>
      <c r="I209" s="259">
        <v>0.538921628438455</v>
      </c>
      <c r="J209" s="259">
        <v>2.31313555184951</v>
      </c>
      <c r="K209" s="259">
        <v>0.0142181244702385</v>
      </c>
      <c r="L209" s="259">
        <v>0.0536913493859036</v>
      </c>
      <c r="M209" s="259">
        <v>0.000337368381402439</v>
      </c>
      <c r="N209" s="259">
        <v>0.00769684477166841</v>
      </c>
      <c r="O209" s="259">
        <v>1.41545805321015</v>
      </c>
      <c r="P209" s="259">
        <v>1.22800344443878</v>
      </c>
      <c r="Q209" s="259">
        <v>0.104600701771734</v>
      </c>
      <c r="R209" s="259">
        <v>0.468130362501405</v>
      </c>
      <c r="S209" s="259">
        <v>0.0250491242171456</v>
      </c>
      <c r="T209" s="259">
        <v>0</v>
      </c>
      <c r="U209" s="259">
        <v>0</v>
      </c>
      <c r="V209" s="259">
        <v>0</v>
      </c>
      <c r="W209" s="259"/>
      <c r="X209" s="119"/>
      <c r="Y209" s="259"/>
      <c r="Z209" s="259"/>
      <c r="AA209" s="259"/>
      <c r="AB209" s="259"/>
      <c r="AC209" s="258"/>
      <c r="AD209" s="260"/>
      <c r="AE209" s="261"/>
    </row>
    <row r="210" ht="21.25" customHeight="1">
      <c r="A210" t="s" s="10">
        <v>319</v>
      </c>
      <c r="B210" t="s" s="256">
        <v>945</v>
      </c>
      <c r="C210" s="257">
        <v>27</v>
      </c>
      <c r="D210" t="s" s="256">
        <v>918</v>
      </c>
      <c r="E210" s="119">
        <v>80.9075</v>
      </c>
      <c r="F210" s="258">
        <v>23.668466175428</v>
      </c>
      <c r="G210" s="259">
        <v>0.105672268918114</v>
      </c>
      <c r="H210" s="259">
        <v>0.43296056370239</v>
      </c>
      <c r="I210" s="259">
        <v>0.538632832620504</v>
      </c>
      <c r="J210" s="259">
        <v>1.953574842473</v>
      </c>
      <c r="K210" s="259">
        <v>0.00893778417478793</v>
      </c>
      <c r="L210" s="259">
        <v>0.145890877186505</v>
      </c>
      <c r="M210" s="259">
        <v>0.009486758215120759</v>
      </c>
      <c r="N210" s="259">
        <v>0.0162125607749216</v>
      </c>
      <c r="O210" s="259">
        <v>2.08273668162278</v>
      </c>
      <c r="P210" s="259">
        <v>0.722037073947067</v>
      </c>
      <c r="Q210" s="259">
        <v>-0.0411844787018088</v>
      </c>
      <c r="R210" s="259">
        <v>0.437639317481998</v>
      </c>
      <c r="S210" s="259">
        <v>0.0153524664948468</v>
      </c>
      <c r="T210" s="259">
        <v>0</v>
      </c>
      <c r="U210" s="259">
        <v>0</v>
      </c>
      <c r="V210" s="259">
        <v>0</v>
      </c>
      <c r="W210" s="259"/>
      <c r="X210" s="119"/>
      <c r="Y210" s="258"/>
      <c r="Z210" s="258"/>
      <c r="AA210" s="258"/>
      <c r="AB210" s="258"/>
      <c r="AC210" s="258"/>
      <c r="AD210" s="260"/>
      <c r="AE210" s="261"/>
    </row>
    <row r="211" ht="21.25" customHeight="1">
      <c r="A211" t="s" s="10">
        <v>634</v>
      </c>
      <c r="B211" t="s" s="256">
        <v>926</v>
      </c>
      <c r="C211" s="257">
        <v>29</v>
      </c>
      <c r="D211" t="s" s="256">
        <v>915</v>
      </c>
      <c r="E211" s="119">
        <v>80.40000000000001</v>
      </c>
      <c r="F211" s="258">
        <v>13.8472023177915</v>
      </c>
      <c r="G211" s="259">
        <v>0.146036318874277</v>
      </c>
      <c r="H211" s="259">
        <v>0.388997352432675</v>
      </c>
      <c r="I211" s="259">
        <v>0.535033671306952</v>
      </c>
      <c r="J211" s="259">
        <v>1.67390102813462</v>
      </c>
      <c r="K211" s="259">
        <v>0.0250262010210517</v>
      </c>
      <c r="L211" s="259">
        <v>0.0673806553011795</v>
      </c>
      <c r="M211" s="259">
        <v>2.7844019374961e-05</v>
      </c>
      <c r="N211" s="259">
        <v>4.84469929224993e-05</v>
      </c>
      <c r="O211" s="259">
        <v>0.281495920728513</v>
      </c>
      <c r="P211" s="259">
        <v>0.6299185597993</v>
      </c>
      <c r="Q211" s="259">
        <v>0.08066179746822209</v>
      </c>
      <c r="R211" s="259">
        <v>0.705350766444844</v>
      </c>
      <c r="S211" s="259">
        <v>0.0233631932310444</v>
      </c>
      <c r="T211" s="259">
        <v>2.93059840397631</v>
      </c>
      <c r="U211" s="259">
        <v>2.86803900937886</v>
      </c>
      <c r="V211" s="259">
        <v>0.505394318538814</v>
      </c>
      <c r="W211" s="259"/>
      <c r="X211" s="119"/>
      <c r="Y211" s="258"/>
      <c r="Z211" s="258"/>
      <c r="AA211" s="258"/>
      <c r="AB211" s="258"/>
      <c r="AC211" s="258"/>
      <c r="AD211" s="260"/>
      <c r="AE211" s="261"/>
    </row>
    <row r="212" ht="21.25" customHeight="1">
      <c r="A212" t="s" s="10">
        <v>416</v>
      </c>
      <c r="B212" t="s" s="256">
        <v>935</v>
      </c>
      <c r="C212" s="257">
        <v>26</v>
      </c>
      <c r="D212" t="s" s="256">
        <v>918</v>
      </c>
      <c r="E212" s="119">
        <v>78.97750000000001</v>
      </c>
      <c r="F212" s="258">
        <v>22.4880497134729</v>
      </c>
      <c r="G212" s="259">
        <v>0.08238907626723389</v>
      </c>
      <c r="H212" s="259">
        <v>0.452518380224405</v>
      </c>
      <c r="I212" s="259">
        <v>0.534907456491639</v>
      </c>
      <c r="J212" s="259">
        <v>1.79684616745439</v>
      </c>
      <c r="K212" s="259">
        <v>0.0203655679210182</v>
      </c>
      <c r="L212" s="259">
        <v>0.093269221151</v>
      </c>
      <c r="M212" s="259">
        <v>0.000247531824989824</v>
      </c>
      <c r="N212" s="259">
        <v>0.001218042176517</v>
      </c>
      <c r="O212" s="259">
        <v>1.15849438494044</v>
      </c>
      <c r="P212" s="259">
        <v>1.27605389238971</v>
      </c>
      <c r="Q212" s="259">
        <v>0.0802015160477762</v>
      </c>
      <c r="R212" s="259">
        <v>0.454107615450779</v>
      </c>
      <c r="S212" s="259">
        <v>0.0140699288715127</v>
      </c>
      <c r="T212" s="259">
        <v>0</v>
      </c>
      <c r="U212" s="259">
        <v>0</v>
      </c>
      <c r="V212" s="259">
        <v>0</v>
      </c>
      <c r="W212" s="259"/>
      <c r="X212" s="119"/>
      <c r="Y212" s="258"/>
      <c r="Z212" s="258"/>
      <c r="AA212" s="258"/>
      <c r="AB212" s="258"/>
      <c r="AC212" s="258"/>
      <c r="AD212" s="260"/>
      <c r="AE212" s="261"/>
    </row>
    <row r="213" ht="21.25" customHeight="1">
      <c r="A213" t="s" s="10">
        <v>443</v>
      </c>
      <c r="B213" t="s" s="256">
        <v>956</v>
      </c>
      <c r="C213" s="257">
        <v>22</v>
      </c>
      <c r="D213" t="s" s="256">
        <v>967</v>
      </c>
      <c r="E213" s="119">
        <v>78.605</v>
      </c>
      <c r="F213" s="258">
        <v>16.7339209675889</v>
      </c>
      <c r="G213" s="259">
        <v>0.280227499402301</v>
      </c>
      <c r="H213" s="259">
        <v>0.254262562285262</v>
      </c>
      <c r="I213" s="259">
        <v>0.534490061687563</v>
      </c>
      <c r="J213" s="259">
        <v>2.09434296765062</v>
      </c>
      <c r="K213" s="259">
        <v>0.0277001988278849</v>
      </c>
      <c r="L213" s="259">
        <v>0.082994107174483</v>
      </c>
      <c r="M213" s="259">
        <v>0.000784271557444589</v>
      </c>
      <c r="N213" s="259">
        <v>0.000896344659454132</v>
      </c>
      <c r="O213" s="259">
        <v>0.6309484595143851</v>
      </c>
      <c r="P213" s="259">
        <v>1.20893950065119</v>
      </c>
      <c r="Q213" s="259">
        <v>-0.009736948758637041</v>
      </c>
      <c r="R213" s="259">
        <v>0.444203508059702</v>
      </c>
      <c r="S213" s="259">
        <v>0.0406188434923021</v>
      </c>
      <c r="T213" s="259">
        <v>0.0113924967715746</v>
      </c>
      <c r="U213" s="259">
        <v>0.0256080414926527</v>
      </c>
      <c r="V213" s="259">
        <v>0.307900838907229</v>
      </c>
      <c r="W213" s="259"/>
      <c r="X213" s="119"/>
      <c r="Y213" s="258"/>
      <c r="Z213" s="258"/>
      <c r="AA213" s="258"/>
      <c r="AB213" s="258"/>
      <c r="AC213" s="258"/>
      <c r="AD213" s="260"/>
      <c r="AE213" s="261"/>
    </row>
    <row r="214" ht="21.25" customHeight="1">
      <c r="A214" t="s" s="10">
        <v>625</v>
      </c>
      <c r="B214" t="s" s="256">
        <v>954</v>
      </c>
      <c r="C214" s="257">
        <v>23</v>
      </c>
      <c r="D214" t="s" s="256">
        <v>915</v>
      </c>
      <c r="E214" s="119">
        <v>76.1375</v>
      </c>
      <c r="F214" s="258">
        <v>15.5547822471731</v>
      </c>
      <c r="G214" s="259">
        <v>0.235226749964252</v>
      </c>
      <c r="H214" s="259">
        <v>0.297181108300148</v>
      </c>
      <c r="I214" s="259">
        <v>0.5324078582644</v>
      </c>
      <c r="J214" s="259">
        <v>1.55905548692234</v>
      </c>
      <c r="K214" s="259">
        <v>0.0257742834998318</v>
      </c>
      <c r="L214" s="259">
        <v>0.0760309452213233</v>
      </c>
      <c r="M214" s="259">
        <v>0.000133251718509935</v>
      </c>
      <c r="N214" s="259">
        <v>0.000224813965354603</v>
      </c>
      <c r="O214" s="259">
        <v>0.486801803080744</v>
      </c>
      <c r="P214" s="259">
        <v>0.745044769025933</v>
      </c>
      <c r="Q214" s="259">
        <v>-0.0512131957790322</v>
      </c>
      <c r="R214" s="259">
        <v>0.321618550603058</v>
      </c>
      <c r="S214" s="259">
        <v>0.0272630796856646</v>
      </c>
      <c r="T214" s="259">
        <v>3.22064993606077</v>
      </c>
      <c r="U214" s="259">
        <v>4.48680770051273</v>
      </c>
      <c r="V214" s="259">
        <v>0.417861516458827</v>
      </c>
      <c r="W214" s="259"/>
      <c r="X214" s="119"/>
      <c r="Y214" s="258"/>
      <c r="Z214" s="258"/>
      <c r="AA214" s="258"/>
      <c r="AB214" s="258"/>
      <c r="AC214" s="258"/>
      <c r="AD214" s="260"/>
      <c r="AE214" s="261"/>
    </row>
    <row r="215" ht="21.25" customHeight="1">
      <c r="A215" t="s" s="10">
        <v>590</v>
      </c>
      <c r="B215" t="s" s="256">
        <v>935</v>
      </c>
      <c r="C215" s="257">
        <v>23</v>
      </c>
      <c r="D215" t="s" s="256">
        <v>916</v>
      </c>
      <c r="E215" s="119">
        <v>71.6375</v>
      </c>
      <c r="F215" s="258">
        <v>14.2805132075785</v>
      </c>
      <c r="G215" s="259">
        <v>0.297212952919856</v>
      </c>
      <c r="H215" s="259">
        <v>0.233691452786162</v>
      </c>
      <c r="I215" s="259">
        <v>0.530904405706018</v>
      </c>
      <c r="J215" s="259">
        <v>1.85671192636485</v>
      </c>
      <c r="K215" s="259">
        <v>0.0157965029088333</v>
      </c>
      <c r="L215" s="259">
        <v>0.0391040378445383</v>
      </c>
      <c r="M215" s="259">
        <v>3.47108375767161e-05</v>
      </c>
      <c r="N215" s="259">
        <v>5.89675858677545e-05</v>
      </c>
      <c r="O215" s="259">
        <v>0.312698234931473</v>
      </c>
      <c r="P215" s="259">
        <v>1.27482895285751</v>
      </c>
      <c r="Q215" s="259">
        <v>0.0868443530843712</v>
      </c>
      <c r="R215" s="259">
        <v>0.495791551823578</v>
      </c>
      <c r="S215" s="259">
        <v>0.0507563052862837</v>
      </c>
      <c r="T215" s="259">
        <v>0.0005503882263042</v>
      </c>
      <c r="U215" s="259">
        <v>0.00684943676881417</v>
      </c>
      <c r="V215" s="259">
        <v>0.0743785463395808</v>
      </c>
      <c r="W215" s="259"/>
      <c r="X215" s="119"/>
      <c r="Y215" s="258"/>
      <c r="Z215" s="258"/>
      <c r="AA215" s="258"/>
      <c r="AB215" s="258"/>
      <c r="AC215" s="258"/>
      <c r="AD215" s="260"/>
      <c r="AE215" s="261"/>
    </row>
    <row r="216" ht="21.25" customHeight="1">
      <c r="A216" t="s" s="10">
        <v>673</v>
      </c>
      <c r="B216" t="s" s="256">
        <v>945</v>
      </c>
      <c r="C216" s="257">
        <v>22</v>
      </c>
      <c r="D216" t="s" s="256">
        <v>967</v>
      </c>
      <c r="E216" s="119">
        <v>74.145</v>
      </c>
      <c r="F216" s="258">
        <v>15.0506128312774</v>
      </c>
      <c r="G216" s="259">
        <v>0.220789121204522</v>
      </c>
      <c r="H216" s="259">
        <v>0.309825734933322</v>
      </c>
      <c r="I216" s="259">
        <v>0.530614856137844</v>
      </c>
      <c r="J216" s="259">
        <v>1.50165940355111</v>
      </c>
      <c r="K216" s="259">
        <v>0.0245852206932654</v>
      </c>
      <c r="L216" s="259">
        <v>0.07656059244515789</v>
      </c>
      <c r="M216" s="259">
        <v>1.3936839596334e-05</v>
      </c>
      <c r="N216" s="259">
        <v>2.34293276310073e-05</v>
      </c>
      <c r="O216" s="259">
        <v>0.461958480473673</v>
      </c>
      <c r="P216" s="259">
        <v>0.571801597475071</v>
      </c>
      <c r="Q216" s="259">
        <v>-0.00725300350445568</v>
      </c>
      <c r="R216" s="259">
        <v>0.38719886251223</v>
      </c>
      <c r="S216" s="259">
        <v>0.0320770777463456</v>
      </c>
      <c r="T216" s="259">
        <v>0.766428014853617</v>
      </c>
      <c r="U216" s="259">
        <v>0.9384832834942231</v>
      </c>
      <c r="V216" s="259">
        <v>0.44954128440367</v>
      </c>
      <c r="W216" s="259"/>
      <c r="X216" s="119"/>
      <c r="Y216" s="259"/>
      <c r="Z216" s="259"/>
      <c r="AA216" s="259"/>
      <c r="AB216" s="259"/>
      <c r="AC216" s="258"/>
      <c r="AD216" s="260"/>
      <c r="AE216" s="261"/>
    </row>
    <row r="217" ht="21.25" customHeight="1">
      <c r="A217" t="s" s="10">
        <v>479</v>
      </c>
      <c r="B217" t="s" s="256">
        <v>933</v>
      </c>
      <c r="C217" s="257">
        <v>29</v>
      </c>
      <c r="D217" t="s" s="256">
        <v>967</v>
      </c>
      <c r="E217" s="119">
        <v>77.44750000000001</v>
      </c>
      <c r="F217" s="258">
        <v>15.516700292514</v>
      </c>
      <c r="G217" s="259">
        <v>0.242303488170769</v>
      </c>
      <c r="H217" s="259">
        <v>0.288064591196311</v>
      </c>
      <c r="I217" s="259">
        <v>0.53036807936708</v>
      </c>
      <c r="J217" s="259">
        <v>2.20550501875375</v>
      </c>
      <c r="K217" s="259">
        <v>0.0318783312047849</v>
      </c>
      <c r="L217" s="259">
        <v>0.07608675523618599</v>
      </c>
      <c r="M217" s="259">
        <v>0.00712594100388404</v>
      </c>
      <c r="N217" s="259">
        <v>0.0110402367728804</v>
      </c>
      <c r="O217" s="259">
        <v>0.757532585207377</v>
      </c>
      <c r="P217" s="259">
        <v>0.95437186214782</v>
      </c>
      <c r="Q217" s="259">
        <v>0.0170199388088877</v>
      </c>
      <c r="R217" s="259">
        <v>0.762982793784829</v>
      </c>
      <c r="S217" s="259">
        <v>0.0399992483076262</v>
      </c>
      <c r="T217" s="259">
        <v>4.63776618501166</v>
      </c>
      <c r="U217" s="259">
        <v>5.62176439007931</v>
      </c>
      <c r="V217" s="259">
        <v>0.452044677002245</v>
      </c>
      <c r="W217" s="259"/>
      <c r="X217" s="119"/>
      <c r="Y217" s="258"/>
      <c r="Z217" s="258"/>
      <c r="AA217" s="258"/>
      <c r="AB217" s="258"/>
      <c r="AC217" s="258"/>
      <c r="AD217" s="260"/>
      <c r="AE217" s="261"/>
    </row>
    <row r="218" ht="21.25" customHeight="1">
      <c r="A218" t="s" s="10">
        <v>411</v>
      </c>
      <c r="B218" t="s" s="256">
        <v>949</v>
      </c>
      <c r="C218" s="257">
        <v>39</v>
      </c>
      <c r="D218" t="s" s="256">
        <v>918</v>
      </c>
      <c r="E218" s="119">
        <v>82.03</v>
      </c>
      <c r="F218" s="258">
        <v>22.0162372145702</v>
      </c>
      <c r="G218" s="259">
        <v>0.123726799551934</v>
      </c>
      <c r="H218" s="259">
        <v>0.406454229632178</v>
      </c>
      <c r="I218" s="259">
        <v>0.530181029184112</v>
      </c>
      <c r="J218" s="259">
        <v>2.31770439163732</v>
      </c>
      <c r="K218" s="259">
        <v>0.0361895766175523</v>
      </c>
      <c r="L218" s="259">
        <v>0.191050867555073</v>
      </c>
      <c r="M218" s="259">
        <v>0.000269240753906998</v>
      </c>
      <c r="N218" s="259">
        <v>0.00276797472550301</v>
      </c>
      <c r="O218" s="259">
        <v>1.23003669821095</v>
      </c>
      <c r="P218" s="259">
        <v>0.674505217217639</v>
      </c>
      <c r="Q218" s="259">
        <v>0.09689521677276849</v>
      </c>
      <c r="R218" s="259">
        <v>0.412997988984048</v>
      </c>
      <c r="S218" s="259">
        <v>0.0214400709845932</v>
      </c>
      <c r="T218" s="259">
        <v>0.00119784415736849</v>
      </c>
      <c r="U218" s="259">
        <v>0.00229377016763353</v>
      </c>
      <c r="V218" s="259">
        <v>0.343063135235531</v>
      </c>
      <c r="W218" s="259"/>
      <c r="X218" s="119"/>
      <c r="Y218" s="258"/>
      <c r="Z218" s="258"/>
      <c r="AA218" s="258"/>
      <c r="AB218" s="258"/>
      <c r="AC218" s="258"/>
      <c r="AD218" s="260"/>
      <c r="AE218" s="261"/>
    </row>
    <row r="219" ht="21.25" customHeight="1">
      <c r="A219" t="s" s="10">
        <v>309</v>
      </c>
      <c r="B219" t="s" s="256">
        <v>941</v>
      </c>
      <c r="C219" s="257">
        <v>34</v>
      </c>
      <c r="D219" t="s" s="256">
        <v>918</v>
      </c>
      <c r="E219" s="119">
        <v>77.39749999999999</v>
      </c>
      <c r="F219" s="258">
        <v>22.8120472701487</v>
      </c>
      <c r="G219" s="259">
        <v>0.101632926140077</v>
      </c>
      <c r="H219" s="259">
        <v>0.423573745462763</v>
      </c>
      <c r="I219" s="259">
        <v>0.52520667160284</v>
      </c>
      <c r="J219" s="259">
        <v>2.13028914254169</v>
      </c>
      <c r="K219" s="259">
        <v>0.0120261560215684</v>
      </c>
      <c r="L219" s="259">
        <v>0.125630579570005</v>
      </c>
      <c r="M219" s="259">
        <v>0.00223486349032182</v>
      </c>
      <c r="N219" s="259">
        <v>0.0197422275015728</v>
      </c>
      <c r="O219" s="259">
        <v>2.24623044090646</v>
      </c>
      <c r="P219" s="259">
        <v>0.891428345547666</v>
      </c>
      <c r="Q219" s="259">
        <v>0.0172455296530995</v>
      </c>
      <c r="R219" s="259">
        <v>0.310147909651953</v>
      </c>
      <c r="S219" s="259">
        <v>0.0154584990666826</v>
      </c>
      <c r="T219" s="259">
        <v>0.000727799025590188</v>
      </c>
      <c r="U219" s="259">
        <v>0.00133733730789308</v>
      </c>
      <c r="V219" s="259">
        <v>0.352421781453339</v>
      </c>
      <c r="W219" s="259"/>
      <c r="X219" s="119"/>
      <c r="Y219" s="258"/>
      <c r="Z219" s="258"/>
      <c r="AA219" s="258"/>
      <c r="AB219" s="258"/>
      <c r="AC219" s="258"/>
      <c r="AD219" s="260"/>
      <c r="AE219" s="261"/>
    </row>
    <row r="220" ht="21.25" customHeight="1">
      <c r="A220" t="s" s="10">
        <v>388</v>
      </c>
      <c r="B220" t="s" s="256">
        <v>932</v>
      </c>
      <c r="C220" s="257">
        <v>28</v>
      </c>
      <c r="D220" t="s" s="256">
        <v>918</v>
      </c>
      <c r="E220" s="119">
        <v>72.91500000000001</v>
      </c>
      <c r="F220" s="258">
        <v>23.399770734461</v>
      </c>
      <c r="G220" s="259">
        <v>0.145207455876378</v>
      </c>
      <c r="H220" s="259">
        <v>0.378487258553326</v>
      </c>
      <c r="I220" s="259">
        <v>0.5236947144297039</v>
      </c>
      <c r="J220" s="259">
        <v>2.4069651834918</v>
      </c>
      <c r="K220" s="259">
        <v>0.0371468008272809</v>
      </c>
      <c r="L220" s="259">
        <v>0.131720857211825</v>
      </c>
      <c r="M220" s="259">
        <v>0.00402181688299599</v>
      </c>
      <c r="N220" s="259">
        <v>0.0120319744705109</v>
      </c>
      <c r="O220" s="259">
        <v>1.35509402387011</v>
      </c>
      <c r="P220" s="259">
        <v>1.43077533969017</v>
      </c>
      <c r="Q220" s="259">
        <v>0.08030480721161851</v>
      </c>
      <c r="R220" s="259">
        <v>0.663072226822229</v>
      </c>
      <c r="S220" s="259">
        <v>0.0247377934717258</v>
      </c>
      <c r="T220" s="259">
        <v>0</v>
      </c>
      <c r="U220" s="259">
        <v>0</v>
      </c>
      <c r="V220" s="259">
        <v>0</v>
      </c>
      <c r="W220" s="259"/>
      <c r="X220" s="119"/>
      <c r="Y220" s="258"/>
      <c r="Z220" s="258"/>
      <c r="AA220" s="258"/>
      <c r="AB220" s="258"/>
      <c r="AC220" s="258"/>
      <c r="AD220" s="260"/>
      <c r="AE220" s="261"/>
    </row>
    <row r="221" ht="21.25" customHeight="1">
      <c r="A221" t="s" s="10">
        <v>366</v>
      </c>
      <c r="B221" t="s" s="256">
        <v>945</v>
      </c>
      <c r="C221" s="257">
        <v>32</v>
      </c>
      <c r="D221" t="s" s="256">
        <v>967</v>
      </c>
      <c r="E221" s="119">
        <v>81.22</v>
      </c>
      <c r="F221" s="258">
        <v>16.6141993959899</v>
      </c>
      <c r="G221" s="259">
        <v>0.265780754785007</v>
      </c>
      <c r="H221" s="259">
        <v>0.257488092026572</v>
      </c>
      <c r="I221" s="259">
        <v>0.523268846811579</v>
      </c>
      <c r="J221" s="259">
        <v>2.42488788624379</v>
      </c>
      <c r="K221" s="259">
        <v>0.0222381488228268</v>
      </c>
      <c r="L221" s="259">
        <v>0.0308742407175394</v>
      </c>
      <c r="M221" s="259">
        <v>0.0249483497561021</v>
      </c>
      <c r="N221" s="259">
        <v>0.0387097584018677</v>
      </c>
      <c r="O221" s="259">
        <v>0.638735192363472</v>
      </c>
      <c r="P221" s="259">
        <v>1.483029123190</v>
      </c>
      <c r="Q221" s="259">
        <v>-0.017149790030235</v>
      </c>
      <c r="R221" s="259">
        <v>0.726355553044962</v>
      </c>
      <c r="S221" s="259">
        <v>0.0386136322668894</v>
      </c>
      <c r="T221" s="259">
        <v>0.279335346926991</v>
      </c>
      <c r="U221" s="259">
        <v>0.456987718158477</v>
      </c>
      <c r="V221" s="259">
        <v>0.379365200103527</v>
      </c>
      <c r="W221" s="259"/>
      <c r="X221" s="119"/>
      <c r="Y221" s="258"/>
      <c r="Z221" s="258"/>
      <c r="AA221" s="258"/>
      <c r="AB221" s="258"/>
      <c r="AC221" s="258"/>
      <c r="AD221" s="260"/>
      <c r="AE221" s="261"/>
    </row>
    <row r="222" ht="21.25" customHeight="1">
      <c r="A222" t="s" s="10">
        <v>362</v>
      </c>
      <c r="B222" t="s" s="256">
        <v>940</v>
      </c>
      <c r="C222" s="257">
        <v>22</v>
      </c>
      <c r="D222" t="s" s="256">
        <v>918</v>
      </c>
      <c r="E222" s="119">
        <v>80.11</v>
      </c>
      <c r="F222" s="258">
        <v>23.5145568152398</v>
      </c>
      <c r="G222" s="259">
        <v>0.109252756788014</v>
      </c>
      <c r="H222" s="259">
        <v>0.408289485101987</v>
      </c>
      <c r="I222" s="259">
        <v>0.517542241890001</v>
      </c>
      <c r="J222" s="259">
        <v>2.00411859802639</v>
      </c>
      <c r="K222" s="259">
        <v>0.0369362678449984</v>
      </c>
      <c r="L222" s="259">
        <v>0.213435748008717</v>
      </c>
      <c r="M222" s="259">
        <v>0.00034175764176265</v>
      </c>
      <c r="N222" s="259">
        <v>0.00144497198610492</v>
      </c>
      <c r="O222" s="259">
        <v>1.80591640856427</v>
      </c>
      <c r="P222" s="259">
        <v>0.796504519397065</v>
      </c>
      <c r="Q222" s="259">
        <v>0.00206372633976932</v>
      </c>
      <c r="R222" s="259">
        <v>0.313234197906372</v>
      </c>
      <c r="S222" s="259">
        <v>0.016963046169196</v>
      </c>
      <c r="T222" s="259">
        <v>0.00611227892984958</v>
      </c>
      <c r="U222" s="259">
        <v>0.00466518216542293</v>
      </c>
      <c r="V222" s="259">
        <v>0.567135327682204</v>
      </c>
      <c r="W222" s="259"/>
      <c r="X222" s="119"/>
      <c r="Y222" s="258"/>
      <c r="Z222" s="258"/>
      <c r="AA222" s="258"/>
      <c r="AB222" s="258"/>
      <c r="AC222" s="258"/>
      <c r="AD222" s="260"/>
      <c r="AE222" s="261"/>
    </row>
    <row r="223" ht="21.25" customHeight="1">
      <c r="A223" t="s" s="10">
        <v>698</v>
      </c>
      <c r="B223" t="s" s="256">
        <v>930</v>
      </c>
      <c r="C223" s="257">
        <v>22</v>
      </c>
      <c r="D223" t="s" s="256">
        <v>917</v>
      </c>
      <c r="E223" s="119">
        <v>71.75</v>
      </c>
      <c r="F223" s="258">
        <v>14.0648798392581</v>
      </c>
      <c r="G223" s="259">
        <v>0.221945460973786</v>
      </c>
      <c r="H223" s="259">
        <v>0.295315864848565</v>
      </c>
      <c r="I223" s="259">
        <v>0.517261325822351</v>
      </c>
      <c r="J223" s="259">
        <v>2.07894821219574</v>
      </c>
      <c r="K223" s="259">
        <v>0.0308735991867472</v>
      </c>
      <c r="L223" s="259">
        <v>0.102619747457023</v>
      </c>
      <c r="M223" s="259">
        <v>1.16886497316887e-05</v>
      </c>
      <c r="N223" s="259">
        <v>1.96670520450578e-05</v>
      </c>
      <c r="O223" s="259">
        <v>0.3152739152983</v>
      </c>
      <c r="P223" s="259">
        <v>0.496862556402728</v>
      </c>
      <c r="Q223" s="259">
        <v>0.0390520978123978</v>
      </c>
      <c r="R223" s="259">
        <v>0.273218015327859</v>
      </c>
      <c r="S223" s="259">
        <v>0.0314258837106582</v>
      </c>
      <c r="T223" s="259">
        <v>0.0090597901498082</v>
      </c>
      <c r="U223" s="259">
        <v>0.0378881948055368</v>
      </c>
      <c r="V223" s="259">
        <v>0.19297505864044</v>
      </c>
      <c r="W223" s="259"/>
      <c r="X223" s="119"/>
      <c r="Y223" s="258"/>
      <c r="Z223" s="258"/>
      <c r="AA223" s="258"/>
      <c r="AB223" s="258"/>
      <c r="AC223" s="258"/>
      <c r="AD223" s="260"/>
      <c r="AE223" s="261"/>
    </row>
    <row r="224" ht="21.25" customHeight="1">
      <c r="A224" t="s" s="10">
        <v>417</v>
      </c>
      <c r="B224" t="s" s="256">
        <v>940</v>
      </c>
      <c r="C224" s="257">
        <v>27</v>
      </c>
      <c r="D224" t="s" s="256">
        <v>918</v>
      </c>
      <c r="E224" s="119">
        <v>72.30249999999999</v>
      </c>
      <c r="F224" s="258">
        <v>22.3940597658127</v>
      </c>
      <c r="G224" s="259">
        <v>0.13074114339251</v>
      </c>
      <c r="H224" s="259">
        <v>0.386334617513066</v>
      </c>
      <c r="I224" s="259">
        <v>0.5170757609055761</v>
      </c>
      <c r="J224" s="259">
        <v>2.19279488669875</v>
      </c>
      <c r="K224" s="259">
        <v>0.0229967746389797</v>
      </c>
      <c r="L224" s="259">
        <v>0.12843542783492</v>
      </c>
      <c r="M224" s="259">
        <v>0.000273846004431533</v>
      </c>
      <c r="N224" s="259">
        <v>0.00134876808190076</v>
      </c>
      <c r="O224" s="259">
        <v>1.66464716005796</v>
      </c>
      <c r="P224" s="259">
        <v>0.978339475262657</v>
      </c>
      <c r="Q224" s="259">
        <v>-0.00862802097081535</v>
      </c>
      <c r="R224" s="259">
        <v>0.540946605099564</v>
      </c>
      <c r="S224" s="259">
        <v>0.0202994241681591</v>
      </c>
      <c r="T224" s="259">
        <v>0</v>
      </c>
      <c r="U224" s="259">
        <v>0</v>
      </c>
      <c r="V224" s="259">
        <v>0</v>
      </c>
      <c r="W224" s="259"/>
      <c r="X224" s="119"/>
      <c r="Y224" s="258"/>
      <c r="Z224" s="258"/>
      <c r="AA224" s="258"/>
      <c r="AB224" s="258"/>
      <c r="AC224" s="258"/>
      <c r="AD224" s="260"/>
      <c r="AE224" s="261"/>
    </row>
    <row r="225" ht="21.25" customHeight="1">
      <c r="A225" t="s" s="10">
        <v>577</v>
      </c>
      <c r="B225" t="s" s="256">
        <v>931</v>
      </c>
      <c r="C225" s="257">
        <v>33</v>
      </c>
      <c r="D225" t="s" s="256">
        <v>917</v>
      </c>
      <c r="E225" s="119">
        <v>77.815</v>
      </c>
      <c r="F225" s="258">
        <v>16.3786660286965</v>
      </c>
      <c r="G225" s="259">
        <v>0.201196206994917</v>
      </c>
      <c r="H225" s="259">
        <v>0.314272017171972</v>
      </c>
      <c r="I225" s="259">
        <v>0.515468224166889</v>
      </c>
      <c r="J225" s="259">
        <v>2.03013512937834</v>
      </c>
      <c r="K225" s="259">
        <v>0.0204193636910783</v>
      </c>
      <c r="L225" s="259">
        <v>0.0616765242202966</v>
      </c>
      <c r="M225" s="259">
        <v>0.0185741796107609</v>
      </c>
      <c r="N225" s="259">
        <v>0.0242331450922785</v>
      </c>
      <c r="O225" s="259">
        <v>0.412748572263763</v>
      </c>
      <c r="P225" s="259">
        <v>0.792205043988105</v>
      </c>
      <c r="Q225" s="259">
        <v>0.0139815505520212</v>
      </c>
      <c r="R225" s="259">
        <v>0.234501687373753</v>
      </c>
      <c r="S225" s="259">
        <v>0.0328871907356929</v>
      </c>
      <c r="T225" s="259">
        <v>0.09069960726339769</v>
      </c>
      <c r="U225" s="259">
        <v>0.121638168728268</v>
      </c>
      <c r="V225" s="259">
        <v>0.427147768878193</v>
      </c>
      <c r="W225" s="259"/>
      <c r="X225" s="119"/>
      <c r="Y225" s="258"/>
      <c r="Z225" s="258"/>
      <c r="AA225" s="258"/>
      <c r="AB225" s="258"/>
      <c r="AC225" s="258"/>
      <c r="AD225" s="260"/>
      <c r="AE225" s="261"/>
    </row>
    <row r="226" ht="21.25" customHeight="1">
      <c r="A226" t="s" s="10">
        <v>439</v>
      </c>
      <c r="B226" t="s" s="256">
        <v>939</v>
      </c>
      <c r="C226" s="257">
        <v>31</v>
      </c>
      <c r="D226" t="s" s="256">
        <v>967</v>
      </c>
      <c r="E226" s="119">
        <v>78.7</v>
      </c>
      <c r="F226" s="258">
        <v>15.8701999139815</v>
      </c>
      <c r="G226" s="259">
        <v>0.221947162270799</v>
      </c>
      <c r="H226" s="259">
        <v>0.293419903701959</v>
      </c>
      <c r="I226" s="259">
        <v>0.5153670659727581</v>
      </c>
      <c r="J226" s="259">
        <v>2.27045470460701</v>
      </c>
      <c r="K226" s="259">
        <v>0.0608227476944288</v>
      </c>
      <c r="L226" s="259">
        <v>0.115655523659579</v>
      </c>
      <c r="M226" s="259">
        <v>1.33044166083105e-05</v>
      </c>
      <c r="N226" s="259">
        <v>2.27312706044194e-05</v>
      </c>
      <c r="O226" s="259">
        <v>0.550409310317821</v>
      </c>
      <c r="P226" s="259">
        <v>1.42594519829189</v>
      </c>
      <c r="Q226" s="259">
        <v>0.0226694726233598</v>
      </c>
      <c r="R226" s="259">
        <v>0.253064755256815</v>
      </c>
      <c r="S226" s="259">
        <v>0.032902091472254</v>
      </c>
      <c r="T226" s="259">
        <v>0.117724729157496</v>
      </c>
      <c r="U226" s="259">
        <v>0.191004879585277</v>
      </c>
      <c r="V226" s="259">
        <v>0.381319853437127</v>
      </c>
      <c r="W226" s="259"/>
      <c r="X226" s="119"/>
      <c r="Y226" s="258"/>
      <c r="Z226" s="258"/>
      <c r="AA226" s="258"/>
      <c r="AB226" s="258"/>
      <c r="AC226" s="258"/>
      <c r="AD226" s="260"/>
      <c r="AE226" s="261"/>
    </row>
    <row r="227" ht="21.25" customHeight="1">
      <c r="A227" t="s" s="10">
        <v>660</v>
      </c>
      <c r="B227" t="s" s="256">
        <v>948</v>
      </c>
      <c r="C227" s="257">
        <v>31</v>
      </c>
      <c r="D227" t="s" s="256">
        <v>916</v>
      </c>
      <c r="E227" s="119">
        <v>80.11750000000001</v>
      </c>
      <c r="F227" s="258">
        <v>16.0782158725592</v>
      </c>
      <c r="G227" s="259">
        <v>0.274735705106498</v>
      </c>
      <c r="H227" s="259">
        <v>0.240281998034434</v>
      </c>
      <c r="I227" s="259">
        <v>0.515017703140932</v>
      </c>
      <c r="J227" s="259">
        <v>1.82564100390016</v>
      </c>
      <c r="K227" s="259">
        <v>0.0491880513445921</v>
      </c>
      <c r="L227" s="259">
        <v>0.0737936905208323</v>
      </c>
      <c r="M227" s="259">
        <v>0.00556389556687731</v>
      </c>
      <c r="N227" s="259">
        <v>0.0102035931870142</v>
      </c>
      <c r="O227" s="259">
        <v>0.294550195713237</v>
      </c>
      <c r="P227" s="259">
        <v>0.339648215524924</v>
      </c>
      <c r="Q227" s="259">
        <v>-0.0549277093948322</v>
      </c>
      <c r="R227" s="259">
        <v>0.24956190409969</v>
      </c>
      <c r="S227" s="259">
        <v>0.033076556125612</v>
      </c>
      <c r="T227" s="259">
        <v>0.136733670622432</v>
      </c>
      <c r="U227" s="259">
        <v>0.167071494906836</v>
      </c>
      <c r="V227" s="259">
        <v>0.450070262578401</v>
      </c>
      <c r="W227" s="259"/>
      <c r="X227" s="119"/>
      <c r="Y227" s="258"/>
      <c r="Z227" s="258"/>
      <c r="AA227" s="258"/>
      <c r="AB227" s="258"/>
      <c r="AC227" s="258"/>
      <c r="AD227" s="260"/>
      <c r="AE227" s="261"/>
    </row>
    <row r="228" ht="21.25" customHeight="1">
      <c r="A228" t="s" s="10">
        <v>654</v>
      </c>
      <c r="B228" t="s" s="256">
        <v>947</v>
      </c>
      <c r="C228" s="257">
        <v>24</v>
      </c>
      <c r="D228" t="s" s="256">
        <v>967</v>
      </c>
      <c r="E228" s="119">
        <v>77.6375</v>
      </c>
      <c r="F228" s="258">
        <v>16.8867414702531</v>
      </c>
      <c r="G228" s="259">
        <v>0.181334025665241</v>
      </c>
      <c r="H228" s="259">
        <v>0.332651728596963</v>
      </c>
      <c r="I228" s="259">
        <v>0.5139857542622041</v>
      </c>
      <c r="J228" s="259">
        <v>1.61114445163226</v>
      </c>
      <c r="K228" s="259">
        <v>0.045195043996475</v>
      </c>
      <c r="L228" s="259">
        <v>0.148180283488732</v>
      </c>
      <c r="M228" s="259">
        <v>0.000820105977000104</v>
      </c>
      <c r="N228" s="259">
        <v>0.00137949629375287</v>
      </c>
      <c r="O228" s="259">
        <v>0.550163104551276</v>
      </c>
      <c r="P228" s="259">
        <v>0.45536112700258</v>
      </c>
      <c r="Q228" s="259">
        <v>-0.132843205012054</v>
      </c>
      <c r="R228" s="259">
        <v>0.281903052022551</v>
      </c>
      <c r="S228" s="259">
        <v>0.0234347472925581</v>
      </c>
      <c r="T228" s="259">
        <v>1.38719142180511</v>
      </c>
      <c r="U228" s="259">
        <v>1.6904471878367</v>
      </c>
      <c r="V228" s="259">
        <v>0.450732395109431</v>
      </c>
      <c r="W228" s="259"/>
      <c r="X228" s="119"/>
      <c r="Y228" s="258"/>
      <c r="Z228" s="258"/>
      <c r="AA228" s="258"/>
      <c r="AB228" s="258"/>
      <c r="AC228" s="258"/>
      <c r="AD228" s="260"/>
      <c r="AE228" s="261"/>
    </row>
    <row r="229" ht="21.25" customHeight="1">
      <c r="A229" t="s" s="10">
        <v>596</v>
      </c>
      <c r="B229" t="s" s="256">
        <v>958</v>
      </c>
      <c r="C229" s="257">
        <v>20</v>
      </c>
      <c r="D229" t="s" s="256">
        <v>916</v>
      </c>
      <c r="E229" s="119">
        <v>72</v>
      </c>
      <c r="F229" s="258">
        <v>16</v>
      </c>
      <c r="G229" s="259">
        <v>0.23574531991969</v>
      </c>
      <c r="H229" s="259">
        <v>0.274657909575523</v>
      </c>
      <c r="I229" s="259">
        <v>0.510403229495213</v>
      </c>
      <c r="J229" s="259">
        <v>1.87629568654938</v>
      </c>
      <c r="K229" s="259">
        <v>0.0548693012716729</v>
      </c>
      <c r="L229" s="259">
        <v>0.118795438139549</v>
      </c>
      <c r="M229" s="259">
        <v>0</v>
      </c>
      <c r="N229" s="259">
        <v>0</v>
      </c>
      <c r="O229" s="259">
        <v>0.434146341463415</v>
      </c>
      <c r="P229" s="259">
        <v>1.18309240326726</v>
      </c>
      <c r="Q229" s="259">
        <v>-0.0840953235805188</v>
      </c>
      <c r="R229" s="259">
        <v>0.404066898383504</v>
      </c>
      <c r="S229" s="259">
        <v>0.027478368246523</v>
      </c>
      <c r="T229" s="259">
        <v>0</v>
      </c>
      <c r="U229" s="259">
        <v>0</v>
      </c>
      <c r="V229" s="259">
        <v>0</v>
      </c>
      <c r="W229" s="259"/>
      <c r="X229" s="119"/>
      <c r="Y229" s="259"/>
      <c r="Z229" s="259"/>
      <c r="AA229" s="259"/>
      <c r="AB229" s="259"/>
      <c r="AC229" s="258"/>
      <c r="AD229" s="260"/>
      <c r="AE229" s="261"/>
    </row>
    <row r="230" ht="21.25" customHeight="1">
      <c r="A230" t="s" s="10">
        <v>652</v>
      </c>
      <c r="B230" t="s" s="256">
        <v>935</v>
      </c>
      <c r="C230" s="257">
        <v>27</v>
      </c>
      <c r="D230" t="s" s="256">
        <v>917</v>
      </c>
      <c r="E230" s="119">
        <v>76.86499999999999</v>
      </c>
      <c r="F230" s="258">
        <v>12.3716708900217</v>
      </c>
      <c r="G230" s="259">
        <v>0.233791158788597</v>
      </c>
      <c r="H230" s="259">
        <v>0.274085905334671</v>
      </c>
      <c r="I230" s="259">
        <v>0.5078770641232681</v>
      </c>
      <c r="J230" s="259">
        <v>2.08851564198635</v>
      </c>
      <c r="K230" s="259">
        <v>0.0336545323522879</v>
      </c>
      <c r="L230" s="259">
        <v>0.09550589191649179</v>
      </c>
      <c r="M230" s="259">
        <v>3.15445148751226e-05</v>
      </c>
      <c r="N230" s="259">
        <v>5.33626897114796e-05</v>
      </c>
      <c r="O230" s="259">
        <v>0.267608568271113</v>
      </c>
      <c r="P230" s="259">
        <v>0.60846633779813</v>
      </c>
      <c r="Q230" s="259">
        <v>-0.0204872149314696</v>
      </c>
      <c r="R230" s="259">
        <v>0.260206707084031</v>
      </c>
      <c r="S230" s="259">
        <v>0.039925498912922</v>
      </c>
      <c r="T230" s="259">
        <v>0.0589641271702297</v>
      </c>
      <c r="U230" s="259">
        <v>0.0797375425663842</v>
      </c>
      <c r="V230" s="259">
        <v>0.425114760926808</v>
      </c>
      <c r="W230" s="259"/>
      <c r="X230" s="119"/>
      <c r="Y230" s="258"/>
      <c r="Z230" s="258"/>
      <c r="AA230" s="258"/>
      <c r="AB230" s="258"/>
      <c r="AC230" s="258"/>
      <c r="AD230" s="260"/>
      <c r="AE230" s="261"/>
    </row>
    <row r="231" ht="21.25" customHeight="1">
      <c r="A231" t="s" s="10">
        <v>769</v>
      </c>
      <c r="B231" t="s" s="256">
        <v>928</v>
      </c>
      <c r="C231" s="257">
        <v>20</v>
      </c>
      <c r="D231" t="s" s="256">
        <v>915</v>
      </c>
      <c r="E231" s="119">
        <v>61.695</v>
      </c>
      <c r="F231" s="258">
        <v>14.1465655406636</v>
      </c>
      <c r="G231" s="259">
        <v>0.194872861541549</v>
      </c>
      <c r="H231" s="259">
        <v>0.31095949010259</v>
      </c>
      <c r="I231" s="259">
        <v>0.505832351644139</v>
      </c>
      <c r="J231" s="259">
        <v>1.45120354471031</v>
      </c>
      <c r="K231" s="259">
        <v>0.0182651110433641</v>
      </c>
      <c r="L231" s="259">
        <v>0.0560780072997053</v>
      </c>
      <c r="M231" s="259">
        <v>0.000124413421546379</v>
      </c>
      <c r="N231" s="259">
        <v>0.000207266548156145</v>
      </c>
      <c r="O231" s="259">
        <v>0.464247859184005</v>
      </c>
      <c r="P231" s="259">
        <v>0.756132691890834</v>
      </c>
      <c r="Q231" s="259">
        <v>0.0334023308896438</v>
      </c>
      <c r="R231" s="259">
        <v>0.304054434631562</v>
      </c>
      <c r="S231" s="259">
        <v>0.0303521727160572</v>
      </c>
      <c r="T231" s="259">
        <v>3.55208174047924</v>
      </c>
      <c r="U231" s="259">
        <v>4.57610530530209</v>
      </c>
      <c r="V231" s="259">
        <v>0.437007874015748</v>
      </c>
      <c r="W231" s="259"/>
      <c r="X231" s="119"/>
      <c r="Y231" s="258"/>
      <c r="Z231" s="258"/>
      <c r="AA231" s="258"/>
      <c r="AB231" s="258"/>
      <c r="AC231" s="258"/>
      <c r="AD231" s="260"/>
      <c r="AE231" s="261"/>
    </row>
    <row r="232" ht="21.25" customHeight="1">
      <c r="A232" t="s" s="10">
        <v>578</v>
      </c>
      <c r="B232" t="s" s="256">
        <v>956</v>
      </c>
      <c r="C232" s="257">
        <v>31</v>
      </c>
      <c r="D232" t="s" s="256">
        <v>915</v>
      </c>
      <c r="E232" s="119">
        <v>68.02249999999999</v>
      </c>
      <c r="F232" s="258">
        <v>17.7104292900921</v>
      </c>
      <c r="G232" s="259">
        <v>0.156905549970133</v>
      </c>
      <c r="H232" s="259">
        <v>0.34847474244655</v>
      </c>
      <c r="I232" s="259">
        <v>0.505380292416683</v>
      </c>
      <c r="J232" s="259">
        <v>2.4426581638875</v>
      </c>
      <c r="K232" s="259">
        <v>0.0316861815627733</v>
      </c>
      <c r="L232" s="259">
        <v>0.0745845224094835</v>
      </c>
      <c r="M232" s="259">
        <v>0.00222304926551171</v>
      </c>
      <c r="N232" s="259">
        <v>0.0278388436428572</v>
      </c>
      <c r="O232" s="259">
        <v>0.563439415887484</v>
      </c>
      <c r="P232" s="259">
        <v>0.774580377264432</v>
      </c>
      <c r="Q232" s="259">
        <v>-0.0267888094428799</v>
      </c>
      <c r="R232" s="259">
        <v>0.433635090399843</v>
      </c>
      <c r="S232" s="259">
        <v>0.0227433852527112</v>
      </c>
      <c r="T232" s="259">
        <v>9.164675798527609</v>
      </c>
      <c r="U232" s="259">
        <v>7.83140108112438</v>
      </c>
      <c r="V232" s="259">
        <v>0.53922301384149</v>
      </c>
      <c r="W232" s="259"/>
      <c r="X232" s="119"/>
      <c r="Y232" s="258"/>
      <c r="Z232" s="258"/>
      <c r="AA232" s="258"/>
      <c r="AB232" s="258"/>
      <c r="AC232" s="258"/>
      <c r="AD232" s="260"/>
      <c r="AE232" s="261"/>
    </row>
    <row r="233" ht="21.25" customHeight="1">
      <c r="A233" t="s" s="10">
        <v>519</v>
      </c>
      <c r="B233" t="s" s="256">
        <v>940</v>
      </c>
      <c r="C233" s="257">
        <v>36</v>
      </c>
      <c r="D233" t="s" s="256">
        <v>966</v>
      </c>
      <c r="E233" s="119">
        <v>79.465</v>
      </c>
      <c r="F233" s="258">
        <v>14.9381481394196</v>
      </c>
      <c r="G233" s="259">
        <v>0.200782986038125</v>
      </c>
      <c r="H233" s="259">
        <v>0.302255717425366</v>
      </c>
      <c r="I233" s="259">
        <v>0.503038703463491</v>
      </c>
      <c r="J233" s="259">
        <v>1.91185824851005</v>
      </c>
      <c r="K233" s="259">
        <v>0.0580907468750173</v>
      </c>
      <c r="L233" s="259">
        <v>0.156974597146636</v>
      </c>
      <c r="M233" s="259">
        <v>5.66154028017758e-06</v>
      </c>
      <c r="N233" s="259">
        <v>9.768182481363691e-06</v>
      </c>
      <c r="O233" s="259">
        <v>0.334076493657837</v>
      </c>
      <c r="P233" s="259">
        <v>1.34493127017728</v>
      </c>
      <c r="Q233" s="259">
        <v>-0.007878413706460601</v>
      </c>
      <c r="R233" s="259">
        <v>0.519711890167024</v>
      </c>
      <c r="S233" s="259">
        <v>0.0311744175825447</v>
      </c>
      <c r="T233" s="259">
        <v>0.100899530004755</v>
      </c>
      <c r="U233" s="259">
        <v>0.223511103837062</v>
      </c>
      <c r="V233" s="259">
        <v>0.311024114129236</v>
      </c>
      <c r="W233" s="259"/>
      <c r="X233" s="119"/>
      <c r="Y233" s="258"/>
      <c r="Z233" s="258"/>
      <c r="AA233" s="258"/>
      <c r="AB233" s="258"/>
      <c r="AC233" s="258"/>
      <c r="AD233" s="260"/>
      <c r="AE233" s="261"/>
    </row>
    <row r="234" ht="21.25" customHeight="1">
      <c r="A234" t="s" s="10">
        <v>666</v>
      </c>
      <c r="B234" t="s" s="256">
        <v>952</v>
      </c>
      <c r="C234" s="257">
        <v>23</v>
      </c>
      <c r="D234" t="s" s="256">
        <v>917</v>
      </c>
      <c r="E234" s="119">
        <v>67.7325</v>
      </c>
      <c r="F234" s="258">
        <v>14.7597522326436</v>
      </c>
      <c r="G234" s="259">
        <v>0.236956331345488</v>
      </c>
      <c r="H234" s="259">
        <v>0.262647909288041</v>
      </c>
      <c r="I234" s="259">
        <v>0.499604240633529</v>
      </c>
      <c r="J234" s="259">
        <v>1.91873063430967</v>
      </c>
      <c r="K234" s="259">
        <v>0.0243412156533554</v>
      </c>
      <c r="L234" s="259">
        <v>0.0562320139011111</v>
      </c>
      <c r="M234" s="259">
        <v>0.00180418670362682</v>
      </c>
      <c r="N234" s="259">
        <v>0.00305214510848805</v>
      </c>
      <c r="O234" s="259">
        <v>0.5147057771921431</v>
      </c>
      <c r="P234" s="259">
        <v>0.912317898759674</v>
      </c>
      <c r="Q234" s="259">
        <v>-0.109091087403903</v>
      </c>
      <c r="R234" s="259">
        <v>0.268909327193182</v>
      </c>
      <c r="S234" s="259">
        <v>0.0262036616745006</v>
      </c>
      <c r="T234" s="259">
        <v>0.0235813783024205</v>
      </c>
      <c r="U234" s="259">
        <v>0.200397330999876</v>
      </c>
      <c r="V234" s="259">
        <v>0.105284017288418</v>
      </c>
      <c r="W234" s="259"/>
      <c r="X234" s="119"/>
      <c r="Y234" s="258"/>
      <c r="Z234" s="258"/>
      <c r="AA234" s="258"/>
      <c r="AB234" s="258"/>
      <c r="AC234" s="258"/>
      <c r="AD234" s="260"/>
      <c r="AE234" s="261"/>
    </row>
    <row r="235" ht="21.25" customHeight="1">
      <c r="A235" t="s" s="10">
        <v>529</v>
      </c>
      <c r="B235" t="s" s="256">
        <v>949</v>
      </c>
      <c r="C235" s="257">
        <v>24</v>
      </c>
      <c r="D235" t="s" s="256">
        <v>915</v>
      </c>
      <c r="E235" s="119">
        <v>79.89749999999999</v>
      </c>
      <c r="F235" s="258">
        <v>15.2328253859641</v>
      </c>
      <c r="G235" s="259">
        <v>0.212691670281973</v>
      </c>
      <c r="H235" s="259">
        <v>0.286781328732435</v>
      </c>
      <c r="I235" s="259">
        <v>0.499472999014408</v>
      </c>
      <c r="J235" s="259">
        <v>1.82252727392346</v>
      </c>
      <c r="K235" s="259">
        <v>0.0279284558329834</v>
      </c>
      <c r="L235" s="259">
        <v>0.089571767958292</v>
      </c>
      <c r="M235" s="259">
        <v>0.00211745126403692</v>
      </c>
      <c r="N235" s="259">
        <v>0.00519929715402113</v>
      </c>
      <c r="O235" s="259">
        <v>0.416193098745106</v>
      </c>
      <c r="P235" s="259">
        <v>1.03114742000295</v>
      </c>
      <c r="Q235" s="259">
        <v>0.06784992544327199</v>
      </c>
      <c r="R235" s="259">
        <v>0.531117848530138</v>
      </c>
      <c r="S235" s="259">
        <v>0.0368564007570817</v>
      </c>
      <c r="T235" s="259">
        <v>4.69320010777197</v>
      </c>
      <c r="U235" s="259">
        <v>4.43314494720608</v>
      </c>
      <c r="V235" s="259">
        <v>0.514247497711258</v>
      </c>
      <c r="W235" s="259"/>
      <c r="X235" s="119"/>
      <c r="Y235" s="258"/>
      <c r="Z235" s="258"/>
      <c r="AA235" s="258"/>
      <c r="AB235" s="258"/>
      <c r="AC235" s="258"/>
      <c r="AD235" s="260"/>
      <c r="AE235" s="261"/>
    </row>
    <row r="236" ht="21.25" customHeight="1">
      <c r="A236" t="s" s="10">
        <v>458</v>
      </c>
      <c r="B236" t="s" s="256">
        <v>958</v>
      </c>
      <c r="C236" s="257">
        <v>20</v>
      </c>
      <c r="D236" t="s" s="256">
        <v>918</v>
      </c>
      <c r="E236" s="119">
        <v>74.145</v>
      </c>
      <c r="F236" s="258">
        <v>20.0660360824665</v>
      </c>
      <c r="G236" s="259">
        <v>0.075629647954412</v>
      </c>
      <c r="H236" s="259">
        <v>0.423326546863568</v>
      </c>
      <c r="I236" s="259">
        <v>0.49895619481798</v>
      </c>
      <c r="J236" s="259">
        <v>1.51275152904208</v>
      </c>
      <c r="K236" s="259">
        <v>0.00760592426117275</v>
      </c>
      <c r="L236" s="259">
        <v>0.163326129887066</v>
      </c>
      <c r="M236" s="259">
        <v>0.000367415046399243</v>
      </c>
      <c r="N236" s="259">
        <v>0.00841633003070149</v>
      </c>
      <c r="O236" s="259">
        <v>1.2328265387877</v>
      </c>
      <c r="P236" s="259">
        <v>1.42599019546646</v>
      </c>
      <c r="Q236" s="259">
        <v>-0.105510096085123</v>
      </c>
      <c r="R236" s="259">
        <v>0.442045164070087</v>
      </c>
      <c r="S236" s="259">
        <v>0.00881535768156157</v>
      </c>
      <c r="T236" s="259">
        <v>0</v>
      </c>
      <c r="U236" s="259">
        <v>0</v>
      </c>
      <c r="V236" s="259">
        <v>0</v>
      </c>
      <c r="W236" s="259"/>
      <c r="X236" s="119"/>
      <c r="Y236" s="258"/>
      <c r="Z236" s="258"/>
      <c r="AA236" s="258"/>
      <c r="AB236" s="258"/>
      <c r="AC236" s="258"/>
      <c r="AD236" s="260"/>
      <c r="AE236" s="261"/>
    </row>
    <row r="237" ht="21.25" customHeight="1">
      <c r="A237" t="s" s="10">
        <v>715</v>
      </c>
      <c r="B237" t="s" s="256">
        <v>954</v>
      </c>
      <c r="C237" s="257">
        <v>23</v>
      </c>
      <c r="D237" t="s" s="256">
        <v>915</v>
      </c>
      <c r="E237" s="119">
        <v>63.33</v>
      </c>
      <c r="F237" s="258">
        <v>15.6492994840788</v>
      </c>
      <c r="G237" s="259">
        <v>0.186400007333147</v>
      </c>
      <c r="H237" s="259">
        <v>0.312210639990364</v>
      </c>
      <c r="I237" s="259">
        <v>0.498610647323511</v>
      </c>
      <c r="J237" s="259">
        <v>1.63636593101284</v>
      </c>
      <c r="K237" s="259">
        <v>0.0381617879644109</v>
      </c>
      <c r="L237" s="259">
        <v>0.105826958767953</v>
      </c>
      <c r="M237" s="259">
        <v>0.00179986756000185</v>
      </c>
      <c r="N237" s="259">
        <v>0.0146422234649958</v>
      </c>
      <c r="O237" s="259">
        <v>0.539157656338918</v>
      </c>
      <c r="P237" s="259">
        <v>0.867794983622568</v>
      </c>
      <c r="Q237" s="259">
        <v>-0.0371880957260823</v>
      </c>
      <c r="R237" s="259">
        <v>0.586022079756626</v>
      </c>
      <c r="S237" s="259">
        <v>0.0216039980746423</v>
      </c>
      <c r="T237" s="259">
        <v>1.84789104580046</v>
      </c>
      <c r="U237" s="259">
        <v>3.30552394631404</v>
      </c>
      <c r="V237" s="259">
        <v>0.358576021653216</v>
      </c>
      <c r="W237" s="259"/>
      <c r="X237" s="119"/>
      <c r="Y237" s="258"/>
      <c r="Z237" s="258"/>
      <c r="AA237" s="258"/>
      <c r="AB237" s="258"/>
      <c r="AC237" s="258"/>
      <c r="AD237" s="260"/>
      <c r="AE237" s="261"/>
    </row>
    <row r="238" ht="21.25" customHeight="1">
      <c r="A238" t="s" s="10">
        <v>344</v>
      </c>
      <c r="B238" t="s" s="256">
        <v>955</v>
      </c>
      <c r="C238" s="257">
        <v>25</v>
      </c>
      <c r="D238" t="s" s="256">
        <v>966</v>
      </c>
      <c r="E238" s="119">
        <v>78.265</v>
      </c>
      <c r="F238" s="258">
        <v>15.2073301751469</v>
      </c>
      <c r="G238" s="259">
        <v>0.226001673118139</v>
      </c>
      <c r="H238" s="259">
        <v>0.271659415581046</v>
      </c>
      <c r="I238" s="259">
        <v>0.497661088699185</v>
      </c>
      <c r="J238" s="259">
        <v>1.89837640963022</v>
      </c>
      <c r="K238" s="259">
        <v>0.0264164922455673</v>
      </c>
      <c r="L238" s="259">
        <v>0.103045159149905</v>
      </c>
      <c r="M238" s="259">
        <v>0.0005519448919080109</v>
      </c>
      <c r="N238" s="259">
        <v>0.000933825545215773</v>
      </c>
      <c r="O238" s="259">
        <v>0.839383988151268</v>
      </c>
      <c r="P238" s="259">
        <v>2.16543977969818</v>
      </c>
      <c r="Q238" s="259">
        <v>-0.0146793936959276</v>
      </c>
      <c r="R238" s="259">
        <v>0.294796134101394</v>
      </c>
      <c r="S238" s="259">
        <v>0.0343178276715257</v>
      </c>
      <c r="T238" s="259">
        <v>0.0824013027981564</v>
      </c>
      <c r="U238" s="259">
        <v>0.263442547725995</v>
      </c>
      <c r="V238" s="259">
        <v>0.238261581558473</v>
      </c>
      <c r="W238" s="259"/>
      <c r="X238" s="119"/>
      <c r="Y238" s="258"/>
      <c r="Z238" s="258"/>
      <c r="AA238" s="258"/>
      <c r="AB238" s="258"/>
      <c r="AC238" s="258"/>
      <c r="AD238" s="260"/>
      <c r="AE238" s="261"/>
    </row>
    <row r="239" ht="21.25" customHeight="1">
      <c r="A239" t="s" s="10">
        <v>624</v>
      </c>
      <c r="B239" t="s" s="256">
        <v>933</v>
      </c>
      <c r="C239" s="257">
        <v>22</v>
      </c>
      <c r="D239" t="s" s="256">
        <v>915</v>
      </c>
      <c r="E239" s="119">
        <v>73.8425</v>
      </c>
      <c r="F239" s="258">
        <v>16.8221533856445</v>
      </c>
      <c r="G239" s="259">
        <v>0.238553946692438</v>
      </c>
      <c r="H239" s="259">
        <v>0.25531184627509</v>
      </c>
      <c r="I239" s="259">
        <v>0.493865792967528</v>
      </c>
      <c r="J239" s="259">
        <v>2.03593537845792</v>
      </c>
      <c r="K239" s="259">
        <v>0.0310126507532383</v>
      </c>
      <c r="L239" s="259">
        <v>0.0875139972148733</v>
      </c>
      <c r="M239" s="259">
        <v>0.000497825397048054</v>
      </c>
      <c r="N239" s="259">
        <v>0.000844282363660954</v>
      </c>
      <c r="O239" s="259">
        <v>0.467580012816804</v>
      </c>
      <c r="P239" s="259">
        <v>0.505848582247015</v>
      </c>
      <c r="Q239" s="259">
        <v>0.00669727186064122</v>
      </c>
      <c r="R239" s="259">
        <v>0.474763790124829</v>
      </c>
      <c r="S239" s="259">
        <v>0.0393802772735575</v>
      </c>
      <c r="T239" s="259">
        <v>4.14603432640087</v>
      </c>
      <c r="U239" s="259">
        <v>5.08949062345613</v>
      </c>
      <c r="V239" s="259">
        <v>0.448922432553773</v>
      </c>
      <c r="W239" s="259"/>
      <c r="X239" s="119"/>
      <c r="Y239" s="258"/>
      <c r="Z239" s="258"/>
      <c r="AA239" s="258"/>
      <c r="AB239" s="258"/>
      <c r="AC239" s="258"/>
      <c r="AD239" s="260"/>
      <c r="AE239" s="261"/>
    </row>
    <row r="240" ht="21.25" customHeight="1">
      <c r="A240" t="s" s="10">
        <v>741</v>
      </c>
      <c r="B240" t="s" s="256">
        <v>955</v>
      </c>
      <c r="C240" s="257">
        <v>29</v>
      </c>
      <c r="D240" t="s" s="256">
        <v>916</v>
      </c>
      <c r="E240" s="119">
        <v>71.435</v>
      </c>
      <c r="F240" s="258">
        <v>14.5269907121278</v>
      </c>
      <c r="G240" s="259">
        <v>0.182150699247613</v>
      </c>
      <c r="H240" s="259">
        <v>0.310254462261833</v>
      </c>
      <c r="I240" s="259">
        <v>0.492405161509446</v>
      </c>
      <c r="J240" s="259">
        <v>1.78305166207159</v>
      </c>
      <c r="K240" s="259">
        <v>0.0564371777326755</v>
      </c>
      <c r="L240" s="259">
        <v>0.136303367175966</v>
      </c>
      <c r="M240" s="259">
        <v>0</v>
      </c>
      <c r="N240" s="259">
        <v>0</v>
      </c>
      <c r="O240" s="259">
        <v>0.327899147075972</v>
      </c>
      <c r="P240" s="259">
        <v>0.465952837902856</v>
      </c>
      <c r="Q240" s="259">
        <v>-0.0241427031020109</v>
      </c>
      <c r="R240" s="259">
        <v>0.282330995850016</v>
      </c>
      <c r="S240" s="259">
        <v>0.0276591594247175</v>
      </c>
      <c r="T240" s="259">
        <v>0.0442414219997676</v>
      </c>
      <c r="U240" s="259">
        <v>0.0993587790368895</v>
      </c>
      <c r="V240" s="259">
        <v>0.308087465619035</v>
      </c>
      <c r="W240" s="259"/>
      <c r="X240" s="119"/>
      <c r="Y240" s="258"/>
      <c r="Z240" s="258"/>
      <c r="AA240" s="258"/>
      <c r="AB240" s="258"/>
      <c r="AC240" s="258"/>
      <c r="AD240" s="260"/>
      <c r="AE240" s="261"/>
    </row>
    <row r="241" ht="21.25" customHeight="1">
      <c r="A241" t="s" s="10">
        <v>511</v>
      </c>
      <c r="B241" t="s" s="256">
        <v>948</v>
      </c>
      <c r="C241" s="257">
        <v>22</v>
      </c>
      <c r="D241" t="s" s="256">
        <v>916</v>
      </c>
      <c r="E241" s="119">
        <v>66.25749999999999</v>
      </c>
      <c r="F241" s="258">
        <v>15.8951356207134</v>
      </c>
      <c r="G241" s="259">
        <v>0.237315825921706</v>
      </c>
      <c r="H241" s="259">
        <v>0.250622456261441</v>
      </c>
      <c r="I241" s="259">
        <v>0.487938282183147</v>
      </c>
      <c r="J241" s="259">
        <v>2.08115383306158</v>
      </c>
      <c r="K241" s="259">
        <v>0.107418275950595</v>
      </c>
      <c r="L241" s="259">
        <v>0.207118801547641</v>
      </c>
      <c r="M241" s="259">
        <v>0.00114458305398292</v>
      </c>
      <c r="N241" s="259">
        <v>0.00194056457538117</v>
      </c>
      <c r="O241" s="259">
        <v>0.418825741107922</v>
      </c>
      <c r="P241" s="259">
        <v>2.16058248921178</v>
      </c>
      <c r="Q241" s="259">
        <v>0.07314928615977789</v>
      </c>
      <c r="R241" s="259">
        <v>0.6310096678595341</v>
      </c>
      <c r="S241" s="259">
        <v>0.0285714236981046</v>
      </c>
      <c r="T241" s="259">
        <v>0.83475220199091</v>
      </c>
      <c r="U241" s="259">
        <v>0.948345558578771</v>
      </c>
      <c r="V241" s="259">
        <v>0.468147187692174</v>
      </c>
      <c r="W241" s="259"/>
      <c r="X241" s="119"/>
      <c r="Y241" s="259"/>
      <c r="Z241" s="259"/>
      <c r="AA241" s="259"/>
      <c r="AB241" s="259"/>
      <c r="AC241" s="258"/>
      <c r="AD241" s="260"/>
      <c r="AE241" s="261"/>
    </row>
    <row r="242" ht="21.25" customHeight="1">
      <c r="A242" t="s" s="10">
        <v>662</v>
      </c>
      <c r="B242" t="s" s="256">
        <v>949</v>
      </c>
      <c r="C242" s="257">
        <v>27</v>
      </c>
      <c r="D242" t="s" s="256">
        <v>917</v>
      </c>
      <c r="E242" s="119">
        <v>77.16</v>
      </c>
      <c r="F242" s="258">
        <v>15.1235895865437</v>
      </c>
      <c r="G242" s="259">
        <v>0.159701986504886</v>
      </c>
      <c r="H242" s="259">
        <v>0.327714093333782</v>
      </c>
      <c r="I242" s="259">
        <v>0.487416079838668</v>
      </c>
      <c r="J242" s="259">
        <v>1.79765589800815</v>
      </c>
      <c r="K242" s="259">
        <v>0.020855755584512</v>
      </c>
      <c r="L242" s="259">
        <v>0.08091680291082649</v>
      </c>
      <c r="M242" s="259">
        <v>0.009100950977106941</v>
      </c>
      <c r="N242" s="259">
        <v>0.0121232947021136</v>
      </c>
      <c r="O242" s="259">
        <v>0.461122019222706</v>
      </c>
      <c r="P242" s="259">
        <v>0.6034503551800821</v>
      </c>
      <c r="Q242" s="259">
        <v>0.00382598186479084</v>
      </c>
      <c r="R242" s="259">
        <v>0.238084213981138</v>
      </c>
      <c r="S242" s="259">
        <v>0.0276740523431068</v>
      </c>
      <c r="T242" s="259">
        <v>2.26975651309134</v>
      </c>
      <c r="U242" s="259">
        <v>2.9090787017097</v>
      </c>
      <c r="V242" s="259">
        <v>0.438275484534517</v>
      </c>
      <c r="W242" s="259"/>
      <c r="X242" s="119"/>
      <c r="Y242" s="258"/>
      <c r="Z242" s="258"/>
      <c r="AA242" s="258"/>
      <c r="AB242" s="258"/>
      <c r="AC242" s="258"/>
      <c r="AD242" s="260"/>
      <c r="AE242" s="261"/>
    </row>
    <row r="243" ht="21.25" customHeight="1">
      <c r="A243" t="s" s="10">
        <v>663</v>
      </c>
      <c r="B243" t="s" s="256">
        <v>926</v>
      </c>
      <c r="C243" s="257">
        <v>22</v>
      </c>
      <c r="D243" t="s" s="256">
        <v>916</v>
      </c>
      <c r="E243" s="119">
        <v>69.89</v>
      </c>
      <c r="F243" s="258">
        <v>12.9891207974517</v>
      </c>
      <c r="G243" s="259">
        <v>0.235358863409468</v>
      </c>
      <c r="H243" s="259">
        <v>0.251036416843795</v>
      </c>
      <c r="I243" s="259">
        <v>0.486395280253263</v>
      </c>
      <c r="J243" s="259">
        <v>1.86533184124453</v>
      </c>
      <c r="K243" s="259">
        <v>0.0217236123730037</v>
      </c>
      <c r="L243" s="259">
        <v>0.0570889683630962</v>
      </c>
      <c r="M243" s="259">
        <v>0.000144445056280572</v>
      </c>
      <c r="N243" s="259">
        <v>0.000244349992236323</v>
      </c>
      <c r="O243" s="259">
        <v>0.482096052711593</v>
      </c>
      <c r="P243" s="259">
        <v>0.909467031922676</v>
      </c>
      <c r="Q243" s="259">
        <v>0.0694042187954501</v>
      </c>
      <c r="R243" s="259">
        <v>0.202962728187466</v>
      </c>
      <c r="S243" s="259">
        <v>0.0376531991963469</v>
      </c>
      <c r="T243" s="259">
        <v>0.0691413496574243</v>
      </c>
      <c r="U243" s="259">
        <v>0.148975729307985</v>
      </c>
      <c r="V243" s="259">
        <v>0.316991910882821</v>
      </c>
      <c r="W243" s="259"/>
      <c r="X243" s="119"/>
      <c r="Y243" s="258"/>
      <c r="Z243" s="258"/>
      <c r="AA243" s="258"/>
      <c r="AB243" s="258"/>
      <c r="AC243" s="258"/>
      <c r="AD243" s="260"/>
      <c r="AE243" s="261"/>
    </row>
    <row r="244" ht="21.25" customHeight="1">
      <c r="A244" t="s" s="10">
        <v>418</v>
      </c>
      <c r="B244" t="s" s="256">
        <v>944</v>
      </c>
      <c r="C244" s="257">
        <v>26</v>
      </c>
      <c r="D244" t="s" s="256">
        <v>918</v>
      </c>
      <c r="E244" s="119">
        <v>73.855</v>
      </c>
      <c r="F244" s="258">
        <v>20.3342006339781</v>
      </c>
      <c r="G244" s="259">
        <v>0.141761141868856</v>
      </c>
      <c r="H244" s="259">
        <v>0.342842947002013</v>
      </c>
      <c r="I244" s="259">
        <v>0.484604088870869</v>
      </c>
      <c r="J244" s="259">
        <v>2.2549021218366</v>
      </c>
      <c r="K244" s="259">
        <v>0.0528097739652131</v>
      </c>
      <c r="L244" s="259">
        <v>0.125495676829475</v>
      </c>
      <c r="M244" s="259">
        <v>8.78727854258521e-05</v>
      </c>
      <c r="N244" s="259">
        <v>0.000432376980459856</v>
      </c>
      <c r="O244" s="259">
        <v>1.6511008393359</v>
      </c>
      <c r="P244" s="259">
        <v>0.944543718056029</v>
      </c>
      <c r="Q244" s="259">
        <v>-0.0334348429420445</v>
      </c>
      <c r="R244" s="259">
        <v>0.565985354773465</v>
      </c>
      <c r="S244" s="259">
        <v>0.0201176830119446</v>
      </c>
      <c r="T244" s="259">
        <v>0</v>
      </c>
      <c r="U244" s="259">
        <v>0</v>
      </c>
      <c r="V244" s="259">
        <v>0</v>
      </c>
      <c r="W244" s="259"/>
      <c r="X244" s="119"/>
      <c r="Y244" s="258"/>
      <c r="Z244" s="258"/>
      <c r="AA244" s="258"/>
      <c r="AB244" s="258"/>
      <c r="AC244" s="258"/>
      <c r="AD244" s="260"/>
      <c r="AE244" s="261"/>
    </row>
    <row r="245" ht="21.25" customHeight="1">
      <c r="A245" t="s" s="10">
        <v>579</v>
      </c>
      <c r="B245" t="s" s="256">
        <v>949</v>
      </c>
      <c r="C245" s="257">
        <v>31</v>
      </c>
      <c r="D245" t="s" s="256">
        <v>918</v>
      </c>
      <c r="E245" s="119">
        <v>80.89</v>
      </c>
      <c r="F245" s="258">
        <v>17.0298281324985</v>
      </c>
      <c r="G245" s="259">
        <v>0.108782551166283</v>
      </c>
      <c r="H245" s="259">
        <v>0.374128141333991</v>
      </c>
      <c r="I245" s="259">
        <v>0.482910692500274</v>
      </c>
      <c r="J245" s="259">
        <v>1.50007970214031</v>
      </c>
      <c r="K245" s="259">
        <v>0.0278601190815394</v>
      </c>
      <c r="L245" s="259">
        <v>0.203545753816927</v>
      </c>
      <c r="M245" s="259">
        <v>0.00271105455217437</v>
      </c>
      <c r="N245" s="259">
        <v>0.00324709006472499</v>
      </c>
      <c r="O245" s="259">
        <v>0.9577146870722399</v>
      </c>
      <c r="P245" s="259">
        <v>0.606472924135237</v>
      </c>
      <c r="Q245" s="259">
        <v>-0.0030603555507519</v>
      </c>
      <c r="R245" s="259">
        <v>0.251657418929631</v>
      </c>
      <c r="S245" s="259">
        <v>0.0188504481433004</v>
      </c>
      <c r="T245" s="259">
        <v>0</v>
      </c>
      <c r="U245" s="259">
        <v>0</v>
      </c>
      <c r="V245" s="259">
        <v>0</v>
      </c>
      <c r="W245" s="259"/>
      <c r="X245" s="119"/>
      <c r="Y245" s="258"/>
      <c r="Z245" s="258"/>
      <c r="AA245" s="258"/>
      <c r="AB245" s="258"/>
      <c r="AC245" s="258"/>
      <c r="AD245" s="260"/>
      <c r="AE245" s="261"/>
    </row>
    <row r="246" ht="21.25" customHeight="1">
      <c r="A246" t="s" s="10">
        <v>617</v>
      </c>
      <c r="B246" t="s" s="256">
        <v>939</v>
      </c>
      <c r="C246" s="257">
        <v>20</v>
      </c>
      <c r="D246" t="s" s="256">
        <v>917</v>
      </c>
      <c r="E246" s="119">
        <v>75</v>
      </c>
      <c r="F246" s="258">
        <v>15</v>
      </c>
      <c r="G246" s="259">
        <v>0.179129501149123</v>
      </c>
      <c r="H246" s="259">
        <v>0.303504557488267</v>
      </c>
      <c r="I246" s="259">
        <v>0.48263405863739</v>
      </c>
      <c r="J246" s="259">
        <v>1.61020133832771</v>
      </c>
      <c r="K246" s="259">
        <v>0.0399682868174605</v>
      </c>
      <c r="L246" s="259">
        <v>0.10768776979642</v>
      </c>
      <c r="M246" s="259">
        <v>0</v>
      </c>
      <c r="N246" s="259">
        <v>0</v>
      </c>
      <c r="O246" s="259">
        <v>0.426829268292683</v>
      </c>
      <c r="P246" s="259">
        <v>1.18309240326726</v>
      </c>
      <c r="Q246" s="259">
        <v>0.009020560065388041</v>
      </c>
      <c r="R246" s="259">
        <v>0.404066898383504</v>
      </c>
      <c r="S246" s="259">
        <v>0.0265546771217408</v>
      </c>
      <c r="T246" s="259">
        <v>0</v>
      </c>
      <c r="U246" s="259">
        <v>0</v>
      </c>
      <c r="V246" s="259">
        <v>0</v>
      </c>
      <c r="W246" s="259"/>
      <c r="X246" s="119"/>
      <c r="Y246" s="259"/>
      <c r="Z246" s="259"/>
      <c r="AA246" s="259"/>
      <c r="AB246" s="259"/>
      <c r="AC246" s="258"/>
      <c r="AD246" s="260"/>
      <c r="AE246" s="261"/>
    </row>
    <row r="247" ht="21.25" customHeight="1">
      <c r="A247" t="s" s="10">
        <v>493</v>
      </c>
      <c r="B247" t="s" s="256">
        <v>924</v>
      </c>
      <c r="C247" s="257">
        <v>34</v>
      </c>
      <c r="D247" t="s" s="256">
        <v>965</v>
      </c>
      <c r="E247" s="119">
        <v>76.88</v>
      </c>
      <c r="F247" s="258">
        <v>15.9412695209688</v>
      </c>
      <c r="G247" s="259">
        <v>0.235938472102273</v>
      </c>
      <c r="H247" s="259">
        <v>0.24453784670535</v>
      </c>
      <c r="I247" s="259">
        <v>0.480476318807623</v>
      </c>
      <c r="J247" s="259">
        <v>1.66907050784238</v>
      </c>
      <c r="K247" s="259">
        <v>0.0302875054859428</v>
      </c>
      <c r="L247" s="259">
        <v>0.0644419028927706</v>
      </c>
      <c r="M247" s="259">
        <v>0.00728714325660461</v>
      </c>
      <c r="N247" s="259">
        <v>0.0259442314980601</v>
      </c>
      <c r="O247" s="259">
        <v>0.836261449480095</v>
      </c>
      <c r="P247" s="259">
        <v>1.00126826268652</v>
      </c>
      <c r="Q247" s="259">
        <v>0.0102994080010683</v>
      </c>
      <c r="R247" s="259">
        <v>0.316446082852267</v>
      </c>
      <c r="S247" s="259">
        <v>0.0380982019454486</v>
      </c>
      <c r="T247" s="259">
        <v>6.13100541508368</v>
      </c>
      <c r="U247" s="259">
        <v>5.43652827983047</v>
      </c>
      <c r="V247" s="259">
        <v>0.530018375289391</v>
      </c>
      <c r="W247" s="259"/>
      <c r="X247" s="119"/>
      <c r="Y247" s="258"/>
      <c r="Z247" s="258"/>
      <c r="AA247" s="258"/>
      <c r="AB247" s="258"/>
      <c r="AC247" s="258"/>
      <c r="AD247" s="260"/>
      <c r="AE247" s="261"/>
    </row>
    <row r="248" ht="21.25" customHeight="1">
      <c r="A248" t="s" s="10">
        <v>377</v>
      </c>
      <c r="B248" t="s" s="256">
        <v>951</v>
      </c>
      <c r="C248" s="257">
        <v>27</v>
      </c>
      <c r="D248" t="s" s="256">
        <v>966</v>
      </c>
      <c r="E248" s="119">
        <v>79.465</v>
      </c>
      <c r="F248" s="258">
        <v>15.9187168299727</v>
      </c>
      <c r="G248" s="259">
        <v>0.249702848749268</v>
      </c>
      <c r="H248" s="259">
        <v>0.229414003737611</v>
      </c>
      <c r="I248" s="259">
        <v>0.479116852486879</v>
      </c>
      <c r="J248" s="259">
        <v>1.9162382319622</v>
      </c>
      <c r="K248" s="259">
        <v>0.0462286039669163</v>
      </c>
      <c r="L248" s="259">
        <v>0.07373154165940379</v>
      </c>
      <c r="M248" s="259">
        <v>0.00355871249828338</v>
      </c>
      <c r="N248" s="259">
        <v>0.0106759743798288</v>
      </c>
      <c r="O248" s="259">
        <v>0.6597127234676891</v>
      </c>
      <c r="P248" s="259">
        <v>2.03879855104171</v>
      </c>
      <c r="Q248" s="259">
        <v>-0.00209459433877609</v>
      </c>
      <c r="R248" s="259">
        <v>0.4736973547133</v>
      </c>
      <c r="S248" s="259">
        <v>0.0365388662485831</v>
      </c>
      <c r="T248" s="259">
        <v>0.345163211276596</v>
      </c>
      <c r="U248" s="259">
        <v>0.64514409962587</v>
      </c>
      <c r="V248" s="259">
        <v>0.348541515827091</v>
      </c>
      <c r="W248" s="259"/>
      <c r="X248" s="119"/>
      <c r="Y248" s="258"/>
      <c r="Z248" s="258"/>
      <c r="AA248" s="258"/>
      <c r="AB248" s="258"/>
      <c r="AC248" s="258"/>
      <c r="AD248" s="260"/>
      <c r="AE248" s="261"/>
    </row>
    <row r="249" ht="21.25" customHeight="1">
      <c r="A249" t="s" s="10">
        <v>722</v>
      </c>
      <c r="B249" t="s" s="256">
        <v>931</v>
      </c>
      <c r="C249" s="257">
        <v>23</v>
      </c>
      <c r="D249" t="s" s="256">
        <v>917</v>
      </c>
      <c r="E249" s="119">
        <v>74.4025</v>
      </c>
      <c r="F249" s="258">
        <v>14.2027660857726</v>
      </c>
      <c r="G249" s="259">
        <v>0.242249444780416</v>
      </c>
      <c r="H249" s="259">
        <v>0.235668814927028</v>
      </c>
      <c r="I249" s="259">
        <v>0.477918259707444</v>
      </c>
      <c r="J249" s="259">
        <v>1.56943086995631</v>
      </c>
      <c r="K249" s="259">
        <v>0.0184668390352986</v>
      </c>
      <c r="L249" s="259">
        <v>0.0450870242326197</v>
      </c>
      <c r="M249" s="259">
        <v>4.28591290253639e-05</v>
      </c>
      <c r="N249" s="259">
        <v>7.268989887261451e-05</v>
      </c>
      <c r="O249" s="259">
        <v>0.332581062993385</v>
      </c>
      <c r="P249" s="259">
        <v>0.513329806087728</v>
      </c>
      <c r="Q249" s="259">
        <v>0.0476364574324026</v>
      </c>
      <c r="R249" s="259">
        <v>0.285088308039803</v>
      </c>
      <c r="S249" s="259">
        <v>0.0395976833515083</v>
      </c>
      <c r="T249" s="259">
        <v>0.102780984314678</v>
      </c>
      <c r="U249" s="259">
        <v>0.194940718291411</v>
      </c>
      <c r="V249" s="259">
        <v>0.345225032018125</v>
      </c>
      <c r="W249" s="259"/>
      <c r="X249" s="119"/>
      <c r="Y249" s="258"/>
      <c r="Z249" s="258"/>
      <c r="AA249" s="258"/>
      <c r="AB249" s="258"/>
      <c r="AC249" s="258"/>
      <c r="AD249" s="260"/>
      <c r="AE249" s="261"/>
    </row>
    <row r="250" ht="21.25" customHeight="1">
      <c r="A250" t="s" s="10">
        <v>672</v>
      </c>
      <c r="B250" t="s" s="256">
        <v>945</v>
      </c>
      <c r="C250" s="257">
        <v>29</v>
      </c>
      <c r="D250" t="s" s="256">
        <v>917</v>
      </c>
      <c r="E250" s="119">
        <v>74.0475</v>
      </c>
      <c r="F250" s="258">
        <v>13.8291653734943</v>
      </c>
      <c r="G250" s="259">
        <v>0.221244888468063</v>
      </c>
      <c r="H250" s="259">
        <v>0.251764594259418</v>
      </c>
      <c r="I250" s="259">
        <v>0.473009482727481</v>
      </c>
      <c r="J250" s="259">
        <v>1.57414789929245</v>
      </c>
      <c r="K250" s="259">
        <v>0.0229136652640146</v>
      </c>
      <c r="L250" s="259">
        <v>0.0610470118255666</v>
      </c>
      <c r="M250" s="259">
        <v>4.37831877336228e-05</v>
      </c>
      <c r="N250" s="259">
        <v>7.42788242024251e-05</v>
      </c>
      <c r="O250" s="259">
        <v>0.398249733787156</v>
      </c>
      <c r="P250" s="259">
        <v>0.855637428773583</v>
      </c>
      <c r="Q250" s="259">
        <v>0.018949619069171</v>
      </c>
      <c r="R250" s="259">
        <v>0.363913730514727</v>
      </c>
      <c r="S250" s="259">
        <v>0.0321432933364394</v>
      </c>
      <c r="T250" s="259">
        <v>0.06813194463507</v>
      </c>
      <c r="U250" s="259">
        <v>0.087212559937119</v>
      </c>
      <c r="V250" s="259">
        <v>0.438586127154623</v>
      </c>
      <c r="W250" s="259"/>
      <c r="X250" s="119"/>
      <c r="Y250" s="258"/>
      <c r="Z250" s="258"/>
      <c r="AA250" s="258"/>
      <c r="AB250" s="258"/>
      <c r="AC250" s="258"/>
      <c r="AD250" s="260"/>
      <c r="AE250" s="261"/>
    </row>
    <row r="251" ht="21.25" customHeight="1">
      <c r="A251" t="s" s="10">
        <v>476</v>
      </c>
      <c r="B251" t="s" s="256">
        <v>928</v>
      </c>
      <c r="C251" s="257">
        <v>30</v>
      </c>
      <c r="D251" t="s" s="256">
        <v>918</v>
      </c>
      <c r="E251" s="119">
        <v>79.0575</v>
      </c>
      <c r="F251" s="258">
        <v>23.2622512794598</v>
      </c>
      <c r="G251" s="259">
        <v>0.08079947946068559</v>
      </c>
      <c r="H251" s="259">
        <v>0.389379324753276</v>
      </c>
      <c r="I251" s="259">
        <v>0.470178804213962</v>
      </c>
      <c r="J251" s="259">
        <v>1.62627734935766</v>
      </c>
      <c r="K251" s="259">
        <v>0.012858617243102</v>
      </c>
      <c r="L251" s="259">
        <v>0.112436457962286</v>
      </c>
      <c r="M251" s="259">
        <v>0.000327821704421195</v>
      </c>
      <c r="N251" s="259">
        <v>0.00332912632552866</v>
      </c>
      <c r="O251" s="259">
        <v>1.40991795841596</v>
      </c>
      <c r="P251" s="259">
        <v>0.876287350138251</v>
      </c>
      <c r="Q251" s="259">
        <v>0.0552673237752429</v>
      </c>
      <c r="R251" s="259">
        <v>0.676177932193652</v>
      </c>
      <c r="S251" s="259">
        <v>0.0125848193358384</v>
      </c>
      <c r="T251" s="259">
        <v>0</v>
      </c>
      <c r="U251" s="259">
        <v>0</v>
      </c>
      <c r="V251" s="259">
        <v>0</v>
      </c>
      <c r="W251" s="259"/>
      <c r="X251" s="119"/>
      <c r="Y251" s="258"/>
      <c r="Z251" s="258"/>
      <c r="AA251" s="258"/>
      <c r="AB251" s="258"/>
      <c r="AC251" s="258"/>
      <c r="AD251" s="260"/>
      <c r="AE251" s="261"/>
    </row>
    <row r="252" ht="21.25" customHeight="1">
      <c r="A252" t="s" s="10">
        <v>536</v>
      </c>
      <c r="B252" t="s" s="256">
        <v>940</v>
      </c>
      <c r="C252" s="257">
        <v>22</v>
      </c>
      <c r="D252" t="s" s="256">
        <v>915</v>
      </c>
      <c r="E252" s="119">
        <v>71.13</v>
      </c>
      <c r="F252" s="258">
        <v>15.6174642662017</v>
      </c>
      <c r="G252" s="259">
        <v>0.209611939094688</v>
      </c>
      <c r="H252" s="259">
        <v>0.260188093581223</v>
      </c>
      <c r="I252" s="259">
        <v>0.469800032675911</v>
      </c>
      <c r="J252" s="259">
        <v>1.54420215272786</v>
      </c>
      <c r="K252" s="259">
        <v>0.0404344179629827</v>
      </c>
      <c r="L252" s="259">
        <v>0.0869749317635883</v>
      </c>
      <c r="M252" s="259">
        <v>0.0168612368921507</v>
      </c>
      <c r="N252" s="259">
        <v>0.0200369613187428</v>
      </c>
      <c r="O252" s="259">
        <v>0.563142574959652</v>
      </c>
      <c r="P252" s="259">
        <v>1.66743955516494</v>
      </c>
      <c r="Q252" s="259">
        <v>0.0123134348247263</v>
      </c>
      <c r="R252" s="259">
        <v>0.76878583260011</v>
      </c>
      <c r="S252" s="259">
        <v>0.0325452382622895</v>
      </c>
      <c r="T252" s="259">
        <v>2.84915554927693</v>
      </c>
      <c r="U252" s="259">
        <v>3.75640542814082</v>
      </c>
      <c r="V252" s="259">
        <v>0.431326810700447</v>
      </c>
      <c r="W252" s="259"/>
      <c r="X252" s="119"/>
      <c r="Y252" s="258"/>
      <c r="Z252" s="258"/>
      <c r="AA252" s="258"/>
      <c r="AB252" s="258"/>
      <c r="AC252" s="258"/>
      <c r="AD252" s="260"/>
      <c r="AE252" s="261"/>
    </row>
    <row r="253" ht="21.25" customHeight="1">
      <c r="A253" t="s" s="10">
        <v>731</v>
      </c>
      <c r="B253" t="s" s="256">
        <v>941</v>
      </c>
      <c r="C253" s="257">
        <v>29</v>
      </c>
      <c r="D253" t="s" s="256">
        <v>916</v>
      </c>
      <c r="E253" s="119">
        <v>74.565</v>
      </c>
      <c r="F253" s="258">
        <v>13.4907216431418</v>
      </c>
      <c r="G253" s="259">
        <v>0.247169119926494</v>
      </c>
      <c r="H253" s="259">
        <v>0.222052525767061</v>
      </c>
      <c r="I253" s="259">
        <v>0.469221645693555</v>
      </c>
      <c r="J253" s="259">
        <v>1.68538180006289</v>
      </c>
      <c r="K253" s="259">
        <v>0.031646468545949</v>
      </c>
      <c r="L253" s="259">
        <v>0.0619527613889784</v>
      </c>
      <c r="M253" s="259">
        <v>3.93975299984414e-05</v>
      </c>
      <c r="N253" s="259">
        <v>0.000126213378276664</v>
      </c>
      <c r="O253" s="259">
        <v>0.260593479259591</v>
      </c>
      <c r="P253" s="259">
        <v>0.513083945506671</v>
      </c>
      <c r="Q253" s="259">
        <v>-0.0326470035361304</v>
      </c>
      <c r="R253" s="259">
        <v>0.141217838031772</v>
      </c>
      <c r="S253" s="259">
        <v>0.0375947417319295</v>
      </c>
      <c r="T253" s="259">
        <v>0.00311812325891562</v>
      </c>
      <c r="U253" s="259">
        <v>0.0415745436843482</v>
      </c>
      <c r="V253" s="259">
        <v>0.0697681179526385</v>
      </c>
      <c r="W253" s="259"/>
      <c r="X253" s="119"/>
      <c r="Y253" s="258"/>
      <c r="Z253" s="258"/>
      <c r="AA253" s="258"/>
      <c r="AB253" s="258"/>
      <c r="AC253" s="258"/>
      <c r="AD253" s="260"/>
      <c r="AE253" s="261"/>
    </row>
    <row r="254" ht="21.25" customHeight="1">
      <c r="A254" t="s" s="10">
        <v>538</v>
      </c>
      <c r="B254" t="s" s="256">
        <v>935</v>
      </c>
      <c r="C254" s="257">
        <v>29</v>
      </c>
      <c r="D254" t="s" s="256">
        <v>916</v>
      </c>
      <c r="E254" s="119">
        <v>77.6725</v>
      </c>
      <c r="F254" s="258">
        <v>14.2847206261425</v>
      </c>
      <c r="G254" s="259">
        <v>0.207069818408957</v>
      </c>
      <c r="H254" s="259">
        <v>0.258912966166456</v>
      </c>
      <c r="I254" s="259">
        <v>0.465982784575413</v>
      </c>
      <c r="J254" s="259">
        <v>1.68818613529406</v>
      </c>
      <c r="K254" s="259">
        <v>0.00698432599012277</v>
      </c>
      <c r="L254" s="259">
        <v>0.0117171068751122</v>
      </c>
      <c r="M254" s="259">
        <v>0.0100448161039205</v>
      </c>
      <c r="N254" s="259">
        <v>0.0114755773504224</v>
      </c>
      <c r="O254" s="259">
        <v>0.586781547460355</v>
      </c>
      <c r="P254" s="259">
        <v>1.24617361917649</v>
      </c>
      <c r="Q254" s="259">
        <v>0.0362476793007156</v>
      </c>
      <c r="R254" s="259">
        <v>0.324448045610024</v>
      </c>
      <c r="S254" s="259">
        <v>0.0353621832947988</v>
      </c>
      <c r="T254" s="259">
        <v>0.0967293450201943</v>
      </c>
      <c r="U254" s="259">
        <v>0.235316876782334</v>
      </c>
      <c r="V254" s="259">
        <v>0.291312891606158</v>
      </c>
      <c r="W254" s="259"/>
      <c r="X254" s="119"/>
      <c r="Y254" s="259"/>
      <c r="Z254" s="259"/>
      <c r="AA254" s="259"/>
      <c r="AB254" s="259"/>
      <c r="AC254" s="258"/>
      <c r="AD254" s="260"/>
      <c r="AE254" s="261"/>
    </row>
    <row r="255" ht="21.25" customHeight="1">
      <c r="A255" t="s" s="10">
        <v>483</v>
      </c>
      <c r="B255" t="s" s="256">
        <v>926</v>
      </c>
      <c r="C255" s="257">
        <v>28</v>
      </c>
      <c r="D255" t="s" s="256">
        <v>916</v>
      </c>
      <c r="E255" s="119">
        <v>69.89</v>
      </c>
      <c r="F255" s="258">
        <v>13.6068579773954</v>
      </c>
      <c r="G255" s="259">
        <v>0.250598716131941</v>
      </c>
      <c r="H255" s="259">
        <v>0.21459803573093</v>
      </c>
      <c r="I255" s="259">
        <v>0.465196751862871</v>
      </c>
      <c r="J255" s="259">
        <v>2.29161343649472</v>
      </c>
      <c r="K255" s="259">
        <v>0.008762532731237871</v>
      </c>
      <c r="L255" s="259">
        <v>0.015139775592146</v>
      </c>
      <c r="M255" s="259">
        <v>0.00198671299403971</v>
      </c>
      <c r="N255" s="259">
        <v>0.00335566684587165</v>
      </c>
      <c r="O255" s="259">
        <v>0.398156905144895</v>
      </c>
      <c r="P255" s="259">
        <v>2.14739740200609</v>
      </c>
      <c r="Q255" s="259">
        <v>0.0764307802109882</v>
      </c>
      <c r="R255" s="259">
        <v>0.499833802684411</v>
      </c>
      <c r="S255" s="259">
        <v>0.0400913024484175</v>
      </c>
      <c r="T255" s="259">
        <v>0.12451733520189</v>
      </c>
      <c r="U255" s="259">
        <v>0.08722172612460639</v>
      </c>
      <c r="V255" s="259">
        <v>0.5880697421714139</v>
      </c>
      <c r="W255" s="259"/>
      <c r="X255" s="119"/>
      <c r="Y255" s="258"/>
      <c r="Z255" s="258"/>
      <c r="AA255" s="258"/>
      <c r="AB255" s="258"/>
      <c r="AC255" s="258"/>
      <c r="AD255" s="260"/>
      <c r="AE255" s="261"/>
    </row>
    <row r="256" ht="21.25" customHeight="1">
      <c r="A256" t="s" s="10">
        <v>761</v>
      </c>
      <c r="B256" t="s" s="256">
        <v>952</v>
      </c>
      <c r="C256" s="257">
        <v>21</v>
      </c>
      <c r="D256" t="s" s="256">
        <v>915</v>
      </c>
      <c r="E256" s="119">
        <v>70.5175</v>
      </c>
      <c r="F256" s="258">
        <v>13.9842743888701</v>
      </c>
      <c r="G256" s="259">
        <v>0.18473092865377</v>
      </c>
      <c r="H256" s="259">
        <v>0.279881010734087</v>
      </c>
      <c r="I256" s="259">
        <v>0.464611939387857</v>
      </c>
      <c r="J256" s="259">
        <v>1.53071766383442</v>
      </c>
      <c r="K256" s="259">
        <v>0.0331604597936898</v>
      </c>
      <c r="L256" s="259">
        <v>0.09891535298498701</v>
      </c>
      <c r="M256" s="259">
        <v>0</v>
      </c>
      <c r="N256" s="259">
        <v>0</v>
      </c>
      <c r="O256" s="259">
        <v>0.398733718256862</v>
      </c>
      <c r="P256" s="259">
        <v>0.418994997903674</v>
      </c>
      <c r="Q256" s="259">
        <v>-0.08560999673700891</v>
      </c>
      <c r="R256" s="259">
        <v>0.255488946712702</v>
      </c>
      <c r="S256" s="259">
        <v>0.0204283495096906</v>
      </c>
      <c r="T256" s="259">
        <v>0.263116418319076</v>
      </c>
      <c r="U256" s="259">
        <v>0.558139804328516</v>
      </c>
      <c r="V256" s="259">
        <v>0.32038286111347</v>
      </c>
      <c r="W256" s="259"/>
      <c r="X256" s="119"/>
      <c r="Y256" s="258"/>
      <c r="Z256" s="258"/>
      <c r="AA256" s="258"/>
      <c r="AB256" s="258"/>
      <c r="AC256" s="258"/>
      <c r="AD256" s="260"/>
      <c r="AE256" s="261"/>
    </row>
    <row r="257" ht="21.25" customHeight="1">
      <c r="A257" t="s" s="10">
        <v>415</v>
      </c>
      <c r="B257" t="s" s="256">
        <v>942</v>
      </c>
      <c r="C257" s="257">
        <v>25</v>
      </c>
      <c r="D257" t="s" s="256">
        <v>915</v>
      </c>
      <c r="E257" s="119">
        <v>77.0125</v>
      </c>
      <c r="F257" s="258">
        <v>15.3127882784525</v>
      </c>
      <c r="G257" s="259">
        <v>0.18696686164035</v>
      </c>
      <c r="H257" s="259">
        <v>0.2773052279257</v>
      </c>
      <c r="I257" s="259">
        <v>0.46427208956605</v>
      </c>
      <c r="J257" s="259">
        <v>1.47290929960913</v>
      </c>
      <c r="K257" s="259">
        <v>0.00282032811657185</v>
      </c>
      <c r="L257" s="259">
        <v>0.00938945936753891</v>
      </c>
      <c r="M257" s="259">
        <v>0.00198146472110837</v>
      </c>
      <c r="N257" s="259">
        <v>0.0180396643386354</v>
      </c>
      <c r="O257" s="259">
        <v>0.924218068840256</v>
      </c>
      <c r="P257" s="259">
        <v>1.68028395640766</v>
      </c>
      <c r="Q257" s="259">
        <v>-0.036207493096745</v>
      </c>
      <c r="R257" s="259">
        <v>0.611777843965789</v>
      </c>
      <c r="S257" s="259">
        <v>0.0256785270678948</v>
      </c>
      <c r="T257" s="259">
        <v>1.8109523968648</v>
      </c>
      <c r="U257" s="259">
        <v>1.84435026682756</v>
      </c>
      <c r="V257" s="259">
        <v>0.495431586241202</v>
      </c>
      <c r="W257" s="259"/>
      <c r="X257" s="119"/>
      <c r="Y257" s="258"/>
      <c r="Z257" s="258"/>
      <c r="AA257" s="258"/>
      <c r="AB257" s="258"/>
      <c r="AC257" s="258"/>
      <c r="AD257" s="260"/>
      <c r="AE257" s="261"/>
    </row>
    <row r="258" ht="21.25" customHeight="1">
      <c r="A258" t="s" s="10">
        <v>626</v>
      </c>
      <c r="B258" t="s" s="256">
        <v>939</v>
      </c>
      <c r="C258" s="257">
        <v>26</v>
      </c>
      <c r="D258" t="s" s="256">
        <v>916</v>
      </c>
      <c r="E258" s="119">
        <v>70.5475</v>
      </c>
      <c r="F258" s="258">
        <v>15.4189461740625</v>
      </c>
      <c r="G258" s="259">
        <v>0.216958448137365</v>
      </c>
      <c r="H258" s="259">
        <v>0.246360422684504</v>
      </c>
      <c r="I258" s="259">
        <v>0.463318870821869</v>
      </c>
      <c r="J258" s="259">
        <v>1.96644817743506</v>
      </c>
      <c r="K258" s="259">
        <v>0.000902333785411572</v>
      </c>
      <c r="L258" s="259">
        <v>0.00208692436481225</v>
      </c>
      <c r="M258" s="259">
        <v>0.014251010548577</v>
      </c>
      <c r="N258" s="259">
        <v>0.0282713454609687</v>
      </c>
      <c r="O258" s="259">
        <v>0.692459282402095</v>
      </c>
      <c r="P258" s="259">
        <v>0.85696949875797</v>
      </c>
      <c r="Q258" s="259">
        <v>0.00256627225679774</v>
      </c>
      <c r="R258" s="259">
        <v>0.317060030604533</v>
      </c>
      <c r="S258" s="259">
        <v>0.0321625500108187</v>
      </c>
      <c r="T258" s="259">
        <v>0.324219349866215</v>
      </c>
      <c r="U258" s="259">
        <v>0.386143581830253</v>
      </c>
      <c r="V258" s="259">
        <v>0.456413666028327</v>
      </c>
      <c r="W258" s="259"/>
      <c r="X258" s="119"/>
      <c r="Y258" s="258"/>
      <c r="Z258" s="258"/>
      <c r="AA258" s="258"/>
      <c r="AB258" s="258"/>
      <c r="AC258" s="258"/>
      <c r="AD258" s="260"/>
      <c r="AE258" s="261"/>
    </row>
    <row r="259" ht="21.25" customHeight="1">
      <c r="A259" t="s" s="10">
        <v>745</v>
      </c>
      <c r="B259" t="s" s="256">
        <v>930</v>
      </c>
      <c r="C259" s="257">
        <v>23</v>
      </c>
      <c r="D259" t="s" s="256">
        <v>915</v>
      </c>
      <c r="E259" s="119">
        <v>67.14</v>
      </c>
      <c r="F259" s="258">
        <v>13.0759227716082</v>
      </c>
      <c r="G259" s="259">
        <v>0.161781222266468</v>
      </c>
      <c r="H259" s="259">
        <v>0.300970117676041</v>
      </c>
      <c r="I259" s="259">
        <v>0.462751339942509</v>
      </c>
      <c r="J259" s="259">
        <v>1.60992828055739</v>
      </c>
      <c r="K259" s="259">
        <v>0.0184819944514728</v>
      </c>
      <c r="L259" s="259">
        <v>0.0538324006172569</v>
      </c>
      <c r="M259" s="259">
        <v>3.90240478084763e-06</v>
      </c>
      <c r="N259" s="259">
        <v>6.50408782391477e-06</v>
      </c>
      <c r="O259" s="259">
        <v>0.468166614413117</v>
      </c>
      <c r="P259" s="259">
        <v>0.656022761504322</v>
      </c>
      <c r="Q259" s="259">
        <v>0.0152499724460032</v>
      </c>
      <c r="R259" s="259">
        <v>0.247376332189451</v>
      </c>
      <c r="S259" s="259">
        <v>0.0229070594875317</v>
      </c>
      <c r="T259" s="259">
        <v>0.195907814659639</v>
      </c>
      <c r="U259" s="259">
        <v>0.360011685193679</v>
      </c>
      <c r="V259" s="259">
        <v>0.352403207139398</v>
      </c>
      <c r="W259" s="259"/>
      <c r="X259" s="119"/>
      <c r="Y259" s="258"/>
      <c r="Z259" s="258"/>
      <c r="AA259" s="258"/>
      <c r="AB259" s="258"/>
      <c r="AC259" s="258"/>
      <c r="AD259" s="260"/>
      <c r="AE259" s="261"/>
    </row>
    <row r="260" ht="21.25" customHeight="1">
      <c r="A260" t="s" s="10">
        <v>613</v>
      </c>
      <c r="B260" t="s" s="256">
        <v>941</v>
      </c>
      <c r="C260" s="257">
        <v>27</v>
      </c>
      <c r="D260" t="s" s="256">
        <v>967</v>
      </c>
      <c r="E260" s="119">
        <v>77.16249999999999</v>
      </c>
      <c r="F260" s="258">
        <v>14.653999081503</v>
      </c>
      <c r="G260" s="259">
        <v>0.175542736430756</v>
      </c>
      <c r="H260" s="259">
        <v>0.286765056877129</v>
      </c>
      <c r="I260" s="259">
        <v>0.462307793307885</v>
      </c>
      <c r="J260" s="259">
        <v>1.51024198741053</v>
      </c>
      <c r="K260" s="259">
        <v>0.0154532966475533</v>
      </c>
      <c r="L260" s="259">
        <v>0.0517932431696754</v>
      </c>
      <c r="M260" s="259">
        <v>0.00690903089503078</v>
      </c>
      <c r="N260" s="259">
        <v>0.0131422737579619</v>
      </c>
      <c r="O260" s="259">
        <v>0.512828284944879</v>
      </c>
      <c r="P260" s="259">
        <v>1.093302946574</v>
      </c>
      <c r="Q260" s="259">
        <v>0.0343964672871304</v>
      </c>
      <c r="R260" s="259">
        <v>0.415049521260412</v>
      </c>
      <c r="S260" s="259">
        <v>0.0267002764786842</v>
      </c>
      <c r="T260" s="259">
        <v>5.00705113667234</v>
      </c>
      <c r="U260" s="259">
        <v>5.47924369653357</v>
      </c>
      <c r="V260" s="259">
        <v>0.477485252542872</v>
      </c>
      <c r="W260" s="259"/>
      <c r="X260" s="119"/>
      <c r="Y260" s="258"/>
      <c r="Z260" s="258"/>
      <c r="AA260" s="258"/>
      <c r="AB260" s="258"/>
      <c r="AC260" s="258"/>
      <c r="AD260" s="260"/>
      <c r="AE260" s="261"/>
    </row>
    <row r="261" ht="21.25" customHeight="1">
      <c r="A261" t="s" s="10">
        <v>528</v>
      </c>
      <c r="B261" t="s" s="256">
        <v>959</v>
      </c>
      <c r="C261" s="257">
        <v>25</v>
      </c>
      <c r="D261" t="s" s="256">
        <v>966</v>
      </c>
      <c r="E261" s="119">
        <v>76.7675</v>
      </c>
      <c r="F261" s="258">
        <v>16.1113148583475</v>
      </c>
      <c r="G261" s="259">
        <v>0.205714525840619</v>
      </c>
      <c r="H261" s="259">
        <v>0.255845940663844</v>
      </c>
      <c r="I261" s="259">
        <v>0.461560466504463</v>
      </c>
      <c r="J261" s="259">
        <v>2.16281237211706</v>
      </c>
      <c r="K261" s="259">
        <v>0.0507959574129423</v>
      </c>
      <c r="L261" s="259">
        <v>0.136551131424696</v>
      </c>
      <c r="M261" s="259">
        <v>0.00333398565246775</v>
      </c>
      <c r="N261" s="259">
        <v>0.00379449641562654</v>
      </c>
      <c r="O261" s="259">
        <v>0.648895449988544</v>
      </c>
      <c r="P261" s="259">
        <v>1.11398796381895</v>
      </c>
      <c r="Q261" s="259">
        <v>-0.126408032213773</v>
      </c>
      <c r="R261" s="259">
        <v>0.336498893666655</v>
      </c>
      <c r="S261" s="259">
        <v>0.0219723942025273</v>
      </c>
      <c r="T261" s="259">
        <v>0.300765958602003</v>
      </c>
      <c r="U261" s="259">
        <v>0.511554556865098</v>
      </c>
      <c r="V261" s="259">
        <v>0.370255278397169</v>
      </c>
      <c r="W261" s="259"/>
      <c r="X261" s="119"/>
      <c r="Y261" s="258"/>
      <c r="Z261" s="258"/>
      <c r="AA261" s="258"/>
      <c r="AB261" s="258"/>
      <c r="AC261" s="258"/>
      <c r="AD261" s="260"/>
      <c r="AE261" s="261"/>
    </row>
    <row r="262" ht="21.25" customHeight="1">
      <c r="A262" t="s" s="10">
        <v>496</v>
      </c>
      <c r="B262" t="s" s="256">
        <v>934</v>
      </c>
      <c r="C262" s="257">
        <v>21</v>
      </c>
      <c r="D262" t="s" s="256">
        <v>918</v>
      </c>
      <c r="E262" s="119">
        <v>80.1525</v>
      </c>
      <c r="F262" s="258">
        <v>22.6385861874166</v>
      </c>
      <c r="G262" s="259">
        <v>0.0829610059648047</v>
      </c>
      <c r="H262" s="259">
        <v>0.37754996477321</v>
      </c>
      <c r="I262" s="259">
        <v>0.460510970738015</v>
      </c>
      <c r="J262" s="259">
        <v>1.5069308002025</v>
      </c>
      <c r="K262" s="259">
        <v>0.00266309674095131</v>
      </c>
      <c r="L262" s="259">
        <v>0.08311507064686489</v>
      </c>
      <c r="M262" s="259">
        <v>0.00050607273298224</v>
      </c>
      <c r="N262" s="259">
        <v>0.0129946039893382</v>
      </c>
      <c r="O262" s="259">
        <v>1.42717344416966</v>
      </c>
      <c r="P262" s="259">
        <v>0.687394163120561</v>
      </c>
      <c r="Q262" s="259">
        <v>0.00162090942584648</v>
      </c>
      <c r="R262" s="259">
        <v>0.329457418635429</v>
      </c>
      <c r="S262" s="259">
        <v>0.0117352852592</v>
      </c>
      <c r="T262" s="259">
        <v>0</v>
      </c>
      <c r="U262" s="259">
        <v>0</v>
      </c>
      <c r="V262" s="259">
        <v>0</v>
      </c>
      <c r="W262" s="259"/>
      <c r="X262" s="119"/>
      <c r="Y262" s="258"/>
      <c r="Z262" s="258"/>
      <c r="AA262" s="258"/>
      <c r="AB262" s="258"/>
      <c r="AC262" s="258"/>
      <c r="AD262" s="260"/>
      <c r="AE262" s="261"/>
    </row>
    <row r="263" ht="21.25" customHeight="1">
      <c r="A263" t="s" s="10">
        <v>521</v>
      </c>
      <c r="B263" t="s" s="256">
        <v>945</v>
      </c>
      <c r="C263" s="257">
        <v>35</v>
      </c>
      <c r="D263" t="s" s="256">
        <v>965</v>
      </c>
      <c r="E263" s="119">
        <v>82.03</v>
      </c>
      <c r="F263" s="258">
        <v>18.3645587074452</v>
      </c>
      <c r="G263" s="259">
        <v>0.156628966826911</v>
      </c>
      <c r="H263" s="259">
        <v>0.302518922321367</v>
      </c>
      <c r="I263" s="259">
        <v>0.459147889148278</v>
      </c>
      <c r="J263" s="259">
        <v>2.53476331996362</v>
      </c>
      <c r="K263" s="259">
        <v>0.0217884880553115</v>
      </c>
      <c r="L263" s="259">
        <v>0.0585183346362527</v>
      </c>
      <c r="M263" s="259">
        <v>0.00888739553390846</v>
      </c>
      <c r="N263" s="259">
        <v>0.02507905204524</v>
      </c>
      <c r="O263" s="259">
        <v>0.416853059375249</v>
      </c>
      <c r="P263" s="259">
        <v>0.9255385766229161</v>
      </c>
      <c r="Q263" s="259">
        <v>-0.0177625743797263</v>
      </c>
      <c r="R263" s="259">
        <v>0.381569303708853</v>
      </c>
      <c r="S263" s="259">
        <v>0.0227556480990863</v>
      </c>
      <c r="T263" s="259">
        <v>8.907759036535809</v>
      </c>
      <c r="U263" s="259">
        <v>8.71737007540816</v>
      </c>
      <c r="V263" s="259">
        <v>0.505401065714708</v>
      </c>
      <c r="W263" s="259"/>
      <c r="X263" s="119"/>
      <c r="Y263" s="258"/>
      <c r="Z263" s="258"/>
      <c r="AA263" s="258"/>
      <c r="AB263" s="258"/>
      <c r="AC263" s="258"/>
      <c r="AD263" s="260"/>
      <c r="AE263" s="261"/>
    </row>
    <row r="264" ht="21.25" customHeight="1">
      <c r="A264" t="s" s="10">
        <v>575</v>
      </c>
      <c r="B264" t="s" s="256">
        <v>932</v>
      </c>
      <c r="C264" s="257">
        <v>31</v>
      </c>
      <c r="D264" t="s" s="256">
        <v>965</v>
      </c>
      <c r="E264" s="119">
        <v>79.8875</v>
      </c>
      <c r="F264" s="258">
        <v>14.8915787678441</v>
      </c>
      <c r="G264" s="259">
        <v>0.164715105358985</v>
      </c>
      <c r="H264" s="259">
        <v>0.293657881970719</v>
      </c>
      <c r="I264" s="259">
        <v>0.458372987329704</v>
      </c>
      <c r="J264" s="259">
        <v>2.28444182772522</v>
      </c>
      <c r="K264" s="259">
        <v>0.0429577306475342</v>
      </c>
      <c r="L264" s="259">
        <v>0.099754304929123</v>
      </c>
      <c r="M264" s="259">
        <v>0.00018013874495034</v>
      </c>
      <c r="N264" s="259">
        <v>0.000312384055718216</v>
      </c>
      <c r="O264" s="259">
        <v>0.362682504344143</v>
      </c>
      <c r="P264" s="259">
        <v>1.02683459711495</v>
      </c>
      <c r="Q264" s="259">
        <v>0.08097439028889659</v>
      </c>
      <c r="R264" s="259">
        <v>0.349763560377578</v>
      </c>
      <c r="S264" s="259">
        <v>0.0280611503965272</v>
      </c>
      <c r="T264" s="259">
        <v>0.789151508519527</v>
      </c>
      <c r="U264" s="259">
        <v>0.817162040464514</v>
      </c>
      <c r="V264" s="259">
        <v>0.491281113216438</v>
      </c>
      <c r="W264" s="259"/>
      <c r="X264" s="119"/>
      <c r="Y264" s="258"/>
      <c r="Z264" s="258"/>
      <c r="AA264" s="258"/>
      <c r="AB264" s="258"/>
      <c r="AC264" s="258"/>
      <c r="AD264" s="260"/>
      <c r="AE264" s="261"/>
    </row>
    <row r="265" ht="21.25" customHeight="1">
      <c r="A265" t="s" s="10">
        <v>576</v>
      </c>
      <c r="B265" t="s" s="256">
        <v>929</v>
      </c>
      <c r="C265" s="257">
        <v>33</v>
      </c>
      <c r="D265" t="s" s="256">
        <v>916</v>
      </c>
      <c r="E265" s="119">
        <v>75.04000000000001</v>
      </c>
      <c r="F265" s="258">
        <v>15.747910134953</v>
      </c>
      <c r="G265" s="259">
        <v>0.162243569765398</v>
      </c>
      <c r="H265" s="259">
        <v>0.294793944195832</v>
      </c>
      <c r="I265" s="259">
        <v>0.45703751396123</v>
      </c>
      <c r="J265" s="259">
        <v>1.59736522973852</v>
      </c>
      <c r="K265" s="259">
        <v>0.0170086819036759</v>
      </c>
      <c r="L265" s="259">
        <v>0.065347572851501</v>
      </c>
      <c r="M265" s="259">
        <v>0.00152389490379358</v>
      </c>
      <c r="N265" s="259">
        <v>0.00507122236059367</v>
      </c>
      <c r="O265" s="259">
        <v>0.692451868297973</v>
      </c>
      <c r="P265" s="259">
        <v>1.2367217412594</v>
      </c>
      <c r="Q265" s="259">
        <v>0.0562023858356983</v>
      </c>
      <c r="R265" s="259">
        <v>0.319670817667974</v>
      </c>
      <c r="S265" s="259">
        <v>0.0244787129236992</v>
      </c>
      <c r="T265" s="259">
        <v>0.0321387304642078</v>
      </c>
      <c r="U265" s="259">
        <v>0.200158508214032</v>
      </c>
      <c r="V265" s="259">
        <v>0.138351754188193</v>
      </c>
      <c r="W265" s="259"/>
      <c r="X265" s="119"/>
      <c r="Y265" s="259"/>
      <c r="Z265" s="259"/>
      <c r="AA265" s="259"/>
      <c r="AB265" s="259"/>
      <c r="AC265" s="258"/>
      <c r="AD265" s="260"/>
      <c r="AE265" s="261"/>
    </row>
    <row r="266" ht="21.25" customHeight="1">
      <c r="A266" t="s" s="10">
        <v>776</v>
      </c>
      <c r="B266" t="s" s="256">
        <v>956</v>
      </c>
      <c r="C266" s="257">
        <v>23</v>
      </c>
      <c r="D266" t="s" s="256">
        <v>917</v>
      </c>
      <c r="E266" s="119">
        <v>64.61750000000001</v>
      </c>
      <c r="F266" s="258">
        <v>14.024352068116</v>
      </c>
      <c r="G266" s="259">
        <v>0.199880018618511</v>
      </c>
      <c r="H266" s="259">
        <v>0.255403681261234</v>
      </c>
      <c r="I266" s="259">
        <v>0.455283699879745</v>
      </c>
      <c r="J266" s="259">
        <v>1.49573708581681</v>
      </c>
      <c r="K266" s="259">
        <v>0.0328288778507043</v>
      </c>
      <c r="L266" s="259">
        <v>0.0671083307887065</v>
      </c>
      <c r="M266" s="259">
        <v>6.917372413379e-05</v>
      </c>
      <c r="N266" s="259">
        <v>0.000116659990167281</v>
      </c>
      <c r="O266" s="259">
        <v>0.436951425474805</v>
      </c>
      <c r="P266" s="259">
        <v>0.768589406195652</v>
      </c>
      <c r="Q266" s="259">
        <v>-0.0276074331492318</v>
      </c>
      <c r="R266" s="259">
        <v>0.253231751161365</v>
      </c>
      <c r="S266" s="259">
        <v>0.028972514156607</v>
      </c>
      <c r="T266" s="259">
        <v>0.07917579616329749</v>
      </c>
      <c r="U266" s="259">
        <v>0.0550341305782169</v>
      </c>
      <c r="V266" s="259">
        <v>0.589939940253365</v>
      </c>
      <c r="W266" s="259"/>
      <c r="X266" s="119"/>
      <c r="Y266" s="258"/>
      <c r="Z266" s="258"/>
      <c r="AA266" s="258"/>
      <c r="AB266" s="258"/>
      <c r="AC266" s="258"/>
      <c r="AD266" s="260"/>
      <c r="AE266" s="261"/>
    </row>
    <row r="267" ht="21.25" customHeight="1">
      <c r="A267" t="s" s="10">
        <v>593</v>
      </c>
      <c r="B267" t="s" s="256">
        <v>944</v>
      </c>
      <c r="C267" s="257">
        <v>23</v>
      </c>
      <c r="D267" t="s" s="256">
        <v>915</v>
      </c>
      <c r="E267" s="119">
        <v>79.175</v>
      </c>
      <c r="F267" s="258">
        <v>16.3700698458297</v>
      </c>
      <c r="G267" s="259">
        <v>0.22801764512453</v>
      </c>
      <c r="H267" s="259">
        <v>0.225267639101328</v>
      </c>
      <c r="I267" s="259">
        <v>0.453285284225858</v>
      </c>
      <c r="J267" s="259">
        <v>1.81865037461281</v>
      </c>
      <c r="K267" s="259">
        <v>0.0258606017246746</v>
      </c>
      <c r="L267" s="259">
        <v>0.0714599594708035</v>
      </c>
      <c r="M267" s="259">
        <v>0.0153982610842192</v>
      </c>
      <c r="N267" s="259">
        <v>0.0306400554010847</v>
      </c>
      <c r="O267" s="259">
        <v>0.520467633433904</v>
      </c>
      <c r="P267" s="259">
        <v>0.6369691443711329</v>
      </c>
      <c r="Q267" s="259">
        <v>-0.0417008359309874</v>
      </c>
      <c r="R267" s="259">
        <v>0.416467159423317</v>
      </c>
      <c r="S267" s="259">
        <v>0.0323585620521384</v>
      </c>
      <c r="T267" s="259">
        <v>4.64116564002209</v>
      </c>
      <c r="U267" s="259">
        <v>6.11298600637095</v>
      </c>
      <c r="V267" s="259">
        <v>0.431569666546291</v>
      </c>
      <c r="W267" s="259"/>
      <c r="X267" s="119"/>
      <c r="Y267" s="258"/>
      <c r="Z267" s="258"/>
      <c r="AA267" s="258"/>
      <c r="AB267" s="258"/>
      <c r="AC267" s="258"/>
      <c r="AD267" s="260"/>
      <c r="AE267" s="261"/>
    </row>
    <row r="268" ht="21.25" customHeight="1">
      <c r="A268" t="s" s="10">
        <v>550</v>
      </c>
      <c r="B268" t="s" s="256">
        <v>934</v>
      </c>
      <c r="C268" s="257">
        <v>23</v>
      </c>
      <c r="D268" t="s" s="256">
        <v>918</v>
      </c>
      <c r="E268" s="119">
        <v>69.7325</v>
      </c>
      <c r="F268" s="258">
        <v>19.5150397987183</v>
      </c>
      <c r="G268" s="259">
        <v>0.152143376015226</v>
      </c>
      <c r="H268" s="259">
        <v>0.300381944817543</v>
      </c>
      <c r="I268" s="259">
        <v>0.452525320832769</v>
      </c>
      <c r="J268" s="259">
        <v>1.27217792741837</v>
      </c>
      <c r="K268" s="259">
        <v>0.0194049087482279</v>
      </c>
      <c r="L268" s="259">
        <v>0.07412738616417811</v>
      </c>
      <c r="M268" s="259">
        <v>0.0028401293683199</v>
      </c>
      <c r="N268" s="259">
        <v>0.00385299128683658</v>
      </c>
      <c r="O268" s="259">
        <v>1.32767781503276</v>
      </c>
      <c r="P268" s="259">
        <v>1.30264577556399</v>
      </c>
      <c r="Q268" s="259">
        <v>-0.0146131203721222</v>
      </c>
      <c r="R268" s="259">
        <v>0.668280818107488</v>
      </c>
      <c r="S268" s="259">
        <v>0.0215215075693978</v>
      </c>
      <c r="T268" s="259">
        <v>0</v>
      </c>
      <c r="U268" s="259">
        <v>0</v>
      </c>
      <c r="V268" s="259">
        <v>0</v>
      </c>
      <c r="W268" s="259"/>
      <c r="X268" s="119"/>
      <c r="Y268" s="258"/>
      <c r="Z268" s="258"/>
      <c r="AA268" s="258"/>
      <c r="AB268" s="258"/>
      <c r="AC268" s="258"/>
      <c r="AD268" s="260"/>
      <c r="AE268" s="261"/>
    </row>
    <row r="269" ht="21.25" customHeight="1">
      <c r="A269" t="s" s="10">
        <v>592</v>
      </c>
      <c r="B269" t="s" s="256">
        <v>929</v>
      </c>
      <c r="C269" s="257">
        <v>31</v>
      </c>
      <c r="D269" t="s" s="256">
        <v>966</v>
      </c>
      <c r="E269" s="119">
        <v>73.30249999999999</v>
      </c>
      <c r="F269" s="258">
        <v>14.483167423397</v>
      </c>
      <c r="G269" s="259">
        <v>0.167138915444478</v>
      </c>
      <c r="H269" s="259">
        <v>0.284897181882533</v>
      </c>
      <c r="I269" s="259">
        <v>0.452036097327011</v>
      </c>
      <c r="J269" s="259">
        <v>1.70366361431544</v>
      </c>
      <c r="K269" s="259">
        <v>0.0347526535517114</v>
      </c>
      <c r="L269" s="259">
        <v>0.09611981215514701</v>
      </c>
      <c r="M269" s="259">
        <v>9.40300753913868e-05</v>
      </c>
      <c r="N269" s="259">
        <v>0.000162848601042816</v>
      </c>
      <c r="O269" s="259">
        <v>0.377141959608705</v>
      </c>
      <c r="P269" s="259">
        <v>1.63731534879195</v>
      </c>
      <c r="Q269" s="259">
        <v>0.09974459302011621</v>
      </c>
      <c r="R269" s="259">
        <v>0.45689720547932</v>
      </c>
      <c r="S269" s="259">
        <v>0.0252173046701317</v>
      </c>
      <c r="T269" s="259">
        <v>0.731890796715599</v>
      </c>
      <c r="U269" s="259">
        <v>0.898563918581156</v>
      </c>
      <c r="V269" s="259">
        <v>0.448887534163983</v>
      </c>
      <c r="W269" s="259"/>
      <c r="X269" s="119"/>
      <c r="Y269" s="258"/>
      <c r="Z269" s="258"/>
      <c r="AA269" s="258"/>
      <c r="AB269" s="258"/>
      <c r="AC269" s="258"/>
      <c r="AD269" s="260"/>
      <c r="AE269" s="261"/>
    </row>
    <row r="270" ht="21.25" customHeight="1">
      <c r="A270" t="s" s="10">
        <v>461</v>
      </c>
      <c r="B270" t="s" s="256">
        <v>938</v>
      </c>
      <c r="C270" s="257">
        <v>31</v>
      </c>
      <c r="D270" t="s" s="256">
        <v>966</v>
      </c>
      <c r="E270" s="119">
        <v>79.8925</v>
      </c>
      <c r="F270" s="258">
        <v>14.9112795157056</v>
      </c>
      <c r="G270" s="259">
        <v>0.238248222472548</v>
      </c>
      <c r="H270" s="259">
        <v>0.213398914523222</v>
      </c>
      <c r="I270" s="259">
        <v>0.45164713699577</v>
      </c>
      <c r="J270" s="259">
        <v>2.10327761990924</v>
      </c>
      <c r="K270" s="259">
        <v>0.0354059473215644</v>
      </c>
      <c r="L270" s="259">
        <v>0.0605333304592305</v>
      </c>
      <c r="M270" s="259">
        <v>8.40928470518762e-05</v>
      </c>
      <c r="N270" s="259">
        <v>0.000141752674043738</v>
      </c>
      <c r="O270" s="259">
        <v>0.482931639121449</v>
      </c>
      <c r="P270" s="259">
        <v>1.55671153621315</v>
      </c>
      <c r="Q270" s="259">
        <v>0.0612841242687873</v>
      </c>
      <c r="R270" s="259">
        <v>0.360172573467808</v>
      </c>
      <c r="S270" s="259">
        <v>0.0396031819387967</v>
      </c>
      <c r="T270" s="259">
        <v>0.320701577861841</v>
      </c>
      <c r="U270" s="259">
        <v>0.293789088179889</v>
      </c>
      <c r="V270" s="259">
        <v>0.5218982086866421</v>
      </c>
      <c r="W270" s="259"/>
      <c r="X270" s="119"/>
      <c r="Y270" s="258"/>
      <c r="Z270" s="258"/>
      <c r="AA270" s="258"/>
      <c r="AB270" s="258"/>
      <c r="AC270" s="258"/>
      <c r="AD270" s="260"/>
      <c r="AE270" s="261"/>
    </row>
    <row r="271" ht="21.25" customHeight="1">
      <c r="A271" t="s" s="10">
        <v>573</v>
      </c>
      <c r="B271" t="s" s="256">
        <v>958</v>
      </c>
      <c r="C271" s="257">
        <v>20</v>
      </c>
      <c r="D271" t="s" s="256">
        <v>918</v>
      </c>
      <c r="E271" s="119">
        <v>67.29000000000001</v>
      </c>
      <c r="F271" s="258">
        <v>21.1846076974402</v>
      </c>
      <c r="G271" s="259">
        <v>0.0916202865472434</v>
      </c>
      <c r="H271" s="259">
        <v>0.359997170689126</v>
      </c>
      <c r="I271" s="259">
        <v>0.451617457236369</v>
      </c>
      <c r="J271" s="259">
        <v>1.60274988128374</v>
      </c>
      <c r="K271" s="259">
        <v>0.0127030566735571</v>
      </c>
      <c r="L271" s="259">
        <v>0.141497072910665</v>
      </c>
      <c r="M271" s="259">
        <v>0.000412073187059933</v>
      </c>
      <c r="N271" s="259">
        <v>0.00200773377754662</v>
      </c>
      <c r="O271" s="259">
        <v>1.58376083399567</v>
      </c>
      <c r="P271" s="259">
        <v>0.965019637318532</v>
      </c>
      <c r="Q271" s="259">
        <v>-0.09551437651652819</v>
      </c>
      <c r="R271" s="259">
        <v>0.388198127741652</v>
      </c>
      <c r="S271" s="259">
        <v>0.0106792193094428</v>
      </c>
      <c r="T271" s="259">
        <v>0</v>
      </c>
      <c r="U271" s="259">
        <v>0</v>
      </c>
      <c r="V271" s="259">
        <v>0</v>
      </c>
      <c r="W271" s="259"/>
      <c r="X271" s="119"/>
      <c r="Y271" s="258"/>
      <c r="Z271" s="258"/>
      <c r="AA271" s="258"/>
      <c r="AB271" s="258"/>
      <c r="AC271" s="258"/>
      <c r="AD271" s="260"/>
      <c r="AE271" s="261"/>
    </row>
    <row r="272" ht="21.25" customHeight="1">
      <c r="A272" t="s" s="10">
        <v>764</v>
      </c>
      <c r="B272" t="s" s="256">
        <v>949</v>
      </c>
      <c r="C272" s="257">
        <v>19</v>
      </c>
      <c r="D272" t="s" s="256">
        <v>916</v>
      </c>
      <c r="E272" s="119">
        <v>60</v>
      </c>
      <c r="F272" s="258">
        <v>14</v>
      </c>
      <c r="G272" s="259">
        <v>0.178542893770162</v>
      </c>
      <c r="H272" s="259">
        <v>0.272824046298085</v>
      </c>
      <c r="I272" s="259">
        <v>0.451366940068247</v>
      </c>
      <c r="J272" s="259">
        <v>1.6074442836466</v>
      </c>
      <c r="K272" s="259">
        <v>0.0376498050762479</v>
      </c>
      <c r="L272" s="259">
        <v>0.0951809223687624</v>
      </c>
      <c r="M272" s="259">
        <v>0</v>
      </c>
      <c r="N272" s="259">
        <v>0</v>
      </c>
      <c r="O272" s="259">
        <v>0.419512195121951</v>
      </c>
      <c r="P272" s="259">
        <v>1.18309240326726</v>
      </c>
      <c r="Q272" s="259">
        <v>0.0577059030314316</v>
      </c>
      <c r="R272" s="259">
        <v>0.404066898383504</v>
      </c>
      <c r="S272" s="259">
        <v>0.0309389100024379</v>
      </c>
      <c r="T272" s="259">
        <v>0</v>
      </c>
      <c r="U272" s="259">
        <v>0</v>
      </c>
      <c r="V272" s="259">
        <v>0</v>
      </c>
      <c r="W272" s="259"/>
      <c r="X272" s="119"/>
      <c r="Y272" s="259"/>
      <c r="Z272" s="259"/>
      <c r="AA272" s="259"/>
      <c r="AB272" s="259"/>
      <c r="AC272" s="258"/>
      <c r="AD272" s="260"/>
      <c r="AE272" s="261"/>
    </row>
    <row r="273" ht="21.25" customHeight="1">
      <c r="A273" t="s" s="10">
        <v>552</v>
      </c>
      <c r="B273" t="s" s="256">
        <v>952</v>
      </c>
      <c r="C273" s="257">
        <v>23</v>
      </c>
      <c r="D273" t="s" s="256">
        <v>916</v>
      </c>
      <c r="E273" s="119">
        <v>79.125</v>
      </c>
      <c r="F273" s="258">
        <v>13.8449896019333</v>
      </c>
      <c r="G273" s="259">
        <v>0.219277320481158</v>
      </c>
      <c r="H273" s="259">
        <v>0.231704879817004</v>
      </c>
      <c r="I273" s="259">
        <v>0.450982200298162</v>
      </c>
      <c r="J273" s="259">
        <v>1.87110004962855</v>
      </c>
      <c r="K273" s="259">
        <v>0.0598962519371908</v>
      </c>
      <c r="L273" s="259">
        <v>0.09492195581593391</v>
      </c>
      <c r="M273" s="259">
        <v>6.587004924548829e-05</v>
      </c>
      <c r="N273" s="259">
        <v>0.000111575777632176</v>
      </c>
      <c r="O273" s="259">
        <v>0.636861531113754</v>
      </c>
      <c r="P273" s="259">
        <v>1.12045291040783</v>
      </c>
      <c r="Q273" s="259">
        <v>-0.0773819180416896</v>
      </c>
      <c r="R273" s="259">
        <v>0.577510168441689</v>
      </c>
      <c r="S273" s="259">
        <v>0.0242486397647746</v>
      </c>
      <c r="T273" s="259">
        <v>3.79983762495222</v>
      </c>
      <c r="U273" s="259">
        <v>5.21277363711856</v>
      </c>
      <c r="V273" s="259">
        <v>0.421613394216134</v>
      </c>
      <c r="W273" s="259"/>
      <c r="X273" s="119"/>
      <c r="Y273" s="258"/>
      <c r="Z273" s="258"/>
      <c r="AA273" s="258"/>
      <c r="AB273" s="258"/>
      <c r="AC273" s="258"/>
      <c r="AD273" s="260"/>
      <c r="AE273" s="261"/>
    </row>
    <row r="274" ht="21.25" customHeight="1">
      <c r="A274" t="s" s="10">
        <v>530</v>
      </c>
      <c r="B274" t="s" s="256">
        <v>954</v>
      </c>
      <c r="C274" s="257">
        <v>19</v>
      </c>
      <c r="D274" t="s" s="256">
        <v>918</v>
      </c>
      <c r="E274" s="119">
        <v>72</v>
      </c>
      <c r="F274" s="258">
        <v>18</v>
      </c>
      <c r="G274" s="259">
        <v>0.112371831354686</v>
      </c>
      <c r="H274" s="259">
        <v>0.337506130695605</v>
      </c>
      <c r="I274" s="259">
        <v>0.449877962050291</v>
      </c>
      <c r="J274" s="259">
        <v>1.90707993487216</v>
      </c>
      <c r="K274" s="259">
        <v>0.023625800280317</v>
      </c>
      <c r="L274" s="259">
        <v>0.09458533116157999</v>
      </c>
      <c r="M274" s="259">
        <v>0</v>
      </c>
      <c r="N274" s="259">
        <v>0</v>
      </c>
      <c r="O274" s="259">
        <v>1.19756097560976</v>
      </c>
      <c r="P274" s="259">
        <v>1.23253658536585</v>
      </c>
      <c r="Q274" s="259">
        <v>-0.0566858657587209</v>
      </c>
      <c r="R274" s="259">
        <v>0.41</v>
      </c>
      <c r="S274" s="259">
        <v>0.0130240382656839</v>
      </c>
      <c r="T274" s="259">
        <v>0</v>
      </c>
      <c r="U274" s="259">
        <v>0</v>
      </c>
      <c r="V274" s="259">
        <v>0</v>
      </c>
      <c r="W274" s="259"/>
      <c r="X274" s="119"/>
      <c r="Y274" s="259"/>
      <c r="Z274" s="259"/>
      <c r="AA274" s="259"/>
      <c r="AB274" s="259"/>
      <c r="AC274" s="258"/>
      <c r="AD274" s="260"/>
      <c r="AE274" s="261"/>
    </row>
    <row r="275" ht="21.25" customHeight="1">
      <c r="A275" t="s" s="10">
        <v>708</v>
      </c>
      <c r="B275" t="s" s="256">
        <v>928</v>
      </c>
      <c r="C275" s="257">
        <v>26</v>
      </c>
      <c r="D275" t="s" s="256">
        <v>917</v>
      </c>
      <c r="E275" s="119">
        <v>55.885</v>
      </c>
      <c r="F275" s="258">
        <v>13.2423263850715</v>
      </c>
      <c r="G275" s="259">
        <v>0.228507331672321</v>
      </c>
      <c r="H275" s="259">
        <v>0.220962352176121</v>
      </c>
      <c r="I275" s="259">
        <v>0.449469683848442</v>
      </c>
      <c r="J275" s="259">
        <v>1.71027802786514</v>
      </c>
      <c r="K275" s="259">
        <v>0.0468211605375638</v>
      </c>
      <c r="L275" s="259">
        <v>0.0706526099082633</v>
      </c>
      <c r="M275" s="259">
        <v>0</v>
      </c>
      <c r="N275" s="259">
        <v>0</v>
      </c>
      <c r="O275" s="259">
        <v>0.578552395070388</v>
      </c>
      <c r="P275" s="259">
        <v>1.74289316356199</v>
      </c>
      <c r="Q275" s="259">
        <v>0.032604516499507</v>
      </c>
      <c r="R275" s="259">
        <v>0.29891812351065</v>
      </c>
      <c r="S275" s="259">
        <v>0.0355908664907909</v>
      </c>
      <c r="T275" s="259">
        <v>0.188074511931139</v>
      </c>
      <c r="U275" s="259">
        <v>0.438840527839325</v>
      </c>
      <c r="V275" s="259">
        <v>0.3</v>
      </c>
      <c r="W275" s="259"/>
      <c r="X275" s="119"/>
      <c r="Y275" s="258"/>
      <c r="Z275" s="258"/>
      <c r="AA275" s="258"/>
      <c r="AB275" s="258"/>
      <c r="AC275" s="258"/>
      <c r="AD275" s="260"/>
      <c r="AE275" s="261"/>
    </row>
    <row r="276" ht="21.25" customHeight="1">
      <c r="A276" t="s" s="10">
        <v>346</v>
      </c>
      <c r="B276" t="s" s="256">
        <v>956</v>
      </c>
      <c r="C276" s="257">
        <v>28</v>
      </c>
      <c r="D276" t="s" s="256">
        <v>918</v>
      </c>
      <c r="E276" s="119">
        <v>81.515</v>
      </c>
      <c r="F276" s="258">
        <v>23.5033793227708</v>
      </c>
      <c r="G276" s="259">
        <v>0.105784161764733</v>
      </c>
      <c r="H276" s="259">
        <v>0.34284890143195</v>
      </c>
      <c r="I276" s="259">
        <v>0.448633063196683</v>
      </c>
      <c r="J276" s="259">
        <v>1.71699406248978</v>
      </c>
      <c r="K276" s="259">
        <v>0.00172055648677397</v>
      </c>
      <c r="L276" s="259">
        <v>0.0405761198251817</v>
      </c>
      <c r="M276" s="259">
        <v>0.0101930753676913</v>
      </c>
      <c r="N276" s="259">
        <v>0.0306411174613274</v>
      </c>
      <c r="O276" s="259">
        <v>1.86750030122278</v>
      </c>
      <c r="P276" s="259">
        <v>1.05104665266193</v>
      </c>
      <c r="Q276" s="259">
        <v>-0.0490990489145555</v>
      </c>
      <c r="R276" s="259">
        <v>0.547990170120874</v>
      </c>
      <c r="S276" s="259">
        <v>0.0153333642124731</v>
      </c>
      <c r="T276" s="259">
        <v>0</v>
      </c>
      <c r="U276" s="259">
        <v>0</v>
      </c>
      <c r="V276" s="259">
        <v>0</v>
      </c>
      <c r="W276" s="259"/>
      <c r="X276" s="119"/>
      <c r="Y276" s="258"/>
      <c r="Z276" s="258"/>
      <c r="AA276" s="258"/>
      <c r="AB276" s="258"/>
      <c r="AC276" s="258"/>
      <c r="AD276" s="260"/>
      <c r="AE276" s="261"/>
    </row>
    <row r="277" ht="21.25" customHeight="1">
      <c r="A277" t="s" s="10">
        <v>437</v>
      </c>
      <c r="B277" t="s" s="256">
        <v>928</v>
      </c>
      <c r="C277" s="257">
        <v>26</v>
      </c>
      <c r="D277" t="s" s="256">
        <v>967</v>
      </c>
      <c r="E277" s="119">
        <v>79.4175</v>
      </c>
      <c r="F277" s="258">
        <v>13.5656078064678</v>
      </c>
      <c r="G277" s="259">
        <v>0.20594553644623</v>
      </c>
      <c r="H277" s="259">
        <v>0.240599482312685</v>
      </c>
      <c r="I277" s="259">
        <v>0.446545018758915</v>
      </c>
      <c r="J277" s="259">
        <v>1.58748387955701</v>
      </c>
      <c r="K277" s="259">
        <v>0.00845131099935627</v>
      </c>
      <c r="L277" s="259">
        <v>0.0127618745730347</v>
      </c>
      <c r="M277" s="259">
        <v>0.00100872657393752</v>
      </c>
      <c r="N277" s="259">
        <v>0.00423519602160192</v>
      </c>
      <c r="O277" s="259">
        <v>0.5663530676967961</v>
      </c>
      <c r="P277" s="259">
        <v>2.05631553660876</v>
      </c>
      <c r="Q277" s="259">
        <v>0.0421274972807994</v>
      </c>
      <c r="R277" s="259">
        <v>0.75719886992344</v>
      </c>
      <c r="S277" s="259">
        <v>0.0320767830003064</v>
      </c>
      <c r="T277" s="259">
        <v>1.2073061293164</v>
      </c>
      <c r="U277" s="259">
        <v>1.79266833654397</v>
      </c>
      <c r="V277" s="259">
        <v>0.402438801748317</v>
      </c>
      <c r="W277" s="259"/>
      <c r="X277" s="119"/>
      <c r="Y277" s="259"/>
      <c r="Z277" s="259"/>
      <c r="AA277" s="259"/>
      <c r="AB277" s="259"/>
      <c r="AC277" s="258"/>
      <c r="AD277" s="260"/>
      <c r="AE277" s="261"/>
    </row>
    <row r="278" ht="21.25" customHeight="1">
      <c r="A278" t="s" s="10">
        <v>680</v>
      </c>
      <c r="B278" t="s" s="256">
        <v>932</v>
      </c>
      <c r="C278" s="257">
        <v>24</v>
      </c>
      <c r="D278" t="s" s="256">
        <v>918</v>
      </c>
      <c r="E278" s="119">
        <v>65.7375</v>
      </c>
      <c r="F278" s="258">
        <v>18.9984364827877</v>
      </c>
      <c r="G278" s="259">
        <v>0.105094903520708</v>
      </c>
      <c r="H278" s="259">
        <v>0.338925370836493</v>
      </c>
      <c r="I278" s="259">
        <v>0.444020274357201</v>
      </c>
      <c r="J278" s="259">
        <v>1.4367664492605</v>
      </c>
      <c r="K278" s="259">
        <v>0.0234692058948264</v>
      </c>
      <c r="L278" s="259">
        <v>0.186342819187764</v>
      </c>
      <c r="M278" s="259">
        <v>5.52918924297072e-05</v>
      </c>
      <c r="N278" s="259">
        <v>0.000271239392392574</v>
      </c>
      <c r="O278" s="259">
        <v>1.21171762766556</v>
      </c>
      <c r="P278" s="259">
        <v>0.774058709246606</v>
      </c>
      <c r="Q278" s="259">
        <v>-0.100392912750567</v>
      </c>
      <c r="R278" s="259">
        <v>0.241676393311082</v>
      </c>
      <c r="S278" s="259">
        <v>0.0179041496356742</v>
      </c>
      <c r="T278" s="259">
        <v>0</v>
      </c>
      <c r="U278" s="259">
        <v>0</v>
      </c>
      <c r="V278" s="259">
        <v>0</v>
      </c>
      <c r="W278" s="259"/>
      <c r="X278" s="119"/>
      <c r="Y278" s="258"/>
      <c r="Z278" s="258"/>
      <c r="AA278" s="258"/>
      <c r="AB278" s="258"/>
      <c r="AC278" s="258"/>
      <c r="AD278" s="260"/>
      <c r="AE278" s="261"/>
    </row>
    <row r="279" ht="21.25" customHeight="1">
      <c r="A279" t="s" s="10">
        <v>386</v>
      </c>
      <c r="B279" t="s" s="256">
        <v>959</v>
      </c>
      <c r="C279" s="257">
        <v>28</v>
      </c>
      <c r="D279" t="s" s="256">
        <v>918</v>
      </c>
      <c r="E279" s="119">
        <v>72.94499999999999</v>
      </c>
      <c r="F279" s="258">
        <v>22.127590238672</v>
      </c>
      <c r="G279" s="259">
        <v>0.161856423184652</v>
      </c>
      <c r="H279" s="259">
        <v>0.28167982933185</v>
      </c>
      <c r="I279" s="259">
        <v>0.443536252516502</v>
      </c>
      <c r="J279" s="259">
        <v>2.1934563166125</v>
      </c>
      <c r="K279" s="259">
        <v>0.0300719246198729</v>
      </c>
      <c r="L279" s="259">
        <v>0.16270489755243</v>
      </c>
      <c r="M279" s="259">
        <v>0.000416075781531949</v>
      </c>
      <c r="N279" s="259">
        <v>0.008505529686683571</v>
      </c>
      <c r="O279" s="259">
        <v>2.14184736299152</v>
      </c>
      <c r="P279" s="259">
        <v>0.882916650478346</v>
      </c>
      <c r="Q279" s="259">
        <v>-0.0541375818929421</v>
      </c>
      <c r="R279" s="259">
        <v>0.61760171750849</v>
      </c>
      <c r="S279" s="259">
        <v>0.0172879047791677</v>
      </c>
      <c r="T279" s="259">
        <v>0</v>
      </c>
      <c r="U279" s="259">
        <v>0</v>
      </c>
      <c r="V279" s="259">
        <v>0</v>
      </c>
      <c r="W279" s="259"/>
      <c r="X279" s="119"/>
      <c r="Y279" s="258"/>
      <c r="Z279" s="258"/>
      <c r="AA279" s="258"/>
      <c r="AB279" s="258"/>
      <c r="AC279" s="258"/>
      <c r="AD279" s="260"/>
      <c r="AE279" s="261"/>
    </row>
    <row r="280" ht="21.25" customHeight="1">
      <c r="A280" t="s" s="10">
        <v>818</v>
      </c>
      <c r="B280" t="s" s="256">
        <v>941</v>
      </c>
      <c r="C280" s="257">
        <v>22</v>
      </c>
      <c r="D280" t="s" s="256">
        <v>915</v>
      </c>
      <c r="E280" s="119">
        <v>54.225</v>
      </c>
      <c r="F280" s="258">
        <v>13.1980303452677</v>
      </c>
      <c r="G280" s="259">
        <v>0.152902561407684</v>
      </c>
      <c r="H280" s="259">
        <v>0.289428642589542</v>
      </c>
      <c r="I280" s="259">
        <v>0.442331203997226</v>
      </c>
      <c r="J280" s="259">
        <v>1.43479921882342</v>
      </c>
      <c r="K280" s="259">
        <v>0.00765685484241948</v>
      </c>
      <c r="L280" s="259">
        <v>0.0163958753426539</v>
      </c>
      <c r="M280" s="259">
        <v>0.000438188132429441</v>
      </c>
      <c r="N280" s="259">
        <v>0.000728378038840408</v>
      </c>
      <c r="O280" s="259">
        <v>0.392129671941957</v>
      </c>
      <c r="P280" s="259">
        <v>1.13646906526484</v>
      </c>
      <c r="Q280" s="259">
        <v>0.0145841661179123</v>
      </c>
      <c r="R280" s="259">
        <v>0.286748476311759</v>
      </c>
      <c r="S280" s="259">
        <v>0.0232566766753949</v>
      </c>
      <c r="T280" s="259">
        <v>0.285285714029023</v>
      </c>
      <c r="U280" s="259">
        <v>0.285285714029024</v>
      </c>
      <c r="V280" s="259">
        <v>0.5</v>
      </c>
      <c r="W280" s="259"/>
      <c r="X280" s="119"/>
      <c r="Y280" s="258"/>
      <c r="Z280" s="258"/>
      <c r="AA280" s="258"/>
      <c r="AB280" s="258"/>
      <c r="AC280" s="258"/>
      <c r="AD280" s="260"/>
      <c r="AE280" s="261"/>
    </row>
    <row r="281" ht="21.25" customHeight="1">
      <c r="A281" t="s" s="10">
        <v>798</v>
      </c>
      <c r="B281" t="s" s="256">
        <v>942</v>
      </c>
      <c r="C281" s="257">
        <v>24</v>
      </c>
      <c r="D281" t="s" s="256">
        <v>916</v>
      </c>
      <c r="E281" s="119">
        <v>63.3425</v>
      </c>
      <c r="F281" s="258">
        <v>13.2517733601777</v>
      </c>
      <c r="G281" s="259">
        <v>0.202951376511141</v>
      </c>
      <c r="H281" s="259">
        <v>0.239018517940202</v>
      </c>
      <c r="I281" s="259">
        <v>0.441969894451343</v>
      </c>
      <c r="J281" s="259">
        <v>1.48010463560256</v>
      </c>
      <c r="K281" s="259">
        <v>0.0508630806873117</v>
      </c>
      <c r="L281" s="259">
        <v>0.104841726320475</v>
      </c>
      <c r="M281" s="259">
        <v>0</v>
      </c>
      <c r="N281" s="259">
        <v>0</v>
      </c>
      <c r="O281" s="259">
        <v>0.477125475360126</v>
      </c>
      <c r="P281" s="259">
        <v>0.592328728935963</v>
      </c>
      <c r="Q281" s="259">
        <v>-0.0382758670483165</v>
      </c>
      <c r="R281" s="259">
        <v>0.262477324549266</v>
      </c>
      <c r="S281" s="259">
        <v>0.0278738829409924</v>
      </c>
      <c r="T281" s="259">
        <v>0.0220603119766195</v>
      </c>
      <c r="U281" s="259">
        <v>0.0297477424817178</v>
      </c>
      <c r="V281" s="259">
        <v>0.425808538986151</v>
      </c>
      <c r="W281" s="259"/>
      <c r="X281" s="119"/>
      <c r="Y281" s="258"/>
      <c r="Z281" s="258"/>
      <c r="AA281" s="258"/>
      <c r="AB281" s="258"/>
      <c r="AC281" s="258"/>
      <c r="AD281" s="260"/>
      <c r="AE281" s="261"/>
    </row>
    <row r="282" ht="21.25" customHeight="1">
      <c r="A282" t="s" s="10">
        <v>355</v>
      </c>
      <c r="B282" t="s" s="256">
        <v>931</v>
      </c>
      <c r="C282" s="257">
        <v>24</v>
      </c>
      <c r="D282" t="s" s="256">
        <v>918</v>
      </c>
      <c r="E282" s="119">
        <v>81.2625</v>
      </c>
      <c r="F282" s="258">
        <v>22.3807408097458</v>
      </c>
      <c r="G282" s="259">
        <v>0.108479977138772</v>
      </c>
      <c r="H282" s="259">
        <v>0.333109533977687</v>
      </c>
      <c r="I282" s="259">
        <v>0.441589511116459</v>
      </c>
      <c r="J282" s="259">
        <v>1.40943019852003</v>
      </c>
      <c r="K282" s="259">
        <v>0.008462982873418181</v>
      </c>
      <c r="L282" s="259">
        <v>0.0435601579679755</v>
      </c>
      <c r="M282" s="259">
        <v>0.000410437815673909</v>
      </c>
      <c r="N282" s="259">
        <v>0.0106922170086202</v>
      </c>
      <c r="O282" s="259">
        <v>1.47279682155102</v>
      </c>
      <c r="P282" s="259">
        <v>1.78786807807955</v>
      </c>
      <c r="Q282" s="259">
        <v>0.0226257702602805</v>
      </c>
      <c r="R282" s="259">
        <v>0.467577323035439</v>
      </c>
      <c r="S282" s="259">
        <v>0.0177319530643862</v>
      </c>
      <c r="T282" s="259">
        <v>0</v>
      </c>
      <c r="U282" s="259">
        <v>0</v>
      </c>
      <c r="V282" s="259">
        <v>0</v>
      </c>
      <c r="W282" s="259"/>
      <c r="X282" s="119"/>
      <c r="Y282" s="258"/>
      <c r="Z282" s="258"/>
      <c r="AA282" s="258"/>
      <c r="AB282" s="258"/>
      <c r="AC282" s="258"/>
      <c r="AD282" s="260"/>
      <c r="AE282" s="261"/>
    </row>
    <row r="283" ht="21.25" customHeight="1">
      <c r="A283" t="s" s="10">
        <v>425</v>
      </c>
      <c r="B283" t="s" s="256">
        <v>951</v>
      </c>
      <c r="C283" s="257">
        <v>25</v>
      </c>
      <c r="D283" t="s" s="256">
        <v>918</v>
      </c>
      <c r="E283" s="119">
        <v>77.79000000000001</v>
      </c>
      <c r="F283" s="258">
        <v>20.1419908427147</v>
      </c>
      <c r="G283" s="259">
        <v>0.09542437361897391</v>
      </c>
      <c r="H283" s="259">
        <v>0.345715616532226</v>
      </c>
      <c r="I283" s="259">
        <v>0.4411399901512</v>
      </c>
      <c r="J283" s="259">
        <v>1.60034258095459</v>
      </c>
      <c r="K283" s="259">
        <v>0.0189540423468515</v>
      </c>
      <c r="L283" s="259">
        <v>0.138047906650398</v>
      </c>
      <c r="M283" s="259">
        <v>0.000252079238374888</v>
      </c>
      <c r="N283" s="259">
        <v>0.00285708365272084</v>
      </c>
      <c r="O283" s="259">
        <v>1.87183855630662</v>
      </c>
      <c r="P283" s="259">
        <v>0.797426164430966</v>
      </c>
      <c r="Q283" s="259">
        <v>-0.00699315405708679</v>
      </c>
      <c r="R283" s="259">
        <v>0.6533591028408881</v>
      </c>
      <c r="S283" s="259">
        <v>0.0139633906540633</v>
      </c>
      <c r="T283" s="259">
        <v>0</v>
      </c>
      <c r="U283" s="259">
        <v>0</v>
      </c>
      <c r="V283" s="259">
        <v>0</v>
      </c>
      <c r="W283" s="259"/>
      <c r="X283" s="119"/>
      <c r="Y283" s="258"/>
      <c r="Z283" s="258"/>
      <c r="AA283" s="258"/>
      <c r="AB283" s="258"/>
      <c r="AC283" s="258"/>
      <c r="AD283" s="260"/>
      <c r="AE283" s="261"/>
    </row>
    <row r="284" ht="21.25" customHeight="1">
      <c r="A284" t="s" s="10">
        <v>689</v>
      </c>
      <c r="B284" t="s" s="256">
        <v>955</v>
      </c>
      <c r="C284" s="257">
        <v>32</v>
      </c>
      <c r="D284" t="s" s="256">
        <v>915</v>
      </c>
      <c r="E284" s="119">
        <v>72.4675</v>
      </c>
      <c r="F284" s="258">
        <v>14.9908889762362</v>
      </c>
      <c r="G284" s="259">
        <v>0.194593941064328</v>
      </c>
      <c r="H284" s="259">
        <v>0.245062200460725</v>
      </c>
      <c r="I284" s="259">
        <v>0.439656141525053</v>
      </c>
      <c r="J284" s="259">
        <v>1.83247756761067</v>
      </c>
      <c r="K284" s="259">
        <v>0.0618243734462426</v>
      </c>
      <c r="L284" s="259">
        <v>0.10313433791959</v>
      </c>
      <c r="M284" s="259">
        <v>9.229652595442891e-05</v>
      </c>
      <c r="N284" s="259">
        <v>0.000157775479151492</v>
      </c>
      <c r="O284" s="259">
        <v>0.384314127942449</v>
      </c>
      <c r="P284" s="259">
        <v>0.764081082080974</v>
      </c>
      <c r="Q284" s="259">
        <v>-0.0224311274258861</v>
      </c>
      <c r="R284" s="259">
        <v>0.332035500778845</v>
      </c>
      <c r="S284" s="259">
        <v>0.0295486367124273</v>
      </c>
      <c r="T284" s="259">
        <v>1.09303420923608</v>
      </c>
      <c r="U284" s="259">
        <v>1.03928937348125</v>
      </c>
      <c r="V284" s="259">
        <v>0.512602410860723</v>
      </c>
      <c r="W284" s="259"/>
      <c r="X284" s="119"/>
      <c r="Y284" s="258"/>
      <c r="Z284" s="258"/>
      <c r="AA284" s="258"/>
      <c r="AB284" s="258"/>
      <c r="AC284" s="258"/>
      <c r="AD284" s="260"/>
      <c r="AE284" s="261"/>
    </row>
    <row r="285" ht="21.25" customHeight="1">
      <c r="A285" t="s" s="10">
        <v>499</v>
      </c>
      <c r="B285" t="s" s="256">
        <v>933</v>
      </c>
      <c r="C285" s="257">
        <v>34</v>
      </c>
      <c r="D285" t="s" s="256">
        <v>918</v>
      </c>
      <c r="E285" s="119">
        <v>68.2025</v>
      </c>
      <c r="F285" s="258">
        <v>21.8451768699724</v>
      </c>
      <c r="G285" s="259">
        <v>0.107794339789718</v>
      </c>
      <c r="H285" s="259">
        <v>0.331493585573063</v>
      </c>
      <c r="I285" s="259">
        <v>0.439287925362781</v>
      </c>
      <c r="J285" s="259">
        <v>1.68055561318266</v>
      </c>
      <c r="K285" s="259">
        <v>0.00786701465087713</v>
      </c>
      <c r="L285" s="259">
        <v>0.113022899670905</v>
      </c>
      <c r="M285" s="259">
        <v>0.000439061352174469</v>
      </c>
      <c r="N285" s="259">
        <v>0.00606374951129257</v>
      </c>
      <c r="O285" s="259">
        <v>1.86413843027749</v>
      </c>
      <c r="P285" s="259">
        <v>1.01143716825736</v>
      </c>
      <c r="Q285" s="259">
        <v>0.0342626300885562</v>
      </c>
      <c r="R285" s="259">
        <v>0.246988988373076</v>
      </c>
      <c r="S285" s="259">
        <v>0.0177945955130732</v>
      </c>
      <c r="T285" s="259">
        <v>0</v>
      </c>
      <c r="U285" s="259">
        <v>0</v>
      </c>
      <c r="V285" s="259">
        <v>0</v>
      </c>
      <c r="W285" s="259"/>
      <c r="X285" s="119"/>
      <c r="Y285" s="258"/>
      <c r="Z285" s="258"/>
      <c r="AA285" s="258"/>
      <c r="AB285" s="258"/>
      <c r="AC285" s="258"/>
      <c r="AD285" s="260"/>
      <c r="AE285" s="261"/>
    </row>
    <row r="286" ht="21.25" customHeight="1">
      <c r="A286" t="s" s="10">
        <v>452</v>
      </c>
      <c r="B286" t="s" s="256">
        <v>924</v>
      </c>
      <c r="C286" s="257">
        <v>33</v>
      </c>
      <c r="D286" t="s" s="256">
        <v>916</v>
      </c>
      <c r="E286" s="119">
        <v>71.605</v>
      </c>
      <c r="F286" s="258">
        <v>13.6707234687014</v>
      </c>
      <c r="G286" s="259">
        <v>0.242551113304075</v>
      </c>
      <c r="H286" s="259">
        <v>0.19603238787351</v>
      </c>
      <c r="I286" s="259">
        <v>0.438583501177585</v>
      </c>
      <c r="J286" s="259">
        <v>2.28262709389691</v>
      </c>
      <c r="K286" s="259">
        <v>0.0117136841403587</v>
      </c>
      <c r="L286" s="259">
        <v>0.0322781771129097</v>
      </c>
      <c r="M286" s="259">
        <v>0.00274789084862519</v>
      </c>
      <c r="N286" s="259">
        <v>0.00594295358053085</v>
      </c>
      <c r="O286" s="259">
        <v>0.327496135153554</v>
      </c>
      <c r="P286" s="259">
        <v>2.42390946919557</v>
      </c>
      <c r="Q286" s="259">
        <v>0.0637601413611148</v>
      </c>
      <c r="R286" s="259">
        <v>0.734284837573041</v>
      </c>
      <c r="S286" s="259">
        <v>0.0391659792250685</v>
      </c>
      <c r="T286" s="259">
        <v>0.312116591177973</v>
      </c>
      <c r="U286" s="259">
        <v>0.396898401757752</v>
      </c>
      <c r="V286" s="259">
        <v>0.440211553052824</v>
      </c>
      <c r="W286" s="259"/>
      <c r="X286" s="119"/>
      <c r="Y286" s="258"/>
      <c r="Z286" s="258"/>
      <c r="AA286" s="258"/>
      <c r="AB286" s="258"/>
      <c r="AC286" s="258"/>
      <c r="AD286" s="260"/>
      <c r="AE286" s="261"/>
    </row>
    <row r="287" ht="21.25" customHeight="1">
      <c r="A287" t="s" s="10">
        <v>449</v>
      </c>
      <c r="B287" t="s" s="256">
        <v>955</v>
      </c>
      <c r="C287" s="257">
        <v>32</v>
      </c>
      <c r="D287" t="s" s="256">
        <v>915</v>
      </c>
      <c r="E287" s="119">
        <v>80.7375</v>
      </c>
      <c r="F287" s="258">
        <v>16.8043610374326</v>
      </c>
      <c r="G287" s="259">
        <v>0.141088538531002</v>
      </c>
      <c r="H287" s="259">
        <v>0.29738991520792</v>
      </c>
      <c r="I287" s="259">
        <v>0.438478453738922</v>
      </c>
      <c r="J287" s="259">
        <v>1.75089577018009</v>
      </c>
      <c r="K287" s="259">
        <v>0.00625288701544649</v>
      </c>
      <c r="L287" s="259">
        <v>0.016744238735691</v>
      </c>
      <c r="M287" s="259">
        <v>0.0118431931626313</v>
      </c>
      <c r="N287" s="259">
        <v>0.0255753518115856</v>
      </c>
      <c r="O287" s="259">
        <v>0.628344884883396</v>
      </c>
      <c r="P287" s="259">
        <v>1.59315651043255</v>
      </c>
      <c r="Q287" s="259">
        <v>-0.0142300804730511</v>
      </c>
      <c r="R287" s="259">
        <v>0.624733197282613</v>
      </c>
      <c r="S287" s="259">
        <v>0.0214239659597712</v>
      </c>
      <c r="T287" s="259">
        <v>6.14561933485111</v>
      </c>
      <c r="U287" s="259">
        <v>6.43401871587185</v>
      </c>
      <c r="V287" s="259">
        <v>0.48853705568245</v>
      </c>
      <c r="W287" s="259"/>
      <c r="X287" s="119"/>
      <c r="Y287" s="258"/>
      <c r="Z287" s="258"/>
      <c r="AA287" s="258"/>
      <c r="AB287" s="258"/>
      <c r="AC287" s="258"/>
      <c r="AD287" s="260"/>
      <c r="AE287" s="261"/>
    </row>
    <row r="288" ht="21.25" customHeight="1">
      <c r="A288" t="s" s="10">
        <v>348</v>
      </c>
      <c r="B288" t="s" s="256">
        <v>935</v>
      </c>
      <c r="C288" s="257">
        <v>28</v>
      </c>
      <c r="D288" t="s" s="256">
        <v>965</v>
      </c>
      <c r="E288" s="119">
        <v>73.045</v>
      </c>
      <c r="F288" s="258">
        <v>14.7602356397648</v>
      </c>
      <c r="G288" s="259">
        <v>0.217533406729978</v>
      </c>
      <c r="H288" s="259">
        <v>0.219882393871903</v>
      </c>
      <c r="I288" s="259">
        <v>0.437415800601881</v>
      </c>
      <c r="J288" s="259">
        <v>1.37004219330772</v>
      </c>
      <c r="K288" s="259">
        <v>0.0116088162015033</v>
      </c>
      <c r="L288" s="259">
        <v>0.0184208717712045</v>
      </c>
      <c r="M288" s="259">
        <v>0.0074445515410532</v>
      </c>
      <c r="N288" s="259">
        <v>0.009570864654765841</v>
      </c>
      <c r="O288" s="259">
        <v>0.601395981031526</v>
      </c>
      <c r="P288" s="259">
        <v>3.37719579064138</v>
      </c>
      <c r="Q288" s="259">
        <v>0.0696575950033801</v>
      </c>
      <c r="R288" s="259">
        <v>0.699386234224583</v>
      </c>
      <c r="S288" s="259">
        <v>0.0371490942554222</v>
      </c>
      <c r="T288" s="259">
        <v>0.624277769675084</v>
      </c>
      <c r="U288" s="259">
        <v>0.615844937981521</v>
      </c>
      <c r="V288" s="259">
        <v>0.5033999989039381</v>
      </c>
      <c r="W288" s="259"/>
      <c r="X288" s="119"/>
      <c r="Y288" s="258"/>
      <c r="Z288" s="258"/>
      <c r="AA288" s="258"/>
      <c r="AB288" s="258"/>
      <c r="AC288" s="258"/>
      <c r="AD288" s="260"/>
      <c r="AE288" s="261"/>
    </row>
    <row r="289" ht="21.25" customHeight="1">
      <c r="A289" t="s" s="10">
        <v>620</v>
      </c>
      <c r="B289" t="s" s="256">
        <v>942</v>
      </c>
      <c r="C289" s="257">
        <v>32</v>
      </c>
      <c r="D289" t="s" s="256">
        <v>918</v>
      </c>
      <c r="E289" s="119">
        <v>77.015</v>
      </c>
      <c r="F289" s="258">
        <v>18.1275594913074</v>
      </c>
      <c r="G289" s="259">
        <v>0.0703640215381565</v>
      </c>
      <c r="H289" s="259">
        <v>0.366054546421021</v>
      </c>
      <c r="I289" s="259">
        <v>0.436418567959178</v>
      </c>
      <c r="J289" s="259">
        <v>1.3702394784769</v>
      </c>
      <c r="K289" s="259">
        <v>0.00281296984704529</v>
      </c>
      <c r="L289" s="259">
        <v>0.145844532555483</v>
      </c>
      <c r="M289" s="259">
        <v>0.000114663611836864</v>
      </c>
      <c r="N289" s="259">
        <v>0.00058615165079116</v>
      </c>
      <c r="O289" s="259">
        <v>0.988790656120766</v>
      </c>
      <c r="P289" s="259">
        <v>0.932160643625489</v>
      </c>
      <c r="Q289" s="259">
        <v>0.010820567740587</v>
      </c>
      <c r="R289" s="259">
        <v>0.392602321266476</v>
      </c>
      <c r="S289" s="259">
        <v>0.00966398224702051</v>
      </c>
      <c r="T289" s="259">
        <v>0</v>
      </c>
      <c r="U289" s="259">
        <v>0</v>
      </c>
      <c r="V289" s="259">
        <v>0</v>
      </c>
      <c r="W289" s="259"/>
      <c r="X289" s="119"/>
      <c r="Y289" s="258"/>
      <c r="Z289" s="258"/>
      <c r="AA289" s="258"/>
      <c r="AB289" s="258"/>
      <c r="AC289" s="258"/>
      <c r="AD289" s="260"/>
      <c r="AE289" s="261"/>
    </row>
    <row r="290" ht="21.25" customHeight="1">
      <c r="A290" t="s" s="10">
        <v>719</v>
      </c>
      <c r="B290" t="s" s="256">
        <v>958</v>
      </c>
      <c r="C290" s="257">
        <v>31</v>
      </c>
      <c r="D290" t="s" s="256">
        <v>965</v>
      </c>
      <c r="E290" s="119">
        <v>80.69750000000001</v>
      </c>
      <c r="F290" s="258">
        <v>14.6755476813389</v>
      </c>
      <c r="G290" s="259">
        <v>0.14322849338573</v>
      </c>
      <c r="H290" s="259">
        <v>0.290512551753597</v>
      </c>
      <c r="I290" s="259">
        <v>0.433741045139327</v>
      </c>
      <c r="J290" s="259">
        <v>1.53932424635701</v>
      </c>
      <c r="K290" s="259">
        <v>0.0199633349515539</v>
      </c>
      <c r="L290" s="259">
        <v>0.0860867510300159</v>
      </c>
      <c r="M290" s="259">
        <v>0.0020130254910151</v>
      </c>
      <c r="N290" s="259">
        <v>0.00266862511749645</v>
      </c>
      <c r="O290" s="259">
        <v>0.28243797968652</v>
      </c>
      <c r="P290" s="259">
        <v>0.67193162747007</v>
      </c>
      <c r="Q290" s="259">
        <v>-0.0983518703546321</v>
      </c>
      <c r="R290" s="259">
        <v>0.702863704816915</v>
      </c>
      <c r="S290" s="259">
        <v>0.0166946486402721</v>
      </c>
      <c r="T290" s="259">
        <v>3.05689662111071</v>
      </c>
      <c r="U290" s="259">
        <v>3.75595802906659</v>
      </c>
      <c r="V290" s="259">
        <v>0.4486954115528</v>
      </c>
      <c r="W290" s="259"/>
      <c r="X290" s="119"/>
      <c r="Y290" s="258"/>
      <c r="Z290" s="258"/>
      <c r="AA290" s="258"/>
      <c r="AB290" s="258"/>
      <c r="AC290" s="258"/>
      <c r="AD290" s="260"/>
      <c r="AE290" s="261"/>
    </row>
    <row r="291" ht="21.25" customHeight="1">
      <c r="A291" t="s" s="10">
        <v>705</v>
      </c>
      <c r="B291" t="s" s="256">
        <v>939</v>
      </c>
      <c r="C291" s="257">
        <v>32</v>
      </c>
      <c r="D291" t="s" s="256">
        <v>915</v>
      </c>
      <c r="E291" s="119">
        <v>77.95999999999999</v>
      </c>
      <c r="F291" s="258">
        <v>14.1683545168409</v>
      </c>
      <c r="G291" s="259">
        <v>0.159487016433594</v>
      </c>
      <c r="H291" s="259">
        <v>0.264483470547347</v>
      </c>
      <c r="I291" s="259">
        <v>0.423970486980941</v>
      </c>
      <c r="J291" s="259">
        <v>1.91626825161612</v>
      </c>
      <c r="K291" s="259">
        <v>0.0228812082685865</v>
      </c>
      <c r="L291" s="259">
        <v>0.08502892986706</v>
      </c>
      <c r="M291" s="259">
        <v>0.000706144961987545</v>
      </c>
      <c r="N291" s="259">
        <v>0.00232533689667542</v>
      </c>
      <c r="O291" s="259">
        <v>0.245904307106335</v>
      </c>
      <c r="P291" s="259">
        <v>0.59973252018209</v>
      </c>
      <c r="Q291" s="259">
        <v>-0.0435546629790174</v>
      </c>
      <c r="R291" s="259">
        <v>0.235946525761089</v>
      </c>
      <c r="S291" s="259">
        <v>0.023642818180899</v>
      </c>
      <c r="T291" s="259">
        <v>4.96821075052147</v>
      </c>
      <c r="U291" s="259">
        <v>4.71346520109906</v>
      </c>
      <c r="V291" s="259">
        <v>0.513156066712797</v>
      </c>
      <c r="W291" s="259"/>
      <c r="X291" s="119"/>
      <c r="Y291" s="258"/>
      <c r="Z291" s="258"/>
      <c r="AA291" s="258"/>
      <c r="AB291" s="258"/>
      <c r="AC291" s="258"/>
      <c r="AD291" s="260"/>
      <c r="AE291" s="261"/>
    </row>
    <row r="292" ht="21.25" customHeight="1">
      <c r="A292" t="s" s="10">
        <v>532</v>
      </c>
      <c r="B292" t="s" s="256">
        <v>927</v>
      </c>
      <c r="C292" s="257">
        <v>29</v>
      </c>
      <c r="D292" t="s" s="256">
        <v>965</v>
      </c>
      <c r="E292" s="119">
        <v>81.55500000000001</v>
      </c>
      <c r="F292" s="258">
        <v>15.9148912111115</v>
      </c>
      <c r="G292" s="259">
        <v>0.207434209409027</v>
      </c>
      <c r="H292" s="259">
        <v>0.215904536034882</v>
      </c>
      <c r="I292" s="259">
        <v>0.423338745443909</v>
      </c>
      <c r="J292" s="259">
        <v>1.72672651228007</v>
      </c>
      <c r="K292" s="259">
        <v>0.0519812630114813</v>
      </c>
      <c r="L292" s="259">
        <v>0.08114845073453179</v>
      </c>
      <c r="M292" s="259">
        <v>0.00161842548967077</v>
      </c>
      <c r="N292" s="259">
        <v>0.00307137795906185</v>
      </c>
      <c r="O292" s="259">
        <v>0.52520985098529</v>
      </c>
      <c r="P292" s="259">
        <v>1.2284589088825</v>
      </c>
      <c r="Q292" s="259">
        <v>0.0064255632611923</v>
      </c>
      <c r="R292" s="259">
        <v>0.37627461896915</v>
      </c>
      <c r="S292" s="259">
        <v>0.0326836704886498</v>
      </c>
      <c r="T292" s="259">
        <v>5.81560659621325</v>
      </c>
      <c r="U292" s="259">
        <v>5.11793024590081</v>
      </c>
      <c r="V292" s="259">
        <v>0.531905336781101</v>
      </c>
      <c r="W292" s="259"/>
      <c r="X292" s="119"/>
      <c r="Y292" s="258"/>
      <c r="Z292" s="258"/>
      <c r="AA292" s="258"/>
      <c r="AB292" s="258"/>
      <c r="AC292" s="258"/>
      <c r="AD292" s="260"/>
      <c r="AE292" s="261"/>
    </row>
    <row r="293" ht="21.25" customHeight="1">
      <c r="A293" t="s" s="10">
        <v>570</v>
      </c>
      <c r="B293" t="s" s="256">
        <v>934</v>
      </c>
      <c r="C293" s="257">
        <v>32</v>
      </c>
      <c r="D293" t="s" s="256">
        <v>916</v>
      </c>
      <c r="E293" s="119">
        <v>75.07250000000001</v>
      </c>
      <c r="F293" s="258">
        <v>13.6473135244407</v>
      </c>
      <c r="G293" s="259">
        <v>0.205750327274421</v>
      </c>
      <c r="H293" s="259">
        <v>0.217181719888255</v>
      </c>
      <c r="I293" s="259">
        <v>0.422932047162676</v>
      </c>
      <c r="J293" s="259">
        <v>2.07903340861843</v>
      </c>
      <c r="K293" s="259">
        <v>0.0388332828248362</v>
      </c>
      <c r="L293" s="259">
        <v>0.0945882580169649</v>
      </c>
      <c r="M293" s="259">
        <v>9.73177879900461e-05</v>
      </c>
      <c r="N293" s="259">
        <v>0.000164947872608915</v>
      </c>
      <c r="O293" s="259">
        <v>0.316457804861304</v>
      </c>
      <c r="P293" s="259">
        <v>1.60739423138333</v>
      </c>
      <c r="Q293" s="259">
        <v>0.00547369245392915</v>
      </c>
      <c r="R293" s="259">
        <v>0.513672511939958</v>
      </c>
      <c r="S293" s="259">
        <v>0.0291045022255809</v>
      </c>
      <c r="T293" s="259">
        <v>0.12815688318402</v>
      </c>
      <c r="U293" s="259">
        <v>0.273714747297626</v>
      </c>
      <c r="V293" s="259">
        <v>0.318900050323092</v>
      </c>
      <c r="W293" s="259"/>
      <c r="X293" s="119"/>
      <c r="Y293" s="259"/>
      <c r="Z293" s="259"/>
      <c r="AA293" s="259"/>
      <c r="AB293" s="259"/>
      <c r="AC293" s="258"/>
      <c r="AD293" s="260"/>
      <c r="AE293" s="261"/>
    </row>
    <row r="294" ht="21.25" customHeight="1">
      <c r="A294" t="s" s="10">
        <v>429</v>
      </c>
      <c r="B294" t="s" s="256">
        <v>925</v>
      </c>
      <c r="C294" s="257">
        <v>27</v>
      </c>
      <c r="D294" t="s" s="256">
        <v>915</v>
      </c>
      <c r="E294" s="119">
        <v>81.2375</v>
      </c>
      <c r="F294" s="258">
        <v>13.0156902063109</v>
      </c>
      <c r="G294" s="259">
        <v>0.197303395646836</v>
      </c>
      <c r="H294" s="259">
        <v>0.225435720442904</v>
      </c>
      <c r="I294" s="259">
        <v>0.42273911608974</v>
      </c>
      <c r="J294" s="259">
        <v>1.74835399078356</v>
      </c>
      <c r="K294" s="259">
        <v>0.017089523516395</v>
      </c>
      <c r="L294" s="259">
        <v>0.0406902093909873</v>
      </c>
      <c r="M294" s="259">
        <v>0.000595324575016621</v>
      </c>
      <c r="N294" s="259">
        <v>0.00100946338720542</v>
      </c>
      <c r="O294" s="259">
        <v>0.511996030793561</v>
      </c>
      <c r="P294" s="259">
        <v>1.85793500298987</v>
      </c>
      <c r="Q294" s="259">
        <v>0.0294526376072037</v>
      </c>
      <c r="R294" s="259">
        <v>0.470458698099554</v>
      </c>
      <c r="S294" s="259">
        <v>0.0294792295049823</v>
      </c>
      <c r="T294" s="259">
        <v>4.48214310195018</v>
      </c>
      <c r="U294" s="259">
        <v>3.94297834121032</v>
      </c>
      <c r="V294" s="259">
        <v>0.5319974474182541</v>
      </c>
      <c r="W294" s="259"/>
      <c r="X294" s="119"/>
      <c r="Y294" s="258"/>
      <c r="Z294" s="258"/>
      <c r="AA294" s="258"/>
      <c r="AB294" s="258"/>
      <c r="AC294" s="258"/>
      <c r="AD294" s="260"/>
      <c r="AE294" s="261"/>
    </row>
    <row r="295" ht="21.25" customHeight="1">
      <c r="A295" t="s" s="10">
        <v>498</v>
      </c>
      <c r="B295" t="s" s="256">
        <v>932</v>
      </c>
      <c r="C295" s="257">
        <v>26</v>
      </c>
      <c r="D295" t="s" s="256">
        <v>915</v>
      </c>
      <c r="E295" s="119">
        <v>81.63</v>
      </c>
      <c r="F295" s="258">
        <v>15.9132399988097</v>
      </c>
      <c r="G295" s="259">
        <v>0.170264533952109</v>
      </c>
      <c r="H295" s="259">
        <v>0.250698433955059</v>
      </c>
      <c r="I295" s="259">
        <v>0.420962967907168</v>
      </c>
      <c r="J295" s="259">
        <v>1.49754488046717</v>
      </c>
      <c r="K295" s="259">
        <v>0.0132041637433141</v>
      </c>
      <c r="L295" s="259">
        <v>0.0245105488502319</v>
      </c>
      <c r="M295" s="259">
        <v>0.00473990895225128</v>
      </c>
      <c r="N295" s="259">
        <v>0.0131798989004822</v>
      </c>
      <c r="O295" s="259">
        <v>0.66281644893208</v>
      </c>
      <c r="P295" s="259">
        <v>1.36618759193941</v>
      </c>
      <c r="Q295" s="259">
        <v>0.0618867768866751</v>
      </c>
      <c r="R295" s="259">
        <v>0.320371140596026</v>
      </c>
      <c r="S295" s="259">
        <v>0.0290065606552102</v>
      </c>
      <c r="T295" s="259">
        <v>1.77962366160705</v>
      </c>
      <c r="U295" s="259">
        <v>2.03964463922273</v>
      </c>
      <c r="V295" s="259">
        <v>0.465959320328559</v>
      </c>
      <c r="W295" s="259"/>
      <c r="X295" s="119"/>
      <c r="Y295" s="258"/>
      <c r="Z295" s="258"/>
      <c r="AA295" s="258"/>
      <c r="AB295" s="258"/>
      <c r="AC295" s="258"/>
      <c r="AD295" s="260"/>
      <c r="AE295" s="261"/>
    </row>
    <row r="296" ht="21.25" customHeight="1">
      <c r="A296" t="s" s="10">
        <v>602</v>
      </c>
      <c r="B296" t="s" s="256">
        <v>938</v>
      </c>
      <c r="C296" s="257">
        <v>31</v>
      </c>
      <c r="D296" t="s" s="256">
        <v>965</v>
      </c>
      <c r="E296" s="119">
        <v>79.9325</v>
      </c>
      <c r="F296" s="258">
        <v>14.7716272020997</v>
      </c>
      <c r="G296" s="259">
        <v>0.147521911968873</v>
      </c>
      <c r="H296" s="259">
        <v>0.273018325307284</v>
      </c>
      <c r="I296" s="259">
        <v>0.420540237276157</v>
      </c>
      <c r="J296" s="259">
        <v>1.32139611051936</v>
      </c>
      <c r="K296" s="259">
        <v>0.0274707382573083</v>
      </c>
      <c r="L296" s="259">
        <v>0.0652518399617447</v>
      </c>
      <c r="M296" s="259">
        <v>0.0107338851233909</v>
      </c>
      <c r="N296" s="259">
        <v>0.0147513157604555</v>
      </c>
      <c r="O296" s="259">
        <v>0.576118470345044</v>
      </c>
      <c r="P296" s="259">
        <v>1.24704779846793</v>
      </c>
      <c r="Q296" s="259">
        <v>0.0448763786011588</v>
      </c>
      <c r="R296" s="259">
        <v>0.452650706066121</v>
      </c>
      <c r="S296" s="259">
        <v>0.0245220596360823</v>
      </c>
      <c r="T296" s="259">
        <v>1.96821565971367</v>
      </c>
      <c r="U296" s="259">
        <v>3.07686196843707</v>
      </c>
      <c r="V296" s="259">
        <v>0.390125941517993</v>
      </c>
      <c r="W296" s="259"/>
      <c r="X296" s="119"/>
      <c r="Y296" s="258"/>
      <c r="Z296" s="258"/>
      <c r="AA296" s="258"/>
      <c r="AB296" s="258"/>
      <c r="AC296" s="258"/>
      <c r="AD296" s="260"/>
      <c r="AE296" s="261"/>
    </row>
    <row r="297" ht="21.25" customHeight="1">
      <c r="A297" t="s" s="10">
        <v>442</v>
      </c>
      <c r="B297" t="s" s="256">
        <v>936</v>
      </c>
      <c r="C297" s="257">
        <v>34</v>
      </c>
      <c r="D297" t="s" s="256">
        <v>916</v>
      </c>
      <c r="E297" s="119">
        <v>81.2525</v>
      </c>
      <c r="F297" s="258">
        <v>14.432751726882</v>
      </c>
      <c r="G297" s="259">
        <v>0.224490328049538</v>
      </c>
      <c r="H297" s="259">
        <v>0.195802796996196</v>
      </c>
      <c r="I297" s="259">
        <v>0.420293125045734</v>
      </c>
      <c r="J297" s="259">
        <v>2.0208770791683</v>
      </c>
      <c r="K297" s="259">
        <v>0.0433865290023082</v>
      </c>
      <c r="L297" s="259">
        <v>0.0689439401693407</v>
      </c>
      <c r="M297" s="259">
        <v>5.13718705367277e-05</v>
      </c>
      <c r="N297" s="259">
        <v>8.62921981177071e-05</v>
      </c>
      <c r="O297" s="259">
        <v>0.58929053066166</v>
      </c>
      <c r="P297" s="259">
        <v>1.67619681596322</v>
      </c>
      <c r="Q297" s="259">
        <v>0.0538126338347957</v>
      </c>
      <c r="R297" s="259">
        <v>0.540702667922587</v>
      </c>
      <c r="S297" s="259">
        <v>0.0352806616047157</v>
      </c>
      <c r="T297" s="259">
        <v>0.315823766714795</v>
      </c>
      <c r="U297" s="259">
        <v>0.336450177117125</v>
      </c>
      <c r="V297" s="259">
        <v>0.484188843815257</v>
      </c>
      <c r="W297" s="259"/>
      <c r="X297" s="119"/>
      <c r="Y297" s="258"/>
      <c r="Z297" s="258"/>
      <c r="AA297" s="258"/>
      <c r="AB297" s="258"/>
      <c r="AC297" s="258"/>
      <c r="AD297" s="260"/>
      <c r="AE297" s="261"/>
    </row>
    <row r="298" ht="21.25" customHeight="1">
      <c r="A298" t="s" s="10">
        <v>478</v>
      </c>
      <c r="B298" t="s" s="256">
        <v>949</v>
      </c>
      <c r="C298" s="257">
        <v>30</v>
      </c>
      <c r="D298" t="s" s="256">
        <v>918</v>
      </c>
      <c r="E298" s="119">
        <v>80.72750000000001</v>
      </c>
      <c r="F298" s="258">
        <v>21.613160252080</v>
      </c>
      <c r="G298" s="259">
        <v>0.0738561528666804</v>
      </c>
      <c r="H298" s="259">
        <v>0.346436933797557</v>
      </c>
      <c r="I298" s="259">
        <v>0.420293086664237</v>
      </c>
      <c r="J298" s="259">
        <v>1.83718023784393</v>
      </c>
      <c r="K298" s="259">
        <v>0.00143936163347118</v>
      </c>
      <c r="L298" s="259">
        <v>0.0091223484849516</v>
      </c>
      <c r="M298" s="259">
        <v>0.00973169591496398</v>
      </c>
      <c r="N298" s="259">
        <v>0.0172404886081662</v>
      </c>
      <c r="O298" s="259">
        <v>1.50538911575624</v>
      </c>
      <c r="P298" s="259">
        <v>0.727358651594167</v>
      </c>
      <c r="Q298" s="259">
        <v>0.102682281256413</v>
      </c>
      <c r="R298" s="259">
        <v>0.17916894794501</v>
      </c>
      <c r="S298" s="259">
        <v>0.0127982067413449</v>
      </c>
      <c r="T298" s="259">
        <v>0</v>
      </c>
      <c r="U298" s="259">
        <v>0</v>
      </c>
      <c r="V298" s="259">
        <v>0</v>
      </c>
      <c r="W298" s="259"/>
      <c r="X298" s="119"/>
      <c r="Y298" s="258"/>
      <c r="Z298" s="258"/>
      <c r="AA298" s="258"/>
      <c r="AB298" s="258"/>
      <c r="AC298" s="258"/>
      <c r="AD298" s="260"/>
      <c r="AE298" s="261"/>
    </row>
    <row r="299" ht="21.25" customHeight="1">
      <c r="A299" t="s" s="10">
        <v>674</v>
      </c>
      <c r="B299" t="s" s="256">
        <v>942</v>
      </c>
      <c r="C299" s="257">
        <v>30</v>
      </c>
      <c r="D299" t="s" s="256">
        <v>965</v>
      </c>
      <c r="E299" s="119">
        <v>80.4975</v>
      </c>
      <c r="F299" s="258">
        <v>15.5836923000268</v>
      </c>
      <c r="G299" s="259">
        <v>0.139715658550243</v>
      </c>
      <c r="H299" s="259">
        <v>0.279189419898742</v>
      </c>
      <c r="I299" s="259">
        <v>0.418905078448985</v>
      </c>
      <c r="J299" s="259">
        <v>1.42837793715492</v>
      </c>
      <c r="K299" s="259">
        <v>0.0138680585313843</v>
      </c>
      <c r="L299" s="259">
        <v>0.0434097312289741</v>
      </c>
      <c r="M299" s="259">
        <v>0.0117227578232441</v>
      </c>
      <c r="N299" s="259">
        <v>0.0268658451045436</v>
      </c>
      <c r="O299" s="259">
        <v>0.578638431801428</v>
      </c>
      <c r="P299" s="259">
        <v>0.50269149419049</v>
      </c>
      <c r="Q299" s="259">
        <v>-0.0364623801902691</v>
      </c>
      <c r="R299" s="259">
        <v>0.290085536092243</v>
      </c>
      <c r="S299" s="259">
        <v>0.0191889209050984</v>
      </c>
      <c r="T299" s="259">
        <v>6.11633157891036</v>
      </c>
      <c r="U299" s="259">
        <v>5.62997447685827</v>
      </c>
      <c r="V299" s="259">
        <v>0.520702555328585</v>
      </c>
      <c r="W299" s="259"/>
      <c r="X299" s="119"/>
      <c r="Y299" s="258"/>
      <c r="Z299" s="258"/>
      <c r="AA299" s="258"/>
      <c r="AB299" s="258"/>
      <c r="AC299" s="258"/>
      <c r="AD299" s="260"/>
      <c r="AE299" s="261"/>
    </row>
    <row r="300" ht="21.25" customHeight="1">
      <c r="A300" t="s" s="10">
        <v>350</v>
      </c>
      <c r="B300" t="s" s="256">
        <v>954</v>
      </c>
      <c r="C300" s="257">
        <v>22</v>
      </c>
      <c r="D300" t="s" s="256">
        <v>918</v>
      </c>
      <c r="E300" s="119">
        <v>72.66249999999999</v>
      </c>
      <c r="F300" s="258">
        <v>22.2365251891417</v>
      </c>
      <c r="G300" s="259">
        <v>0.103109328047501</v>
      </c>
      <c r="H300" s="259">
        <v>0.315574737959713</v>
      </c>
      <c r="I300" s="259">
        <v>0.418684066007214</v>
      </c>
      <c r="J300" s="259">
        <v>1.49159160587109</v>
      </c>
      <c r="K300" s="259">
        <v>0.00110571047193858</v>
      </c>
      <c r="L300" s="259">
        <v>0.0070334512772905</v>
      </c>
      <c r="M300" s="259">
        <v>0.000511885224850971</v>
      </c>
      <c r="N300" s="259">
        <v>0.00217913826366202</v>
      </c>
      <c r="O300" s="259">
        <v>2.34781578096085</v>
      </c>
      <c r="P300" s="259">
        <v>1.61397672536845</v>
      </c>
      <c r="Q300" s="259">
        <v>-0.07721166794292331</v>
      </c>
      <c r="R300" s="259">
        <v>0.721372660068812</v>
      </c>
      <c r="S300" s="259">
        <v>0.0119505023443191</v>
      </c>
      <c r="T300" s="259">
        <v>0</v>
      </c>
      <c r="U300" s="259">
        <v>0</v>
      </c>
      <c r="V300" s="259">
        <v>0</v>
      </c>
      <c r="W300" s="259"/>
      <c r="X300" s="119"/>
      <c r="Y300" s="258"/>
      <c r="Z300" s="258"/>
      <c r="AA300" s="258"/>
      <c r="AB300" s="258"/>
      <c r="AC300" s="258"/>
      <c r="AD300" s="260"/>
      <c r="AE300" s="261"/>
    </row>
    <row r="301" ht="21.25" customHeight="1">
      <c r="A301" t="s" s="10">
        <v>392</v>
      </c>
      <c r="B301" t="s" s="256">
        <v>924</v>
      </c>
      <c r="C301" s="257">
        <v>34</v>
      </c>
      <c r="D301" t="s" s="256">
        <v>918</v>
      </c>
      <c r="E301" s="119">
        <v>80.3475</v>
      </c>
      <c r="F301" s="258">
        <v>21.462720012458</v>
      </c>
      <c r="G301" s="259">
        <v>0.101184962581135</v>
      </c>
      <c r="H301" s="259">
        <v>0.317140422228044</v>
      </c>
      <c r="I301" s="259">
        <v>0.418325384809179</v>
      </c>
      <c r="J301" s="259">
        <v>1.96422814814474</v>
      </c>
      <c r="K301" s="259">
        <v>0.008131553041079671</v>
      </c>
      <c r="L301" s="259">
        <v>0.0356238553998831</v>
      </c>
      <c r="M301" s="259">
        <v>0.00542519326966994</v>
      </c>
      <c r="N301" s="259">
        <v>0.0114932511153742</v>
      </c>
      <c r="O301" s="259">
        <v>1.35273375233262</v>
      </c>
      <c r="P301" s="259">
        <v>1.53159589768912</v>
      </c>
      <c r="Q301" s="259">
        <v>0.141973527562899</v>
      </c>
      <c r="R301" s="259">
        <v>0.516044528072223</v>
      </c>
      <c r="S301" s="259">
        <v>0.0163388577704602</v>
      </c>
      <c r="T301" s="259">
        <v>0</v>
      </c>
      <c r="U301" s="259">
        <v>0</v>
      </c>
      <c r="V301" s="259">
        <v>0</v>
      </c>
      <c r="W301" s="259"/>
      <c r="X301" s="119"/>
      <c r="Y301" s="258"/>
      <c r="Z301" s="258"/>
      <c r="AA301" s="258"/>
      <c r="AB301" s="258"/>
      <c r="AC301" s="258"/>
      <c r="AD301" s="260"/>
      <c r="AE301" s="261"/>
    </row>
    <row r="302" ht="21.25" customHeight="1">
      <c r="A302" t="s" s="10">
        <v>546</v>
      </c>
      <c r="B302" t="s" s="256">
        <v>952</v>
      </c>
      <c r="C302" s="257">
        <v>30</v>
      </c>
      <c r="D302" t="s" s="256">
        <v>918</v>
      </c>
      <c r="E302" s="119">
        <v>79.03</v>
      </c>
      <c r="F302" s="258">
        <v>20.9428942006685</v>
      </c>
      <c r="G302" s="259">
        <v>0.102293545426168</v>
      </c>
      <c r="H302" s="259">
        <v>0.313965105695354</v>
      </c>
      <c r="I302" s="259">
        <v>0.416258651121522</v>
      </c>
      <c r="J302" s="259">
        <v>1.39208835135227</v>
      </c>
      <c r="K302" s="259">
        <v>0.0112838436677395</v>
      </c>
      <c r="L302" s="259">
        <v>0.0514903866369812</v>
      </c>
      <c r="M302" s="259">
        <v>0.00272896638702142</v>
      </c>
      <c r="N302" s="259">
        <v>0.009691276399676169</v>
      </c>
      <c r="O302" s="259">
        <v>1.34690598355007</v>
      </c>
      <c r="P302" s="259">
        <v>0.774604638111276</v>
      </c>
      <c r="Q302" s="259">
        <v>-0.09078494544741619</v>
      </c>
      <c r="R302" s="259">
        <v>0.602907796717134</v>
      </c>
      <c r="S302" s="259">
        <v>0.0113120651413373</v>
      </c>
      <c r="T302" s="259">
        <v>0</v>
      </c>
      <c r="U302" s="259">
        <v>0</v>
      </c>
      <c r="V302" s="259">
        <v>0</v>
      </c>
      <c r="W302" s="259"/>
      <c r="X302" s="119"/>
      <c r="Y302" s="258"/>
      <c r="Z302" s="258"/>
      <c r="AA302" s="258"/>
      <c r="AB302" s="258"/>
      <c r="AC302" s="258"/>
      <c r="AD302" s="260"/>
      <c r="AE302" s="261"/>
    </row>
    <row r="303" ht="21.25" customHeight="1">
      <c r="A303" t="s" s="10">
        <v>569</v>
      </c>
      <c r="B303" t="s" s="256">
        <v>958</v>
      </c>
      <c r="C303" s="257">
        <v>32</v>
      </c>
      <c r="D303" t="s" s="256">
        <v>918</v>
      </c>
      <c r="E303" s="119">
        <v>81.2525</v>
      </c>
      <c r="F303" s="258">
        <v>21.9859543660843</v>
      </c>
      <c r="G303" s="259">
        <v>0.06910753087233371</v>
      </c>
      <c r="H303" s="259">
        <v>0.343805301322943</v>
      </c>
      <c r="I303" s="259">
        <v>0.412912832195277</v>
      </c>
      <c r="J303" s="259">
        <v>1.23163396649408</v>
      </c>
      <c r="K303" s="259">
        <v>0.023023633850528</v>
      </c>
      <c r="L303" s="259">
        <v>0.118092855359391</v>
      </c>
      <c r="M303" s="259">
        <v>0.000292338587699399</v>
      </c>
      <c r="N303" s="259">
        <v>0.00628884609122503</v>
      </c>
      <c r="O303" s="259">
        <v>1.40028357696178</v>
      </c>
      <c r="P303" s="259">
        <v>0.57660918273753</v>
      </c>
      <c r="Q303" s="259">
        <v>-0.122429197831437</v>
      </c>
      <c r="R303" s="259">
        <v>0.275577440095891</v>
      </c>
      <c r="S303" s="259">
        <v>0.00805514265379627</v>
      </c>
      <c r="T303" s="259">
        <v>0</v>
      </c>
      <c r="U303" s="259">
        <v>0</v>
      </c>
      <c r="V303" s="259">
        <v>0</v>
      </c>
      <c r="W303" s="259"/>
      <c r="X303" s="119"/>
      <c r="Y303" s="258"/>
      <c r="Z303" s="258"/>
      <c r="AA303" s="258"/>
      <c r="AB303" s="258"/>
      <c r="AC303" s="258"/>
      <c r="AD303" s="260"/>
      <c r="AE303" s="261"/>
    </row>
    <row r="304" ht="21.25" customHeight="1">
      <c r="A304" t="s" s="10">
        <v>353</v>
      </c>
      <c r="B304" t="s" s="256">
        <v>936</v>
      </c>
      <c r="C304" s="257">
        <v>31</v>
      </c>
      <c r="D304" t="s" s="256">
        <v>915</v>
      </c>
      <c r="E304" s="119">
        <v>79.88</v>
      </c>
      <c r="F304" s="258">
        <v>15.7228133953872</v>
      </c>
      <c r="G304" s="259">
        <v>0.139595589362246</v>
      </c>
      <c r="H304" s="259">
        <v>0.269090350926299</v>
      </c>
      <c r="I304" s="259">
        <v>0.408685940288545</v>
      </c>
      <c r="J304" s="259">
        <v>1.33207269326944</v>
      </c>
      <c r="K304" s="259">
        <v>0.0261759244598704</v>
      </c>
      <c r="L304" s="259">
        <v>0.0519760335610305</v>
      </c>
      <c r="M304" s="259">
        <v>0.0161055646438119</v>
      </c>
      <c r="N304" s="259">
        <v>0.0563108529193276</v>
      </c>
      <c r="O304" s="259">
        <v>0.889770410471123</v>
      </c>
      <c r="P304" s="259">
        <v>2.10323646796115</v>
      </c>
      <c r="Q304" s="259">
        <v>0.0144503743445315</v>
      </c>
      <c r="R304" s="259">
        <v>0.251491270330435</v>
      </c>
      <c r="S304" s="259">
        <v>0.0219386946092103</v>
      </c>
      <c r="T304" s="259">
        <v>8.4414876023482</v>
      </c>
      <c r="U304" s="259">
        <v>6.62663197762015</v>
      </c>
      <c r="V304" s="259">
        <v>0.560221702352984</v>
      </c>
      <c r="W304" s="259"/>
      <c r="X304" s="119"/>
      <c r="Y304" s="258"/>
      <c r="Z304" s="258"/>
      <c r="AA304" s="258"/>
      <c r="AB304" s="258"/>
      <c r="AC304" s="258"/>
      <c r="AD304" s="260"/>
      <c r="AE304" s="261"/>
    </row>
    <row r="305" ht="21.25" customHeight="1">
      <c r="A305" t="s" s="10">
        <v>490</v>
      </c>
      <c r="B305" t="s" s="256">
        <v>951</v>
      </c>
      <c r="C305" s="257">
        <v>32</v>
      </c>
      <c r="D305" t="s" s="256">
        <v>915</v>
      </c>
      <c r="E305" s="119">
        <v>77.91500000000001</v>
      </c>
      <c r="F305" s="258">
        <v>15.5172393283087</v>
      </c>
      <c r="G305" s="259">
        <v>0.207624578065559</v>
      </c>
      <c r="H305" s="259">
        <v>0.199817997898745</v>
      </c>
      <c r="I305" s="259">
        <v>0.407442575964304</v>
      </c>
      <c r="J305" s="259">
        <v>1.82547795358825</v>
      </c>
      <c r="K305" s="259">
        <v>0.00701659550721709</v>
      </c>
      <c r="L305" s="259">
        <v>0.0166019674179466</v>
      </c>
      <c r="M305" s="259">
        <v>0.0118394173461682</v>
      </c>
      <c r="N305" s="259">
        <v>0.0134333584834335</v>
      </c>
      <c r="O305" s="259">
        <v>0.581161399146659</v>
      </c>
      <c r="P305" s="259">
        <v>1.59992656040362</v>
      </c>
      <c r="Q305" s="259">
        <v>0.0167389892349837</v>
      </c>
      <c r="R305" s="259">
        <v>0.492272555818128</v>
      </c>
      <c r="S305" s="259">
        <v>0.0303815784475634</v>
      </c>
      <c r="T305" s="259">
        <v>6.8990288909658</v>
      </c>
      <c r="U305" s="259">
        <v>7.04825710057292</v>
      </c>
      <c r="V305" s="259">
        <v>0.494650277849839</v>
      </c>
      <c r="W305" s="259"/>
      <c r="X305" s="119"/>
      <c r="Y305" s="258"/>
      <c r="Z305" s="258"/>
      <c r="AA305" s="258"/>
      <c r="AB305" s="258"/>
      <c r="AC305" s="258"/>
      <c r="AD305" s="260"/>
      <c r="AE305" s="261"/>
    </row>
    <row r="306" ht="21.25" customHeight="1">
      <c r="A306" t="s" s="10">
        <v>441</v>
      </c>
      <c r="B306" t="s" s="256">
        <v>956</v>
      </c>
      <c r="C306" s="257">
        <v>23</v>
      </c>
      <c r="D306" t="s" s="256">
        <v>918</v>
      </c>
      <c r="E306" s="119">
        <v>72.98</v>
      </c>
      <c r="F306" s="258">
        <v>22.6236839206502</v>
      </c>
      <c r="G306" s="259">
        <v>0.100258782856777</v>
      </c>
      <c r="H306" s="259">
        <v>0.306761011712426</v>
      </c>
      <c r="I306" s="259">
        <v>0.407019794569203</v>
      </c>
      <c r="J306" s="259">
        <v>1.49355677077622</v>
      </c>
      <c r="K306" s="259">
        <v>0.00658167085809909</v>
      </c>
      <c r="L306" s="259">
        <v>0.0904267232916932</v>
      </c>
      <c r="M306" s="259">
        <v>0.000546326643260049</v>
      </c>
      <c r="N306" s="259">
        <v>0.0251097188577403</v>
      </c>
      <c r="O306" s="259">
        <v>1.97612543996788</v>
      </c>
      <c r="P306" s="259">
        <v>1.0371716547403</v>
      </c>
      <c r="Q306" s="259">
        <v>-0.0452054900307383</v>
      </c>
      <c r="R306" s="259">
        <v>0.483467309363162</v>
      </c>
      <c r="S306" s="259">
        <v>0.0145324631532386</v>
      </c>
      <c r="T306" s="259">
        <v>0</v>
      </c>
      <c r="U306" s="259">
        <v>0</v>
      </c>
      <c r="V306" s="259">
        <v>0</v>
      </c>
      <c r="W306" s="259"/>
      <c r="X306" s="119"/>
      <c r="Y306" s="258"/>
      <c r="Z306" s="258"/>
      <c r="AA306" s="258"/>
      <c r="AB306" s="258"/>
      <c r="AC306" s="258"/>
      <c r="AD306" s="260"/>
      <c r="AE306" s="261"/>
    </row>
    <row r="307" ht="21.25" customHeight="1">
      <c r="A307" t="s" s="10">
        <v>710</v>
      </c>
      <c r="B307" t="s" s="256">
        <v>951</v>
      </c>
      <c r="C307" s="257">
        <v>24</v>
      </c>
      <c r="D307" t="s" s="256">
        <v>915</v>
      </c>
      <c r="E307" s="119">
        <v>71.13249999999999</v>
      </c>
      <c r="F307" s="258">
        <v>15.4731249649819</v>
      </c>
      <c r="G307" s="259">
        <v>0.169595036905648</v>
      </c>
      <c r="H307" s="259">
        <v>0.236448981779171</v>
      </c>
      <c r="I307" s="259">
        <v>0.406044018684819</v>
      </c>
      <c r="J307" s="259">
        <v>1.71746196306331</v>
      </c>
      <c r="K307" s="259">
        <v>0.0228167509088125</v>
      </c>
      <c r="L307" s="259">
        <v>0.0565691005659951</v>
      </c>
      <c r="M307" s="259">
        <v>0.001054876061731</v>
      </c>
      <c r="N307" s="259">
        <v>0.00441399602229933</v>
      </c>
      <c r="O307" s="259">
        <v>0.433639625204528</v>
      </c>
      <c r="P307" s="259">
        <v>0.846614014259094</v>
      </c>
      <c r="Q307" s="259">
        <v>-0.00283129519435766</v>
      </c>
      <c r="R307" s="259">
        <v>0.414702595778608</v>
      </c>
      <c r="S307" s="259">
        <v>0.0248167387795457</v>
      </c>
      <c r="T307" s="259">
        <v>6.22174208392481</v>
      </c>
      <c r="U307" s="259">
        <v>6.21449609898075</v>
      </c>
      <c r="V307" s="259">
        <v>0.50029132543288</v>
      </c>
      <c r="W307" s="259"/>
      <c r="X307" s="119"/>
      <c r="Y307" s="258"/>
      <c r="Z307" s="258"/>
      <c r="AA307" s="258"/>
      <c r="AB307" s="258"/>
      <c r="AC307" s="258"/>
      <c r="AD307" s="260"/>
      <c r="AE307" s="261"/>
    </row>
    <row r="308" ht="21.25" customHeight="1">
      <c r="A308" t="s" s="10">
        <v>691</v>
      </c>
      <c r="B308" t="s" s="256">
        <v>959</v>
      </c>
      <c r="C308" s="257">
        <v>23</v>
      </c>
      <c r="D308" t="s" s="256">
        <v>918</v>
      </c>
      <c r="E308" s="119">
        <v>65.79000000000001</v>
      </c>
      <c r="F308" s="258">
        <v>19.8952403780526</v>
      </c>
      <c r="G308" s="259">
        <v>0.103956450306872</v>
      </c>
      <c r="H308" s="259">
        <v>0.302019764734351</v>
      </c>
      <c r="I308" s="259">
        <v>0.405976215041223</v>
      </c>
      <c r="J308" s="259">
        <v>1.15768652394319</v>
      </c>
      <c r="K308" s="259">
        <v>0.07487427484136711</v>
      </c>
      <c r="L308" s="259">
        <v>0.227688446344631</v>
      </c>
      <c r="M308" s="259">
        <v>0.000279081930348579</v>
      </c>
      <c r="N308" s="259">
        <v>0.00137293579399032</v>
      </c>
      <c r="O308" s="259">
        <v>1.33462141436393</v>
      </c>
      <c r="P308" s="259">
        <v>0.831426211621184</v>
      </c>
      <c r="Q308" s="259">
        <v>-0.139658749699021</v>
      </c>
      <c r="R308" s="259">
        <v>0.382212545033778</v>
      </c>
      <c r="S308" s="259">
        <v>0.0111036014433309</v>
      </c>
      <c r="T308" s="259">
        <v>0</v>
      </c>
      <c r="U308" s="259">
        <v>0</v>
      </c>
      <c r="V308" s="259">
        <v>0</v>
      </c>
      <c r="W308" s="259"/>
      <c r="X308" s="119"/>
      <c r="Y308" s="258"/>
      <c r="Z308" s="258"/>
      <c r="AA308" s="258"/>
      <c r="AB308" s="258"/>
      <c r="AC308" s="258"/>
      <c r="AD308" s="260"/>
      <c r="AE308" s="261"/>
    </row>
    <row r="309" ht="21.25" customHeight="1">
      <c r="A309" t="s" s="10">
        <v>804</v>
      </c>
      <c r="B309" t="s" s="256">
        <v>944</v>
      </c>
      <c r="C309" s="257">
        <v>28</v>
      </c>
      <c r="D309" t="s" s="256">
        <v>916</v>
      </c>
      <c r="E309" s="119">
        <v>72.0975</v>
      </c>
      <c r="F309" s="258">
        <v>12.7886926902275</v>
      </c>
      <c r="G309" s="259">
        <v>0.188042016069503</v>
      </c>
      <c r="H309" s="259">
        <v>0.215323959807878</v>
      </c>
      <c r="I309" s="259">
        <v>0.403365975877381</v>
      </c>
      <c r="J309" s="259">
        <v>1.16785339945592</v>
      </c>
      <c r="K309" s="259">
        <v>0.0380324390796353</v>
      </c>
      <c r="L309" s="259">
        <v>0.077383060048812</v>
      </c>
      <c r="M309" s="259">
        <v>2.79080304978807e-05</v>
      </c>
      <c r="N309" s="259">
        <v>4.73474400419587e-05</v>
      </c>
      <c r="O309" s="259">
        <v>0.314578010100922</v>
      </c>
      <c r="P309" s="259">
        <v>0.60388363467287</v>
      </c>
      <c r="Q309" s="259">
        <v>-0.0112800148940434</v>
      </c>
      <c r="R309" s="259">
        <v>0.237575946914798</v>
      </c>
      <c r="S309" s="259">
        <v>0.0266855191933548</v>
      </c>
      <c r="T309" s="259">
        <v>0</v>
      </c>
      <c r="U309" s="259">
        <v>0.00531584588901318</v>
      </c>
      <c r="V309" s="259">
        <v>0</v>
      </c>
      <c r="W309" s="259"/>
      <c r="X309" s="119"/>
      <c r="Y309" s="258"/>
      <c r="Z309" s="258"/>
      <c r="AA309" s="258"/>
      <c r="AB309" s="258"/>
      <c r="AC309" s="258"/>
      <c r="AD309" s="260"/>
      <c r="AE309" s="261"/>
    </row>
    <row r="310" ht="21.25" customHeight="1">
      <c r="A310" t="s" s="10">
        <v>535</v>
      </c>
      <c r="B310" t="s" s="256">
        <v>950</v>
      </c>
      <c r="C310" s="257">
        <v>21</v>
      </c>
      <c r="D310" t="s" s="256">
        <v>918</v>
      </c>
      <c r="E310" s="119">
        <v>69.22499999999999</v>
      </c>
      <c r="F310" s="258">
        <v>18.7807766049694</v>
      </c>
      <c r="G310" s="259">
        <v>0.0881935705433942</v>
      </c>
      <c r="H310" s="259">
        <v>0.311217020309796</v>
      </c>
      <c r="I310" s="259">
        <v>0.39941059085319</v>
      </c>
      <c r="J310" s="259">
        <v>1.83261853106087</v>
      </c>
      <c r="K310" s="259">
        <v>0.010785829144839</v>
      </c>
      <c r="L310" s="259">
        <v>0.159475157949216</v>
      </c>
      <c r="M310" s="259">
        <v>0.00040146691444567</v>
      </c>
      <c r="N310" s="259">
        <v>0.00196340135556485</v>
      </c>
      <c r="O310" s="259">
        <v>1.56146945169176</v>
      </c>
      <c r="P310" s="259">
        <v>1.18004639792328</v>
      </c>
      <c r="Q310" s="259">
        <v>0.009969158367128949</v>
      </c>
      <c r="R310" s="259">
        <v>0.575152682419687</v>
      </c>
      <c r="S310" s="259">
        <v>0.0157171235215047</v>
      </c>
      <c r="T310" s="259">
        <v>0</v>
      </c>
      <c r="U310" s="259">
        <v>0</v>
      </c>
      <c r="V310" s="259">
        <v>0</v>
      </c>
      <c r="W310" s="259"/>
      <c r="X310" s="119"/>
      <c r="Y310" s="258"/>
      <c r="Z310" s="258"/>
      <c r="AA310" s="258"/>
      <c r="AB310" s="258"/>
      <c r="AC310" s="258"/>
      <c r="AD310" s="260"/>
      <c r="AE310" s="261"/>
    </row>
    <row r="311" ht="21.25" customHeight="1">
      <c r="A311" t="s" s="10">
        <v>300</v>
      </c>
      <c r="B311" t="s" s="256">
        <v>924</v>
      </c>
      <c r="C311" s="257">
        <v>29</v>
      </c>
      <c r="D311" t="s" s="256">
        <v>918</v>
      </c>
      <c r="E311" s="119">
        <v>80.7525</v>
      </c>
      <c r="F311" s="258">
        <v>20.6573875240551</v>
      </c>
      <c r="G311" s="259">
        <v>0.108134461614374</v>
      </c>
      <c r="H311" s="259">
        <v>0.290957647830127</v>
      </c>
      <c r="I311" s="259">
        <v>0.399092109444501</v>
      </c>
      <c r="J311" s="259">
        <v>2.0740158826497</v>
      </c>
      <c r="K311" s="259">
        <v>0.00539721370181518</v>
      </c>
      <c r="L311" s="259">
        <v>0.0417256014929106</v>
      </c>
      <c r="M311" s="259">
        <v>0.0138319658861428</v>
      </c>
      <c r="N311" s="259">
        <v>0.0166773688740057</v>
      </c>
      <c r="O311" s="259">
        <v>1.86268295148013</v>
      </c>
      <c r="P311" s="259">
        <v>1.78530509582996</v>
      </c>
      <c r="Q311" s="259">
        <v>0.0794580438781505</v>
      </c>
      <c r="R311" s="259">
        <v>0.655149028113186</v>
      </c>
      <c r="S311" s="259">
        <v>0.01746102922147</v>
      </c>
      <c r="T311" s="259">
        <v>0</v>
      </c>
      <c r="U311" s="259">
        <v>0</v>
      </c>
      <c r="V311" s="259">
        <v>0</v>
      </c>
      <c r="W311" s="259"/>
      <c r="X311" s="119"/>
      <c r="Y311" s="258"/>
      <c r="Z311" s="258"/>
      <c r="AA311" s="258"/>
      <c r="AB311" s="258"/>
      <c r="AC311" s="258"/>
      <c r="AD311" s="260"/>
      <c r="AE311" s="261"/>
    </row>
    <row r="312" ht="21.25" customHeight="1">
      <c r="A312" t="s" s="10">
        <v>718</v>
      </c>
      <c r="B312" t="s" s="256">
        <v>944</v>
      </c>
      <c r="C312" s="257">
        <v>23</v>
      </c>
      <c r="D312" t="s" s="256">
        <v>915</v>
      </c>
      <c r="E312" s="119">
        <v>73.12</v>
      </c>
      <c r="F312" s="258">
        <v>14.5012917924039</v>
      </c>
      <c r="G312" s="259">
        <v>0.111482462177604</v>
      </c>
      <c r="H312" s="259">
        <v>0.286569221414974</v>
      </c>
      <c r="I312" s="259">
        <v>0.398051683592578</v>
      </c>
      <c r="J312" s="259">
        <v>1.57147279867649</v>
      </c>
      <c r="K312" s="259">
        <v>0.00277805135083132</v>
      </c>
      <c r="L312" s="259">
        <v>0.00699174433248171</v>
      </c>
      <c r="M312" s="259">
        <v>0.00288520127887282</v>
      </c>
      <c r="N312" s="259">
        <v>0.0170195762743154</v>
      </c>
      <c r="O312" s="259">
        <v>0.607803111872561</v>
      </c>
      <c r="P312" s="259">
        <v>0.632133313388317</v>
      </c>
      <c r="Q312" s="259">
        <v>-0.0141449385730765</v>
      </c>
      <c r="R312" s="259">
        <v>0.204738753143669</v>
      </c>
      <c r="S312" s="259">
        <v>0.0158207588194721</v>
      </c>
      <c r="T312" s="259">
        <v>0.62118602047591</v>
      </c>
      <c r="U312" s="259">
        <v>0.985167195633314</v>
      </c>
      <c r="V312" s="259">
        <v>0.386705747058854</v>
      </c>
      <c r="W312" s="259"/>
      <c r="X312" s="119"/>
      <c r="Y312" s="258"/>
      <c r="Z312" s="258"/>
      <c r="AA312" s="258"/>
      <c r="AB312" s="258"/>
      <c r="AC312" s="258"/>
      <c r="AD312" s="260"/>
      <c r="AE312" s="261"/>
    </row>
    <row r="313" ht="21.25" customHeight="1">
      <c r="A313" t="s" s="10">
        <v>313</v>
      </c>
      <c r="B313" t="s" s="256">
        <v>938</v>
      </c>
      <c r="C313" s="257">
        <v>29</v>
      </c>
      <c r="D313" t="s" s="256">
        <v>918</v>
      </c>
      <c r="E313" s="119">
        <v>81.53</v>
      </c>
      <c r="F313" s="258">
        <v>20.9436417763035</v>
      </c>
      <c r="G313" s="259">
        <v>0.0742941776745592</v>
      </c>
      <c r="H313" s="259">
        <v>0.322727524517246</v>
      </c>
      <c r="I313" s="259">
        <v>0.397021702191805</v>
      </c>
      <c r="J313" s="259">
        <v>1.70591590468237</v>
      </c>
      <c r="K313" s="259">
        <v>0.0117237418635145</v>
      </c>
      <c r="L313" s="259">
        <v>0.0843767154766009</v>
      </c>
      <c r="M313" s="259">
        <v>0.000399908163084324</v>
      </c>
      <c r="N313" s="259">
        <v>0.0049651860425281</v>
      </c>
      <c r="O313" s="259">
        <v>1.50061884250872</v>
      </c>
      <c r="P313" s="259">
        <v>2.27749085786678</v>
      </c>
      <c r="Q313" s="259">
        <v>0.009697009091209151</v>
      </c>
      <c r="R313" s="259">
        <v>0.622260649351986</v>
      </c>
      <c r="S313" s="259">
        <v>0.0123496654241686</v>
      </c>
      <c r="T313" s="259">
        <v>0</v>
      </c>
      <c r="U313" s="259">
        <v>0</v>
      </c>
      <c r="V313" s="259">
        <v>0</v>
      </c>
      <c r="W313" s="259"/>
      <c r="X313" s="119"/>
      <c r="Y313" s="258"/>
      <c r="Z313" s="258"/>
      <c r="AA313" s="258"/>
      <c r="AB313" s="258"/>
      <c r="AC313" s="258"/>
      <c r="AD313" s="260"/>
      <c r="AE313" s="261"/>
    </row>
    <row r="314" ht="21.25" customHeight="1">
      <c r="A314" t="s" s="10">
        <v>659</v>
      </c>
      <c r="B314" t="s" s="256">
        <v>956</v>
      </c>
      <c r="C314" s="257">
        <v>22</v>
      </c>
      <c r="D314" t="s" s="256">
        <v>918</v>
      </c>
      <c r="E314" s="119">
        <v>63.235</v>
      </c>
      <c r="F314" s="258">
        <v>20.8684631823832</v>
      </c>
      <c r="G314" s="259">
        <v>0.0771327991027491</v>
      </c>
      <c r="H314" s="259">
        <v>0.318518807122155</v>
      </c>
      <c r="I314" s="259">
        <v>0.395651606224904</v>
      </c>
      <c r="J314" s="259">
        <v>1.72211388916427</v>
      </c>
      <c r="K314" s="259">
        <v>0.01744961515857</v>
      </c>
      <c r="L314" s="259">
        <v>0.134879002454487</v>
      </c>
      <c r="M314" s="259">
        <v>0.000353477151034334</v>
      </c>
      <c r="N314" s="259">
        <v>0.00820337721047293</v>
      </c>
      <c r="O314" s="259">
        <v>1.36600983522379</v>
      </c>
      <c r="P314" s="259">
        <v>0.98895410358837</v>
      </c>
      <c r="Q314" s="259">
        <v>-0.0309355109211659</v>
      </c>
      <c r="R314" s="259">
        <v>0.323191803138169</v>
      </c>
      <c r="S314" s="259">
        <v>0.011180362746555</v>
      </c>
      <c r="T314" s="259">
        <v>0</v>
      </c>
      <c r="U314" s="259">
        <v>0</v>
      </c>
      <c r="V314" s="259">
        <v>0</v>
      </c>
      <c r="W314" s="259"/>
      <c r="X314" s="119"/>
      <c r="Y314" s="258"/>
      <c r="Z314" s="258"/>
      <c r="AA314" s="258"/>
      <c r="AB314" s="258"/>
      <c r="AC314" s="258"/>
      <c r="AD314" s="260"/>
      <c r="AE314" s="261"/>
    </row>
    <row r="315" ht="21.25" customHeight="1">
      <c r="A315" t="s" s="10">
        <v>391</v>
      </c>
      <c r="B315" t="s" s="256">
        <v>938</v>
      </c>
      <c r="C315" s="257">
        <v>31</v>
      </c>
      <c r="D315" t="s" s="256">
        <v>915</v>
      </c>
      <c r="E315" s="119">
        <v>81.55249999999999</v>
      </c>
      <c r="F315" s="258">
        <v>16.3307817601829</v>
      </c>
      <c r="G315" s="259">
        <v>0.153944263197758</v>
      </c>
      <c r="H315" s="259">
        <v>0.24122495436494</v>
      </c>
      <c r="I315" s="259">
        <v>0.395169217562698</v>
      </c>
      <c r="J315" s="259">
        <v>1.51613909144523</v>
      </c>
      <c r="K315" s="259">
        <v>0.00295977637602402</v>
      </c>
      <c r="L315" s="259">
        <v>0.0150332388791091</v>
      </c>
      <c r="M315" s="259">
        <v>0.0157418715593681</v>
      </c>
      <c r="N315" s="259">
        <v>0.0298267259902123</v>
      </c>
      <c r="O315" s="259">
        <v>0.735834347372146</v>
      </c>
      <c r="P315" s="259">
        <v>2.07462832652335</v>
      </c>
      <c r="Q315" s="259">
        <v>0.0421271863962571</v>
      </c>
      <c r="R315" s="259">
        <v>0.623883274635191</v>
      </c>
      <c r="S315" s="259">
        <v>0.0255896249742526</v>
      </c>
      <c r="T315" s="259">
        <v>8.330753765154229</v>
      </c>
      <c r="U315" s="259">
        <v>8.1925793300345</v>
      </c>
      <c r="V315" s="259">
        <v>0.504181191359023</v>
      </c>
      <c r="W315" s="259"/>
      <c r="X315" s="119"/>
      <c r="Y315" s="258"/>
      <c r="Z315" s="258"/>
      <c r="AA315" s="258"/>
      <c r="AB315" s="258"/>
      <c r="AC315" s="258"/>
      <c r="AD315" s="260"/>
      <c r="AE315" s="261"/>
    </row>
    <row r="316" ht="21.25" customHeight="1">
      <c r="A316" t="s" s="10">
        <v>713</v>
      </c>
      <c r="B316" t="s" s="256">
        <v>939</v>
      </c>
      <c r="C316" s="257">
        <v>25</v>
      </c>
      <c r="D316" t="s" s="256">
        <v>917</v>
      </c>
      <c r="E316" s="119">
        <v>69.58</v>
      </c>
      <c r="F316" s="258">
        <v>12.743270244101</v>
      </c>
      <c r="G316" s="259">
        <v>0.124241682843046</v>
      </c>
      <c r="H316" s="259">
        <v>0.264605642340747</v>
      </c>
      <c r="I316" s="259">
        <v>0.388847325183793</v>
      </c>
      <c r="J316" s="259">
        <v>1.66728898851145</v>
      </c>
      <c r="K316" s="259">
        <v>0.00719810285682952</v>
      </c>
      <c r="L316" s="259">
        <v>0.0280825540499758</v>
      </c>
      <c r="M316" s="259">
        <v>0</v>
      </c>
      <c r="N316" s="259">
        <v>0</v>
      </c>
      <c r="O316" s="259">
        <v>0.654282499931227</v>
      </c>
      <c r="P316" s="259">
        <v>0.9615645469861011</v>
      </c>
      <c r="Q316" s="259">
        <v>0.0182807815370959</v>
      </c>
      <c r="R316" s="259">
        <v>0.246477667683817</v>
      </c>
      <c r="S316" s="259">
        <v>0.0184179476400834</v>
      </c>
      <c r="T316" s="259">
        <v>0.0205870468204314</v>
      </c>
      <c r="U316" s="259">
        <v>0.0625723745755775</v>
      </c>
      <c r="V316" s="259">
        <v>0.247561208036729</v>
      </c>
      <c r="W316" s="259"/>
      <c r="X316" s="119"/>
      <c r="Y316" s="258"/>
      <c r="Z316" s="258"/>
      <c r="AA316" s="258"/>
      <c r="AB316" s="258"/>
      <c r="AC316" s="258"/>
      <c r="AD316" s="260"/>
      <c r="AE316" s="261"/>
    </row>
    <row r="317" ht="21.25" customHeight="1">
      <c r="A317" t="s" s="10">
        <v>484</v>
      </c>
      <c r="B317" t="s" s="256">
        <v>949</v>
      </c>
      <c r="C317" s="257">
        <v>33</v>
      </c>
      <c r="D317" t="s" s="256">
        <v>918</v>
      </c>
      <c r="E317" s="119">
        <v>79.23</v>
      </c>
      <c r="F317" s="258">
        <v>20.1638930935778</v>
      </c>
      <c r="G317" s="259">
        <v>0.0940775679865772</v>
      </c>
      <c r="H317" s="259">
        <v>0.294430734889827</v>
      </c>
      <c r="I317" s="259">
        <v>0.388508302876404</v>
      </c>
      <c r="J317" s="259">
        <v>1.70221720650696</v>
      </c>
      <c r="K317" s="259">
        <v>0.00476580802974424</v>
      </c>
      <c r="L317" s="259">
        <v>0.0327192373257211</v>
      </c>
      <c r="M317" s="259">
        <v>0.000210017698814111</v>
      </c>
      <c r="N317" s="259">
        <v>0.00105158669022127</v>
      </c>
      <c r="O317" s="259">
        <v>1.0856897932588</v>
      </c>
      <c r="P317" s="259">
        <v>1.54559268661483</v>
      </c>
      <c r="Q317" s="259">
        <v>0.07640406312610711</v>
      </c>
      <c r="R317" s="259">
        <v>0.41702656333387</v>
      </c>
      <c r="S317" s="259">
        <v>0.0163022865134685</v>
      </c>
      <c r="T317" s="259">
        <v>0</v>
      </c>
      <c r="U317" s="259">
        <v>0</v>
      </c>
      <c r="V317" s="259">
        <v>0</v>
      </c>
      <c r="W317" s="259"/>
      <c r="X317" s="119"/>
      <c r="Y317" s="258"/>
      <c r="Z317" s="258"/>
      <c r="AA317" s="258"/>
      <c r="AB317" s="258"/>
      <c r="AC317" s="258"/>
      <c r="AD317" s="260"/>
      <c r="AE317" s="261"/>
    </row>
    <row r="318" ht="21.25" customHeight="1">
      <c r="A318" t="s" s="10">
        <v>614</v>
      </c>
      <c r="B318" t="s" s="256">
        <v>948</v>
      </c>
      <c r="C318" s="257">
        <v>27</v>
      </c>
      <c r="D318" t="s" s="256">
        <v>917</v>
      </c>
      <c r="E318" s="119">
        <v>75.38</v>
      </c>
      <c r="F318" s="258">
        <v>15.3148326965165</v>
      </c>
      <c r="G318" s="259">
        <v>0.123746466500022</v>
      </c>
      <c r="H318" s="259">
        <v>0.26451875568536</v>
      </c>
      <c r="I318" s="259">
        <v>0.388265222185382</v>
      </c>
      <c r="J318" s="259">
        <v>1.5482732153967</v>
      </c>
      <c r="K318" s="259">
        <v>0.00609208328831637</v>
      </c>
      <c r="L318" s="259">
        <v>0.0156956434876896</v>
      </c>
      <c r="M318" s="259">
        <v>0.0136016129208835</v>
      </c>
      <c r="N318" s="259">
        <v>0.0276393719030104</v>
      </c>
      <c r="O318" s="259">
        <v>0.600189581179468</v>
      </c>
      <c r="P318" s="259">
        <v>1.37476253532763</v>
      </c>
      <c r="Q318" s="259">
        <v>-0.0159265478145543</v>
      </c>
      <c r="R318" s="259">
        <v>0.487222492488802</v>
      </c>
      <c r="S318" s="259">
        <v>0.0148983436388347</v>
      </c>
      <c r="T318" s="259">
        <v>0.271420175324954</v>
      </c>
      <c r="U318" s="259">
        <v>0.496975769869388</v>
      </c>
      <c r="V318" s="259">
        <v>0.353229577826971</v>
      </c>
      <c r="W318" s="259"/>
      <c r="X318" s="119"/>
      <c r="Y318" s="258"/>
      <c r="Z318" s="258"/>
      <c r="AA318" s="258"/>
      <c r="AB318" s="258"/>
      <c r="AC318" s="258"/>
      <c r="AD318" s="260"/>
      <c r="AE318" s="261"/>
    </row>
    <row r="319" ht="21.25" customHeight="1">
      <c r="A319" t="s" s="10">
        <v>606</v>
      </c>
      <c r="B319" t="s" s="256">
        <v>948</v>
      </c>
      <c r="C319" s="257">
        <v>23</v>
      </c>
      <c r="D319" t="s" s="256">
        <v>918</v>
      </c>
      <c r="E319" s="119">
        <v>72</v>
      </c>
      <c r="F319" s="258">
        <v>19.0053453527803</v>
      </c>
      <c r="G319" s="259">
        <v>0.0620338473761967</v>
      </c>
      <c r="H319" s="259">
        <v>0.325274209979227</v>
      </c>
      <c r="I319" s="259">
        <v>0.387308057355424</v>
      </c>
      <c r="J319" s="259">
        <v>1.28435154014507</v>
      </c>
      <c r="K319" s="259">
        <v>0.0144326425274391</v>
      </c>
      <c r="L319" s="259">
        <v>0.12752412842559</v>
      </c>
      <c r="M319" s="259">
        <v>0.000288243692475368</v>
      </c>
      <c r="N319" s="259">
        <v>0.00137690320452854</v>
      </c>
      <c r="O319" s="259">
        <v>1.30725580062171</v>
      </c>
      <c r="P319" s="259">
        <v>1.19644359521431</v>
      </c>
      <c r="Q319" s="259">
        <v>0.0707264767346398</v>
      </c>
      <c r="R319" s="259">
        <v>0.282819494978979</v>
      </c>
      <c r="S319" s="259">
        <v>0.00746850881151775</v>
      </c>
      <c r="T319" s="259">
        <v>0</v>
      </c>
      <c r="U319" s="259">
        <v>0</v>
      </c>
      <c r="V319" s="259">
        <v>0</v>
      </c>
      <c r="W319" s="259"/>
      <c r="X319" s="119"/>
      <c r="Y319" s="258"/>
      <c r="Z319" s="258"/>
      <c r="AA319" s="258"/>
      <c r="AB319" s="258"/>
      <c r="AC319" s="258"/>
      <c r="AD319" s="260"/>
      <c r="AE319" s="261"/>
    </row>
    <row r="320" ht="21.25" customHeight="1">
      <c r="A320" t="s" s="10">
        <v>737</v>
      </c>
      <c r="B320" t="s" s="256">
        <v>930</v>
      </c>
      <c r="C320" s="257">
        <v>23</v>
      </c>
      <c r="D320" t="s" s="256">
        <v>915</v>
      </c>
      <c r="E320" s="119">
        <v>66.39749999999999</v>
      </c>
      <c r="F320" s="258">
        <v>13.4594411989796</v>
      </c>
      <c r="G320" s="259">
        <v>0.169572277287974</v>
      </c>
      <c r="H320" s="259">
        <v>0.217700695203575</v>
      </c>
      <c r="I320" s="259">
        <v>0.387272972491549</v>
      </c>
      <c r="J320" s="259">
        <v>1.18038785878523</v>
      </c>
      <c r="K320" s="259">
        <v>0.00669913702744327</v>
      </c>
      <c r="L320" s="259">
        <v>0.0184145175502079</v>
      </c>
      <c r="M320" s="259">
        <v>0.000415914560637869</v>
      </c>
      <c r="N320" s="259">
        <v>0.000702266647472065</v>
      </c>
      <c r="O320" s="259">
        <v>0.388044551408011</v>
      </c>
      <c r="P320" s="259">
        <v>1.42436791426129</v>
      </c>
      <c r="Q320" s="259">
        <v>0.00343430659725335</v>
      </c>
      <c r="R320" s="259">
        <v>0.308279477991012</v>
      </c>
      <c r="S320" s="259">
        <v>0.0240102169389837</v>
      </c>
      <c r="T320" s="259">
        <v>2.0360856287568</v>
      </c>
      <c r="U320" s="259">
        <v>2.68725852478491</v>
      </c>
      <c r="V320" s="259">
        <v>0.431068658681177</v>
      </c>
      <c r="W320" s="259"/>
      <c r="X320" s="119"/>
      <c r="Y320" s="258"/>
      <c r="Z320" s="258"/>
      <c r="AA320" s="258"/>
      <c r="AB320" s="258"/>
      <c r="AC320" s="258"/>
      <c r="AD320" s="260"/>
      <c r="AE320" s="261"/>
    </row>
    <row r="321" ht="21.25" customHeight="1">
      <c r="A321" t="s" s="10">
        <v>468</v>
      </c>
      <c r="B321" t="s" s="256">
        <v>956</v>
      </c>
      <c r="C321" s="257">
        <v>30</v>
      </c>
      <c r="D321" t="s" s="256">
        <v>965</v>
      </c>
      <c r="E321" s="119">
        <v>79.98</v>
      </c>
      <c r="F321" s="258">
        <v>13.9705251039804</v>
      </c>
      <c r="G321" s="259">
        <v>0.136881160830869</v>
      </c>
      <c r="H321" s="259">
        <v>0.248530075777758</v>
      </c>
      <c r="I321" s="259">
        <v>0.385411236608627</v>
      </c>
      <c r="J321" s="259">
        <v>1.64944332209412</v>
      </c>
      <c r="K321" s="259">
        <v>0.00886280577160679</v>
      </c>
      <c r="L321" s="259">
        <v>0.0193577267974925</v>
      </c>
      <c r="M321" s="259">
        <v>0.023757355884849</v>
      </c>
      <c r="N321" s="259">
        <v>0.0692682246964602</v>
      </c>
      <c r="O321" s="259">
        <v>0.616597379326044</v>
      </c>
      <c r="P321" s="259">
        <v>1.6618304327856</v>
      </c>
      <c r="Q321" s="259">
        <v>-0.0601567600049054</v>
      </c>
      <c r="R321" s="259">
        <v>0.485896400770874</v>
      </c>
      <c r="S321" s="259">
        <v>0.0198408595184005</v>
      </c>
      <c r="T321" s="259">
        <v>5.12681778721964</v>
      </c>
      <c r="U321" s="259">
        <v>5.3898080226348</v>
      </c>
      <c r="V321" s="259">
        <v>0.487496453702445</v>
      </c>
      <c r="W321" s="259"/>
      <c r="X321" s="119"/>
      <c r="Y321" s="258"/>
      <c r="Z321" s="258"/>
      <c r="AA321" s="258"/>
      <c r="AB321" s="258"/>
      <c r="AC321" s="258"/>
      <c r="AD321" s="260"/>
      <c r="AE321" s="261"/>
    </row>
    <row r="322" ht="21.25" customHeight="1">
      <c r="A322" t="s" s="10">
        <v>807</v>
      </c>
      <c r="B322" t="s" s="256">
        <v>954</v>
      </c>
      <c r="C322" s="257">
        <v>21</v>
      </c>
      <c r="D322" t="s" s="256">
        <v>917</v>
      </c>
      <c r="E322" s="119">
        <v>60.92</v>
      </c>
      <c r="F322" s="258">
        <v>11.7440206758841</v>
      </c>
      <c r="G322" s="259">
        <v>0.165400359862184</v>
      </c>
      <c r="H322" s="259">
        <v>0.21615472489197</v>
      </c>
      <c r="I322" s="259">
        <v>0.381555084754154</v>
      </c>
      <c r="J322" s="259">
        <v>1.39732820203462</v>
      </c>
      <c r="K322" s="259">
        <v>0.00845385377583804</v>
      </c>
      <c r="L322" s="259">
        <v>0.0194182523761694</v>
      </c>
      <c r="M322" s="259">
        <v>0</v>
      </c>
      <c r="N322" s="259">
        <v>0</v>
      </c>
      <c r="O322" s="259">
        <v>0.692559253708629</v>
      </c>
      <c r="P322" s="259">
        <v>0.818877172886468</v>
      </c>
      <c r="Q322" s="259">
        <v>-0.0421018259516365</v>
      </c>
      <c r="R322" s="259">
        <v>0.226555796857337</v>
      </c>
      <c r="S322" s="259">
        <v>0.0191701122072452</v>
      </c>
      <c r="T322" s="259">
        <v>0.08411718422722569</v>
      </c>
      <c r="U322" s="259">
        <v>0.210292960568064</v>
      </c>
      <c r="V322" s="259">
        <v>0.285714285714286</v>
      </c>
      <c r="W322" s="259"/>
      <c r="X322" s="119"/>
      <c r="Y322" s="258"/>
      <c r="Z322" s="258"/>
      <c r="AA322" s="258"/>
      <c r="AB322" s="258"/>
      <c r="AC322" s="258"/>
      <c r="AD322" s="260"/>
      <c r="AE322" s="261"/>
    </row>
    <row r="323" ht="21.25" customHeight="1">
      <c r="A323" t="s" s="10">
        <v>638</v>
      </c>
      <c r="B323" t="s" s="256">
        <v>951</v>
      </c>
      <c r="C323" s="257">
        <v>30</v>
      </c>
      <c r="D323" t="s" s="256">
        <v>965</v>
      </c>
      <c r="E323" s="119">
        <v>82.03</v>
      </c>
      <c r="F323" s="258">
        <v>14.7234784759447</v>
      </c>
      <c r="G323" s="259">
        <v>0.113388296690601</v>
      </c>
      <c r="H323" s="259">
        <v>0.267953371704825</v>
      </c>
      <c r="I323" s="259">
        <v>0.381341668395426</v>
      </c>
      <c r="J323" s="259">
        <v>1.19293693493346</v>
      </c>
      <c r="K323" s="259">
        <v>0.0110922187865423</v>
      </c>
      <c r="L323" s="259">
        <v>0.0440447338590974</v>
      </c>
      <c r="M323" s="259">
        <v>0.0155686770115168</v>
      </c>
      <c r="N323" s="259">
        <v>0.0329673764640417</v>
      </c>
      <c r="O323" s="259">
        <v>0.74852659034126</v>
      </c>
      <c r="P323" s="259">
        <v>0.820684241602644</v>
      </c>
      <c r="Q323" s="259">
        <v>0.0018388912541672</v>
      </c>
      <c r="R323" s="259">
        <v>0.313271325454487</v>
      </c>
      <c r="S323" s="259">
        <v>0.0165920406102082</v>
      </c>
      <c r="T323" s="259">
        <v>3.22983946341914</v>
      </c>
      <c r="U323" s="259">
        <v>3.84133583057648</v>
      </c>
      <c r="V323" s="259">
        <v>0.456761334450542</v>
      </c>
      <c r="W323" s="259"/>
      <c r="X323" s="119"/>
      <c r="Y323" s="259"/>
      <c r="Z323" s="259"/>
      <c r="AA323" s="259"/>
      <c r="AB323" s="259"/>
      <c r="AC323" s="258"/>
      <c r="AD323" s="260"/>
      <c r="AE323" s="261"/>
    </row>
    <row r="324" ht="21.25" customHeight="1">
      <c r="A324" t="s" s="10">
        <v>518</v>
      </c>
      <c r="B324" t="s" s="256">
        <v>952</v>
      </c>
      <c r="C324" s="257">
        <v>21</v>
      </c>
      <c r="D324" t="s" s="256">
        <v>915</v>
      </c>
      <c r="E324" s="119">
        <v>78.36750000000001</v>
      </c>
      <c r="F324" s="258">
        <v>14.971424303370</v>
      </c>
      <c r="G324" s="259">
        <v>0.152155949924101</v>
      </c>
      <c r="H324" s="259">
        <v>0.226524751197492</v>
      </c>
      <c r="I324" s="259">
        <v>0.378680701121593</v>
      </c>
      <c r="J324" s="259">
        <v>1.85415946614919</v>
      </c>
      <c r="K324" s="259">
        <v>0.015030451065468</v>
      </c>
      <c r="L324" s="259">
        <v>0.0276790719623903</v>
      </c>
      <c r="M324" s="259">
        <v>0.00266714739549266</v>
      </c>
      <c r="N324" s="259">
        <v>0.0144448125391453</v>
      </c>
      <c r="O324" s="259">
        <v>0.803903517770878</v>
      </c>
      <c r="P324" s="259">
        <v>1.38809934656445</v>
      </c>
      <c r="Q324" s="259">
        <v>-0.111703103800279</v>
      </c>
      <c r="R324" s="259">
        <v>0.486649201075804</v>
      </c>
      <c r="S324" s="259">
        <v>0.0168260666888879</v>
      </c>
      <c r="T324" s="259">
        <v>5.33216598108256</v>
      </c>
      <c r="U324" s="259">
        <v>6.31951200405386</v>
      </c>
      <c r="V324" s="259">
        <v>0.457630736781826</v>
      </c>
      <c r="W324" s="259"/>
      <c r="X324" s="119"/>
      <c r="Y324" s="258"/>
      <c r="Z324" s="258"/>
      <c r="AA324" s="258"/>
      <c r="AB324" s="258"/>
      <c r="AC324" s="258"/>
      <c r="AD324" s="260"/>
      <c r="AE324" s="261"/>
    </row>
    <row r="325" ht="21.25" customHeight="1">
      <c r="A325" t="s" s="10">
        <v>766</v>
      </c>
      <c r="B325" t="s" s="256">
        <v>933</v>
      </c>
      <c r="C325" s="257">
        <v>33</v>
      </c>
      <c r="D325" t="s" s="256">
        <v>916</v>
      </c>
      <c r="E325" s="119">
        <v>79.745</v>
      </c>
      <c r="F325" s="258">
        <v>15.4719210251769</v>
      </c>
      <c r="G325" s="259">
        <v>0.146489960908286</v>
      </c>
      <c r="H325" s="259">
        <v>0.232175757283098</v>
      </c>
      <c r="I325" s="259">
        <v>0.378665718191384</v>
      </c>
      <c r="J325" s="259">
        <v>1.46127564108058</v>
      </c>
      <c r="K325" s="259">
        <v>0.0198706931555309</v>
      </c>
      <c r="L325" s="259">
        <v>0.0761050755745339</v>
      </c>
      <c r="M325" s="259">
        <v>0.00222614736060932</v>
      </c>
      <c r="N325" s="259">
        <v>0.00277041327577318</v>
      </c>
      <c r="O325" s="259">
        <v>0.360104739133173</v>
      </c>
      <c r="P325" s="259">
        <v>0.538923126544152</v>
      </c>
      <c r="Q325" s="259">
        <v>-0.00334855815585068</v>
      </c>
      <c r="R325" s="259">
        <v>0.211901233229194</v>
      </c>
      <c r="S325" s="259">
        <v>0.0241824348678603</v>
      </c>
      <c r="T325" s="259">
        <v>0.185303559473562</v>
      </c>
      <c r="U325" s="259">
        <v>0.373874330786395</v>
      </c>
      <c r="V325" s="259">
        <v>0.331385705159794</v>
      </c>
      <c r="W325" s="259"/>
      <c r="X325" s="119"/>
      <c r="Y325" s="258"/>
      <c r="Z325" s="258"/>
      <c r="AA325" s="258"/>
      <c r="AB325" s="258"/>
      <c r="AC325" s="258"/>
      <c r="AD325" s="260"/>
      <c r="AE325" s="261"/>
    </row>
    <row r="326" ht="21.25" customHeight="1">
      <c r="A326" t="s" s="10">
        <v>572</v>
      </c>
      <c r="B326" t="s" s="256">
        <v>950</v>
      </c>
      <c r="C326" s="257">
        <v>28</v>
      </c>
      <c r="D326" t="s" s="256">
        <v>966</v>
      </c>
      <c r="E326" s="119">
        <v>79.9675</v>
      </c>
      <c r="F326" s="258">
        <v>14.2640148034409</v>
      </c>
      <c r="G326" s="259">
        <v>0.175804564348652</v>
      </c>
      <c r="H326" s="259">
        <v>0.202741933284947</v>
      </c>
      <c r="I326" s="259">
        <v>0.378546497633599</v>
      </c>
      <c r="J326" s="259">
        <v>2.24489401584865</v>
      </c>
      <c r="K326" s="259">
        <v>0.00821839919462815</v>
      </c>
      <c r="L326" s="259">
        <v>0.0138731976568566</v>
      </c>
      <c r="M326" s="259">
        <v>0.013885846179917</v>
      </c>
      <c r="N326" s="259">
        <v>0.0231132597891055</v>
      </c>
      <c r="O326" s="259">
        <v>0.41451368064208</v>
      </c>
      <c r="P326" s="259">
        <v>1.21759130658479</v>
      </c>
      <c r="Q326" s="259">
        <v>0.0891603234607713</v>
      </c>
      <c r="R326" s="259">
        <v>0.418861824937949</v>
      </c>
      <c r="S326" s="259">
        <v>0.0313304250693935</v>
      </c>
      <c r="T326" s="259">
        <v>0.08695567267187231</v>
      </c>
      <c r="U326" s="259">
        <v>0.0938143661181426</v>
      </c>
      <c r="V326" s="259">
        <v>0.481029230584396</v>
      </c>
      <c r="W326" s="259"/>
      <c r="X326" s="119"/>
      <c r="Y326" s="258"/>
      <c r="Z326" s="258"/>
      <c r="AA326" s="258"/>
      <c r="AB326" s="258"/>
      <c r="AC326" s="258"/>
      <c r="AD326" s="260"/>
      <c r="AE326" s="261"/>
    </row>
    <row r="327" ht="21.25" customHeight="1">
      <c r="A327" t="s" s="10">
        <v>829</v>
      </c>
      <c r="B327" t="s" s="256">
        <v>947</v>
      </c>
      <c r="C327" s="257">
        <v>22</v>
      </c>
      <c r="D327" t="s" s="256">
        <v>916</v>
      </c>
      <c r="E327" s="119">
        <v>67.09999999999999</v>
      </c>
      <c r="F327" s="258">
        <v>14.0137716181209</v>
      </c>
      <c r="G327" s="259">
        <v>0.148753371224073</v>
      </c>
      <c r="H327" s="259">
        <v>0.228565085748971</v>
      </c>
      <c r="I327" s="259">
        <v>0.377318456973044</v>
      </c>
      <c r="J327" s="259">
        <v>1.40112905662629</v>
      </c>
      <c r="K327" s="259">
        <v>0.02819496871047</v>
      </c>
      <c r="L327" s="259">
        <v>0.0601277651890886</v>
      </c>
      <c r="M327" s="259">
        <v>0.0008307802022868821</v>
      </c>
      <c r="N327" s="259">
        <v>0.00138993726136943</v>
      </c>
      <c r="O327" s="259">
        <v>0.412819752018024</v>
      </c>
      <c r="P327" s="259">
        <v>0.529597497420418</v>
      </c>
      <c r="Q327" s="259">
        <v>-0.117645786625904</v>
      </c>
      <c r="R327" s="259">
        <v>0.247133222046151</v>
      </c>
      <c r="S327" s="259">
        <v>0.0192241784230153</v>
      </c>
      <c r="T327" s="259">
        <v>1.19834500473189</v>
      </c>
      <c r="U327" s="259">
        <v>1.67596333862061</v>
      </c>
      <c r="V327" s="259">
        <v>0.416915953886209</v>
      </c>
      <c r="W327" s="259"/>
      <c r="X327" s="119"/>
      <c r="Y327" s="258"/>
      <c r="Z327" s="258"/>
      <c r="AA327" s="258"/>
      <c r="AB327" s="258"/>
      <c r="AC327" s="258"/>
      <c r="AD327" s="260"/>
      <c r="AE327" s="261"/>
    </row>
    <row r="328" ht="21.25" customHeight="1">
      <c r="A328" t="s" s="10">
        <v>700</v>
      </c>
      <c r="B328" t="s" s="256">
        <v>934</v>
      </c>
      <c r="C328" s="257">
        <v>24</v>
      </c>
      <c r="D328" t="s" s="256">
        <v>915</v>
      </c>
      <c r="E328" s="119">
        <v>77.315</v>
      </c>
      <c r="F328" s="258">
        <v>14.4970871314751</v>
      </c>
      <c r="G328" s="259">
        <v>0.159783468243546</v>
      </c>
      <c r="H328" s="259">
        <v>0.212470522790576</v>
      </c>
      <c r="I328" s="259">
        <v>0.372253991034122</v>
      </c>
      <c r="J328" s="259">
        <v>1.38373978350705</v>
      </c>
      <c r="K328" s="259">
        <v>0.00454384558088218</v>
      </c>
      <c r="L328" s="259">
        <v>0.0132061430315073</v>
      </c>
      <c r="M328" s="259">
        <v>0.00740638277138414</v>
      </c>
      <c r="N328" s="259">
        <v>0.0223208139434356</v>
      </c>
      <c r="O328" s="259">
        <v>0.431185127361522</v>
      </c>
      <c r="P328" s="259">
        <v>0.850617206834268</v>
      </c>
      <c r="Q328" s="259">
        <v>0.092104222391901</v>
      </c>
      <c r="R328" s="259">
        <v>0.236758459713042</v>
      </c>
      <c r="S328" s="259">
        <v>0.0226022401456635</v>
      </c>
      <c r="T328" s="259">
        <v>4.49493009986584</v>
      </c>
      <c r="U328" s="259">
        <v>4.63857817203592</v>
      </c>
      <c r="V328" s="259">
        <v>0.492136205065254</v>
      </c>
      <c r="W328" s="259"/>
      <c r="X328" s="119"/>
      <c r="Y328" s="258"/>
      <c r="Z328" s="258"/>
      <c r="AA328" s="258"/>
      <c r="AB328" s="258"/>
      <c r="AC328" s="258"/>
      <c r="AD328" s="260"/>
      <c r="AE328" s="261"/>
    </row>
    <row r="329" ht="21.25" customHeight="1">
      <c r="A329" t="s" s="10">
        <v>302</v>
      </c>
      <c r="B329" t="s" s="256">
        <v>948</v>
      </c>
      <c r="C329" s="257">
        <v>31</v>
      </c>
      <c r="D329" t="s" s="256">
        <v>918</v>
      </c>
      <c r="E329" s="119">
        <v>81.4175</v>
      </c>
      <c r="F329" s="258">
        <v>24.0624375167173</v>
      </c>
      <c r="G329" s="259">
        <v>0.0862793541683716</v>
      </c>
      <c r="H329" s="259">
        <v>0.284636909639081</v>
      </c>
      <c r="I329" s="259">
        <v>0.370916263807453</v>
      </c>
      <c r="J329" s="259">
        <v>1.81818406072653</v>
      </c>
      <c r="K329" s="259">
        <v>0.00138891447903773</v>
      </c>
      <c r="L329" s="259">
        <v>0.0213103383237143</v>
      </c>
      <c r="M329" s="259">
        <v>0.00634739556779287</v>
      </c>
      <c r="N329" s="259">
        <v>0.0174497025134206</v>
      </c>
      <c r="O329" s="259">
        <v>2.35898390379998</v>
      </c>
      <c r="P329" s="259">
        <v>1.3651575035915</v>
      </c>
      <c r="Q329" s="259">
        <v>-0.0765918140368437</v>
      </c>
      <c r="R329" s="259">
        <v>0.353211537747081</v>
      </c>
      <c r="S329" s="259">
        <v>0.0103875246194354</v>
      </c>
      <c r="T329" s="259">
        <v>0</v>
      </c>
      <c r="U329" s="259">
        <v>0</v>
      </c>
      <c r="V329" s="259">
        <v>0</v>
      </c>
      <c r="W329" s="259"/>
      <c r="X329" s="119"/>
      <c r="Y329" s="258"/>
      <c r="Z329" s="258"/>
      <c r="AA329" s="258"/>
      <c r="AB329" s="258"/>
      <c r="AC329" s="258"/>
      <c r="AD329" s="260"/>
      <c r="AE329" s="261"/>
    </row>
    <row r="330" ht="21.25" customHeight="1">
      <c r="A330" t="s" s="10">
        <v>494</v>
      </c>
      <c r="B330" t="s" s="256">
        <v>926</v>
      </c>
      <c r="C330" s="257">
        <v>25</v>
      </c>
      <c r="D330" t="s" s="256">
        <v>918</v>
      </c>
      <c r="E330" s="119">
        <v>73.075</v>
      </c>
      <c r="F330" s="258">
        <v>18.0813346262406</v>
      </c>
      <c r="G330" s="259">
        <v>0.0712871722638172</v>
      </c>
      <c r="H330" s="259">
        <v>0.299509805711594</v>
      </c>
      <c r="I330" s="259">
        <v>0.370796977975411</v>
      </c>
      <c r="J330" s="259">
        <v>1.19098481643474</v>
      </c>
      <c r="K330" s="259">
        <v>0.00794901827246957</v>
      </c>
      <c r="L330" s="259">
        <v>0.0973657693307316</v>
      </c>
      <c r="M330" s="259">
        <v>0.00222652609468163</v>
      </c>
      <c r="N330" s="259">
        <v>0.00861879629458691</v>
      </c>
      <c r="O330" s="259">
        <v>1.62112774525417</v>
      </c>
      <c r="P330" s="259">
        <v>1.50422901474261</v>
      </c>
      <c r="Q330" s="259">
        <v>0.091994547296472</v>
      </c>
      <c r="R330" s="259">
        <v>0.360645537384097</v>
      </c>
      <c r="S330" s="259">
        <v>0.0114046696967769</v>
      </c>
      <c r="T330" s="259">
        <v>0</v>
      </c>
      <c r="U330" s="259">
        <v>0</v>
      </c>
      <c r="V330" s="259">
        <v>0</v>
      </c>
      <c r="W330" s="259"/>
      <c r="X330" s="119"/>
      <c r="Y330" s="258"/>
      <c r="Z330" s="258"/>
      <c r="AA330" s="258"/>
      <c r="AB330" s="258"/>
      <c r="AC330" s="258"/>
      <c r="AD330" s="260"/>
      <c r="AE330" s="261"/>
    </row>
    <row r="331" ht="21.25" customHeight="1">
      <c r="A331" t="s" s="10">
        <v>619</v>
      </c>
      <c r="B331" t="s" s="256">
        <v>925</v>
      </c>
      <c r="C331" s="257">
        <v>28</v>
      </c>
      <c r="D331" t="s" s="256">
        <v>917</v>
      </c>
      <c r="E331" s="119">
        <v>77.49250000000001</v>
      </c>
      <c r="F331" s="258">
        <v>14.5492493387977</v>
      </c>
      <c r="G331" s="259">
        <v>0.157128909641373</v>
      </c>
      <c r="H331" s="259">
        <v>0.212375557940576</v>
      </c>
      <c r="I331" s="259">
        <v>0.369504467581949</v>
      </c>
      <c r="J331" s="259">
        <v>1.47870555388626</v>
      </c>
      <c r="K331" s="259">
        <v>0.000832668538334851</v>
      </c>
      <c r="L331" s="259">
        <v>0.00193924486411744</v>
      </c>
      <c r="M331" s="259">
        <v>0.0292959824453665</v>
      </c>
      <c r="N331" s="259">
        <v>0.0413267224504042</v>
      </c>
      <c r="O331" s="259">
        <v>0.634760024098876</v>
      </c>
      <c r="P331" s="259">
        <v>1.17070549578621</v>
      </c>
      <c r="Q331" s="259">
        <v>0.0397081062756024</v>
      </c>
      <c r="R331" s="259">
        <v>0.490477214114112</v>
      </c>
      <c r="S331" s="259">
        <v>0.0234767332513466</v>
      </c>
      <c r="T331" s="259">
        <v>0.219570674167178</v>
      </c>
      <c r="U331" s="259">
        <v>0.561022272086752</v>
      </c>
      <c r="V331" s="259">
        <v>0.281287033428753</v>
      </c>
      <c r="W331" s="259"/>
      <c r="X331" s="119"/>
      <c r="Y331" s="258"/>
      <c r="Z331" s="258"/>
      <c r="AA331" s="258"/>
      <c r="AB331" s="258"/>
      <c r="AC331" s="258"/>
      <c r="AD331" s="260"/>
      <c r="AE331" s="261"/>
    </row>
    <row r="332" ht="21.25" customHeight="1">
      <c r="A332" t="s" s="10">
        <v>787</v>
      </c>
      <c r="B332" t="s" s="256">
        <v>937</v>
      </c>
      <c r="C332" s="257">
        <v>35</v>
      </c>
      <c r="D332" t="s" s="256">
        <v>917</v>
      </c>
      <c r="E332" s="119">
        <v>74.89</v>
      </c>
      <c r="F332" s="258">
        <v>12.3980371184936</v>
      </c>
      <c r="G332" s="259">
        <v>0.146127869026331</v>
      </c>
      <c r="H332" s="259">
        <v>0.222891364853563</v>
      </c>
      <c r="I332" s="259">
        <v>0.369019233879894</v>
      </c>
      <c r="J332" s="259">
        <v>1.35829778813903</v>
      </c>
      <c r="K332" s="259">
        <v>0.012317628738063</v>
      </c>
      <c r="L332" s="259">
        <v>0.0368859279068522</v>
      </c>
      <c r="M332" s="259">
        <v>2.49634151649167e-05</v>
      </c>
      <c r="N332" s="259">
        <v>4.32505210809605e-05</v>
      </c>
      <c r="O332" s="259">
        <v>0.41017769121227</v>
      </c>
      <c r="P332" s="259">
        <v>0.677914167054376</v>
      </c>
      <c r="Q332" s="259">
        <v>0.0467621069458445</v>
      </c>
      <c r="R332" s="259">
        <v>0.227739069943291</v>
      </c>
      <c r="S332" s="259">
        <v>0.0233685808617583</v>
      </c>
      <c r="T332" s="259">
        <v>0.0115984951044748</v>
      </c>
      <c r="U332" s="259">
        <v>0.0605454215166867</v>
      </c>
      <c r="V332" s="259">
        <v>0.160768858244559</v>
      </c>
      <c r="W332" s="259"/>
      <c r="X332" s="119"/>
      <c r="Y332" s="258"/>
      <c r="Z332" s="258"/>
      <c r="AA332" s="258"/>
      <c r="AB332" s="258"/>
      <c r="AC332" s="258"/>
      <c r="AD332" s="260"/>
      <c r="AE332" s="261"/>
    </row>
    <row r="333" ht="21.25" customHeight="1">
      <c r="A333" t="s" s="10">
        <v>685</v>
      </c>
      <c r="B333" t="s" s="256">
        <v>959</v>
      </c>
      <c r="C333" s="257">
        <v>29</v>
      </c>
      <c r="D333" t="s" s="256">
        <v>915</v>
      </c>
      <c r="E333" s="119">
        <v>81.2975</v>
      </c>
      <c r="F333" s="258">
        <v>16.9513507207558</v>
      </c>
      <c r="G333" s="259">
        <v>0.120589938968417</v>
      </c>
      <c r="H333" s="259">
        <v>0.246492589675841</v>
      </c>
      <c r="I333" s="259">
        <v>0.367082528644258</v>
      </c>
      <c r="J333" s="259">
        <v>1.12876378442377</v>
      </c>
      <c r="K333" s="259">
        <v>0.0270871385408907</v>
      </c>
      <c r="L333" s="259">
        <v>0.0645974169001918</v>
      </c>
      <c r="M333" s="259">
        <v>0.00642688830687619</v>
      </c>
      <c r="N333" s="259">
        <v>0.00968972485443447</v>
      </c>
      <c r="O333" s="259">
        <v>0.80845091320912</v>
      </c>
      <c r="P333" s="259">
        <v>0.591369586847202</v>
      </c>
      <c r="Q333" s="259">
        <v>-0.00265816187141435</v>
      </c>
      <c r="R333" s="259">
        <v>0.275255464340347</v>
      </c>
      <c r="S333" s="259">
        <v>0.0128802264450962</v>
      </c>
      <c r="T333" s="259">
        <v>6.61730978859312</v>
      </c>
      <c r="U333" s="259">
        <v>7.70747469924218</v>
      </c>
      <c r="V333" s="259">
        <v>0.461948296270187</v>
      </c>
      <c r="W333" s="259"/>
      <c r="X333" s="119"/>
      <c r="Y333" s="258"/>
      <c r="Z333" s="258"/>
      <c r="AA333" s="258"/>
      <c r="AB333" s="258"/>
      <c r="AC333" s="258"/>
      <c r="AD333" s="260"/>
      <c r="AE333" s="261"/>
    </row>
    <row r="334" ht="21.25" customHeight="1">
      <c r="A334" t="s" s="10">
        <v>794</v>
      </c>
      <c r="B334" t="s" s="256">
        <v>944</v>
      </c>
      <c r="C334" s="257">
        <v>22</v>
      </c>
      <c r="D334" t="s" s="256">
        <v>915</v>
      </c>
      <c r="E334" s="119">
        <v>69.16500000000001</v>
      </c>
      <c r="F334" s="258">
        <v>10.9797880835443</v>
      </c>
      <c r="G334" s="259">
        <v>0.148190095510278</v>
      </c>
      <c r="H334" s="259">
        <v>0.217907125452172</v>
      </c>
      <c r="I334" s="259">
        <v>0.36609722096245</v>
      </c>
      <c r="J334" s="259">
        <v>1.02356033341309</v>
      </c>
      <c r="K334" s="259">
        <v>0.00662926392199548</v>
      </c>
      <c r="L334" s="259">
        <v>0.0258110158088884</v>
      </c>
      <c r="M334" s="259">
        <v>0.000103078087663135</v>
      </c>
      <c r="N334" s="259">
        <v>0.000172924282662638</v>
      </c>
      <c r="O334" s="259">
        <v>0.550717402928188</v>
      </c>
      <c r="P334" s="259">
        <v>0.82953422121424</v>
      </c>
      <c r="Q334" s="259">
        <v>-0.0275478150393167</v>
      </c>
      <c r="R334" s="259">
        <v>0.196969247720016</v>
      </c>
      <c r="S334" s="259">
        <v>0.0210300321208158</v>
      </c>
      <c r="T334" s="259">
        <v>1.93702422420538</v>
      </c>
      <c r="U334" s="259">
        <v>3.31604230471876</v>
      </c>
      <c r="V334" s="259">
        <v>0.368741612835065</v>
      </c>
      <c r="W334" s="259"/>
      <c r="X334" s="119"/>
      <c r="Y334" s="258"/>
      <c r="Z334" s="258"/>
      <c r="AA334" s="258"/>
      <c r="AB334" s="258"/>
      <c r="AC334" s="258"/>
      <c r="AD334" s="260"/>
      <c r="AE334" s="261"/>
    </row>
    <row r="335" ht="21.25" customHeight="1">
      <c r="A335" t="s" s="10">
        <v>622</v>
      </c>
      <c r="B335" t="s" s="256">
        <v>942</v>
      </c>
      <c r="C335" s="257">
        <v>24</v>
      </c>
      <c r="D335" t="s" s="256">
        <v>915</v>
      </c>
      <c r="E335" s="119">
        <v>79.9375</v>
      </c>
      <c r="F335" s="258">
        <v>13.9100396427478</v>
      </c>
      <c r="G335" s="259">
        <v>0.161014651902547</v>
      </c>
      <c r="H335" s="259">
        <v>0.204829066085955</v>
      </c>
      <c r="I335" s="259">
        <v>0.365843717988502</v>
      </c>
      <c r="J335" s="259">
        <v>1.21007583444759</v>
      </c>
      <c r="K335" s="259">
        <v>0.0492027106411135</v>
      </c>
      <c r="L335" s="259">
        <v>0.108227315687007</v>
      </c>
      <c r="M335" s="259">
        <v>0.00162285501471775</v>
      </c>
      <c r="N335" s="259">
        <v>0.00274682186171457</v>
      </c>
      <c r="O335" s="259">
        <v>0.462475110140699</v>
      </c>
      <c r="P335" s="259">
        <v>1.41856773213178</v>
      </c>
      <c r="Q335" s="259">
        <v>-0.0550573233700041</v>
      </c>
      <c r="R335" s="259">
        <v>0.358613958531999</v>
      </c>
      <c r="S335" s="259">
        <v>0.0221141814166008</v>
      </c>
      <c r="T335" s="259">
        <v>3.65292836302856</v>
      </c>
      <c r="U335" s="259">
        <v>4.18848115930053</v>
      </c>
      <c r="V335" s="259">
        <v>0.465850986691428</v>
      </c>
      <c r="W335" s="259"/>
      <c r="X335" s="119"/>
      <c r="Y335" s="259"/>
      <c r="Z335" s="259"/>
      <c r="AA335" s="259"/>
      <c r="AB335" s="259"/>
      <c r="AC335" s="258"/>
      <c r="AD335" s="260"/>
      <c r="AE335" s="261"/>
    </row>
    <row r="336" ht="21.25" customHeight="1">
      <c r="A336" t="s" s="10">
        <v>489</v>
      </c>
      <c r="B336" t="s" s="256">
        <v>947</v>
      </c>
      <c r="C336" s="257">
        <v>29</v>
      </c>
      <c r="D336" t="s" s="256">
        <v>915</v>
      </c>
      <c r="E336" s="119">
        <v>79.48</v>
      </c>
      <c r="F336" s="258">
        <v>15.8388584557292</v>
      </c>
      <c r="G336" s="259">
        <v>0.172228998890379</v>
      </c>
      <c r="H336" s="259">
        <v>0.192941482435323</v>
      </c>
      <c r="I336" s="259">
        <v>0.365170481325702</v>
      </c>
      <c r="J336" s="259">
        <v>1.42481757224794</v>
      </c>
      <c r="K336" s="259">
        <v>0.00581615354071768</v>
      </c>
      <c r="L336" s="259">
        <v>0.00839722872012744</v>
      </c>
      <c r="M336" s="259">
        <v>0.00111239617796753</v>
      </c>
      <c r="N336" s="259">
        <v>0.017508479284019</v>
      </c>
      <c r="O336" s="259">
        <v>0.886355234876721</v>
      </c>
      <c r="P336" s="259">
        <v>1.54225524425121</v>
      </c>
      <c r="Q336" s="259">
        <v>-0.0773360720013988</v>
      </c>
      <c r="R336" s="259">
        <v>0.383183216348579</v>
      </c>
      <c r="S336" s="259">
        <v>0.0222580569236211</v>
      </c>
      <c r="T336" s="259">
        <v>6.20628149331841</v>
      </c>
      <c r="U336" s="259">
        <v>6.7248035211548</v>
      </c>
      <c r="V336" s="259">
        <v>0.479950559939246</v>
      </c>
      <c r="W336" s="259"/>
      <c r="X336" s="119"/>
      <c r="Y336" s="258"/>
      <c r="Z336" s="258"/>
      <c r="AA336" s="258"/>
      <c r="AB336" s="258"/>
      <c r="AC336" s="258"/>
      <c r="AD336" s="260"/>
      <c r="AE336" s="261"/>
    </row>
    <row r="337" ht="21.25" customHeight="1">
      <c r="A337" t="s" s="10">
        <v>581</v>
      </c>
      <c r="B337" t="s" s="256">
        <v>929</v>
      </c>
      <c r="C337" s="257">
        <v>33</v>
      </c>
      <c r="D337" t="s" s="256">
        <v>965</v>
      </c>
      <c r="E337" s="119">
        <v>80.29000000000001</v>
      </c>
      <c r="F337" s="258">
        <v>15.6240981737687</v>
      </c>
      <c r="G337" s="259">
        <v>0.145765263139569</v>
      </c>
      <c r="H337" s="259">
        <v>0.21839229203785</v>
      </c>
      <c r="I337" s="259">
        <v>0.364157555177419</v>
      </c>
      <c r="J337" s="259">
        <v>1.81856475937057</v>
      </c>
      <c r="K337" s="259">
        <v>0.0145636240454081</v>
      </c>
      <c r="L337" s="259">
        <v>0.0416112553507504</v>
      </c>
      <c r="M337" s="259">
        <v>0.0132923387211401</v>
      </c>
      <c r="N337" s="259">
        <v>0.02414609569498</v>
      </c>
      <c r="O337" s="259">
        <v>0.61185824935525</v>
      </c>
      <c r="P337" s="259">
        <v>1.09059527812056</v>
      </c>
      <c r="Q337" s="259">
        <v>0.049606962113805</v>
      </c>
      <c r="R337" s="259">
        <v>0.577940695690068</v>
      </c>
      <c r="S337" s="259">
        <v>0.0219925266425071</v>
      </c>
      <c r="T337" s="259">
        <v>6.02706440869335</v>
      </c>
      <c r="U337" s="259">
        <v>5.05249027415989</v>
      </c>
      <c r="V337" s="259">
        <v>0.543980744823694</v>
      </c>
      <c r="W337" s="259"/>
      <c r="X337" s="119"/>
      <c r="Y337" s="258"/>
      <c r="Z337" s="258"/>
      <c r="AA337" s="258"/>
      <c r="AB337" s="258"/>
      <c r="AC337" s="258"/>
      <c r="AD337" s="260"/>
      <c r="AE337" s="261"/>
    </row>
    <row r="338" ht="21.25" customHeight="1">
      <c r="A338" t="s" s="10">
        <v>826</v>
      </c>
      <c r="B338" t="s" s="256">
        <v>959</v>
      </c>
      <c r="C338" s="257">
        <v>22</v>
      </c>
      <c r="D338" t="s" s="256">
        <v>915</v>
      </c>
      <c r="E338" s="119">
        <v>59.205</v>
      </c>
      <c r="F338" s="258">
        <v>12.9848690712273</v>
      </c>
      <c r="G338" s="259">
        <v>0.150472433864257</v>
      </c>
      <c r="H338" s="259">
        <v>0.213067219271671</v>
      </c>
      <c r="I338" s="259">
        <v>0.363539653135928</v>
      </c>
      <c r="J338" s="259">
        <v>1.47699512028939</v>
      </c>
      <c r="K338" s="259">
        <v>0.0579910051268261</v>
      </c>
      <c r="L338" s="259">
        <v>0.117436997261016</v>
      </c>
      <c r="M338" s="259">
        <v>2.40601334467466e-05</v>
      </c>
      <c r="N338" s="259">
        <v>4.04363433854419e-05</v>
      </c>
      <c r="O338" s="259">
        <v>0.556429604481317</v>
      </c>
      <c r="P338" s="259">
        <v>0.696679878031807</v>
      </c>
      <c r="Q338" s="259">
        <v>-0.118864203570866</v>
      </c>
      <c r="R338" s="259">
        <v>0.376440772964884</v>
      </c>
      <c r="S338" s="259">
        <v>0.0160719794577887</v>
      </c>
      <c r="T338" s="259">
        <v>1.93674686573854</v>
      </c>
      <c r="U338" s="259">
        <v>2.18728113674671</v>
      </c>
      <c r="V338" s="259">
        <v>0.46962505215081</v>
      </c>
      <c r="W338" s="259"/>
      <c r="X338" s="119"/>
      <c r="Y338" s="258"/>
      <c r="Z338" s="258"/>
      <c r="AA338" s="258"/>
      <c r="AB338" s="258"/>
      <c r="AC338" s="258"/>
      <c r="AD338" s="260"/>
      <c r="AE338" s="261"/>
    </row>
    <row r="339" ht="21.25" customHeight="1">
      <c r="A339" t="s" s="10">
        <v>744</v>
      </c>
      <c r="B339" t="s" s="256">
        <v>954</v>
      </c>
      <c r="C339" s="257">
        <v>32</v>
      </c>
      <c r="D339" t="s" s="256">
        <v>917</v>
      </c>
      <c r="E339" s="119">
        <v>72.355</v>
      </c>
      <c r="F339" s="258">
        <v>13.1846497092395</v>
      </c>
      <c r="G339" s="259">
        <v>0.176191021815071</v>
      </c>
      <c r="H339" s="259">
        <v>0.187339662580219</v>
      </c>
      <c r="I339" s="259">
        <v>0.36353068439529</v>
      </c>
      <c r="J339" s="259">
        <v>1.92976984821203</v>
      </c>
      <c r="K339" s="259">
        <v>0.0236127882291836</v>
      </c>
      <c r="L339" s="259">
        <v>0.0639951731482203</v>
      </c>
      <c r="M339" s="259">
        <v>2.40432667296086e-05</v>
      </c>
      <c r="N339" s="259">
        <v>4.08156686617398e-05</v>
      </c>
      <c r="O339" s="259">
        <v>0.423299178244655</v>
      </c>
      <c r="P339" s="259">
        <v>0.799711036965971</v>
      </c>
      <c r="Q339" s="259">
        <v>-0.0460462480937424</v>
      </c>
      <c r="R339" s="259">
        <v>0.668187114232886</v>
      </c>
      <c r="S339" s="259">
        <v>0.0204207636604806</v>
      </c>
      <c r="T339" s="259">
        <v>0.170556195814441</v>
      </c>
      <c r="U339" s="259">
        <v>0.268074701943363</v>
      </c>
      <c r="V339" s="259">
        <v>0.388837623355517</v>
      </c>
      <c r="W339" s="259"/>
      <c r="X339" s="119"/>
      <c r="Y339" s="258"/>
      <c r="Z339" s="258"/>
      <c r="AA339" s="258"/>
      <c r="AB339" s="258"/>
      <c r="AC339" s="258"/>
      <c r="AD339" s="260"/>
      <c r="AE339" s="261"/>
    </row>
    <row r="340" ht="21.25" customHeight="1">
      <c r="A340" t="s" s="10">
        <v>692</v>
      </c>
      <c r="B340" t="s" s="256">
        <v>949</v>
      </c>
      <c r="C340" s="257">
        <v>32</v>
      </c>
      <c r="D340" t="s" s="256">
        <v>916</v>
      </c>
      <c r="E340" s="119">
        <v>79.73</v>
      </c>
      <c r="F340" s="258">
        <v>14.6335691611988</v>
      </c>
      <c r="G340" s="259">
        <v>0.147068003212668</v>
      </c>
      <c r="H340" s="259">
        <v>0.216179882777342</v>
      </c>
      <c r="I340" s="259">
        <v>0.36324788599001</v>
      </c>
      <c r="J340" s="259">
        <v>1.76424058874109</v>
      </c>
      <c r="K340" s="259">
        <v>0.000699155401008588</v>
      </c>
      <c r="L340" s="259">
        <v>0.00165165091311767</v>
      </c>
      <c r="M340" s="259">
        <v>0.00635960081086641</v>
      </c>
      <c r="N340" s="259">
        <v>0.00739437691820781</v>
      </c>
      <c r="O340" s="259">
        <v>0.424285565815063</v>
      </c>
      <c r="P340" s="259">
        <v>0.868233865571316</v>
      </c>
      <c r="Q340" s="259">
        <v>0.0715567688784044</v>
      </c>
      <c r="R340" s="259">
        <v>0.509080527824033</v>
      </c>
      <c r="S340" s="259">
        <v>0.0254847651427245</v>
      </c>
      <c r="T340" s="259">
        <v>0.522001540952855</v>
      </c>
      <c r="U340" s="259">
        <v>0.575922757827553</v>
      </c>
      <c r="V340" s="259">
        <v>0.4754440188023</v>
      </c>
      <c r="W340" s="259"/>
      <c r="X340" s="119"/>
      <c r="Y340" s="258"/>
      <c r="Z340" s="258"/>
      <c r="AA340" s="258"/>
      <c r="AB340" s="258"/>
      <c r="AC340" s="258"/>
      <c r="AD340" s="260"/>
      <c r="AE340" s="261"/>
    </row>
    <row r="341" ht="21.25" customHeight="1">
      <c r="A341" t="s" s="10">
        <v>704</v>
      </c>
      <c r="B341" t="s" s="256">
        <v>938</v>
      </c>
      <c r="C341" s="257">
        <v>28</v>
      </c>
      <c r="D341" t="s" s="256">
        <v>967</v>
      </c>
      <c r="E341" s="119">
        <v>74.99250000000001</v>
      </c>
      <c r="F341" s="258">
        <v>14.8337494953287</v>
      </c>
      <c r="G341" s="259">
        <v>0.129835335694557</v>
      </c>
      <c r="H341" s="259">
        <v>0.233137868229713</v>
      </c>
      <c r="I341" s="259">
        <v>0.36297320392427</v>
      </c>
      <c r="J341" s="259">
        <v>1.39514977038905</v>
      </c>
      <c r="K341" s="259">
        <v>0.00411846325965492</v>
      </c>
      <c r="L341" s="259">
        <v>0.00602151857167009</v>
      </c>
      <c r="M341" s="259">
        <v>0.00887425239297149</v>
      </c>
      <c r="N341" s="259">
        <v>0.010782922047124</v>
      </c>
      <c r="O341" s="259">
        <v>0.468226816156646</v>
      </c>
      <c r="P341" s="259">
        <v>1.16364629386252</v>
      </c>
      <c r="Q341" s="259">
        <v>0.034819217142083</v>
      </c>
      <c r="R341" s="259">
        <v>0.2984162071853</v>
      </c>
      <c r="S341" s="259">
        <v>0.021582080941606</v>
      </c>
      <c r="T341" s="259">
        <v>0.0854217011693854</v>
      </c>
      <c r="U341" s="259">
        <v>0.125421910006021</v>
      </c>
      <c r="V341" s="259">
        <v>0.405142468833551</v>
      </c>
      <c r="W341" s="259"/>
      <c r="X341" s="119"/>
      <c r="Y341" s="258"/>
      <c r="Z341" s="258"/>
      <c r="AA341" s="258"/>
      <c r="AB341" s="258"/>
      <c r="AC341" s="258"/>
      <c r="AD341" s="260"/>
      <c r="AE341" s="261"/>
    </row>
    <row r="342" ht="21.25" customHeight="1">
      <c r="A342" t="s" s="10">
        <v>414</v>
      </c>
      <c r="B342" t="s" s="256">
        <v>952</v>
      </c>
      <c r="C342" s="257">
        <v>27</v>
      </c>
      <c r="D342" t="s" s="256">
        <v>918</v>
      </c>
      <c r="E342" s="119">
        <v>81.73</v>
      </c>
      <c r="F342" s="258">
        <v>22.2093070841038</v>
      </c>
      <c r="G342" s="259">
        <v>0.0745600669193309</v>
      </c>
      <c r="H342" s="259">
        <v>0.286639129237093</v>
      </c>
      <c r="I342" s="259">
        <v>0.361199196156424</v>
      </c>
      <c r="J342" s="259">
        <v>1.41198475061271</v>
      </c>
      <c r="K342" s="259">
        <v>0.00456358745914813</v>
      </c>
      <c r="L342" s="259">
        <v>0.0719365261720048</v>
      </c>
      <c r="M342" s="259">
        <v>0.00036358037981362</v>
      </c>
      <c r="N342" s="259">
        <v>0.0124781442805841</v>
      </c>
      <c r="O342" s="259">
        <v>1.90197637173674</v>
      </c>
      <c r="P342" s="259">
        <v>0.989475635458106</v>
      </c>
      <c r="Q342" s="259">
        <v>-0.103746521753287</v>
      </c>
      <c r="R342" s="259">
        <v>0.333499239034</v>
      </c>
      <c r="S342" s="259">
        <v>0.00824517647149786</v>
      </c>
      <c r="T342" s="259">
        <v>0</v>
      </c>
      <c r="U342" s="259">
        <v>0</v>
      </c>
      <c r="V342" s="259">
        <v>0</v>
      </c>
      <c r="W342" s="259"/>
      <c r="X342" s="119"/>
      <c r="Y342" s="258"/>
      <c r="Z342" s="258"/>
      <c r="AA342" s="258"/>
      <c r="AB342" s="258"/>
      <c r="AC342" s="258"/>
      <c r="AD342" s="260"/>
      <c r="AE342" s="261"/>
    </row>
    <row r="343" ht="21.25" customHeight="1">
      <c r="A343" t="s" s="10">
        <v>735</v>
      </c>
      <c r="B343" t="s" s="256">
        <v>926</v>
      </c>
      <c r="C343" s="257">
        <v>32</v>
      </c>
      <c r="D343" t="s" s="256">
        <v>915</v>
      </c>
      <c r="E343" s="119">
        <v>73.86750000000001</v>
      </c>
      <c r="F343" s="258">
        <v>13.9248461685564</v>
      </c>
      <c r="G343" s="259">
        <v>0.169963611459229</v>
      </c>
      <c r="H343" s="259">
        <v>0.189770320452806</v>
      </c>
      <c r="I343" s="259">
        <v>0.359733931912035</v>
      </c>
      <c r="J343" s="259">
        <v>1.45294701052376</v>
      </c>
      <c r="K343" s="259">
        <v>0.00578049274513831</v>
      </c>
      <c r="L343" s="259">
        <v>0.0141197885474101</v>
      </c>
      <c r="M343" s="259">
        <v>0.0110474035382414</v>
      </c>
      <c r="N343" s="259">
        <v>0.0193024464136525</v>
      </c>
      <c r="O343" s="259">
        <v>0.296653653317906</v>
      </c>
      <c r="P343" s="259">
        <v>0.9515889898027901</v>
      </c>
      <c r="Q343" s="259">
        <v>0.0787217473476495</v>
      </c>
      <c r="R343" s="259">
        <v>0.242538208328463</v>
      </c>
      <c r="S343" s="259">
        <v>0.0271911311335276</v>
      </c>
      <c r="T343" s="259">
        <v>1.34852588793753</v>
      </c>
      <c r="U343" s="259">
        <v>1.45901355533561</v>
      </c>
      <c r="V343" s="259">
        <v>0.480323042715782</v>
      </c>
      <c r="W343" s="259"/>
      <c r="X343" s="119"/>
      <c r="Y343" s="258"/>
      <c r="Z343" s="258"/>
      <c r="AA343" s="258"/>
      <c r="AB343" s="258"/>
      <c r="AC343" s="258"/>
      <c r="AD343" s="260"/>
      <c r="AE343" s="261"/>
    </row>
    <row r="344" ht="21.25" customHeight="1">
      <c r="A344" t="s" s="10">
        <v>406</v>
      </c>
      <c r="B344" t="s" s="256">
        <v>939</v>
      </c>
      <c r="C344" s="257">
        <v>28</v>
      </c>
      <c r="D344" t="s" s="256">
        <v>918</v>
      </c>
      <c r="E344" s="119">
        <v>79.105</v>
      </c>
      <c r="F344" s="258">
        <v>21.893020517922</v>
      </c>
      <c r="G344" s="259">
        <v>0.0420836943551346</v>
      </c>
      <c r="H344" s="259">
        <v>0.317518011485962</v>
      </c>
      <c r="I344" s="259">
        <v>0.359601705841097</v>
      </c>
      <c r="J344" s="259">
        <v>1.34905689977611</v>
      </c>
      <c r="K344" s="259">
        <v>0.0009924866659008591</v>
      </c>
      <c r="L344" s="259">
        <v>0.00650204517974848</v>
      </c>
      <c r="M344" s="259">
        <v>0.000475844841084718</v>
      </c>
      <c r="N344" s="259">
        <v>0.00208629539375617</v>
      </c>
      <c r="O344" s="259">
        <v>1.88975672972084</v>
      </c>
      <c r="P344" s="259">
        <v>1.50116120405832</v>
      </c>
      <c r="Q344" s="259">
        <v>0.027214689685903</v>
      </c>
      <c r="R344" s="259">
        <v>0.607498611770092</v>
      </c>
      <c r="S344" s="259">
        <v>0.00623860898691559</v>
      </c>
      <c r="T344" s="259">
        <v>0</v>
      </c>
      <c r="U344" s="259">
        <v>0</v>
      </c>
      <c r="V344" s="259">
        <v>0</v>
      </c>
      <c r="W344" s="259"/>
      <c r="X344" s="119"/>
      <c r="Y344" s="258"/>
      <c r="Z344" s="258"/>
      <c r="AA344" s="258"/>
      <c r="AB344" s="258"/>
      <c r="AC344" s="258"/>
      <c r="AD344" s="260"/>
      <c r="AE344" s="261"/>
    </row>
    <row r="345" ht="21.25" customHeight="1">
      <c r="A345" t="s" s="10">
        <v>783</v>
      </c>
      <c r="B345" t="s" s="256">
        <v>948</v>
      </c>
      <c r="C345" s="257">
        <v>24</v>
      </c>
      <c r="D345" t="s" s="256">
        <v>966</v>
      </c>
      <c r="E345" s="119">
        <v>73.2825</v>
      </c>
      <c r="F345" s="258">
        <v>13.8899632674241</v>
      </c>
      <c r="G345" s="259">
        <v>0.152328671656245</v>
      </c>
      <c r="H345" s="259">
        <v>0.206069520423806</v>
      </c>
      <c r="I345" s="259">
        <v>0.358398192080051</v>
      </c>
      <c r="J345" s="259">
        <v>1.37984608799795</v>
      </c>
      <c r="K345" s="259">
        <v>0.00335585150980564</v>
      </c>
      <c r="L345" s="259">
        <v>0.0131797992244226</v>
      </c>
      <c r="M345" s="259">
        <v>0.0127505470280004</v>
      </c>
      <c r="N345" s="259">
        <v>0.0153749200822453</v>
      </c>
      <c r="O345" s="259">
        <v>0.430506445510157</v>
      </c>
      <c r="P345" s="259">
        <v>0.714197519789476</v>
      </c>
      <c r="Q345" s="259">
        <v>-0.10828399401955</v>
      </c>
      <c r="R345" s="259">
        <v>0.402572513501009</v>
      </c>
      <c r="S345" s="259">
        <v>0.0183394723143998</v>
      </c>
      <c r="T345" s="259">
        <v>0.106761393314013</v>
      </c>
      <c r="U345" s="259">
        <v>0.223710716881931</v>
      </c>
      <c r="V345" s="259">
        <v>0.323057196114709</v>
      </c>
      <c r="W345" s="259"/>
      <c r="X345" s="119"/>
      <c r="Y345" s="258"/>
      <c r="Z345" s="258"/>
      <c r="AA345" s="258"/>
      <c r="AB345" s="258"/>
      <c r="AC345" s="258"/>
      <c r="AD345" s="260"/>
      <c r="AE345" s="261"/>
    </row>
    <row r="346" ht="21.25" customHeight="1">
      <c r="A346" t="s" s="10">
        <v>714</v>
      </c>
      <c r="B346" t="s" s="256">
        <v>940</v>
      </c>
      <c r="C346" s="257">
        <v>28</v>
      </c>
      <c r="D346" t="s" s="256">
        <v>915</v>
      </c>
      <c r="E346" s="119">
        <v>75.77</v>
      </c>
      <c r="F346" s="258">
        <v>13.4449361832101</v>
      </c>
      <c r="G346" s="259">
        <v>0.187272517216684</v>
      </c>
      <c r="H346" s="259">
        <v>0.16947899079886</v>
      </c>
      <c r="I346" s="259">
        <v>0.356751508015544</v>
      </c>
      <c r="J346" s="259">
        <v>1.49823657957101</v>
      </c>
      <c r="K346" s="259">
        <v>0.0146021114774285</v>
      </c>
      <c r="L346" s="259">
        <v>0.0275323271478973</v>
      </c>
      <c r="M346" s="259">
        <v>0.00293367582549326</v>
      </c>
      <c r="N346" s="259">
        <v>0.00496815512869989</v>
      </c>
      <c r="O346" s="259">
        <v>0.481612906096496</v>
      </c>
      <c r="P346" s="259">
        <v>0.786331557679162</v>
      </c>
      <c r="Q346" s="259">
        <v>0.0290300609492829</v>
      </c>
      <c r="R346" s="259">
        <v>0.26189019293618</v>
      </c>
      <c r="S346" s="259">
        <v>0.0290767249190061</v>
      </c>
      <c r="T346" s="259">
        <v>0.825741446917287</v>
      </c>
      <c r="U346" s="259">
        <v>0.865497702713124</v>
      </c>
      <c r="V346" s="259">
        <v>0.488246412163376</v>
      </c>
      <c r="W346" s="259"/>
      <c r="X346" s="119"/>
      <c r="Y346" s="258"/>
      <c r="Z346" s="258"/>
      <c r="AA346" s="258"/>
      <c r="AB346" s="258"/>
      <c r="AC346" s="258"/>
      <c r="AD346" s="260"/>
      <c r="AE346" s="261"/>
    </row>
    <row r="347" ht="21.25" customHeight="1">
      <c r="A347" t="s" s="10">
        <v>669</v>
      </c>
      <c r="B347" t="s" s="256">
        <v>950</v>
      </c>
      <c r="C347" s="257">
        <v>23</v>
      </c>
      <c r="D347" t="s" s="256">
        <v>918</v>
      </c>
      <c r="E347" s="119">
        <v>69.60250000000001</v>
      </c>
      <c r="F347" s="258">
        <v>17.6277917519808</v>
      </c>
      <c r="G347" s="259">
        <v>0.045973298375392</v>
      </c>
      <c r="H347" s="259">
        <v>0.309997496148802</v>
      </c>
      <c r="I347" s="259">
        <v>0.355970794524194</v>
      </c>
      <c r="J347" s="259">
        <v>1.3138214146724</v>
      </c>
      <c r="K347" s="259">
        <v>0.0115060879740322</v>
      </c>
      <c r="L347" s="259">
        <v>0.07894453939500019</v>
      </c>
      <c r="M347" s="259">
        <v>0.0005741445713050251</v>
      </c>
      <c r="N347" s="259">
        <v>0.00274994427753439</v>
      </c>
      <c r="O347" s="259">
        <v>1.14182830845556</v>
      </c>
      <c r="P347" s="259">
        <v>1.23508428484223</v>
      </c>
      <c r="Q347" s="259">
        <v>0.0299580715893628</v>
      </c>
      <c r="R347" s="259">
        <v>0.269833598139783</v>
      </c>
      <c r="S347" s="259">
        <v>0.008192978295413249</v>
      </c>
      <c r="T347" s="259">
        <v>0</v>
      </c>
      <c r="U347" s="259">
        <v>0</v>
      </c>
      <c r="V347" s="259">
        <v>0</v>
      </c>
      <c r="W347" s="259"/>
      <c r="X347" s="119"/>
      <c r="Y347" s="258"/>
      <c r="Z347" s="258"/>
      <c r="AA347" s="258"/>
      <c r="AB347" s="258"/>
      <c r="AC347" s="258"/>
      <c r="AD347" s="260"/>
      <c r="AE347" s="261"/>
    </row>
    <row r="348" ht="21.25" customHeight="1">
      <c r="A348" t="s" s="10">
        <v>838</v>
      </c>
      <c r="B348" t="s" s="256">
        <v>950</v>
      </c>
      <c r="C348" s="257">
        <v>23</v>
      </c>
      <c r="D348" t="s" s="256">
        <v>915</v>
      </c>
      <c r="E348" s="119">
        <v>56.3</v>
      </c>
      <c r="F348" s="258">
        <v>13.0775754791325</v>
      </c>
      <c r="G348" s="259">
        <v>0.136293302834915</v>
      </c>
      <c r="H348" s="259">
        <v>0.218163429063339</v>
      </c>
      <c r="I348" s="259">
        <v>0.354456731898254</v>
      </c>
      <c r="J348" s="259">
        <v>1.31993690234591</v>
      </c>
      <c r="K348" s="259">
        <v>0.00390874007626912</v>
      </c>
      <c r="L348" s="259">
        <v>0.008948234328796569</v>
      </c>
      <c r="M348" s="259">
        <v>0</v>
      </c>
      <c r="N348" s="259">
        <v>0</v>
      </c>
      <c r="O348" s="259">
        <v>0.546593460632456</v>
      </c>
      <c r="P348" s="259">
        <v>0.841138862850504</v>
      </c>
      <c r="Q348" s="259">
        <v>0.0321521688072422</v>
      </c>
      <c r="R348" s="259">
        <v>0.402928041002083</v>
      </c>
      <c r="S348" s="259">
        <v>0.0242890571570203</v>
      </c>
      <c r="T348" s="259">
        <v>1.50854227572501</v>
      </c>
      <c r="U348" s="259">
        <v>1.65919846641144</v>
      </c>
      <c r="V348" s="259">
        <v>0.476220246075942</v>
      </c>
      <c r="W348" s="259"/>
      <c r="X348" s="119"/>
      <c r="Y348" s="258"/>
      <c r="Z348" s="258"/>
      <c r="AA348" s="258"/>
      <c r="AB348" s="258"/>
      <c r="AC348" s="258"/>
      <c r="AD348" s="260"/>
      <c r="AE348" s="261"/>
    </row>
    <row r="349" ht="21.25" customHeight="1">
      <c r="A349" t="s" s="10">
        <v>426</v>
      </c>
      <c r="B349" t="s" s="256">
        <v>945</v>
      </c>
      <c r="C349" s="257">
        <v>24</v>
      </c>
      <c r="D349" t="s" s="256">
        <v>967</v>
      </c>
      <c r="E349" s="119">
        <v>74.145</v>
      </c>
      <c r="F349" s="258">
        <v>12.5798189552195</v>
      </c>
      <c r="G349" s="259">
        <v>0.129174476539463</v>
      </c>
      <c r="H349" s="259">
        <v>0.225236081544985</v>
      </c>
      <c r="I349" s="259">
        <v>0.354410558084448</v>
      </c>
      <c r="J349" s="259">
        <v>1.79234229323509</v>
      </c>
      <c r="K349" s="259">
        <v>0.00323087520404191</v>
      </c>
      <c r="L349" s="259">
        <v>0.00742118441198824</v>
      </c>
      <c r="M349" s="259">
        <v>5.95258045270146e-05</v>
      </c>
      <c r="N349" s="259">
        <v>0.000100168057345409</v>
      </c>
      <c r="O349" s="259">
        <v>0.36901195243824</v>
      </c>
      <c r="P349" s="259">
        <v>3.13416654464522</v>
      </c>
      <c r="Q349" s="259">
        <v>-0.0118257861923735</v>
      </c>
      <c r="R349" s="259">
        <v>0.808426884461722</v>
      </c>
      <c r="S349" s="259">
        <v>0.0187669560175549</v>
      </c>
      <c r="T349" s="259">
        <v>0.36106951689073</v>
      </c>
      <c r="U349" s="259">
        <v>0.439562890127845</v>
      </c>
      <c r="V349" s="259">
        <v>0.450980392156863</v>
      </c>
      <c r="W349" s="259"/>
      <c r="X349" s="119"/>
      <c r="Y349" s="258"/>
      <c r="Z349" s="258"/>
      <c r="AA349" s="258"/>
      <c r="AB349" s="258"/>
      <c r="AC349" s="258"/>
      <c r="AD349" s="260"/>
      <c r="AE349" s="261"/>
    </row>
    <row r="350" ht="21.25" customHeight="1">
      <c r="A350" t="s" s="10">
        <v>773</v>
      </c>
      <c r="B350" t="s" s="256">
        <v>949</v>
      </c>
      <c r="C350" s="257">
        <v>24</v>
      </c>
      <c r="D350" t="s" s="256">
        <v>915</v>
      </c>
      <c r="E350" s="119">
        <v>70.16</v>
      </c>
      <c r="F350" s="258">
        <v>12.7434690642738</v>
      </c>
      <c r="G350" s="259">
        <v>0.117441642754382</v>
      </c>
      <c r="H350" s="259">
        <v>0.23535225222268</v>
      </c>
      <c r="I350" s="259">
        <v>0.352793894977062</v>
      </c>
      <c r="J350" s="259">
        <v>1.58690487351623</v>
      </c>
      <c r="K350" s="259">
        <v>0.0327777018127849</v>
      </c>
      <c r="L350" s="259">
        <v>0.106046142170075</v>
      </c>
      <c r="M350" s="259">
        <v>0.00133469721879713</v>
      </c>
      <c r="N350" s="259">
        <v>0.00223564476452392</v>
      </c>
      <c r="O350" s="259">
        <v>0.478772208767511</v>
      </c>
      <c r="P350" s="259">
        <v>0.660893170233109</v>
      </c>
      <c r="Q350" s="259">
        <v>0.07482321571525941</v>
      </c>
      <c r="R350" s="259">
        <v>0.417966589483368</v>
      </c>
      <c r="S350" s="259">
        <v>0.0203509439047947</v>
      </c>
      <c r="T350" s="259">
        <v>4.86194269233755</v>
      </c>
      <c r="U350" s="259">
        <v>3.96587270203598</v>
      </c>
      <c r="V350" s="259">
        <v>0.550752646621535</v>
      </c>
      <c r="W350" s="259"/>
      <c r="X350" s="119"/>
      <c r="Y350" s="258"/>
      <c r="Z350" s="258"/>
      <c r="AA350" s="258"/>
      <c r="AB350" s="258"/>
      <c r="AC350" s="258"/>
      <c r="AD350" s="260"/>
      <c r="AE350" s="261"/>
    </row>
    <row r="351" ht="21.25" customHeight="1">
      <c r="A351" t="s" s="10">
        <v>799</v>
      </c>
      <c r="B351" t="s" s="256">
        <v>936</v>
      </c>
      <c r="C351" s="257">
        <v>26</v>
      </c>
      <c r="D351" t="s" s="256">
        <v>917</v>
      </c>
      <c r="E351" s="119">
        <v>60</v>
      </c>
      <c r="F351" s="258">
        <v>14</v>
      </c>
      <c r="G351" s="259">
        <v>0.195638853208468</v>
      </c>
      <c r="H351" s="259">
        <v>0.156934323703515</v>
      </c>
      <c r="I351" s="259">
        <v>0.352573176911983</v>
      </c>
      <c r="J351" s="259">
        <v>1.68779529300663</v>
      </c>
      <c r="K351" s="259">
        <v>0.030886998221794</v>
      </c>
      <c r="L351" s="259">
        <v>0.0556634171062566</v>
      </c>
      <c r="M351" s="259">
        <v>0</v>
      </c>
      <c r="N351" s="259">
        <v>0</v>
      </c>
      <c r="O351" s="259">
        <v>0.419512195121951</v>
      </c>
      <c r="P351" s="259">
        <v>1.18309240326726</v>
      </c>
      <c r="Q351" s="259">
        <v>0.0281968812112556</v>
      </c>
      <c r="R351" s="259">
        <v>0.404066898383504</v>
      </c>
      <c r="S351" s="259">
        <v>0.0307463944516109</v>
      </c>
      <c r="T351" s="259">
        <v>0</v>
      </c>
      <c r="U351" s="259">
        <v>0</v>
      </c>
      <c r="V351" s="259">
        <v>0</v>
      </c>
      <c r="W351" s="259"/>
      <c r="X351" s="119"/>
      <c r="Y351" s="259"/>
      <c r="Z351" s="259"/>
      <c r="AA351" s="259"/>
      <c r="AB351" s="259"/>
      <c r="AC351" s="258"/>
      <c r="AD351" s="260"/>
      <c r="AE351" s="261"/>
    </row>
    <row r="352" ht="21.25" customHeight="1">
      <c r="A352" t="s" s="10">
        <v>777</v>
      </c>
      <c r="B352" t="s" s="256">
        <v>929</v>
      </c>
      <c r="C352" s="257">
        <v>33</v>
      </c>
      <c r="D352" t="s" s="256">
        <v>916</v>
      </c>
      <c r="E352" s="119">
        <v>79.3</v>
      </c>
      <c r="F352" s="258">
        <v>12.7176632003837</v>
      </c>
      <c r="G352" s="259">
        <v>0.144434176703644</v>
      </c>
      <c r="H352" s="259">
        <v>0.207215641060684</v>
      </c>
      <c r="I352" s="259">
        <v>0.351649817764328</v>
      </c>
      <c r="J352" s="259">
        <v>1.2225640390989</v>
      </c>
      <c r="K352" s="259">
        <v>0.00236874201019675</v>
      </c>
      <c r="L352" s="259">
        <v>0.00764599014972637</v>
      </c>
      <c r="M352" s="259">
        <v>0.00106084367791317</v>
      </c>
      <c r="N352" s="259">
        <v>0.00183226888458301</v>
      </c>
      <c r="O352" s="259">
        <v>0.369378890400717</v>
      </c>
      <c r="P352" s="259">
        <v>0.7408545668332051</v>
      </c>
      <c r="Q352" s="259">
        <v>0.0111718040504705</v>
      </c>
      <c r="R352" s="259">
        <v>0.297490265235202</v>
      </c>
      <c r="S352" s="259">
        <v>0.0217916972180267</v>
      </c>
      <c r="T352" s="259">
        <v>0.125274648355603</v>
      </c>
      <c r="U352" s="259">
        <v>0.241086503147574</v>
      </c>
      <c r="V352" s="259">
        <v>0.341943046749369</v>
      </c>
      <c r="W352" s="259"/>
      <c r="X352" s="119"/>
      <c r="Y352" s="258"/>
      <c r="Z352" s="258"/>
      <c r="AA352" s="258"/>
      <c r="AB352" s="258"/>
      <c r="AC352" s="258"/>
      <c r="AD352" s="260"/>
      <c r="AE352" s="261"/>
    </row>
    <row r="353" ht="21.25" customHeight="1">
      <c r="A353" t="s" s="10">
        <v>506</v>
      </c>
      <c r="B353" t="s" s="256">
        <v>933</v>
      </c>
      <c r="C353" s="257">
        <v>31</v>
      </c>
      <c r="D353" t="s" s="256">
        <v>918</v>
      </c>
      <c r="E353" s="119">
        <v>74.55500000000001</v>
      </c>
      <c r="F353" s="258">
        <v>22.5354675386987</v>
      </c>
      <c r="G353" s="259">
        <v>0.0778878486985089</v>
      </c>
      <c r="H353" s="259">
        <v>0.273377515690608</v>
      </c>
      <c r="I353" s="259">
        <v>0.351265364389117</v>
      </c>
      <c r="J353" s="259">
        <v>1.70485491808187</v>
      </c>
      <c r="K353" s="259">
        <v>0.00185500402232808</v>
      </c>
      <c r="L353" s="259">
        <v>0.0151412825701211</v>
      </c>
      <c r="M353" s="259">
        <v>0.000330702170443745</v>
      </c>
      <c r="N353" s="259">
        <v>0.00960970938563919</v>
      </c>
      <c r="O353" s="259">
        <v>2.05672823794982</v>
      </c>
      <c r="P353" s="259">
        <v>0.604504514602726</v>
      </c>
      <c r="Q353" s="259">
        <v>0.0301252843718917</v>
      </c>
      <c r="R353" s="259">
        <v>0.361980589460512</v>
      </c>
      <c r="S353" s="259">
        <v>0.0128576580707034</v>
      </c>
      <c r="T353" s="259">
        <v>0</v>
      </c>
      <c r="U353" s="259">
        <v>0</v>
      </c>
      <c r="V353" s="259">
        <v>0</v>
      </c>
      <c r="W353" s="259"/>
      <c r="X353" s="119"/>
      <c r="Y353" s="258"/>
      <c r="Z353" s="258"/>
      <c r="AA353" s="258"/>
      <c r="AB353" s="258"/>
      <c r="AC353" s="258"/>
      <c r="AD353" s="260"/>
      <c r="AE353" s="261"/>
    </row>
    <row r="354" ht="21.25" customHeight="1">
      <c r="A354" t="s" s="10">
        <v>752</v>
      </c>
      <c r="B354" t="s" s="256">
        <v>958</v>
      </c>
      <c r="C354" s="257">
        <v>28</v>
      </c>
      <c r="D354" t="s" s="256">
        <v>965</v>
      </c>
      <c r="E354" s="119">
        <v>69.52</v>
      </c>
      <c r="F354" s="258">
        <v>12.477499161584</v>
      </c>
      <c r="G354" s="259">
        <v>0.18901823881378</v>
      </c>
      <c r="H354" s="259">
        <v>0.160980967043921</v>
      </c>
      <c r="I354" s="259">
        <v>0.349999205857701</v>
      </c>
      <c r="J354" s="259">
        <v>1.32160762361899</v>
      </c>
      <c r="K354" s="259">
        <v>0.0272269539798277</v>
      </c>
      <c r="L354" s="259">
        <v>0.06434467431208379</v>
      </c>
      <c r="M354" s="259">
        <v>0.000216240688735212</v>
      </c>
      <c r="N354" s="259">
        <v>0.000365578566947834</v>
      </c>
      <c r="O354" s="259">
        <v>0.441801381377361</v>
      </c>
      <c r="P354" s="259">
        <v>1.17848550385709</v>
      </c>
      <c r="Q354" s="259">
        <v>-0.0458057400598888</v>
      </c>
      <c r="R354" s="259">
        <v>0.353369151206736</v>
      </c>
      <c r="S354" s="259">
        <v>0.0220318807313064</v>
      </c>
      <c r="T354" s="259">
        <v>0.813926012308434</v>
      </c>
      <c r="U354" s="259">
        <v>0.766222877577814</v>
      </c>
      <c r="V354" s="259">
        <v>0.515094506294927</v>
      </c>
      <c r="W354" s="259"/>
      <c r="X354" s="119"/>
      <c r="Y354" s="258"/>
      <c r="Z354" s="258"/>
      <c r="AA354" s="258"/>
      <c r="AB354" s="258"/>
      <c r="AC354" s="258"/>
      <c r="AD354" s="260"/>
      <c r="AE354" s="261"/>
    </row>
    <row r="355" ht="21.25" customHeight="1">
      <c r="A355" t="s" s="10">
        <v>770</v>
      </c>
      <c r="B355" t="s" s="256">
        <v>939</v>
      </c>
      <c r="C355" s="257">
        <v>25</v>
      </c>
      <c r="D355" t="s" s="256">
        <v>915</v>
      </c>
      <c r="E355" s="119">
        <v>70.67749999999999</v>
      </c>
      <c r="F355" s="258">
        <v>12.1565286306402</v>
      </c>
      <c r="G355" s="259">
        <v>0.139931842435989</v>
      </c>
      <c r="H355" s="259">
        <v>0.209133804674375</v>
      </c>
      <c r="I355" s="259">
        <v>0.349065647110364</v>
      </c>
      <c r="J355" s="259">
        <v>1.55648402585589</v>
      </c>
      <c r="K355" s="259">
        <v>0.0197871260901168</v>
      </c>
      <c r="L355" s="259">
        <v>0.0383924212607047</v>
      </c>
      <c r="M355" s="259">
        <v>0.000416489002922307</v>
      </c>
      <c r="N355" s="259">
        <v>0.0007042918951655831</v>
      </c>
      <c r="O355" s="259">
        <v>0.443508290551646</v>
      </c>
      <c r="P355" s="259">
        <v>0.846057554894887</v>
      </c>
      <c r="Q355" s="259">
        <v>0.009334314518489231</v>
      </c>
      <c r="R355" s="259">
        <v>0.31077605756257</v>
      </c>
      <c r="S355" s="259">
        <v>0.0207439024342763</v>
      </c>
      <c r="T355" s="259">
        <v>2.79028884876742</v>
      </c>
      <c r="U355" s="259">
        <v>3.04146422362668</v>
      </c>
      <c r="V355" s="259">
        <v>0.478464848241924</v>
      </c>
      <c r="W355" s="259"/>
      <c r="X355" s="119"/>
      <c r="Y355" s="258"/>
      <c r="Z355" s="258"/>
      <c r="AA355" s="258"/>
      <c r="AB355" s="258"/>
      <c r="AC355" s="258"/>
      <c r="AD355" s="260"/>
      <c r="AE355" s="261"/>
    </row>
    <row r="356" ht="21.25" customHeight="1">
      <c r="A356" t="s" s="10">
        <v>405</v>
      </c>
      <c r="B356" t="s" s="256">
        <v>928</v>
      </c>
      <c r="C356" s="257">
        <v>29</v>
      </c>
      <c r="D356" t="s" s="256">
        <v>918</v>
      </c>
      <c r="E356" s="119">
        <v>79.9875</v>
      </c>
      <c r="F356" s="258">
        <v>19.8479312055502</v>
      </c>
      <c r="G356" s="259">
        <v>0.127649917586318</v>
      </c>
      <c r="H356" s="259">
        <v>0.221145149086389</v>
      </c>
      <c r="I356" s="259">
        <v>0.348795066672707</v>
      </c>
      <c r="J356" s="259">
        <v>1.51406016151555</v>
      </c>
      <c r="K356" s="259">
        <v>0.000483916973658828</v>
      </c>
      <c r="L356" s="259">
        <v>0.00407201688192189</v>
      </c>
      <c r="M356" s="259">
        <v>0.000238466053328743</v>
      </c>
      <c r="N356" s="259">
        <v>0.00557983935633794</v>
      </c>
      <c r="O356" s="259">
        <v>1.10255751308432</v>
      </c>
      <c r="P356" s="259">
        <v>2.26397589272839</v>
      </c>
      <c r="Q356" s="259">
        <v>-0.000241808926418354</v>
      </c>
      <c r="R356" s="259">
        <v>1.02523047808264</v>
      </c>
      <c r="S356" s="259">
        <v>0.0198819492623108</v>
      </c>
      <c r="T356" s="259">
        <v>0</v>
      </c>
      <c r="U356" s="259">
        <v>0</v>
      </c>
      <c r="V356" s="259">
        <v>0</v>
      </c>
      <c r="W356" s="259"/>
      <c r="X356" s="119"/>
      <c r="Y356" s="258"/>
      <c r="Z356" s="258"/>
      <c r="AA356" s="258"/>
      <c r="AB356" s="258"/>
      <c r="AC356" s="258"/>
      <c r="AD356" s="260"/>
      <c r="AE356" s="261"/>
    </row>
    <row r="357" ht="21.25" customHeight="1">
      <c r="A357" t="s" s="10">
        <v>802</v>
      </c>
      <c r="B357" t="s" s="256">
        <v>947</v>
      </c>
      <c r="C357" s="257">
        <v>29</v>
      </c>
      <c r="D357" t="s" s="256">
        <v>917</v>
      </c>
      <c r="E357" s="119">
        <v>73.47</v>
      </c>
      <c r="F357" s="258">
        <v>13.2891349980268</v>
      </c>
      <c r="G357" s="259">
        <v>0.148048677210556</v>
      </c>
      <c r="H357" s="259">
        <v>0.198064467961315</v>
      </c>
      <c r="I357" s="259">
        <v>0.346113145171871</v>
      </c>
      <c r="J357" s="259">
        <v>1.73814061334029</v>
      </c>
      <c r="K357" s="259">
        <v>0.00552458302783254</v>
      </c>
      <c r="L357" s="259">
        <v>0.0110917349774982</v>
      </c>
      <c r="M357" s="259">
        <v>0.00629391227767971</v>
      </c>
      <c r="N357" s="259">
        <v>0.00704642201336843</v>
      </c>
      <c r="O357" s="259">
        <v>0.292658075200243</v>
      </c>
      <c r="P357" s="259">
        <v>0.639010231801202</v>
      </c>
      <c r="Q357" s="259">
        <v>0.0660173926061593</v>
      </c>
      <c r="R357" s="259">
        <v>0.154584671061484</v>
      </c>
      <c r="S357" s="259">
        <v>0.0191331071192996</v>
      </c>
      <c r="T357" s="259">
        <v>0.0567161623267379</v>
      </c>
      <c r="U357" s="259">
        <v>0.23385075793312</v>
      </c>
      <c r="V357" s="259">
        <v>0.195191394381769</v>
      </c>
      <c r="W357" s="259"/>
      <c r="X357" s="119"/>
      <c r="Y357" s="258"/>
      <c r="Z357" s="258"/>
      <c r="AA357" s="258"/>
      <c r="AB357" s="258"/>
      <c r="AC357" s="258"/>
      <c r="AD357" s="260"/>
      <c r="AE357" s="261"/>
    </row>
    <row r="358" ht="21.25" customHeight="1">
      <c r="A358" t="s" s="10">
        <v>641</v>
      </c>
      <c r="B358" t="s" s="256">
        <v>925</v>
      </c>
      <c r="C358" s="257">
        <v>28</v>
      </c>
      <c r="D358" t="s" s="256">
        <v>916</v>
      </c>
      <c r="E358" s="119">
        <v>75.285</v>
      </c>
      <c r="F358" s="258">
        <v>13.2840350767106</v>
      </c>
      <c r="G358" s="259">
        <v>0.129883031156845</v>
      </c>
      <c r="H358" s="259">
        <v>0.215291393894154</v>
      </c>
      <c r="I358" s="259">
        <v>0.345174425050999</v>
      </c>
      <c r="J358" s="259">
        <v>2.09468942865381</v>
      </c>
      <c r="K358" s="259">
        <v>0.00123472103987425</v>
      </c>
      <c r="L358" s="259">
        <v>0.00208132078225082</v>
      </c>
      <c r="M358" s="259">
        <v>0.00908403422145552</v>
      </c>
      <c r="N358" s="259">
        <v>0.0105018381538756</v>
      </c>
      <c r="O358" s="259">
        <v>0.433856019135073</v>
      </c>
      <c r="P358" s="259">
        <v>1.39621235783754</v>
      </c>
      <c r="Q358" s="259">
        <v>0.0181494509957621</v>
      </c>
      <c r="R358" s="259">
        <v>0.6532212850496379</v>
      </c>
      <c r="S358" s="259">
        <v>0.0194059087109117</v>
      </c>
      <c r="T358" s="259">
        <v>0.115241647019035</v>
      </c>
      <c r="U358" s="259">
        <v>0.347974279078163</v>
      </c>
      <c r="V358" s="259">
        <v>0.24878602078732</v>
      </c>
      <c r="W358" s="259"/>
      <c r="X358" s="119"/>
      <c r="Y358" s="258"/>
      <c r="Z358" s="258"/>
      <c r="AA358" s="258"/>
      <c r="AB358" s="258"/>
      <c r="AC358" s="258"/>
      <c r="AD358" s="260"/>
      <c r="AE358" s="261"/>
    </row>
    <row r="359" ht="21.25" customHeight="1">
      <c r="A359" t="s" s="10">
        <v>849</v>
      </c>
      <c r="B359" t="s" s="256">
        <v>948</v>
      </c>
      <c r="C359" s="257">
        <v>21</v>
      </c>
      <c r="D359" t="s" s="256">
        <v>918</v>
      </c>
      <c r="E359" s="119">
        <v>58.375</v>
      </c>
      <c r="F359" s="258">
        <v>11.9319344977847</v>
      </c>
      <c r="G359" s="259">
        <v>0.16581328498741</v>
      </c>
      <c r="H359" s="259">
        <v>0.179327570900611</v>
      </c>
      <c r="I359" s="259">
        <v>0.345140855888021</v>
      </c>
      <c r="J359" s="259">
        <v>1.38909596750217</v>
      </c>
      <c r="K359" s="259">
        <v>0.00854150205537103</v>
      </c>
      <c r="L359" s="259">
        <v>0.0197946255456932</v>
      </c>
      <c r="M359" s="259">
        <v>2.90698858715309e-05</v>
      </c>
      <c r="N359" s="259">
        <v>4.93545622757123e-05</v>
      </c>
      <c r="O359" s="259">
        <v>0.464294755785251</v>
      </c>
      <c r="P359" s="259">
        <v>0.7438198400886989</v>
      </c>
      <c r="Q359" s="259">
        <v>-0.0446867994238783</v>
      </c>
      <c r="R359" s="259">
        <v>0.293017818159032</v>
      </c>
      <c r="S359" s="259">
        <v>0.0199629401105042</v>
      </c>
      <c r="T359" s="259">
        <v>0.0397227994466499</v>
      </c>
      <c r="U359" s="259">
        <v>0.03972279944665</v>
      </c>
      <c r="V359" s="259">
        <v>0.5</v>
      </c>
      <c r="W359" s="259"/>
      <c r="X359" s="119"/>
      <c r="Y359" s="258"/>
      <c r="Z359" s="258"/>
      <c r="AA359" s="258"/>
      <c r="AB359" s="258"/>
      <c r="AC359" s="258"/>
      <c r="AD359" s="260"/>
      <c r="AE359" s="261"/>
    </row>
    <row r="360" ht="21.25" customHeight="1">
      <c r="A360" t="s" s="10">
        <v>702</v>
      </c>
      <c r="B360" t="s" s="256">
        <v>938</v>
      </c>
      <c r="C360" s="257">
        <v>30</v>
      </c>
      <c r="D360" t="s" s="256">
        <v>58</v>
      </c>
      <c r="E360" s="119">
        <v>78.5675</v>
      </c>
      <c r="F360" s="258">
        <v>15.2108714010888</v>
      </c>
      <c r="G360" s="259">
        <v>0.136124822909149</v>
      </c>
      <c r="H360" s="259">
        <v>0.208794408320291</v>
      </c>
      <c r="I360" s="259">
        <v>0.34491923122944</v>
      </c>
      <c r="J360" s="259">
        <v>1.68205463902236</v>
      </c>
      <c r="K360" s="259">
        <v>0.0300481940792482</v>
      </c>
      <c r="L360" s="259">
        <v>0.0571225812133034</v>
      </c>
      <c r="M360" s="259">
        <v>0.00269674750129534</v>
      </c>
      <c r="N360" s="259">
        <v>0.010040872215886</v>
      </c>
      <c r="O360" s="259">
        <v>0.70961227107392</v>
      </c>
      <c r="P360" s="259">
        <v>0.590775295440173</v>
      </c>
      <c r="Q360" s="259">
        <v>0.0379880389064212</v>
      </c>
      <c r="R360" s="259">
        <v>0.188893738644056</v>
      </c>
      <c r="S360" s="259">
        <v>0.0226275607520164</v>
      </c>
      <c r="T360" s="259">
        <v>0.12585928195273</v>
      </c>
      <c r="U360" s="259">
        <v>0.171174318803379</v>
      </c>
      <c r="V360" s="259">
        <v>0.42372068894681</v>
      </c>
      <c r="W360" s="259"/>
      <c r="X360" s="119"/>
      <c r="Y360" s="258"/>
      <c r="Z360" s="258"/>
      <c r="AA360" s="258"/>
      <c r="AB360" s="258"/>
      <c r="AC360" s="258"/>
      <c r="AD360" s="260"/>
      <c r="AE360" s="261"/>
    </row>
    <row r="361" ht="21.25" customHeight="1">
      <c r="A361" t="s" s="10">
        <v>723</v>
      </c>
      <c r="B361" t="s" s="256">
        <v>935</v>
      </c>
      <c r="C361" s="257">
        <v>28</v>
      </c>
      <c r="D361" t="s" s="256">
        <v>915</v>
      </c>
      <c r="E361" s="119">
        <v>78.955</v>
      </c>
      <c r="F361" s="258">
        <v>14.5022853004947</v>
      </c>
      <c r="G361" s="259">
        <v>0.163199924641881</v>
      </c>
      <c r="H361" s="259">
        <v>0.181650181976614</v>
      </c>
      <c r="I361" s="259">
        <v>0.344850106618495</v>
      </c>
      <c r="J361" s="259">
        <v>1.51088301754143</v>
      </c>
      <c r="K361" s="259">
        <v>0.0163132202241106</v>
      </c>
      <c r="L361" s="259">
        <v>0.0453474633498463</v>
      </c>
      <c r="M361" s="259">
        <v>0.009292570871821559</v>
      </c>
      <c r="N361" s="259">
        <v>0.0101405921298367</v>
      </c>
      <c r="O361" s="259">
        <v>0.391242340968916</v>
      </c>
      <c r="P361" s="259">
        <v>0.732091664739234</v>
      </c>
      <c r="Q361" s="259">
        <v>0.07110567615102099</v>
      </c>
      <c r="R361" s="259">
        <v>0.223157388120858</v>
      </c>
      <c r="S361" s="259">
        <v>0.0278703371318256</v>
      </c>
      <c r="T361" s="259">
        <v>3.07019737317341</v>
      </c>
      <c r="U361" s="259">
        <v>3.26091698798554</v>
      </c>
      <c r="V361" s="259">
        <v>0.484937911090172</v>
      </c>
      <c r="W361" s="259"/>
      <c r="X361" s="119"/>
      <c r="Y361" s="258"/>
      <c r="Z361" s="258"/>
      <c r="AA361" s="258"/>
      <c r="AB361" s="258"/>
      <c r="AC361" s="258"/>
      <c r="AD361" s="260"/>
      <c r="AE361" s="261"/>
    </row>
    <row r="362" ht="21.25" customHeight="1">
      <c r="A362" t="s" s="10">
        <v>480</v>
      </c>
      <c r="B362" t="s" s="256">
        <v>947</v>
      </c>
      <c r="C362" s="257">
        <v>36</v>
      </c>
      <c r="D362" t="s" s="256">
        <v>916</v>
      </c>
      <c r="E362" s="119">
        <v>75.785</v>
      </c>
      <c r="F362" s="258">
        <v>16.2124455879321</v>
      </c>
      <c r="G362" s="259">
        <v>0.1413000664463</v>
      </c>
      <c r="H362" s="259">
        <v>0.202802291114219</v>
      </c>
      <c r="I362" s="259">
        <v>0.344102357560519</v>
      </c>
      <c r="J362" s="259">
        <v>1.6950273917403</v>
      </c>
      <c r="K362" s="259">
        <v>0.0377522846141014</v>
      </c>
      <c r="L362" s="259">
        <v>0.0845439981240448</v>
      </c>
      <c r="M362" s="259">
        <v>0.0117269067874452</v>
      </c>
      <c r="N362" s="259">
        <v>0.0143701763229371</v>
      </c>
      <c r="O362" s="259">
        <v>0.545548088464501</v>
      </c>
      <c r="P362" s="259">
        <v>2.3469135749115</v>
      </c>
      <c r="Q362" s="259">
        <v>-0.08544167629001</v>
      </c>
      <c r="R362" s="259">
        <v>0.775833115740731</v>
      </c>
      <c r="S362" s="259">
        <v>0.0182609487515803</v>
      </c>
      <c r="T362" s="259">
        <v>2.45683655212025</v>
      </c>
      <c r="U362" s="259">
        <v>2.09275928160297</v>
      </c>
      <c r="V362" s="259">
        <v>0.540012045445731</v>
      </c>
      <c r="W362" s="259"/>
      <c r="X362" s="119"/>
      <c r="Y362" s="258"/>
      <c r="Z362" s="258"/>
      <c r="AA362" s="258"/>
      <c r="AB362" s="258"/>
      <c r="AC362" s="258"/>
      <c r="AD362" s="260"/>
      <c r="AE362" s="261"/>
    </row>
    <row r="363" ht="21.25" customHeight="1">
      <c r="A363" t="s" s="10">
        <v>725</v>
      </c>
      <c r="B363" t="s" s="256">
        <v>956</v>
      </c>
      <c r="C363" s="257">
        <v>25</v>
      </c>
      <c r="D363" t="s" s="256">
        <v>916</v>
      </c>
      <c r="E363" s="119">
        <v>75.64749999999999</v>
      </c>
      <c r="F363" s="258">
        <v>14.0755368639855</v>
      </c>
      <c r="G363" s="259">
        <v>0.123010721636327</v>
      </c>
      <c r="H363" s="259">
        <v>0.220040831824925</v>
      </c>
      <c r="I363" s="259">
        <v>0.343051553461252</v>
      </c>
      <c r="J363" s="259">
        <v>1.28493445143302</v>
      </c>
      <c r="K363" s="259">
        <v>0.00416490284920413</v>
      </c>
      <c r="L363" s="259">
        <v>0.00986993079672838</v>
      </c>
      <c r="M363" s="259">
        <v>0.0060484576690649</v>
      </c>
      <c r="N363" s="259">
        <v>0.0262354305461608</v>
      </c>
      <c r="O363" s="259">
        <v>0.6183133396635681</v>
      </c>
      <c r="P363" s="259">
        <v>0.930319562330404</v>
      </c>
      <c r="Q363" s="259">
        <v>-0.0202321519357648</v>
      </c>
      <c r="R363" s="259">
        <v>0.153365874628302</v>
      </c>
      <c r="S363" s="259">
        <v>0.0178303459177928</v>
      </c>
      <c r="T363" s="259">
        <v>2.60452892233896</v>
      </c>
      <c r="U363" s="259">
        <v>4.06192936627323</v>
      </c>
      <c r="V363" s="259">
        <v>0.390691550082611</v>
      </c>
      <c r="W363" s="259"/>
      <c r="X363" s="119"/>
      <c r="Y363" s="258"/>
      <c r="Z363" s="258"/>
      <c r="AA363" s="258"/>
      <c r="AB363" s="258"/>
      <c r="AC363" s="258"/>
      <c r="AD363" s="260"/>
      <c r="AE363" s="261"/>
    </row>
    <row r="364" ht="21.25" customHeight="1">
      <c r="A364" t="s" s="10">
        <v>771</v>
      </c>
      <c r="B364" t="s" s="256">
        <v>932</v>
      </c>
      <c r="C364" s="257">
        <v>25</v>
      </c>
      <c r="D364" t="s" s="256">
        <v>915</v>
      </c>
      <c r="E364" s="119">
        <v>71.5675</v>
      </c>
      <c r="F364" s="258">
        <v>11.0964627400707</v>
      </c>
      <c r="G364" s="259">
        <v>0.153016409163204</v>
      </c>
      <c r="H364" s="259">
        <v>0.189874053604565</v>
      </c>
      <c r="I364" s="259">
        <v>0.342890462767769</v>
      </c>
      <c r="J364" s="259">
        <v>1.0871310637619</v>
      </c>
      <c r="K364" s="259">
        <v>0.000888081681330874</v>
      </c>
      <c r="L364" s="259">
        <v>0.00230388194626921</v>
      </c>
      <c r="M364" s="259">
        <v>0.000572750474981195</v>
      </c>
      <c r="N364" s="259">
        <v>0.000970628632120145</v>
      </c>
      <c r="O364" s="259">
        <v>0.334365231588827</v>
      </c>
      <c r="P364" s="259">
        <v>1.24421960341774</v>
      </c>
      <c r="Q364" s="259">
        <v>0.0423292999841783</v>
      </c>
      <c r="R364" s="259">
        <v>0.193448508115479</v>
      </c>
      <c r="S364" s="259">
        <v>0.0260681402674463</v>
      </c>
      <c r="T364" s="259">
        <v>1.27757408773043</v>
      </c>
      <c r="U364" s="259">
        <v>2.36489141408507</v>
      </c>
      <c r="V364" s="259">
        <v>0.35074432059649</v>
      </c>
      <c r="W364" s="259"/>
      <c r="X364" s="119"/>
      <c r="Y364" s="258"/>
      <c r="Z364" s="258"/>
      <c r="AA364" s="258"/>
      <c r="AB364" s="258"/>
      <c r="AC364" s="258"/>
      <c r="AD364" s="260"/>
      <c r="AE364" s="261"/>
    </row>
    <row r="365" ht="21.25" customHeight="1">
      <c r="A365" t="s" s="10">
        <v>395</v>
      </c>
      <c r="B365" t="s" s="256">
        <v>938</v>
      </c>
      <c r="C365" s="257">
        <v>31</v>
      </c>
      <c r="D365" t="s" s="256">
        <v>918</v>
      </c>
      <c r="E365" s="119">
        <v>80.4675</v>
      </c>
      <c r="F365" s="258">
        <v>21.9624550286881</v>
      </c>
      <c r="G365" s="259">
        <v>0.0455486335383425</v>
      </c>
      <c r="H365" s="259">
        <v>0.29694120775181</v>
      </c>
      <c r="I365" s="259">
        <v>0.342489841290153</v>
      </c>
      <c r="J365" s="259">
        <v>1.15003522083118</v>
      </c>
      <c r="K365" s="259">
        <v>0.000417683252942759</v>
      </c>
      <c r="L365" s="259">
        <v>0.00419794473210577</v>
      </c>
      <c r="M365" s="259">
        <v>0.00524878305178273</v>
      </c>
      <c r="N365" s="259">
        <v>0.0154903458655247</v>
      </c>
      <c r="O365" s="259">
        <v>1.68788328639509</v>
      </c>
      <c r="P365" s="259">
        <v>1.81728970432226</v>
      </c>
      <c r="Q365" s="259">
        <v>0.0264351485820093</v>
      </c>
      <c r="R365" s="259">
        <v>0.53253634416804</v>
      </c>
      <c r="S365" s="259">
        <v>0.0075713925684814</v>
      </c>
      <c r="T365" s="259">
        <v>0</v>
      </c>
      <c r="U365" s="259">
        <v>0</v>
      </c>
      <c r="V365" s="259">
        <v>0</v>
      </c>
      <c r="W365" s="259"/>
      <c r="X365" s="119"/>
      <c r="Y365" s="258"/>
      <c r="Z365" s="258"/>
      <c r="AA365" s="258"/>
      <c r="AB365" s="258"/>
      <c r="AC365" s="258"/>
      <c r="AD365" s="260"/>
      <c r="AE365" s="261"/>
    </row>
    <row r="366" ht="21.25" customHeight="1">
      <c r="A366" t="s" s="10">
        <v>739</v>
      </c>
      <c r="B366" t="s" s="256">
        <v>937</v>
      </c>
      <c r="C366" s="257">
        <v>22</v>
      </c>
      <c r="D366" t="s" s="256">
        <v>915</v>
      </c>
      <c r="E366" s="119">
        <v>72</v>
      </c>
      <c r="F366" s="258">
        <v>14</v>
      </c>
      <c r="G366" s="259">
        <v>0.128473680964306</v>
      </c>
      <c r="H366" s="259">
        <v>0.213367528187342</v>
      </c>
      <c r="I366" s="259">
        <v>0.341841209151648</v>
      </c>
      <c r="J366" s="259">
        <v>1.37211898345907</v>
      </c>
      <c r="K366" s="259">
        <v>0.0193065486346917</v>
      </c>
      <c r="L366" s="259">
        <v>0.0513706300021224</v>
      </c>
      <c r="M366" s="259">
        <v>0</v>
      </c>
      <c r="N366" s="259">
        <v>0</v>
      </c>
      <c r="O366" s="259">
        <v>0.419512195121951</v>
      </c>
      <c r="P366" s="259">
        <v>1.18309240326726</v>
      </c>
      <c r="Q366" s="259">
        <v>0.0555486208588089</v>
      </c>
      <c r="R366" s="259">
        <v>0.404066898383504</v>
      </c>
      <c r="S366" s="259">
        <v>0.0205453458140907</v>
      </c>
      <c r="T366" s="259">
        <v>1.21951219512195</v>
      </c>
      <c r="U366" s="259">
        <v>1.82926829268293</v>
      </c>
      <c r="V366" s="259">
        <v>0.4</v>
      </c>
      <c r="W366" s="259"/>
      <c r="X366" s="119"/>
      <c r="Y366" s="259"/>
      <c r="Z366" s="259"/>
      <c r="AA366" s="259"/>
      <c r="AB366" s="259"/>
      <c r="AC366" s="258"/>
      <c r="AD366" s="260"/>
      <c r="AE366" s="261"/>
    </row>
    <row r="367" ht="21.25" customHeight="1">
      <c r="A367" t="s" s="10">
        <v>551</v>
      </c>
      <c r="B367" t="s" s="256">
        <v>925</v>
      </c>
      <c r="C367" s="257">
        <v>26</v>
      </c>
      <c r="D367" t="s" s="256">
        <v>918</v>
      </c>
      <c r="E367" s="119">
        <v>75.6225</v>
      </c>
      <c r="F367" s="258">
        <v>19.0589596402534</v>
      </c>
      <c r="G367" s="259">
        <v>0.0604029335558319</v>
      </c>
      <c r="H367" s="259">
        <v>0.2784625907601</v>
      </c>
      <c r="I367" s="259">
        <v>0.338865524315932</v>
      </c>
      <c r="J367" s="259">
        <v>1.22777849060924</v>
      </c>
      <c r="K367" s="259">
        <v>0.0034329700680377</v>
      </c>
      <c r="L367" s="259">
        <v>0.041306563811149</v>
      </c>
      <c r="M367" s="259">
        <v>0.000491289921384925</v>
      </c>
      <c r="N367" s="259">
        <v>0.0060128819738387</v>
      </c>
      <c r="O367" s="259">
        <v>1.5535094153283</v>
      </c>
      <c r="P367" s="259">
        <v>1.19893556527408</v>
      </c>
      <c r="Q367" s="259">
        <v>0.021035677773013</v>
      </c>
      <c r="R367" s="259">
        <v>0.255849608001518</v>
      </c>
      <c r="S367" s="259">
        <v>0.009024841844353331</v>
      </c>
      <c r="T367" s="259">
        <v>0</v>
      </c>
      <c r="U367" s="259">
        <v>0</v>
      </c>
      <c r="V367" s="259">
        <v>0</v>
      </c>
      <c r="W367" s="259"/>
      <c r="X367" s="119"/>
      <c r="Y367" s="258"/>
      <c r="Z367" s="258"/>
      <c r="AA367" s="258"/>
      <c r="AB367" s="258"/>
      <c r="AC367" s="258"/>
      <c r="AD367" s="260"/>
      <c r="AE367" s="261"/>
    </row>
    <row r="368" ht="21.25" customHeight="1">
      <c r="A368" t="s" s="10">
        <v>684</v>
      </c>
      <c r="B368" t="s" s="256">
        <v>947</v>
      </c>
      <c r="C368" s="257">
        <v>28</v>
      </c>
      <c r="D368" t="s" s="256">
        <v>915</v>
      </c>
      <c r="E368" s="119">
        <v>79.00749999999999</v>
      </c>
      <c r="F368" s="258">
        <v>12.4778169410715</v>
      </c>
      <c r="G368" s="259">
        <v>0.153035415157602</v>
      </c>
      <c r="H368" s="259">
        <v>0.184316467221249</v>
      </c>
      <c r="I368" s="259">
        <v>0.337351882378851</v>
      </c>
      <c r="J368" s="259">
        <v>1.66564201347651</v>
      </c>
      <c r="K368" s="259">
        <v>0.00572819007831153</v>
      </c>
      <c r="L368" s="259">
        <v>0.0164560187302608</v>
      </c>
      <c r="M368" s="259">
        <v>0.00158006122957938</v>
      </c>
      <c r="N368" s="259">
        <v>0.00268891495779766</v>
      </c>
      <c r="O368" s="259">
        <v>0.295114914381739</v>
      </c>
      <c r="P368" s="259">
        <v>1.1768586135557</v>
      </c>
      <c r="Q368" s="259">
        <v>-0.0729397274641522</v>
      </c>
      <c r="R368" s="259">
        <v>0.377594598579169</v>
      </c>
      <c r="S368" s="259">
        <v>0.019777569421256</v>
      </c>
      <c r="T368" s="259">
        <v>0.938267384998368</v>
      </c>
      <c r="U368" s="259">
        <v>1.27464337859495</v>
      </c>
      <c r="V368" s="259">
        <v>0.423996936720039</v>
      </c>
      <c r="W368" s="259"/>
      <c r="X368" s="119"/>
      <c r="Y368" s="258"/>
      <c r="Z368" s="258"/>
      <c r="AA368" s="258"/>
      <c r="AB368" s="258"/>
      <c r="AC368" s="258"/>
      <c r="AD368" s="260"/>
      <c r="AE368" s="261"/>
    </row>
    <row r="369" ht="21.25" customHeight="1">
      <c r="A369" t="s" s="10">
        <v>560</v>
      </c>
      <c r="B369" t="s" s="256">
        <v>924</v>
      </c>
      <c r="C369" s="257">
        <v>24</v>
      </c>
      <c r="D369" t="s" s="256">
        <v>918</v>
      </c>
      <c r="E369" s="119">
        <v>62.1375</v>
      </c>
      <c r="F369" s="258">
        <v>19.7640101797219</v>
      </c>
      <c r="G369" s="259">
        <v>0.0567195054181397</v>
      </c>
      <c r="H369" s="259">
        <v>0.279116113919921</v>
      </c>
      <c r="I369" s="259">
        <v>0.335835619338061</v>
      </c>
      <c r="J369" s="259">
        <v>1.22622318520641</v>
      </c>
      <c r="K369" s="259">
        <v>0.0012820689564659</v>
      </c>
      <c r="L369" s="259">
        <v>0.0118737356791909</v>
      </c>
      <c r="M369" s="259">
        <v>0.000808599480562458</v>
      </c>
      <c r="N369" s="259">
        <v>0.00393305041739761</v>
      </c>
      <c r="O369" s="259">
        <v>1.6364147136694</v>
      </c>
      <c r="P369" s="259">
        <v>2.25356938436333</v>
      </c>
      <c r="Q369" s="259">
        <v>-0.09983088162519151</v>
      </c>
      <c r="R369" s="259">
        <v>0.368634700839054</v>
      </c>
      <c r="S369" s="259">
        <v>0.00915879107129911</v>
      </c>
      <c r="T369" s="259">
        <v>0</v>
      </c>
      <c r="U369" s="259">
        <v>0</v>
      </c>
      <c r="V369" s="259">
        <v>0</v>
      </c>
      <c r="W369" s="259"/>
      <c r="X369" s="119"/>
      <c r="Y369" s="258"/>
      <c r="Z369" s="258"/>
      <c r="AA369" s="258"/>
      <c r="AB369" s="258"/>
      <c r="AC369" s="258"/>
      <c r="AD369" s="260"/>
      <c r="AE369" s="261"/>
    </row>
    <row r="370" ht="21.25" customHeight="1">
      <c r="A370" t="s" s="10">
        <v>600</v>
      </c>
      <c r="B370" t="s" s="256">
        <v>949</v>
      </c>
      <c r="C370" s="257">
        <v>29</v>
      </c>
      <c r="D370" t="s" s="256">
        <v>916</v>
      </c>
      <c r="E370" s="119">
        <v>68.9225</v>
      </c>
      <c r="F370" s="258">
        <v>12.2792238489529</v>
      </c>
      <c r="G370" s="259">
        <v>0.192383258002378</v>
      </c>
      <c r="H370" s="259">
        <v>0.143403261363932</v>
      </c>
      <c r="I370" s="259">
        <v>0.33578651936631</v>
      </c>
      <c r="J370" s="259">
        <v>1.820211903102</v>
      </c>
      <c r="K370" s="259">
        <v>0.000440059238951171</v>
      </c>
      <c r="L370" s="259">
        <v>0.00101138859441347</v>
      </c>
      <c r="M370" s="259">
        <v>0.000321367886479555</v>
      </c>
      <c r="N370" s="259">
        <v>0.000541103473551481</v>
      </c>
      <c r="O370" s="259">
        <v>0.432772142351751</v>
      </c>
      <c r="P370" s="259">
        <v>2.23818493003048</v>
      </c>
      <c r="Q370" s="259">
        <v>0.0547551316277372</v>
      </c>
      <c r="R370" s="259">
        <v>0.417753794940821</v>
      </c>
      <c r="S370" s="259">
        <v>0.0333372456311453</v>
      </c>
      <c r="T370" s="259">
        <v>0.101278126035481</v>
      </c>
      <c r="U370" s="259">
        <v>0.188997987264622</v>
      </c>
      <c r="V370" s="259">
        <v>0.348902721908689</v>
      </c>
      <c r="W370" s="259"/>
      <c r="X370" s="119"/>
      <c r="Y370" s="258"/>
      <c r="Z370" s="258"/>
      <c r="AA370" s="258"/>
      <c r="AB370" s="258"/>
      <c r="AC370" s="258"/>
      <c r="AD370" s="260"/>
      <c r="AE370" s="261"/>
    </row>
    <row r="371" ht="21.25" customHeight="1">
      <c r="A371" t="s" s="10">
        <v>507</v>
      </c>
      <c r="B371" t="s" s="256">
        <v>944</v>
      </c>
      <c r="C371" s="257">
        <v>34</v>
      </c>
      <c r="D371" t="s" s="256">
        <v>915</v>
      </c>
      <c r="E371" s="119">
        <v>74.69750000000001</v>
      </c>
      <c r="F371" s="258">
        <v>14.9844199082469</v>
      </c>
      <c r="G371" s="259">
        <v>0.168339298723374</v>
      </c>
      <c r="H371" s="259">
        <v>0.167073293363968</v>
      </c>
      <c r="I371" s="259">
        <v>0.335412592087342</v>
      </c>
      <c r="J371" s="259">
        <v>1.08834226348114</v>
      </c>
      <c r="K371" s="259">
        <v>0.000792794529587656</v>
      </c>
      <c r="L371" s="259">
        <v>0.00205410524375418</v>
      </c>
      <c r="M371" s="259">
        <v>0.00362887663648988</v>
      </c>
      <c r="N371" s="259">
        <v>0.008875747642657431</v>
      </c>
      <c r="O371" s="259">
        <v>1.021038283850</v>
      </c>
      <c r="P371" s="259">
        <v>1.82865243934932</v>
      </c>
      <c r="Q371" s="259">
        <v>-0.0320359678660449</v>
      </c>
      <c r="R371" s="259">
        <v>0.584172192665692</v>
      </c>
      <c r="S371" s="259">
        <v>0.0238894566277044</v>
      </c>
      <c r="T371" s="259">
        <v>7.84650472742074</v>
      </c>
      <c r="U371" s="259">
        <v>7.74156003533248</v>
      </c>
      <c r="V371" s="259">
        <v>0.503366187326185</v>
      </c>
      <c r="W371" s="259"/>
      <c r="X371" s="119"/>
      <c r="Y371" s="258"/>
      <c r="Z371" s="258"/>
      <c r="AA371" s="258"/>
      <c r="AB371" s="258"/>
      <c r="AC371" s="258"/>
      <c r="AD371" s="260"/>
      <c r="AE371" s="261"/>
    </row>
    <row r="372" ht="21.25" customHeight="1">
      <c r="A372" t="s" s="10">
        <v>782</v>
      </c>
      <c r="B372" t="s" s="256">
        <v>950</v>
      </c>
      <c r="C372" s="257">
        <v>23</v>
      </c>
      <c r="D372" t="s" s="256">
        <v>917</v>
      </c>
      <c r="E372" s="119">
        <v>72.7525</v>
      </c>
      <c r="F372" s="258">
        <v>11.4975744491935</v>
      </c>
      <c r="G372" s="259">
        <v>0.146244884712192</v>
      </c>
      <c r="H372" s="259">
        <v>0.189036550173107</v>
      </c>
      <c r="I372" s="259">
        <v>0.335281434885299</v>
      </c>
      <c r="J372" s="259">
        <v>1.87064508709051</v>
      </c>
      <c r="K372" s="259">
        <v>0.0513880862812962</v>
      </c>
      <c r="L372" s="259">
        <v>0.079831791939276</v>
      </c>
      <c r="M372" s="259">
        <v>0</v>
      </c>
      <c r="N372" s="259">
        <v>0</v>
      </c>
      <c r="O372" s="259">
        <v>0.28269768391598</v>
      </c>
      <c r="P372" s="259">
        <v>0.844162285437305</v>
      </c>
      <c r="Q372" s="259">
        <v>0.0293307069332076</v>
      </c>
      <c r="R372" s="259">
        <v>0.277357429916957</v>
      </c>
      <c r="S372" s="259">
        <v>0.0260625451860889</v>
      </c>
      <c r="T372" s="259">
        <v>0</v>
      </c>
      <c r="U372" s="259">
        <v>0.0121673967189214</v>
      </c>
      <c r="V372" s="259">
        <v>0</v>
      </c>
      <c r="W372" s="259"/>
      <c r="X372" s="119"/>
      <c r="Y372" s="258"/>
      <c r="Z372" s="258"/>
      <c r="AA372" s="258"/>
      <c r="AB372" s="258"/>
      <c r="AC372" s="258"/>
      <c r="AD372" s="260"/>
      <c r="AE372" s="261"/>
    </row>
    <row r="373" ht="21.25" customHeight="1">
      <c r="A373" t="s" s="10">
        <v>655</v>
      </c>
      <c r="B373" t="s" s="256">
        <v>951</v>
      </c>
      <c r="C373" s="257">
        <v>27</v>
      </c>
      <c r="D373" t="s" s="256">
        <v>918</v>
      </c>
      <c r="E373" s="119">
        <v>78.21250000000001</v>
      </c>
      <c r="F373" s="258">
        <v>22.0317708987113</v>
      </c>
      <c r="G373" s="259">
        <v>0.0548131589208309</v>
      </c>
      <c r="H373" s="259">
        <v>0.280112128953096</v>
      </c>
      <c r="I373" s="259">
        <v>0.334925287873927</v>
      </c>
      <c r="J373" s="259">
        <v>0.998753625680296</v>
      </c>
      <c r="K373" s="259">
        <v>0.000461958964010533</v>
      </c>
      <c r="L373" s="259">
        <v>0.00440094894778731</v>
      </c>
      <c r="M373" s="259">
        <v>0.000404911398952713</v>
      </c>
      <c r="N373" s="259">
        <v>0.0101301685174289</v>
      </c>
      <c r="O373" s="259">
        <v>1.36703895842745</v>
      </c>
      <c r="P373" s="259">
        <v>0.7469565376634409</v>
      </c>
      <c r="Q373" s="259">
        <v>0.00301973416787049</v>
      </c>
      <c r="R373" s="259">
        <v>0.401416907538071</v>
      </c>
      <c r="S373" s="259">
        <v>0.008020776264677841</v>
      </c>
      <c r="T373" s="259">
        <v>0</v>
      </c>
      <c r="U373" s="259">
        <v>0</v>
      </c>
      <c r="V373" s="259">
        <v>0</v>
      </c>
      <c r="W373" s="259"/>
      <c r="X373" s="119"/>
      <c r="Y373" s="258"/>
      <c r="Z373" s="258"/>
      <c r="AA373" s="258"/>
      <c r="AB373" s="258"/>
      <c r="AC373" s="258"/>
      <c r="AD373" s="260"/>
      <c r="AE373" s="261"/>
    </row>
    <row r="374" ht="21.25" customHeight="1">
      <c r="A374" t="s" s="10">
        <v>325</v>
      </c>
      <c r="B374" t="s" s="256">
        <v>926</v>
      </c>
      <c r="C374" s="257">
        <v>30</v>
      </c>
      <c r="D374" t="s" s="256">
        <v>918</v>
      </c>
      <c r="E374" s="119">
        <v>78.9075</v>
      </c>
      <c r="F374" s="258">
        <v>20.4592571284458</v>
      </c>
      <c r="G374" s="259">
        <v>0.06538285177411329</v>
      </c>
      <c r="H374" s="259">
        <v>0.26803535116706</v>
      </c>
      <c r="I374" s="259">
        <v>0.333418202941173</v>
      </c>
      <c r="J374" s="259">
        <v>1.08957049951109</v>
      </c>
      <c r="K374" s="259">
        <v>0.00369268086745939</v>
      </c>
      <c r="L374" s="259">
        <v>0.0118238167706172</v>
      </c>
      <c r="M374" s="259">
        <v>0.000329539986025431</v>
      </c>
      <c r="N374" s="259">
        <v>0.00693814459248832</v>
      </c>
      <c r="O374" s="259">
        <v>1.84673433141223</v>
      </c>
      <c r="P374" s="259">
        <v>2.47770832009613</v>
      </c>
      <c r="Q374" s="259">
        <v>0.0824402936972988</v>
      </c>
      <c r="R374" s="259">
        <v>0.61299493748068</v>
      </c>
      <c r="S374" s="259">
        <v>0.0104600842569198</v>
      </c>
      <c r="T374" s="259">
        <v>0</v>
      </c>
      <c r="U374" s="259">
        <v>0</v>
      </c>
      <c r="V374" s="259">
        <v>0</v>
      </c>
      <c r="W374" s="259"/>
      <c r="X374" s="119"/>
      <c r="Y374" s="258"/>
      <c r="Z374" s="258"/>
      <c r="AA374" s="258"/>
      <c r="AB374" s="258"/>
      <c r="AC374" s="258"/>
      <c r="AD374" s="260"/>
      <c r="AE374" s="261"/>
    </row>
    <row r="375" ht="21.25" customHeight="1">
      <c r="A375" t="s" s="10">
        <v>631</v>
      </c>
      <c r="B375" t="s" s="256">
        <v>944</v>
      </c>
      <c r="C375" s="257">
        <v>24</v>
      </c>
      <c r="D375" t="s" s="256">
        <v>918</v>
      </c>
      <c r="E375" s="119">
        <v>74.9325</v>
      </c>
      <c r="F375" s="258">
        <v>18.0999414194841</v>
      </c>
      <c r="G375" s="259">
        <v>0.0706683297435083</v>
      </c>
      <c r="H375" s="259">
        <v>0.260108823041665</v>
      </c>
      <c r="I375" s="259">
        <v>0.330777152785173</v>
      </c>
      <c r="J375" s="259">
        <v>1.05224486369522</v>
      </c>
      <c r="K375" s="259">
        <v>0.0008794741781627679</v>
      </c>
      <c r="L375" s="259">
        <v>0.0409124458592437</v>
      </c>
      <c r="M375" s="259">
        <v>0.000148251961569995</v>
      </c>
      <c r="N375" s="259">
        <v>0.000727135395389217</v>
      </c>
      <c r="O375" s="259">
        <v>1.29940183381538</v>
      </c>
      <c r="P375" s="259">
        <v>1.23112157199382</v>
      </c>
      <c r="Q375" s="259">
        <v>-0.0325693050886846</v>
      </c>
      <c r="R375" s="259">
        <v>0.360340428821404</v>
      </c>
      <c r="S375" s="259">
        <v>0.0100287218205302</v>
      </c>
      <c r="T375" s="259">
        <v>0</v>
      </c>
      <c r="U375" s="259">
        <v>0</v>
      </c>
      <c r="V375" s="259">
        <v>0</v>
      </c>
      <c r="W375" s="259"/>
      <c r="X375" s="119"/>
      <c r="Y375" s="258"/>
      <c r="Z375" s="258"/>
      <c r="AA375" s="258"/>
      <c r="AB375" s="258"/>
      <c r="AC375" s="258"/>
      <c r="AD375" s="260"/>
      <c r="AE375" s="261"/>
    </row>
    <row r="376" ht="21.25" customHeight="1">
      <c r="A376" t="s" s="10">
        <v>540</v>
      </c>
      <c r="B376" t="s" s="256">
        <v>927</v>
      </c>
      <c r="C376" s="257">
        <v>35</v>
      </c>
      <c r="D376" t="s" s="256">
        <v>918</v>
      </c>
      <c r="E376" s="119">
        <v>77.9975</v>
      </c>
      <c r="F376" s="258">
        <v>21.3140172396372</v>
      </c>
      <c r="G376" s="259">
        <v>0.0351281459025779</v>
      </c>
      <c r="H376" s="259">
        <v>0.294234524318565</v>
      </c>
      <c r="I376" s="259">
        <v>0.329362670221143</v>
      </c>
      <c r="J376" s="259">
        <v>1.12270410772967</v>
      </c>
      <c r="K376" s="259">
        <v>0.00128575262665744</v>
      </c>
      <c r="L376" s="259">
        <v>0.0305951716683289</v>
      </c>
      <c r="M376" s="259">
        <v>0.000258545951819571</v>
      </c>
      <c r="N376" s="259">
        <v>0.00131641899824286</v>
      </c>
      <c r="O376" s="259">
        <v>1.91462229702212</v>
      </c>
      <c r="P376" s="259">
        <v>0.792113706695299</v>
      </c>
      <c r="Q376" s="259">
        <v>0.0488393155963432</v>
      </c>
      <c r="R376" s="259">
        <v>0.320837793103039</v>
      </c>
      <c r="S376" s="259">
        <v>0.00553484764556442</v>
      </c>
      <c r="T376" s="259">
        <v>0</v>
      </c>
      <c r="U376" s="259">
        <v>0.00194590818651081</v>
      </c>
      <c r="V376" s="259">
        <v>0</v>
      </c>
      <c r="W376" s="259"/>
      <c r="X376" s="119"/>
      <c r="Y376" s="258"/>
      <c r="Z376" s="258"/>
      <c r="AA376" s="258"/>
      <c r="AB376" s="258"/>
      <c r="AC376" s="258"/>
      <c r="AD376" s="260"/>
      <c r="AE376" s="261"/>
    </row>
    <row r="377" ht="21.25" customHeight="1">
      <c r="A377" t="s" s="10">
        <v>820</v>
      </c>
      <c r="B377" t="s" s="256">
        <v>947</v>
      </c>
      <c r="C377" s="257">
        <v>30</v>
      </c>
      <c r="D377" t="s" s="256">
        <v>915</v>
      </c>
      <c r="E377" s="119">
        <v>66.9075</v>
      </c>
      <c r="F377" s="258">
        <v>12.113192340060</v>
      </c>
      <c r="G377" s="259">
        <v>0.150900088441167</v>
      </c>
      <c r="H377" s="259">
        <v>0.177666461878789</v>
      </c>
      <c r="I377" s="259">
        <v>0.328566550319956</v>
      </c>
      <c r="J377" s="259">
        <v>1.51030817284204</v>
      </c>
      <c r="K377" s="259">
        <v>0.0105033536560178</v>
      </c>
      <c r="L377" s="259">
        <v>0.0331523745849751</v>
      </c>
      <c r="M377" s="259">
        <v>1.77944467950588e-05</v>
      </c>
      <c r="N377" s="259">
        <v>3.03172456820784e-05</v>
      </c>
      <c r="O377" s="259">
        <v>0.515853864280466</v>
      </c>
      <c r="P377" s="259">
        <v>0.547284464603582</v>
      </c>
      <c r="Q377" s="259">
        <v>-0.0859748395939773</v>
      </c>
      <c r="R377" s="259">
        <v>0.243094651437968</v>
      </c>
      <c r="S377" s="259">
        <v>0.0195016099492092</v>
      </c>
      <c r="T377" s="259">
        <v>1.68601925012276</v>
      </c>
      <c r="U377" s="259">
        <v>1.73802172188211</v>
      </c>
      <c r="V377" s="259">
        <v>0.492406271977391</v>
      </c>
      <c r="W377" s="259"/>
      <c r="X377" s="119"/>
      <c r="Y377" s="258"/>
      <c r="Z377" s="258"/>
      <c r="AA377" s="258"/>
      <c r="AB377" s="258"/>
      <c r="AC377" s="258"/>
      <c r="AD377" s="260"/>
      <c r="AE377" s="261"/>
    </row>
    <row r="378" ht="21.25" customHeight="1">
      <c r="A378" t="s" s="10">
        <v>580</v>
      </c>
      <c r="B378" t="s" s="256">
        <v>927</v>
      </c>
      <c r="C378" s="257">
        <v>27</v>
      </c>
      <c r="D378" t="s" s="256">
        <v>915</v>
      </c>
      <c r="E378" s="119">
        <v>75.2025</v>
      </c>
      <c r="F378" s="258">
        <v>13.1794684523064</v>
      </c>
      <c r="G378" s="259">
        <v>0.13206619799522</v>
      </c>
      <c r="H378" s="259">
        <v>0.196252323880186</v>
      </c>
      <c r="I378" s="259">
        <v>0.328318521875406</v>
      </c>
      <c r="J378" s="259">
        <v>2.01990232066551</v>
      </c>
      <c r="K378" s="259">
        <v>0.00516843938472015</v>
      </c>
      <c r="L378" s="259">
        <v>0.0111245210351741</v>
      </c>
      <c r="M378" s="259">
        <v>5.32893343869644e-05</v>
      </c>
      <c r="N378" s="259">
        <v>9.112393586494441e-05</v>
      </c>
      <c r="O378" s="259">
        <v>0.428691328426733</v>
      </c>
      <c r="P378" s="259">
        <v>1.83168359525259</v>
      </c>
      <c r="Q378" s="259">
        <v>0.0264938912254324</v>
      </c>
      <c r="R378" s="259">
        <v>0.7571484092997131</v>
      </c>
      <c r="S378" s="259">
        <v>0.0208085643648743</v>
      </c>
      <c r="T378" s="259">
        <v>0.101081925845623</v>
      </c>
      <c r="U378" s="259">
        <v>0.138960403423726</v>
      </c>
      <c r="V378" s="259">
        <v>0.421100420718713</v>
      </c>
      <c r="W378" s="259"/>
      <c r="X378" s="119"/>
      <c r="Y378" s="258"/>
      <c r="Z378" s="258"/>
      <c r="AA378" s="258"/>
      <c r="AB378" s="258"/>
      <c r="AC378" s="258"/>
      <c r="AD378" s="260"/>
      <c r="AE378" s="261"/>
    </row>
    <row r="379" ht="21.25" customHeight="1">
      <c r="A379" t="s" s="10">
        <v>696</v>
      </c>
      <c r="B379" t="s" s="256">
        <v>954</v>
      </c>
      <c r="C379" s="257">
        <v>28</v>
      </c>
      <c r="D379" t="s" s="256">
        <v>915</v>
      </c>
      <c r="E379" s="119">
        <v>77.18000000000001</v>
      </c>
      <c r="F379" s="258">
        <v>14.6079653733048</v>
      </c>
      <c r="G379" s="259">
        <v>0.0896009378181675</v>
      </c>
      <c r="H379" s="259">
        <v>0.238556391554362</v>
      </c>
      <c r="I379" s="259">
        <v>0.32815732937253</v>
      </c>
      <c r="J379" s="259">
        <v>1.06573949998456</v>
      </c>
      <c r="K379" s="259">
        <v>0.00314241561176387</v>
      </c>
      <c r="L379" s="259">
        <v>0.00618984560945957</v>
      </c>
      <c r="M379" s="259">
        <v>0.00669233753626161</v>
      </c>
      <c r="N379" s="259">
        <v>0.0168876304769337</v>
      </c>
      <c r="O379" s="259">
        <v>0.700841974019523</v>
      </c>
      <c r="P379" s="259">
        <v>0.948683317416974</v>
      </c>
      <c r="Q379" s="259">
        <v>-0.062641407004272</v>
      </c>
      <c r="R379" s="259">
        <v>0.351878397979967</v>
      </c>
      <c r="S379" s="259">
        <v>0.0103848627250864</v>
      </c>
      <c r="T379" s="259">
        <v>6.44796740353446</v>
      </c>
      <c r="U379" s="259">
        <v>6.06762809373051</v>
      </c>
      <c r="V379" s="259">
        <v>0.515194614986041</v>
      </c>
      <c r="W379" s="259"/>
      <c r="X379" s="119"/>
      <c r="Y379" s="258"/>
      <c r="Z379" s="258"/>
      <c r="AA379" s="258"/>
      <c r="AB379" s="258"/>
      <c r="AC379" s="258"/>
      <c r="AD379" s="260"/>
      <c r="AE379" s="261"/>
    </row>
    <row r="380" ht="21.25" customHeight="1">
      <c r="A380" t="s" s="10">
        <v>503</v>
      </c>
      <c r="B380" t="s" s="256">
        <v>949</v>
      </c>
      <c r="C380" s="257">
        <v>35</v>
      </c>
      <c r="D380" t="s" s="256">
        <v>915</v>
      </c>
      <c r="E380" s="119">
        <v>81.1375</v>
      </c>
      <c r="F380" s="258">
        <v>15.1673909714934</v>
      </c>
      <c r="G380" s="259">
        <v>0.131489219144879</v>
      </c>
      <c r="H380" s="259">
        <v>0.19642158754916</v>
      </c>
      <c r="I380" s="259">
        <v>0.327910806694039</v>
      </c>
      <c r="J380" s="259">
        <v>1.52054952615656</v>
      </c>
      <c r="K380" s="259">
        <v>0.000607782908506518</v>
      </c>
      <c r="L380" s="259">
        <v>0.00140986205221301</v>
      </c>
      <c r="M380" s="259">
        <v>0.00536766299144194</v>
      </c>
      <c r="N380" s="259">
        <v>0.0153590501649635</v>
      </c>
      <c r="O380" s="259">
        <v>0.489135160860187</v>
      </c>
      <c r="P380" s="259">
        <v>1.75033704365502</v>
      </c>
      <c r="Q380" s="259">
        <v>0.0699315915860554</v>
      </c>
      <c r="R380" s="259">
        <v>0.401373986849245</v>
      </c>
      <c r="S380" s="259">
        <v>0.0227851864138102</v>
      </c>
      <c r="T380" s="259">
        <v>9.505871319614821</v>
      </c>
      <c r="U380" s="259">
        <v>7.15659230952683</v>
      </c>
      <c r="V380" s="259">
        <v>0.57049614818001</v>
      </c>
      <c r="W380" s="259"/>
      <c r="X380" s="119"/>
      <c r="Y380" s="258"/>
      <c r="Z380" s="258"/>
      <c r="AA380" s="258"/>
      <c r="AB380" s="258"/>
      <c r="AC380" s="258"/>
      <c r="AD380" s="260"/>
      <c r="AE380" s="261"/>
    </row>
    <row r="381" ht="21.25" customHeight="1">
      <c r="A381" t="s" s="10">
        <v>746</v>
      </c>
      <c r="B381" t="s" s="256">
        <v>952</v>
      </c>
      <c r="C381" s="257">
        <v>31</v>
      </c>
      <c r="D381" t="s" s="256">
        <v>917</v>
      </c>
      <c r="E381" s="119">
        <v>65.92749999999999</v>
      </c>
      <c r="F381" s="258">
        <v>13.6498163305888</v>
      </c>
      <c r="G381" s="259">
        <v>0.144750179754369</v>
      </c>
      <c r="H381" s="259">
        <v>0.182786490345567</v>
      </c>
      <c r="I381" s="259">
        <v>0.327536670099936</v>
      </c>
      <c r="J381" s="259">
        <v>1.24313856954999</v>
      </c>
      <c r="K381" s="259">
        <v>0.00250922162696717</v>
      </c>
      <c r="L381" s="259">
        <v>0.00658750118166252</v>
      </c>
      <c r="M381" s="259">
        <v>0.00209384285446223</v>
      </c>
      <c r="N381" s="259">
        <v>0.00359092305066024</v>
      </c>
      <c r="O381" s="259">
        <v>0.6015100447239961</v>
      </c>
      <c r="P381" s="259">
        <v>1.44651239291206</v>
      </c>
      <c r="Q381" s="259">
        <v>-0.08767823661954</v>
      </c>
      <c r="R381" s="259">
        <v>0.2809426518917</v>
      </c>
      <c r="S381" s="259">
        <v>0.0160071044148483</v>
      </c>
      <c r="T381" s="259">
        <v>2.33147520998163</v>
      </c>
      <c r="U381" s="259">
        <v>2.43874209616544</v>
      </c>
      <c r="V381" s="259">
        <v>0.488756603808638</v>
      </c>
      <c r="W381" s="259"/>
      <c r="X381" s="119"/>
      <c r="Y381" s="258"/>
      <c r="Z381" s="258"/>
      <c r="AA381" s="258"/>
      <c r="AB381" s="258"/>
      <c r="AC381" s="258"/>
      <c r="AD381" s="260"/>
      <c r="AE381" s="261"/>
    </row>
    <row r="382" ht="21.25" customHeight="1">
      <c r="A382" t="s" s="10">
        <v>637</v>
      </c>
      <c r="B382" t="s" s="256">
        <v>956</v>
      </c>
      <c r="C382" s="257">
        <v>25</v>
      </c>
      <c r="D382" t="s" s="256">
        <v>915</v>
      </c>
      <c r="E382" s="119">
        <v>74.655</v>
      </c>
      <c r="F382" s="258">
        <v>13.1549315754841</v>
      </c>
      <c r="G382" s="259">
        <v>0.136511068831065</v>
      </c>
      <c r="H382" s="259">
        <v>0.188974475820614</v>
      </c>
      <c r="I382" s="259">
        <v>0.325485544651679</v>
      </c>
      <c r="J382" s="259">
        <v>1.30788787659593</v>
      </c>
      <c r="K382" s="259">
        <v>0.00346434266836282</v>
      </c>
      <c r="L382" s="259">
        <v>0.00541839789381808</v>
      </c>
      <c r="M382" s="259">
        <v>0.0322455993169727</v>
      </c>
      <c r="N382" s="259">
        <v>0.0459006195870178</v>
      </c>
      <c r="O382" s="259">
        <v>1.01758962553621</v>
      </c>
      <c r="P382" s="259">
        <v>0.84901293640123</v>
      </c>
      <c r="Q382" s="259">
        <v>-0.03616847866001</v>
      </c>
      <c r="R382" s="259">
        <v>0.163151002954346</v>
      </c>
      <c r="S382" s="259">
        <v>0.0197872148580804</v>
      </c>
      <c r="T382" s="259">
        <v>4.9343830196073</v>
      </c>
      <c r="U382" s="259">
        <v>5.42233771046417</v>
      </c>
      <c r="V382" s="259">
        <v>0.476442606517328</v>
      </c>
      <c r="W382" s="259"/>
      <c r="X382" s="119"/>
      <c r="Y382" s="258"/>
      <c r="Z382" s="258"/>
      <c r="AA382" s="258"/>
      <c r="AB382" s="258"/>
      <c r="AC382" s="258"/>
      <c r="AD382" s="260"/>
      <c r="AE382" s="261"/>
    </row>
    <row r="383" ht="21.25" customHeight="1">
      <c r="A383" t="s" s="10">
        <v>505</v>
      </c>
      <c r="B383" t="s" s="256">
        <v>951</v>
      </c>
      <c r="C383" s="257">
        <v>24</v>
      </c>
      <c r="D383" t="s" s="256">
        <v>915</v>
      </c>
      <c r="E383" s="119">
        <v>72.1675</v>
      </c>
      <c r="F383" s="258">
        <v>12.3868273335311</v>
      </c>
      <c r="G383" s="259">
        <v>0.127131480766283</v>
      </c>
      <c r="H383" s="259">
        <v>0.198035785287622</v>
      </c>
      <c r="I383" s="259">
        <v>0.325167266053905</v>
      </c>
      <c r="J383" s="259">
        <v>0.9246902183192121</v>
      </c>
      <c r="K383" s="259">
        <v>0.000878976553034431</v>
      </c>
      <c r="L383" s="259">
        <v>0.00242783937194911</v>
      </c>
      <c r="M383" s="259">
        <v>0.00137509717939673</v>
      </c>
      <c r="N383" s="259">
        <v>0.00231865714829978</v>
      </c>
      <c r="O383" s="259">
        <v>0.585368456223184</v>
      </c>
      <c r="P383" s="259">
        <v>2.89808420712379</v>
      </c>
      <c r="Q383" s="259">
        <v>0.00120213299356497</v>
      </c>
      <c r="R383" s="259">
        <v>0.599539980719812</v>
      </c>
      <c r="S383" s="259">
        <v>0.0186030723917287</v>
      </c>
      <c r="T383" s="259">
        <v>4.15346779525414</v>
      </c>
      <c r="U383" s="259">
        <v>5.25769307303058</v>
      </c>
      <c r="V383" s="259">
        <v>0.441334268257084</v>
      </c>
      <c r="W383" s="259"/>
      <c r="X383" s="119"/>
      <c r="Y383" s="258"/>
      <c r="Z383" s="258"/>
      <c r="AA383" s="258"/>
      <c r="AB383" s="258"/>
      <c r="AC383" s="258"/>
      <c r="AD383" s="260"/>
      <c r="AE383" s="261"/>
    </row>
    <row r="384" ht="21.25" customHeight="1">
      <c r="A384" t="s" s="10">
        <v>407</v>
      </c>
      <c r="B384" t="s" s="256">
        <v>937</v>
      </c>
      <c r="C384" s="257">
        <v>30</v>
      </c>
      <c r="D384" t="s" s="256">
        <v>918</v>
      </c>
      <c r="E384" s="119">
        <v>81.43000000000001</v>
      </c>
      <c r="F384" s="258">
        <v>21.511232863110</v>
      </c>
      <c r="G384" s="259">
        <v>0.0742778056615498</v>
      </c>
      <c r="H384" s="259">
        <v>0.250840073550162</v>
      </c>
      <c r="I384" s="259">
        <v>0.325117879211712</v>
      </c>
      <c r="J384" s="259">
        <v>1.48218413442745</v>
      </c>
      <c r="K384" s="259">
        <v>0.000449152772742774</v>
      </c>
      <c r="L384" s="259">
        <v>0.00501415592204405</v>
      </c>
      <c r="M384" s="259">
        <v>0.00255056155164982</v>
      </c>
      <c r="N384" s="259">
        <v>0.0220791556505841</v>
      </c>
      <c r="O384" s="259">
        <v>2.00580857320073</v>
      </c>
      <c r="P384" s="259">
        <v>1.09869165555904</v>
      </c>
      <c r="Q384" s="259">
        <v>0.0651230537469971</v>
      </c>
      <c r="R384" s="259">
        <v>0.214695722370297</v>
      </c>
      <c r="S384" s="259">
        <v>0.0118784111436206</v>
      </c>
      <c r="T384" s="259">
        <v>0</v>
      </c>
      <c r="U384" s="259">
        <v>0.00187660265865789</v>
      </c>
      <c r="V384" s="259">
        <v>0</v>
      </c>
      <c r="W384" s="259"/>
      <c r="X384" s="119"/>
      <c r="Y384" s="258"/>
      <c r="Z384" s="258"/>
      <c r="AA384" s="258"/>
      <c r="AB384" s="258"/>
      <c r="AC384" s="258"/>
      <c r="AD384" s="260"/>
      <c r="AE384" s="261"/>
    </row>
    <row r="385" ht="21.25" customHeight="1">
      <c r="A385" t="s" s="10">
        <v>254</v>
      </c>
      <c r="B385" t="s" s="256">
        <v>931</v>
      </c>
      <c r="C385" s="257">
        <v>30</v>
      </c>
      <c r="D385" t="s" s="256">
        <v>918</v>
      </c>
      <c r="E385" s="119">
        <v>79.6225</v>
      </c>
      <c r="F385" s="258">
        <v>20.2870827622156</v>
      </c>
      <c r="G385" s="259">
        <v>0.07076853346033921</v>
      </c>
      <c r="H385" s="259">
        <v>0.253669811221584</v>
      </c>
      <c r="I385" s="259">
        <v>0.324438344681923</v>
      </c>
      <c r="J385" s="259">
        <v>1.85887962166549</v>
      </c>
      <c r="K385" s="259">
        <v>0.00378816205530471</v>
      </c>
      <c r="L385" s="259">
        <v>0.013888083431376</v>
      </c>
      <c r="M385" s="259">
        <v>0.000395084134318298</v>
      </c>
      <c r="N385" s="259">
        <v>0.0142501115985455</v>
      </c>
      <c r="O385" s="259">
        <v>2.30985709894452</v>
      </c>
      <c r="P385" s="259">
        <v>2.32660950427663</v>
      </c>
      <c r="Q385" s="259">
        <v>0.0254410351272813</v>
      </c>
      <c r="R385" s="259">
        <v>0.749663926912811</v>
      </c>
      <c r="S385" s="259">
        <v>0.0115677044451153</v>
      </c>
      <c r="T385" s="259">
        <v>0</v>
      </c>
      <c r="U385" s="259">
        <v>0.00190056897372131</v>
      </c>
      <c r="V385" s="259">
        <v>0</v>
      </c>
      <c r="W385" s="259"/>
      <c r="X385" s="119"/>
      <c r="Y385" s="258"/>
      <c r="Z385" s="258"/>
      <c r="AA385" s="258"/>
      <c r="AB385" s="258"/>
      <c r="AC385" s="258"/>
      <c r="AD385" s="260"/>
      <c r="AE385" s="261"/>
    </row>
    <row r="386" ht="21.25" customHeight="1">
      <c r="A386" t="s" s="10">
        <v>522</v>
      </c>
      <c r="B386" t="s" s="256">
        <v>930</v>
      </c>
      <c r="C386" s="257">
        <v>27</v>
      </c>
      <c r="D386" t="s" s="256">
        <v>918</v>
      </c>
      <c r="E386" s="119">
        <v>74.56999999999999</v>
      </c>
      <c r="F386" s="258">
        <v>20.5039308213532</v>
      </c>
      <c r="G386" s="259">
        <v>0.0562781347040427</v>
      </c>
      <c r="H386" s="259">
        <v>0.267411639620342</v>
      </c>
      <c r="I386" s="259">
        <v>0.323689774324385</v>
      </c>
      <c r="J386" s="259">
        <v>1.20148509835639</v>
      </c>
      <c r="K386" s="259">
        <v>0.0017132313323655</v>
      </c>
      <c r="L386" s="259">
        <v>0.0106805994980773</v>
      </c>
      <c r="M386" s="259">
        <v>0.00661274904540878</v>
      </c>
      <c r="N386" s="259">
        <v>0.0102508926985716</v>
      </c>
      <c r="O386" s="259">
        <v>1.91057674577689</v>
      </c>
      <c r="P386" s="259">
        <v>1.116133649155</v>
      </c>
      <c r="Q386" s="259">
        <v>0.00237333977179251</v>
      </c>
      <c r="R386" s="259">
        <v>0.618314594589925</v>
      </c>
      <c r="S386" s="259">
        <v>0.00796857979839872</v>
      </c>
      <c r="T386" s="259">
        <v>0</v>
      </c>
      <c r="U386" s="259">
        <v>0.00226537600479396</v>
      </c>
      <c r="V386" s="259">
        <v>0</v>
      </c>
      <c r="W386" s="259"/>
      <c r="X386" s="119"/>
      <c r="Y386" s="258"/>
      <c r="Z386" s="258"/>
      <c r="AA386" s="258"/>
      <c r="AB386" s="258"/>
      <c r="AC386" s="258"/>
      <c r="AD386" s="260"/>
      <c r="AE386" s="261"/>
    </row>
    <row r="387" ht="21.25" customHeight="1">
      <c r="A387" t="s" s="10">
        <v>583</v>
      </c>
      <c r="B387" t="s" s="256">
        <v>934</v>
      </c>
      <c r="C387" s="257">
        <v>27</v>
      </c>
      <c r="D387" t="s" s="256">
        <v>916</v>
      </c>
      <c r="E387" s="119">
        <v>74.61750000000001</v>
      </c>
      <c r="F387" s="258">
        <v>15.0434146063908</v>
      </c>
      <c r="G387" s="259">
        <v>0.126755613701736</v>
      </c>
      <c r="H387" s="259">
        <v>0.19679509867159</v>
      </c>
      <c r="I387" s="259">
        <v>0.323550712373326</v>
      </c>
      <c r="J387" s="259">
        <v>1.47176346390981</v>
      </c>
      <c r="K387" s="259">
        <v>0.00424658139920913</v>
      </c>
      <c r="L387" s="259">
        <v>0.0150991072612887</v>
      </c>
      <c r="M387" s="259">
        <v>0.00152694675408139</v>
      </c>
      <c r="N387" s="259">
        <v>0.0122966205780743</v>
      </c>
      <c r="O387" s="259">
        <v>0.793761233431315</v>
      </c>
      <c r="P387" s="259">
        <v>1.75339712254046</v>
      </c>
      <c r="Q387" s="259">
        <v>-0.00626935006642566</v>
      </c>
      <c r="R387" s="259">
        <v>0.672795562225987</v>
      </c>
      <c r="S387" s="259">
        <v>0.0179302705855073</v>
      </c>
      <c r="T387" s="259">
        <v>0.186558326030533</v>
      </c>
      <c r="U387" s="259">
        <v>0.508674432121571</v>
      </c>
      <c r="V387" s="259">
        <v>0.26833937820536</v>
      </c>
      <c r="W387" s="259"/>
      <c r="X387" s="119"/>
      <c r="Y387" s="258"/>
      <c r="Z387" s="258"/>
      <c r="AA387" s="258"/>
      <c r="AB387" s="258"/>
      <c r="AC387" s="258"/>
      <c r="AD387" s="260"/>
      <c r="AE387" s="261"/>
    </row>
    <row r="388" ht="21.25" customHeight="1">
      <c r="A388" t="s" s="10">
        <v>651</v>
      </c>
      <c r="B388" t="s" s="256">
        <v>926</v>
      </c>
      <c r="C388" s="257">
        <v>33</v>
      </c>
      <c r="D388" t="s" s="256">
        <v>918</v>
      </c>
      <c r="E388" s="119">
        <v>77.52500000000001</v>
      </c>
      <c r="F388" s="258">
        <v>17.442476463920</v>
      </c>
      <c r="G388" s="259">
        <v>0.0601117082046602</v>
      </c>
      <c r="H388" s="259">
        <v>0.261572863363312</v>
      </c>
      <c r="I388" s="259">
        <v>0.321684571567972</v>
      </c>
      <c r="J388" s="259">
        <v>1.43145696842856</v>
      </c>
      <c r="K388" s="259">
        <v>0.0122930749715913</v>
      </c>
      <c r="L388" s="259">
        <v>0.0953019025495116</v>
      </c>
      <c r="M388" s="259">
        <v>0.000172723828451741</v>
      </c>
      <c r="N388" s="259">
        <v>0.00279416463511641</v>
      </c>
      <c r="O388" s="259">
        <v>0.926008301121623</v>
      </c>
      <c r="P388" s="259">
        <v>1.21207623527266</v>
      </c>
      <c r="Q388" s="259">
        <v>-0.00177217519669106</v>
      </c>
      <c r="R388" s="259">
        <v>0.538067916432869</v>
      </c>
      <c r="S388" s="259">
        <v>0.009616795774225769</v>
      </c>
      <c r="T388" s="259">
        <v>0</v>
      </c>
      <c r="U388" s="259">
        <v>0</v>
      </c>
      <c r="V388" s="259">
        <v>0</v>
      </c>
      <c r="W388" s="259"/>
      <c r="X388" s="119"/>
      <c r="Y388" s="258"/>
      <c r="Z388" s="258"/>
      <c r="AA388" s="258"/>
      <c r="AB388" s="258"/>
      <c r="AC388" s="258"/>
      <c r="AD388" s="260"/>
      <c r="AE388" s="261"/>
    </row>
    <row r="389" ht="21.25" customHeight="1">
      <c r="A389" t="s" s="10">
        <v>760</v>
      </c>
      <c r="B389" t="s" s="256">
        <v>927</v>
      </c>
      <c r="C389" s="257">
        <v>35</v>
      </c>
      <c r="D389" t="s" s="256">
        <v>917</v>
      </c>
      <c r="E389" s="119">
        <v>76.66249999999999</v>
      </c>
      <c r="F389" s="258">
        <v>12.1906674122343</v>
      </c>
      <c r="G389" s="259">
        <v>0.146319233123995</v>
      </c>
      <c r="H389" s="259">
        <v>0.174455812546801</v>
      </c>
      <c r="I389" s="259">
        <v>0.320775045670796</v>
      </c>
      <c r="J389" s="259">
        <v>1.8109898571512</v>
      </c>
      <c r="K389" s="259">
        <v>0.0129802438961986</v>
      </c>
      <c r="L389" s="259">
        <v>0.034362032266862</v>
      </c>
      <c r="M389" s="259">
        <v>0.00347160771226952</v>
      </c>
      <c r="N389" s="259">
        <v>0.00397001085541711</v>
      </c>
      <c r="O389" s="259">
        <v>0.513829731721282</v>
      </c>
      <c r="P389" s="259">
        <v>0.601790581312228</v>
      </c>
      <c r="Q389" s="259">
        <v>-0.0492758582810717</v>
      </c>
      <c r="R389" s="259">
        <v>0.267865231355189</v>
      </c>
      <c r="S389" s="259">
        <v>0.0230542956979037</v>
      </c>
      <c r="T389" s="259">
        <v>0.100785204459329</v>
      </c>
      <c r="U389" s="259">
        <v>0.149095443250202</v>
      </c>
      <c r="V389" s="259">
        <v>0.40333337288482</v>
      </c>
      <c r="W389" s="259"/>
      <c r="X389" s="119"/>
      <c r="Y389" s="258"/>
      <c r="Z389" s="258"/>
      <c r="AA389" s="258"/>
      <c r="AB389" s="258"/>
      <c r="AC389" s="258"/>
      <c r="AD389" s="260"/>
      <c r="AE389" s="261"/>
    </row>
    <row r="390" ht="21.25" customHeight="1">
      <c r="A390" t="s" s="10">
        <v>811</v>
      </c>
      <c r="B390" t="s" s="256">
        <v>944</v>
      </c>
      <c r="C390" s="257">
        <v>20</v>
      </c>
      <c r="D390" t="s" s="256">
        <v>916</v>
      </c>
      <c r="E390" s="119">
        <v>56.715</v>
      </c>
      <c r="F390" s="258">
        <v>11.7477363213312</v>
      </c>
      <c r="G390" s="259">
        <v>0.131848896034299</v>
      </c>
      <c r="H390" s="259">
        <v>0.187346227568712</v>
      </c>
      <c r="I390" s="259">
        <v>0.319195123603011</v>
      </c>
      <c r="J390" s="259">
        <v>1.36972894556982</v>
      </c>
      <c r="K390" s="259">
        <v>0.00450540633732986</v>
      </c>
      <c r="L390" s="259">
        <v>0.0139105629424752</v>
      </c>
      <c r="M390" s="259">
        <v>0</v>
      </c>
      <c r="N390" s="259">
        <v>0</v>
      </c>
      <c r="O390" s="259">
        <v>0.33802115517061</v>
      </c>
      <c r="P390" s="259">
        <v>1.83242577433102</v>
      </c>
      <c r="Q390" s="259">
        <v>-0.0223568133241987</v>
      </c>
      <c r="R390" s="259">
        <v>0.303057671480356</v>
      </c>
      <c r="S390" s="259">
        <v>0.018711011077681</v>
      </c>
      <c r="T390" s="259">
        <v>0</v>
      </c>
      <c r="U390" s="259">
        <v>0.0921571784375855</v>
      </c>
      <c r="V390" s="259">
        <v>0</v>
      </c>
      <c r="W390" s="259"/>
      <c r="X390" s="119"/>
      <c r="Y390" s="258"/>
      <c r="Z390" s="258"/>
      <c r="AA390" s="258"/>
      <c r="AB390" s="258"/>
      <c r="AC390" s="258"/>
      <c r="AD390" s="260"/>
      <c r="AE390" s="261"/>
    </row>
    <row r="391" ht="21.25" customHeight="1">
      <c r="A391" t="s" s="10">
        <v>815</v>
      </c>
      <c r="B391" t="s" s="256">
        <v>936</v>
      </c>
      <c r="C391" s="257">
        <v>28</v>
      </c>
      <c r="D391" t="s" s="256">
        <v>916</v>
      </c>
      <c r="E391" s="119">
        <v>79.38500000000001</v>
      </c>
      <c r="F391" s="258">
        <v>13.5179544265133</v>
      </c>
      <c r="G391" s="259">
        <v>0.137642867658598</v>
      </c>
      <c r="H391" s="259">
        <v>0.181349302274552</v>
      </c>
      <c r="I391" s="259">
        <v>0.31899216993315</v>
      </c>
      <c r="J391" s="259">
        <v>1.63495830612912</v>
      </c>
      <c r="K391" s="259">
        <v>0.0151232613290562</v>
      </c>
      <c r="L391" s="259">
        <v>0.0465076106430185</v>
      </c>
      <c r="M391" s="259">
        <v>2.88042156781137e-05</v>
      </c>
      <c r="N391" s="259">
        <v>4.51837876769011e-05</v>
      </c>
      <c r="O391" s="259">
        <v>0.231508880576407</v>
      </c>
      <c r="P391" s="259">
        <v>0.527900312363266</v>
      </c>
      <c r="Q391" s="259">
        <v>0.0431055862740388</v>
      </c>
      <c r="R391" s="259">
        <v>0.325660558588249</v>
      </c>
      <c r="S391" s="259">
        <v>0.0216318069395581</v>
      </c>
      <c r="T391" s="259">
        <v>0.331564899114212</v>
      </c>
      <c r="U391" s="259">
        <v>0.37334379477012</v>
      </c>
      <c r="V391" s="259">
        <v>0.470365739550119</v>
      </c>
      <c r="W391" s="259"/>
      <c r="X391" s="119"/>
      <c r="Y391" s="258"/>
      <c r="Z391" s="258"/>
      <c r="AA391" s="258"/>
      <c r="AB391" s="258"/>
      <c r="AC391" s="258"/>
      <c r="AD391" s="260"/>
      <c r="AE391" s="261"/>
    </row>
    <row r="392" ht="21.25" customHeight="1">
      <c r="A392" t="s" s="10">
        <v>584</v>
      </c>
      <c r="B392" t="s" s="256">
        <v>948</v>
      </c>
      <c r="C392" s="257">
        <v>33</v>
      </c>
      <c r="D392" t="s" s="256">
        <v>918</v>
      </c>
      <c r="E392" s="119">
        <v>76.73</v>
      </c>
      <c r="F392" s="258">
        <v>19.389802292107</v>
      </c>
      <c r="G392" s="259">
        <v>0.056531950708314</v>
      </c>
      <c r="H392" s="259">
        <v>0.262343596506945</v>
      </c>
      <c r="I392" s="259">
        <v>0.318875547215259</v>
      </c>
      <c r="J392" s="259">
        <v>1.61289514899377</v>
      </c>
      <c r="K392" s="259">
        <v>0</v>
      </c>
      <c r="L392" s="259">
        <v>0</v>
      </c>
      <c r="M392" s="259">
        <v>0.000597156742465033</v>
      </c>
      <c r="N392" s="259">
        <v>0.00273798156890945</v>
      </c>
      <c r="O392" s="259">
        <v>1.52008047614346</v>
      </c>
      <c r="P392" s="259">
        <v>0.943732855580633</v>
      </c>
      <c r="Q392" s="259">
        <v>-0.07588756672509819</v>
      </c>
      <c r="R392" s="259">
        <v>0.543351208479616</v>
      </c>
      <c r="S392" s="259">
        <v>0.00680611295051382</v>
      </c>
      <c r="T392" s="259">
        <v>0</v>
      </c>
      <c r="U392" s="259">
        <v>0</v>
      </c>
      <c r="V392" s="259">
        <v>0</v>
      </c>
      <c r="W392" s="259"/>
      <c r="X392" s="119"/>
      <c r="Y392" s="258"/>
      <c r="Z392" s="258"/>
      <c r="AA392" s="258"/>
      <c r="AB392" s="258"/>
      <c r="AC392" s="258"/>
      <c r="AD392" s="260"/>
      <c r="AE392" s="261"/>
    </row>
    <row r="393" ht="21.25" customHeight="1">
      <c r="A393" t="s" s="10">
        <v>548</v>
      </c>
      <c r="B393" t="s" s="256">
        <v>942</v>
      </c>
      <c r="C393" s="257">
        <v>21</v>
      </c>
      <c r="D393" t="s" s="256">
        <v>918</v>
      </c>
      <c r="E393" s="119">
        <v>75</v>
      </c>
      <c r="F393" s="258">
        <v>20.1089330546845</v>
      </c>
      <c r="G393" s="259">
        <v>0.105577647144406</v>
      </c>
      <c r="H393" s="259">
        <v>0.212439738569842</v>
      </c>
      <c r="I393" s="259">
        <v>0.318017385714248</v>
      </c>
      <c r="J393" s="259">
        <v>1.20970302009675</v>
      </c>
      <c r="K393" s="259">
        <v>0.000205798913055788</v>
      </c>
      <c r="L393" s="259">
        <v>0.00132770197272745</v>
      </c>
      <c r="M393" s="259">
        <v>0.000776412588231892</v>
      </c>
      <c r="N393" s="259">
        <v>0.00387147561803721</v>
      </c>
      <c r="O393" s="259">
        <v>1.52804166118065</v>
      </c>
      <c r="P393" s="259">
        <v>1.3444093255272</v>
      </c>
      <c r="Q393" s="259">
        <v>-0.0287203147693957</v>
      </c>
      <c r="R393" s="259">
        <v>0.540127676090977</v>
      </c>
      <c r="S393" s="259">
        <v>0.0145003154365254</v>
      </c>
      <c r="T393" s="259">
        <v>0</v>
      </c>
      <c r="U393" s="259">
        <v>0</v>
      </c>
      <c r="V393" s="259">
        <v>0</v>
      </c>
      <c r="W393" s="259"/>
      <c r="X393" s="119"/>
      <c r="Y393" s="258"/>
      <c r="Z393" s="258"/>
      <c r="AA393" s="258"/>
      <c r="AB393" s="258"/>
      <c r="AC393" s="258"/>
      <c r="AD393" s="260"/>
      <c r="AE393" s="261"/>
    </row>
    <row r="394" ht="21.25" customHeight="1">
      <c r="A394" t="s" s="10">
        <v>763</v>
      </c>
      <c r="B394" t="s" s="256">
        <v>939</v>
      </c>
      <c r="C394" s="257">
        <v>27</v>
      </c>
      <c r="D394" t="s" s="256">
        <v>916</v>
      </c>
      <c r="E394" s="119">
        <v>77.425</v>
      </c>
      <c r="F394" s="258">
        <v>12.9840382006691</v>
      </c>
      <c r="G394" s="259">
        <v>0.115226579816944</v>
      </c>
      <c r="H394" s="259">
        <v>0.201369002268417</v>
      </c>
      <c r="I394" s="259">
        <v>0.316595582085361</v>
      </c>
      <c r="J394" s="259">
        <v>1.59907392475027</v>
      </c>
      <c r="K394" s="259">
        <v>0.0126160094654965</v>
      </c>
      <c r="L394" s="259">
        <v>0.0249239206956674</v>
      </c>
      <c r="M394" s="259">
        <v>7.5023751416728e-05</v>
      </c>
      <c r="N394" s="259">
        <v>0.000128467516083833</v>
      </c>
      <c r="O394" s="259">
        <v>0.453109809212872</v>
      </c>
      <c r="P394" s="259">
        <v>0.830180491831677</v>
      </c>
      <c r="Q394" s="259">
        <v>-0.009735918646672909</v>
      </c>
      <c r="R394" s="259">
        <v>0.216914060690966</v>
      </c>
      <c r="S394" s="259">
        <v>0.0170815226037737</v>
      </c>
      <c r="T394" s="259">
        <v>0.289967770856244</v>
      </c>
      <c r="U394" s="259">
        <v>0.506120906913016</v>
      </c>
      <c r="V394" s="259">
        <v>0.364240541228108</v>
      </c>
      <c r="W394" s="259"/>
      <c r="X394" s="119"/>
      <c r="Y394" s="258"/>
      <c r="Z394" s="258"/>
      <c r="AA394" s="258"/>
      <c r="AB394" s="258"/>
      <c r="AC394" s="258"/>
      <c r="AD394" s="260"/>
      <c r="AE394" s="261"/>
    </row>
    <row r="395" ht="21.25" customHeight="1">
      <c r="A395" t="s" s="10">
        <v>402</v>
      </c>
      <c r="B395" t="s" s="256">
        <v>936</v>
      </c>
      <c r="C395" s="257">
        <v>29</v>
      </c>
      <c r="D395" t="s" s="256">
        <v>918</v>
      </c>
      <c r="E395" s="119">
        <v>75.17</v>
      </c>
      <c r="F395" s="258">
        <v>21.6320987899028</v>
      </c>
      <c r="G395" s="259">
        <v>0.06865814839813621</v>
      </c>
      <c r="H395" s="259">
        <v>0.246450853183799</v>
      </c>
      <c r="I395" s="259">
        <v>0.315109001581935</v>
      </c>
      <c r="J395" s="259">
        <v>1.5346087774556</v>
      </c>
      <c r="K395" s="259">
        <v>0.0174495796589669</v>
      </c>
      <c r="L395" s="259">
        <v>0.06496121478332199</v>
      </c>
      <c r="M395" s="259">
        <v>0.000478336427602111</v>
      </c>
      <c r="N395" s="259">
        <v>0.00482162613760848</v>
      </c>
      <c r="O395" s="259">
        <v>2.1314342571625</v>
      </c>
      <c r="P395" s="259">
        <v>1.56731839095218</v>
      </c>
      <c r="Q395" s="259">
        <v>0.0282854445538305</v>
      </c>
      <c r="R395" s="259">
        <v>0.232050249103489</v>
      </c>
      <c r="S395" s="259">
        <v>0.010790241704785</v>
      </c>
      <c r="T395" s="259">
        <v>0</v>
      </c>
      <c r="U395" s="259">
        <v>0</v>
      </c>
      <c r="V395" s="259">
        <v>0</v>
      </c>
      <c r="W395" s="259"/>
      <c r="X395" s="119"/>
      <c r="Y395" s="258"/>
      <c r="Z395" s="258"/>
      <c r="AA395" s="258"/>
      <c r="AB395" s="258"/>
      <c r="AC395" s="258"/>
      <c r="AD395" s="260"/>
      <c r="AE395" s="261"/>
    </row>
    <row r="396" ht="21.25" customHeight="1">
      <c r="A396" t="s" s="10">
        <v>470</v>
      </c>
      <c r="B396" t="s" s="256">
        <v>933</v>
      </c>
      <c r="C396" s="257">
        <v>33</v>
      </c>
      <c r="D396" t="s" s="256">
        <v>966</v>
      </c>
      <c r="E396" s="119">
        <v>74.09999999999999</v>
      </c>
      <c r="F396" s="258">
        <v>14.0367789246464</v>
      </c>
      <c r="G396" s="259">
        <v>0.134572802943242</v>
      </c>
      <c r="H396" s="259">
        <v>0.179050875742793</v>
      </c>
      <c r="I396" s="259">
        <v>0.313623678686035</v>
      </c>
      <c r="J396" s="259">
        <v>1.06263616246401</v>
      </c>
      <c r="K396" s="259">
        <v>0.00481146896028026</v>
      </c>
      <c r="L396" s="259">
        <v>0.0116236219312001</v>
      </c>
      <c r="M396" s="259">
        <v>0.00185044376938517</v>
      </c>
      <c r="N396" s="259">
        <v>0.010350251633161</v>
      </c>
      <c r="O396" s="259">
        <v>0.645435882715712</v>
      </c>
      <c r="P396" s="259">
        <v>2.90753396317576</v>
      </c>
      <c r="Q396" s="259">
        <v>0.00653728112024574</v>
      </c>
      <c r="R396" s="259">
        <v>0.871450917540019</v>
      </c>
      <c r="S396" s="259">
        <v>0.022215160834112</v>
      </c>
      <c r="T396" s="259">
        <v>0.138619062331681</v>
      </c>
      <c r="U396" s="259">
        <v>0.142764033281655</v>
      </c>
      <c r="V396" s="259">
        <v>0.49263464825252</v>
      </c>
      <c r="W396" s="259"/>
      <c r="X396" s="119"/>
      <c r="Y396" s="258"/>
      <c r="Z396" s="258"/>
      <c r="AA396" s="258"/>
      <c r="AB396" s="258"/>
      <c r="AC396" s="258"/>
      <c r="AD396" s="260"/>
      <c r="AE396" s="261"/>
    </row>
    <row r="397" ht="21.25" customHeight="1">
      <c r="A397" t="s" s="10">
        <v>588</v>
      </c>
      <c r="B397" t="s" s="256">
        <v>927</v>
      </c>
      <c r="C397" s="257">
        <v>24</v>
      </c>
      <c r="D397" t="s" s="256">
        <v>918</v>
      </c>
      <c r="E397" s="119">
        <v>77.77500000000001</v>
      </c>
      <c r="F397" s="258">
        <v>19.3031139715181</v>
      </c>
      <c r="G397" s="259">
        <v>0.06657559570346459</v>
      </c>
      <c r="H397" s="259">
        <v>0.246605936960435</v>
      </c>
      <c r="I397" s="259">
        <v>0.3131815326639</v>
      </c>
      <c r="J397" s="259">
        <v>0.97854453279311</v>
      </c>
      <c r="K397" s="259">
        <v>0.00824174637133006</v>
      </c>
      <c r="L397" s="259">
        <v>0.0390751086336072</v>
      </c>
      <c r="M397" s="259">
        <v>0.000330371373454747</v>
      </c>
      <c r="N397" s="259">
        <v>0.0120854016262791</v>
      </c>
      <c r="O397" s="259">
        <v>1.4325029241675</v>
      </c>
      <c r="P397" s="259">
        <v>1.18790663251594</v>
      </c>
      <c r="Q397" s="259">
        <v>-0.0205574609091107</v>
      </c>
      <c r="R397" s="259">
        <v>0.41996569300957</v>
      </c>
      <c r="S397" s="259">
        <v>0.0104897588433305</v>
      </c>
      <c r="T397" s="259">
        <v>0</v>
      </c>
      <c r="U397" s="259">
        <v>0</v>
      </c>
      <c r="V397" s="259">
        <v>0</v>
      </c>
      <c r="W397" s="259"/>
      <c r="X397" s="119"/>
      <c r="Y397" s="258"/>
      <c r="Z397" s="258"/>
      <c r="AA397" s="258"/>
      <c r="AB397" s="258"/>
      <c r="AC397" s="258"/>
      <c r="AD397" s="260"/>
      <c r="AE397" s="261"/>
    </row>
    <row r="398" ht="21.25" customHeight="1">
      <c r="A398" t="s" s="10">
        <v>828</v>
      </c>
      <c r="B398" t="s" s="256">
        <v>951</v>
      </c>
      <c r="C398" s="257">
        <v>28</v>
      </c>
      <c r="D398" t="s" s="256">
        <v>916</v>
      </c>
      <c r="E398" s="119">
        <v>64.4725</v>
      </c>
      <c r="F398" s="258">
        <v>11.0690911626181</v>
      </c>
      <c r="G398" s="259">
        <v>0.20437769060906</v>
      </c>
      <c r="H398" s="259">
        <v>0.106327658673955</v>
      </c>
      <c r="I398" s="259">
        <v>0.310705349283015</v>
      </c>
      <c r="J398" s="259">
        <v>1.40707765668016</v>
      </c>
      <c r="K398" s="259">
        <v>0.00352518496757655</v>
      </c>
      <c r="L398" s="259">
        <v>0.00764041752618373</v>
      </c>
      <c r="M398" s="259">
        <v>0.00214888191500296</v>
      </c>
      <c r="N398" s="259">
        <v>0.00242893548487304</v>
      </c>
      <c r="O398" s="259">
        <v>0.32548253371796</v>
      </c>
      <c r="P398" s="259">
        <v>0.974402531711046</v>
      </c>
      <c r="Q398" s="259">
        <v>-0.00692313856805674</v>
      </c>
      <c r="R398" s="259">
        <v>0.397638350211716</v>
      </c>
      <c r="S398" s="259">
        <v>0.0299064633774252</v>
      </c>
      <c r="T398" s="259">
        <v>0.0416863963948296</v>
      </c>
      <c r="U398" s="259">
        <v>0.133834550894886</v>
      </c>
      <c r="V398" s="259">
        <v>0.237500976598661</v>
      </c>
      <c r="W398" s="259"/>
      <c r="X398" s="119"/>
      <c r="Y398" s="258"/>
      <c r="Z398" s="258"/>
      <c r="AA398" s="258"/>
      <c r="AB398" s="258"/>
      <c r="AC398" s="258"/>
      <c r="AD398" s="260"/>
      <c r="AE398" s="261"/>
    </row>
    <row r="399" ht="21.25" customHeight="1">
      <c r="A399" t="s" s="10">
        <v>647</v>
      </c>
      <c r="B399" t="s" s="256">
        <v>927</v>
      </c>
      <c r="C399" s="257">
        <v>28</v>
      </c>
      <c r="D399" t="s" s="256">
        <v>918</v>
      </c>
      <c r="E399" s="119">
        <v>78.655</v>
      </c>
      <c r="F399" s="258">
        <v>17.2132774731689</v>
      </c>
      <c r="G399" s="259">
        <v>0.0596852910974164</v>
      </c>
      <c r="H399" s="259">
        <v>0.250946080839622</v>
      </c>
      <c r="I399" s="259">
        <v>0.310631371937038</v>
      </c>
      <c r="J399" s="259">
        <v>1.13233201997571</v>
      </c>
      <c r="K399" s="259">
        <v>0.008616479875955881</v>
      </c>
      <c r="L399" s="259">
        <v>0.0600926319341257</v>
      </c>
      <c r="M399" s="259">
        <v>0.000275366427131482</v>
      </c>
      <c r="N399" s="259">
        <v>0.00137082499020458</v>
      </c>
      <c r="O399" s="259">
        <v>1.20626819307259</v>
      </c>
      <c r="P399" s="259">
        <v>1.01934771969401</v>
      </c>
      <c r="Q399" s="259">
        <v>0.0173957872038572</v>
      </c>
      <c r="R399" s="259">
        <v>0.282443423515717</v>
      </c>
      <c r="S399" s="259">
        <v>0.00940411127366444</v>
      </c>
      <c r="T399" s="259">
        <v>0</v>
      </c>
      <c r="U399" s="259">
        <v>0</v>
      </c>
      <c r="V399" s="259">
        <v>0</v>
      </c>
      <c r="W399" s="259"/>
      <c r="X399" s="119"/>
      <c r="Y399" s="258"/>
      <c r="Z399" s="258"/>
      <c r="AA399" s="258"/>
      <c r="AB399" s="258"/>
      <c r="AC399" s="258"/>
      <c r="AD399" s="260"/>
      <c r="AE399" s="261"/>
    </row>
    <row r="400" ht="21.25" customHeight="1">
      <c r="A400" t="s" s="10">
        <v>609</v>
      </c>
      <c r="B400" t="s" s="256">
        <v>929</v>
      </c>
      <c r="C400" s="257">
        <v>29</v>
      </c>
      <c r="D400" t="s" s="256">
        <v>918</v>
      </c>
      <c r="E400" s="119">
        <v>78.7</v>
      </c>
      <c r="F400" s="258">
        <v>21.1947452146881</v>
      </c>
      <c r="G400" s="259">
        <v>0.0623143368422505</v>
      </c>
      <c r="H400" s="259">
        <v>0.247652831535899</v>
      </c>
      <c r="I400" s="259">
        <v>0.30996716837815</v>
      </c>
      <c r="J400" s="259">
        <v>1.65123238491009</v>
      </c>
      <c r="K400" s="259">
        <v>0.00116793462626717</v>
      </c>
      <c r="L400" s="259">
        <v>0.00503568232018996</v>
      </c>
      <c r="M400" s="259">
        <v>0.000345545658815965</v>
      </c>
      <c r="N400" s="259">
        <v>0.00805936984290395</v>
      </c>
      <c r="O400" s="259">
        <v>1.57228552200105</v>
      </c>
      <c r="P400" s="259">
        <v>0.5814612736229819</v>
      </c>
      <c r="Q400" s="259">
        <v>0.00733345106373811</v>
      </c>
      <c r="R400" s="259">
        <v>0.387527677453118</v>
      </c>
      <c r="S400" s="259">
        <v>0.00940175789276464</v>
      </c>
      <c r="T400" s="259">
        <v>0</v>
      </c>
      <c r="U400" s="259">
        <v>0</v>
      </c>
      <c r="V400" s="259">
        <v>0</v>
      </c>
      <c r="W400" s="259"/>
      <c r="X400" s="119"/>
      <c r="Y400" s="258"/>
      <c r="Z400" s="258"/>
      <c r="AA400" s="258"/>
      <c r="AB400" s="258"/>
      <c r="AC400" s="258"/>
      <c r="AD400" s="260"/>
      <c r="AE400" s="261"/>
    </row>
    <row r="401" ht="21.25" customHeight="1">
      <c r="A401" t="s" s="10">
        <v>796</v>
      </c>
      <c r="B401" t="s" s="256">
        <v>948</v>
      </c>
      <c r="C401" s="257">
        <v>26</v>
      </c>
      <c r="D401" t="s" s="256">
        <v>918</v>
      </c>
      <c r="E401" s="119">
        <v>66.91</v>
      </c>
      <c r="F401" s="258">
        <v>16.206656884939</v>
      </c>
      <c r="G401" s="259">
        <v>0.0237286291678463</v>
      </c>
      <c r="H401" s="259">
        <v>0.285625255993036</v>
      </c>
      <c r="I401" s="259">
        <v>0.309353885160882</v>
      </c>
      <c r="J401" s="259">
        <v>0.821791509390749</v>
      </c>
      <c r="K401" s="259">
        <v>0.00421239113874927</v>
      </c>
      <c r="L401" s="259">
        <v>0.0958108555185343</v>
      </c>
      <c r="M401" s="259">
        <v>4.62165317786244e-06</v>
      </c>
      <c r="N401" s="259">
        <v>2.23600084949919e-05</v>
      </c>
      <c r="O401" s="259">
        <v>1.11931142977004</v>
      </c>
      <c r="P401" s="259">
        <v>0.8742367643394739</v>
      </c>
      <c r="Q401" s="259">
        <v>-0.0415484956951865</v>
      </c>
      <c r="R401" s="259">
        <v>0.348784573487947</v>
      </c>
      <c r="S401" s="259">
        <v>0.00285678679496668</v>
      </c>
      <c r="T401" s="259">
        <v>0</v>
      </c>
      <c r="U401" s="259">
        <v>0</v>
      </c>
      <c r="V401" s="259">
        <v>0</v>
      </c>
      <c r="W401" s="259"/>
      <c r="X401" s="119"/>
      <c r="Y401" s="258"/>
      <c r="Z401" s="258"/>
      <c r="AA401" s="258"/>
      <c r="AB401" s="258"/>
      <c r="AC401" s="258"/>
      <c r="AD401" s="260"/>
      <c r="AE401" s="261"/>
    </row>
    <row r="402" ht="21.25" customHeight="1">
      <c r="A402" t="s" s="10">
        <v>400</v>
      </c>
      <c r="B402" t="s" s="256">
        <v>950</v>
      </c>
      <c r="C402" s="257">
        <v>27</v>
      </c>
      <c r="D402" t="s" s="256">
        <v>916</v>
      </c>
      <c r="E402" s="119">
        <v>76.3125</v>
      </c>
      <c r="F402" s="258">
        <v>12.7032986637335</v>
      </c>
      <c r="G402" s="259">
        <v>0.143646349381379</v>
      </c>
      <c r="H402" s="259">
        <v>0.1636446125676</v>
      </c>
      <c r="I402" s="259">
        <v>0.307290961948979</v>
      </c>
      <c r="J402" s="259">
        <v>1.25897680877486</v>
      </c>
      <c r="K402" s="259">
        <v>0.0172596463937819</v>
      </c>
      <c r="L402" s="259">
        <v>0.0350879114695224</v>
      </c>
      <c r="M402" s="259">
        <v>1.15709578885505e-05</v>
      </c>
      <c r="N402" s="259">
        <v>2.65181535097165e-05</v>
      </c>
      <c r="O402" s="259">
        <v>0.549427814505329</v>
      </c>
      <c r="P402" s="259">
        <v>3.42268224077098</v>
      </c>
      <c r="Q402" s="259">
        <v>0.0100693524721612</v>
      </c>
      <c r="R402" s="259">
        <v>0.933260773789381</v>
      </c>
      <c r="S402" s="259">
        <v>0.0255994558642966</v>
      </c>
      <c r="T402" s="259">
        <v>0.331343116656254</v>
      </c>
      <c r="U402" s="259">
        <v>0.482039840184399</v>
      </c>
      <c r="V402" s="259">
        <v>0.407364223542695</v>
      </c>
      <c r="W402" s="259"/>
      <c r="X402" s="119"/>
      <c r="Y402" s="258"/>
      <c r="Z402" s="258"/>
      <c r="AA402" s="258"/>
      <c r="AB402" s="258"/>
      <c r="AC402" s="258"/>
      <c r="AD402" s="260"/>
      <c r="AE402" s="261"/>
    </row>
    <row r="403" ht="21.25" customHeight="1">
      <c r="A403" t="s" s="10">
        <v>565</v>
      </c>
      <c r="B403" t="s" s="256">
        <v>950</v>
      </c>
      <c r="C403" s="257">
        <v>28</v>
      </c>
      <c r="D403" t="s" s="256">
        <v>918</v>
      </c>
      <c r="E403" s="119">
        <v>79.5675</v>
      </c>
      <c r="F403" s="258">
        <v>20.5163000317698</v>
      </c>
      <c r="G403" s="259">
        <v>0.07036142278221411</v>
      </c>
      <c r="H403" s="259">
        <v>0.236688135262327</v>
      </c>
      <c r="I403" s="259">
        <v>0.307049558044541</v>
      </c>
      <c r="J403" s="259">
        <v>1.35375584695009</v>
      </c>
      <c r="K403" s="259">
        <v>0.000553793664314094</v>
      </c>
      <c r="L403" s="259">
        <v>0.00356782625059806</v>
      </c>
      <c r="M403" s="259">
        <v>0.00322563754959164</v>
      </c>
      <c r="N403" s="259">
        <v>0.014321432566645</v>
      </c>
      <c r="O403" s="259">
        <v>1.54307287034977</v>
      </c>
      <c r="P403" s="259">
        <v>0.938365387686474</v>
      </c>
      <c r="Q403" s="259">
        <v>0.0283285510921873</v>
      </c>
      <c r="R403" s="259">
        <v>0.470794239002762</v>
      </c>
      <c r="S403" s="259">
        <v>0.0125392266828878</v>
      </c>
      <c r="T403" s="259">
        <v>0</v>
      </c>
      <c r="U403" s="259">
        <v>0</v>
      </c>
      <c r="V403" s="259">
        <v>0</v>
      </c>
      <c r="W403" s="259"/>
      <c r="X403" s="119"/>
      <c r="Y403" s="258"/>
      <c r="Z403" s="258"/>
      <c r="AA403" s="258"/>
      <c r="AB403" s="258"/>
      <c r="AC403" s="258"/>
      <c r="AD403" s="260"/>
      <c r="AE403" s="261"/>
    </row>
    <row r="404" ht="21.25" customHeight="1">
      <c r="A404" t="s" s="10">
        <v>526</v>
      </c>
      <c r="B404" t="s" s="256">
        <v>936</v>
      </c>
      <c r="C404" s="257">
        <v>30</v>
      </c>
      <c r="D404" t="s" s="256">
        <v>918</v>
      </c>
      <c r="E404" s="119">
        <v>74.4825</v>
      </c>
      <c r="F404" s="258">
        <v>20.394251483606</v>
      </c>
      <c r="G404" s="259">
        <v>0.0497108647921748</v>
      </c>
      <c r="H404" s="259">
        <v>0.255138361329268</v>
      </c>
      <c r="I404" s="259">
        <v>0.304849226121443</v>
      </c>
      <c r="J404" s="259">
        <v>1.29458982754557</v>
      </c>
      <c r="K404" s="259">
        <v>0.000243387796250582</v>
      </c>
      <c r="L404" s="259">
        <v>0.00160827590431614</v>
      </c>
      <c r="M404" s="259">
        <v>0.000423579238186599</v>
      </c>
      <c r="N404" s="259">
        <v>0.0180238206524721</v>
      </c>
      <c r="O404" s="259">
        <v>1.84178603070082</v>
      </c>
      <c r="P404" s="259">
        <v>1.18411585563608</v>
      </c>
      <c r="Q404" s="259">
        <v>0.0261498850670726</v>
      </c>
      <c r="R404" s="259">
        <v>0.485688189431682</v>
      </c>
      <c r="S404" s="259">
        <v>0.007812506730461371</v>
      </c>
      <c r="T404" s="259">
        <v>0</v>
      </c>
      <c r="U404" s="259">
        <v>0</v>
      </c>
      <c r="V404" s="259">
        <v>0</v>
      </c>
      <c r="W404" s="259"/>
      <c r="X404" s="119"/>
      <c r="Y404" s="258"/>
      <c r="Z404" s="258"/>
      <c r="AA404" s="258"/>
      <c r="AB404" s="258"/>
      <c r="AC404" s="258"/>
      <c r="AD404" s="260"/>
      <c r="AE404" s="261"/>
    </row>
    <row r="405" ht="21.25" customHeight="1">
      <c r="A405" t="s" s="10">
        <v>639</v>
      </c>
      <c r="B405" t="s" s="256">
        <v>927</v>
      </c>
      <c r="C405" s="257">
        <v>26</v>
      </c>
      <c r="D405" t="s" s="256">
        <v>918</v>
      </c>
      <c r="E405" s="119">
        <v>78.05500000000001</v>
      </c>
      <c r="F405" s="258">
        <v>16.088421848688</v>
      </c>
      <c r="G405" s="259">
        <v>0.0505534107096447</v>
      </c>
      <c r="H405" s="259">
        <v>0.253913402429511</v>
      </c>
      <c r="I405" s="259">
        <v>0.304466813139156</v>
      </c>
      <c r="J405" s="259">
        <v>0.977802212197051</v>
      </c>
      <c r="K405" s="259">
        <v>0.000173916473534161</v>
      </c>
      <c r="L405" s="259">
        <v>0.00110551560368542</v>
      </c>
      <c r="M405" s="259">
        <v>0.000249131374896575</v>
      </c>
      <c r="N405" s="259">
        <v>0.00122399323451336</v>
      </c>
      <c r="O405" s="259">
        <v>1.3112257976552</v>
      </c>
      <c r="P405" s="259">
        <v>1.12049810766335</v>
      </c>
      <c r="Q405" s="259">
        <v>0.0170174177534806</v>
      </c>
      <c r="R405" s="259">
        <v>0.255662579729683</v>
      </c>
      <c r="S405" s="259">
        <v>0.0079652773880387</v>
      </c>
      <c r="T405" s="259">
        <v>0</v>
      </c>
      <c r="U405" s="259">
        <v>0</v>
      </c>
      <c r="V405" s="259">
        <v>0</v>
      </c>
      <c r="W405" s="259"/>
      <c r="X405" s="119"/>
      <c r="Y405" s="258"/>
      <c r="Z405" s="258"/>
      <c r="AA405" s="258"/>
      <c r="AB405" s="258"/>
      <c r="AC405" s="258"/>
      <c r="AD405" s="260"/>
      <c r="AE405" s="261"/>
    </row>
    <row r="406" ht="21.25" customHeight="1">
      <c r="A406" t="s" s="10">
        <v>832</v>
      </c>
      <c r="B406" t="s" s="256">
        <v>947</v>
      </c>
      <c r="C406" s="257">
        <v>26</v>
      </c>
      <c r="D406" t="s" s="256">
        <v>917</v>
      </c>
      <c r="E406" s="119">
        <v>67.6875</v>
      </c>
      <c r="F406" s="258">
        <v>13.3062791132138</v>
      </c>
      <c r="G406" s="259">
        <v>0.120579316598989</v>
      </c>
      <c r="H406" s="259">
        <v>0.183115060285024</v>
      </c>
      <c r="I406" s="259">
        <v>0.303694376884013</v>
      </c>
      <c r="J406" s="259">
        <v>1.12218420373143</v>
      </c>
      <c r="K406" s="259">
        <v>0.00066840291634868</v>
      </c>
      <c r="L406" s="259">
        <v>0.00155131878563896</v>
      </c>
      <c r="M406" s="259">
        <v>0.00262885476531179</v>
      </c>
      <c r="N406" s="259">
        <v>0.00446992509962768</v>
      </c>
      <c r="O406" s="259">
        <v>0.397341901673626</v>
      </c>
      <c r="P406" s="259">
        <v>0.941491841816148</v>
      </c>
      <c r="Q406" s="259">
        <v>-0.06256829319005799</v>
      </c>
      <c r="R406" s="259">
        <v>0.196034952977268</v>
      </c>
      <c r="S406" s="259">
        <v>0.0155830975617518</v>
      </c>
      <c r="T406" s="259">
        <v>0</v>
      </c>
      <c r="U406" s="259">
        <v>0.037948942674989</v>
      </c>
      <c r="V406" s="259">
        <v>0</v>
      </c>
      <c r="W406" s="259"/>
      <c r="X406" s="119"/>
      <c r="Y406" s="258"/>
      <c r="Z406" s="258"/>
      <c r="AA406" s="258"/>
      <c r="AB406" s="258"/>
      <c r="AC406" s="258"/>
      <c r="AD406" s="260"/>
      <c r="AE406" s="261"/>
    </row>
    <row r="407" ht="21.25" customHeight="1">
      <c r="A407" t="s" s="10">
        <v>384</v>
      </c>
      <c r="B407" t="s" s="256">
        <v>931</v>
      </c>
      <c r="C407" s="257">
        <v>22</v>
      </c>
      <c r="D407" t="s" s="256">
        <v>918</v>
      </c>
      <c r="E407" s="119">
        <v>77.99250000000001</v>
      </c>
      <c r="F407" s="258">
        <v>18.8653235425783</v>
      </c>
      <c r="G407" s="259">
        <v>0.0755167421287853</v>
      </c>
      <c r="H407" s="259">
        <v>0.227732045153506</v>
      </c>
      <c r="I407" s="259">
        <v>0.303248787282291</v>
      </c>
      <c r="J407" s="259">
        <v>1.29011573097733</v>
      </c>
      <c r="K407" s="259">
        <v>9.74593268023277e-05</v>
      </c>
      <c r="L407" s="259">
        <v>0.000771160445371078</v>
      </c>
      <c r="M407" s="259">
        <v>0.00639849086959943</v>
      </c>
      <c r="N407" s="259">
        <v>0.00776769140703096</v>
      </c>
      <c r="O407" s="259">
        <v>1.82369764251274</v>
      </c>
      <c r="P407" s="259">
        <v>2.05998511603938</v>
      </c>
      <c r="Q407" s="259">
        <v>0.0296319818079994</v>
      </c>
      <c r="R407" s="259">
        <v>0.291395169480512</v>
      </c>
      <c r="S407" s="259">
        <v>0.0123438385803677</v>
      </c>
      <c r="T407" s="259">
        <v>0</v>
      </c>
      <c r="U407" s="259">
        <v>0</v>
      </c>
      <c r="V407" s="259">
        <v>0</v>
      </c>
      <c r="W407" s="259"/>
      <c r="X407" s="119"/>
      <c r="Y407" s="258"/>
      <c r="Z407" s="258"/>
      <c r="AA407" s="258"/>
      <c r="AB407" s="258"/>
      <c r="AC407" s="258"/>
      <c r="AD407" s="260"/>
      <c r="AE407" s="261"/>
    </row>
    <row r="408" ht="21.25" customHeight="1">
      <c r="A408" t="s" s="10">
        <v>330</v>
      </c>
      <c r="B408" t="s" s="256">
        <v>944</v>
      </c>
      <c r="C408" s="257">
        <v>29</v>
      </c>
      <c r="D408" t="s" s="256">
        <v>918</v>
      </c>
      <c r="E408" s="119">
        <v>80.35250000000001</v>
      </c>
      <c r="F408" s="258">
        <v>20.5499480421592</v>
      </c>
      <c r="G408" s="259">
        <v>0.0703814421425836</v>
      </c>
      <c r="H408" s="259">
        <v>0.232849497342204</v>
      </c>
      <c r="I408" s="259">
        <v>0.303230939484788</v>
      </c>
      <c r="J408" s="259">
        <v>1.68749607254327</v>
      </c>
      <c r="K408" s="259">
        <v>0.000179772733716087</v>
      </c>
      <c r="L408" s="259">
        <v>0.0022683543179582</v>
      </c>
      <c r="M408" s="259">
        <v>0.00361544005542444</v>
      </c>
      <c r="N408" s="259">
        <v>0.0181192381973371</v>
      </c>
      <c r="O408" s="259">
        <v>2.16690373482259</v>
      </c>
      <c r="P408" s="259">
        <v>1.68439100811695</v>
      </c>
      <c r="Q408" s="259">
        <v>0.0180557799633124</v>
      </c>
      <c r="R408" s="259">
        <v>0.390453453659109</v>
      </c>
      <c r="S408" s="259">
        <v>0.009988008873813131</v>
      </c>
      <c r="T408" s="259">
        <v>0</v>
      </c>
      <c r="U408" s="259">
        <v>0</v>
      </c>
      <c r="V408" s="259">
        <v>0</v>
      </c>
      <c r="W408" s="259"/>
      <c r="X408" s="119"/>
      <c r="Y408" s="258"/>
      <c r="Z408" s="258"/>
      <c r="AA408" s="258"/>
      <c r="AB408" s="258"/>
      <c r="AC408" s="258"/>
      <c r="AD408" s="260"/>
      <c r="AE408" s="261"/>
    </row>
    <row r="409" ht="21.25" customHeight="1">
      <c r="A409" t="s" s="10">
        <v>688</v>
      </c>
      <c r="B409" t="s" s="256">
        <v>954</v>
      </c>
      <c r="C409" s="257">
        <v>22</v>
      </c>
      <c r="D409" t="s" s="256">
        <v>918</v>
      </c>
      <c r="E409" s="119">
        <v>66.2825</v>
      </c>
      <c r="F409" s="258">
        <v>17.9805948410822</v>
      </c>
      <c r="G409" s="259">
        <v>0.10270905287409</v>
      </c>
      <c r="H409" s="259">
        <v>0.200306381290884</v>
      </c>
      <c r="I409" s="259">
        <v>0.303015434164974</v>
      </c>
      <c r="J409" s="259">
        <v>1.17839239701962</v>
      </c>
      <c r="K409" s="259">
        <v>0.00753474917446846</v>
      </c>
      <c r="L409" s="259">
        <v>0.0170891643770396</v>
      </c>
      <c r="M409" s="259">
        <v>0.00423370779793521</v>
      </c>
      <c r="N409" s="259">
        <v>0.00578094468551949</v>
      </c>
      <c r="O409" s="259">
        <v>1.30189711122295</v>
      </c>
      <c r="P409" s="259">
        <v>1.35055054973396</v>
      </c>
      <c r="Q409" s="259">
        <v>-0.0558234944652379</v>
      </c>
      <c r="R409" s="259">
        <v>0.441080974639582</v>
      </c>
      <c r="S409" s="259">
        <v>0.0119041099423046</v>
      </c>
      <c r="T409" s="259">
        <v>0</v>
      </c>
      <c r="U409" s="259">
        <v>0</v>
      </c>
      <c r="V409" s="259">
        <v>0</v>
      </c>
      <c r="W409" s="259"/>
      <c r="X409" s="119"/>
      <c r="Y409" s="258"/>
      <c r="Z409" s="258"/>
      <c r="AA409" s="258"/>
      <c r="AB409" s="258"/>
      <c r="AC409" s="258"/>
      <c r="AD409" s="260"/>
      <c r="AE409" s="261"/>
    </row>
    <row r="410" ht="21.25" customHeight="1">
      <c r="A410" t="s" s="10">
        <v>642</v>
      </c>
      <c r="B410" t="s" s="256">
        <v>929</v>
      </c>
      <c r="C410" s="257">
        <v>20</v>
      </c>
      <c r="D410" t="s" s="256">
        <v>918</v>
      </c>
      <c r="E410" s="119">
        <v>76.27500000000001</v>
      </c>
      <c r="F410" s="258">
        <v>18.5878454848894</v>
      </c>
      <c r="G410" s="259">
        <v>0.0542689166040365</v>
      </c>
      <c r="H410" s="259">
        <v>0.247594653154249</v>
      </c>
      <c r="I410" s="259">
        <v>0.301863569758286</v>
      </c>
      <c r="J410" s="259">
        <v>1.11683130585718</v>
      </c>
      <c r="K410" s="259">
        <v>0.00227605009939815</v>
      </c>
      <c r="L410" s="259">
        <v>0.0276658469046846</v>
      </c>
      <c r="M410" s="259">
        <v>0.000482506231425958</v>
      </c>
      <c r="N410" s="259">
        <v>0.00233264623654395</v>
      </c>
      <c r="O410" s="259">
        <v>1.60576594729491</v>
      </c>
      <c r="P410" s="259">
        <v>0.742548073227876</v>
      </c>
      <c r="Q410" s="259">
        <v>0.0381461029771866</v>
      </c>
      <c r="R410" s="259">
        <v>0.491415219167975</v>
      </c>
      <c r="S410" s="259">
        <v>0.00818789448574928</v>
      </c>
      <c r="T410" s="259">
        <v>0</v>
      </c>
      <c r="U410" s="259">
        <v>0</v>
      </c>
      <c r="V410" s="259">
        <v>0</v>
      </c>
      <c r="W410" s="259"/>
      <c r="X410" s="119"/>
      <c r="Y410" s="258"/>
      <c r="Z410" s="258"/>
      <c r="AA410" s="258"/>
      <c r="AB410" s="258"/>
      <c r="AC410" s="258"/>
      <c r="AD410" s="260"/>
      <c r="AE410" s="261"/>
    </row>
    <row r="411" ht="21.25" customHeight="1">
      <c r="A411" t="s" s="10">
        <v>650</v>
      </c>
      <c r="B411" t="s" s="256">
        <v>951</v>
      </c>
      <c r="C411" s="257">
        <v>24</v>
      </c>
      <c r="D411" t="s" s="256">
        <v>918</v>
      </c>
      <c r="E411" s="119">
        <v>74.97499999999999</v>
      </c>
      <c r="F411" s="258">
        <v>15.798398522542</v>
      </c>
      <c r="G411" s="259">
        <v>0.0644694459513922</v>
      </c>
      <c r="H411" s="259">
        <v>0.235835612909685</v>
      </c>
      <c r="I411" s="259">
        <v>0.300305058861077</v>
      </c>
      <c r="J411" s="259">
        <v>1.13615167326459</v>
      </c>
      <c r="K411" s="259">
        <v>0.000444859831943851</v>
      </c>
      <c r="L411" s="259">
        <v>0.00282345476744022</v>
      </c>
      <c r="M411" s="259">
        <v>0.000159394758059812</v>
      </c>
      <c r="N411" s="259">
        <v>0.000781912421666838</v>
      </c>
      <c r="O411" s="259">
        <v>1.02427382180235</v>
      </c>
      <c r="P411" s="259">
        <v>1.51864345913457</v>
      </c>
      <c r="Q411" s="259">
        <v>0.0162364401887205</v>
      </c>
      <c r="R411" s="259">
        <v>0.665593192134429</v>
      </c>
      <c r="S411" s="259">
        <v>0.0094337748829751</v>
      </c>
      <c r="T411" s="259">
        <v>0</v>
      </c>
      <c r="U411" s="259">
        <v>0</v>
      </c>
      <c r="V411" s="259">
        <v>0</v>
      </c>
      <c r="W411" s="259"/>
      <c r="X411" s="119"/>
      <c r="Y411" s="258"/>
      <c r="Z411" s="258"/>
      <c r="AA411" s="258"/>
      <c r="AB411" s="258"/>
      <c r="AC411" s="258"/>
      <c r="AD411" s="260"/>
      <c r="AE411" s="261"/>
    </row>
    <row r="412" ht="21.25" customHeight="1">
      <c r="A412" t="s" s="10">
        <v>786</v>
      </c>
      <c r="B412" t="s" s="256">
        <v>937</v>
      </c>
      <c r="C412" s="257">
        <v>26</v>
      </c>
      <c r="D412" t="s" s="256">
        <v>915</v>
      </c>
      <c r="E412" s="119">
        <v>77.405</v>
      </c>
      <c r="F412" s="258">
        <v>12.6733370376804</v>
      </c>
      <c r="G412" s="259">
        <v>0.115990986442373</v>
      </c>
      <c r="H412" s="259">
        <v>0.180779108849628</v>
      </c>
      <c r="I412" s="259">
        <v>0.296770095292001</v>
      </c>
      <c r="J412" s="259">
        <v>1.07982089100015</v>
      </c>
      <c r="K412" s="259">
        <v>0.000542162266257059</v>
      </c>
      <c r="L412" s="259">
        <v>0.00247558730782418</v>
      </c>
      <c r="M412" s="259">
        <v>0.0165699136723976</v>
      </c>
      <c r="N412" s="259">
        <v>0.0280227664379628</v>
      </c>
      <c r="O412" s="259">
        <v>0.389991686667356</v>
      </c>
      <c r="P412" s="259">
        <v>0.818979755381843</v>
      </c>
      <c r="Q412" s="259">
        <v>0.0480728477655526</v>
      </c>
      <c r="R412" s="259">
        <v>0.304646603981255</v>
      </c>
      <c r="S412" s="259">
        <v>0.018549129361664</v>
      </c>
      <c r="T412" s="259">
        <v>1.82134873090019</v>
      </c>
      <c r="U412" s="259">
        <v>2.03997971617619</v>
      </c>
      <c r="V412" s="259">
        <v>0.471689667393934</v>
      </c>
      <c r="W412" s="259"/>
      <c r="X412" s="119"/>
      <c r="Y412" s="258"/>
      <c r="Z412" s="258"/>
      <c r="AA412" s="258"/>
      <c r="AB412" s="258"/>
      <c r="AC412" s="258"/>
      <c r="AD412" s="260"/>
      <c r="AE412" s="261"/>
    </row>
    <row r="413" ht="21.25" customHeight="1">
      <c r="A413" t="s" s="10">
        <v>454</v>
      </c>
      <c r="B413" t="s" s="256">
        <v>926</v>
      </c>
      <c r="C413" s="257">
        <v>34</v>
      </c>
      <c r="D413" t="s" s="256">
        <v>918</v>
      </c>
      <c r="E413" s="119">
        <v>78.45</v>
      </c>
      <c r="F413" s="258">
        <v>21.4660344503513</v>
      </c>
      <c r="G413" s="259">
        <v>0.0419761295352197</v>
      </c>
      <c r="H413" s="259">
        <v>0.254159342525636</v>
      </c>
      <c r="I413" s="259">
        <v>0.296135472060856</v>
      </c>
      <c r="J413" s="259">
        <v>0.973044884251268</v>
      </c>
      <c r="K413" s="259">
        <v>0.000204895599503216</v>
      </c>
      <c r="L413" s="259">
        <v>0.00195232072831234</v>
      </c>
      <c r="M413" s="259">
        <v>0.000287145182996572</v>
      </c>
      <c r="N413" s="259">
        <v>0.00138202518477252</v>
      </c>
      <c r="O413" s="259">
        <v>2.46624896887405</v>
      </c>
      <c r="P413" s="259">
        <v>0.8226554121801199</v>
      </c>
      <c r="Q413" s="259">
        <v>0.0169329722857574</v>
      </c>
      <c r="R413" s="259">
        <v>0.384059675077064</v>
      </c>
      <c r="S413" s="259">
        <v>0.00671542827826941</v>
      </c>
      <c r="T413" s="259">
        <v>0</v>
      </c>
      <c r="U413" s="259">
        <v>0</v>
      </c>
      <c r="V413" s="259">
        <v>0</v>
      </c>
      <c r="W413" s="259"/>
      <c r="X413" s="119"/>
      <c r="Y413" s="258"/>
      <c r="Z413" s="258"/>
      <c r="AA413" s="258"/>
      <c r="AB413" s="258"/>
      <c r="AC413" s="258"/>
      <c r="AD413" s="260"/>
      <c r="AE413" s="261"/>
    </row>
    <row r="414" ht="21.25" customHeight="1">
      <c r="A414" t="s" s="10">
        <v>434</v>
      </c>
      <c r="B414" t="s" s="256">
        <v>942</v>
      </c>
      <c r="C414" s="257">
        <v>36</v>
      </c>
      <c r="D414" t="s" s="256">
        <v>918</v>
      </c>
      <c r="E414" s="119">
        <v>76.145</v>
      </c>
      <c r="F414" s="258">
        <v>18.6303841584965</v>
      </c>
      <c r="G414" s="259">
        <v>0.0435524271114337</v>
      </c>
      <c r="H414" s="259">
        <v>0.251346784156599</v>
      </c>
      <c r="I414" s="259">
        <v>0.294899211268033</v>
      </c>
      <c r="J414" s="259">
        <v>1.21118012111876</v>
      </c>
      <c r="K414" s="259">
        <v>0.00155113022541567</v>
      </c>
      <c r="L414" s="259">
        <v>0.0102024810956517</v>
      </c>
      <c r="M414" s="259">
        <v>0.000192653776025895</v>
      </c>
      <c r="N414" s="259">
        <v>0.00652211162226919</v>
      </c>
      <c r="O414" s="259">
        <v>1.68179000937765</v>
      </c>
      <c r="P414" s="259">
        <v>2.0279097699074</v>
      </c>
      <c r="Q414" s="259">
        <v>-0.0307032846974768</v>
      </c>
      <c r="R414" s="259">
        <v>0.455010157148805</v>
      </c>
      <c r="S414" s="259">
        <v>0.00598160641218201</v>
      </c>
      <c r="T414" s="259">
        <v>0</v>
      </c>
      <c r="U414" s="259">
        <v>0</v>
      </c>
      <c r="V414" s="259">
        <v>0</v>
      </c>
      <c r="W414" s="259"/>
      <c r="X414" s="119"/>
      <c r="Y414" s="258"/>
      <c r="Z414" s="258"/>
      <c r="AA414" s="258"/>
      <c r="AB414" s="258"/>
      <c r="AC414" s="258"/>
      <c r="AD414" s="260"/>
      <c r="AE414" s="261"/>
    </row>
    <row r="415" ht="21.25" customHeight="1">
      <c r="A415" t="s" s="10">
        <v>810</v>
      </c>
      <c r="B415" t="s" s="256">
        <v>954</v>
      </c>
      <c r="C415" s="257">
        <v>28</v>
      </c>
      <c r="D415" t="s" s="256">
        <v>915</v>
      </c>
      <c r="E415" s="119">
        <v>67.72499999999999</v>
      </c>
      <c r="F415" s="258">
        <v>13.4572841493242</v>
      </c>
      <c r="G415" s="259">
        <v>0.119154381470482</v>
      </c>
      <c r="H415" s="259">
        <v>0.174695589839687</v>
      </c>
      <c r="I415" s="259">
        <v>0.293849971310169</v>
      </c>
      <c r="J415" s="259">
        <v>1.05527807024907</v>
      </c>
      <c r="K415" s="259">
        <v>0.00618884669826416</v>
      </c>
      <c r="L415" s="259">
        <v>0.0178437283575058</v>
      </c>
      <c r="M415" s="259">
        <v>0.00694778159804128</v>
      </c>
      <c r="N415" s="259">
        <v>0.008681479023032099</v>
      </c>
      <c r="O415" s="259">
        <v>0.707520512931216</v>
      </c>
      <c r="P415" s="259">
        <v>0.637909216373844</v>
      </c>
      <c r="Q415" s="259">
        <v>-0.0697881083451824</v>
      </c>
      <c r="R415" s="259">
        <v>0.205133255375952</v>
      </c>
      <c r="S415" s="259">
        <v>0.0138101444560175</v>
      </c>
      <c r="T415" s="259">
        <v>6.04852410192601</v>
      </c>
      <c r="U415" s="259">
        <v>4.99266393221226</v>
      </c>
      <c r="V415" s="259">
        <v>0.547814608647599</v>
      </c>
      <c r="W415" s="259"/>
      <c r="X415" s="119"/>
      <c r="Y415" s="258"/>
      <c r="Z415" s="258"/>
      <c r="AA415" s="258"/>
      <c r="AB415" s="258"/>
      <c r="AC415" s="258"/>
      <c r="AD415" s="260"/>
      <c r="AE415" s="261"/>
    </row>
    <row r="416" ht="21.25" customHeight="1">
      <c r="A416" t="s" s="10">
        <v>821</v>
      </c>
      <c r="B416" t="s" s="256">
        <v>926</v>
      </c>
      <c r="C416" s="257">
        <v>25</v>
      </c>
      <c r="D416" t="s" s="256">
        <v>918</v>
      </c>
      <c r="E416" s="119">
        <v>58.85</v>
      </c>
      <c r="F416" s="258">
        <v>14.8898334439339</v>
      </c>
      <c r="G416" s="259">
        <v>0.0511783067631492</v>
      </c>
      <c r="H416" s="259">
        <v>0.24161495917652</v>
      </c>
      <c r="I416" s="259">
        <v>0.292793265939669</v>
      </c>
      <c r="J416" s="259">
        <v>0.876697792860254</v>
      </c>
      <c r="K416" s="259">
        <v>0.001540268413074</v>
      </c>
      <c r="L416" s="259">
        <v>0.0363301093651199</v>
      </c>
      <c r="M416" s="259">
        <v>6.87124915287808e-05</v>
      </c>
      <c r="N416" s="259">
        <v>0.000337221510976271</v>
      </c>
      <c r="O416" s="259">
        <v>1.02958525211832</v>
      </c>
      <c r="P416" s="259">
        <v>1.30258116508672</v>
      </c>
      <c r="Q416" s="259">
        <v>0.082659365431655</v>
      </c>
      <c r="R416" s="259">
        <v>0.415048936432771</v>
      </c>
      <c r="S416" s="259">
        <v>0.00818761168017727</v>
      </c>
      <c r="T416" s="259">
        <v>0</v>
      </c>
      <c r="U416" s="259">
        <v>0</v>
      </c>
      <c r="V416" s="259">
        <v>0</v>
      </c>
      <c r="W416" s="259"/>
      <c r="X416" s="119"/>
      <c r="Y416" s="258"/>
      <c r="Z416" s="258"/>
      <c r="AA416" s="258"/>
      <c r="AB416" s="258"/>
      <c r="AC416" s="258"/>
      <c r="AD416" s="260"/>
      <c r="AE416" s="261"/>
    </row>
    <row r="417" ht="21.25" customHeight="1">
      <c r="A417" t="s" s="10">
        <v>717</v>
      </c>
      <c r="B417" t="s" s="256">
        <v>939</v>
      </c>
      <c r="C417" s="257">
        <v>26</v>
      </c>
      <c r="D417" t="s" s="256">
        <v>915</v>
      </c>
      <c r="E417" s="119">
        <v>77.1425</v>
      </c>
      <c r="F417" s="258">
        <v>11.7675805752599</v>
      </c>
      <c r="G417" s="259">
        <v>0.115341675647416</v>
      </c>
      <c r="H417" s="259">
        <v>0.177306174795127</v>
      </c>
      <c r="I417" s="259">
        <v>0.292647850442543</v>
      </c>
      <c r="J417" s="259">
        <v>1.20878085730218</v>
      </c>
      <c r="K417" s="259">
        <v>0.00088057105644146</v>
      </c>
      <c r="L417" s="259">
        <v>0.002045880741715</v>
      </c>
      <c r="M417" s="259">
        <v>0.0116439512348559</v>
      </c>
      <c r="N417" s="259">
        <v>0.0268586903004829</v>
      </c>
      <c r="O417" s="259">
        <v>0.45632401709877</v>
      </c>
      <c r="P417" s="259">
        <v>1.12797899165138</v>
      </c>
      <c r="Q417" s="259">
        <v>0.0281439512683327</v>
      </c>
      <c r="R417" s="259">
        <v>0.430275069389289</v>
      </c>
      <c r="S417" s="259">
        <v>0.0170985847437151</v>
      </c>
      <c r="T417" s="259">
        <v>3.42510368305643</v>
      </c>
      <c r="U417" s="259">
        <v>3.44378318797371</v>
      </c>
      <c r="V417" s="259">
        <v>0.49864028151373</v>
      </c>
      <c r="W417" s="259"/>
      <c r="X417" s="119"/>
      <c r="Y417" s="258"/>
      <c r="Z417" s="258"/>
      <c r="AA417" s="258"/>
      <c r="AB417" s="258"/>
      <c r="AC417" s="258"/>
      <c r="AD417" s="260"/>
      <c r="AE417" s="261"/>
    </row>
    <row r="418" ht="21.25" customHeight="1">
      <c r="A418" t="s" s="10">
        <v>567</v>
      </c>
      <c r="B418" t="s" s="256">
        <v>955</v>
      </c>
      <c r="C418" s="257">
        <v>32</v>
      </c>
      <c r="D418" t="s" s="256">
        <v>916</v>
      </c>
      <c r="E418" s="119">
        <v>73.98999999999999</v>
      </c>
      <c r="F418" s="258">
        <v>14.0428909123642</v>
      </c>
      <c r="G418" s="259">
        <v>0.128564931779995</v>
      </c>
      <c r="H418" s="259">
        <v>0.16389881387371</v>
      </c>
      <c r="I418" s="259">
        <v>0.292463745653705</v>
      </c>
      <c r="J418" s="259">
        <v>1.16538758493755</v>
      </c>
      <c r="K418" s="259">
        <v>0.00115666532631745</v>
      </c>
      <c r="L418" s="259">
        <v>0.00217336884582668</v>
      </c>
      <c r="M418" s="259">
        <v>0.00772457958226337</v>
      </c>
      <c r="N418" s="259">
        <v>0.0164283290200296</v>
      </c>
      <c r="O418" s="259">
        <v>0.854925225405601</v>
      </c>
      <c r="P418" s="259">
        <v>2.0368245352158</v>
      </c>
      <c r="Q418" s="259">
        <v>-0.0184573003111873</v>
      </c>
      <c r="R418" s="259">
        <v>0.519331885089676</v>
      </c>
      <c r="S418" s="259">
        <v>0.0195222854439709</v>
      </c>
      <c r="T418" s="259">
        <v>0.0942022151018518</v>
      </c>
      <c r="U418" s="259">
        <v>0.292026657051643</v>
      </c>
      <c r="V418" s="259">
        <v>0.243902571489824</v>
      </c>
      <c r="W418" s="259"/>
      <c r="X418" s="119"/>
      <c r="Y418" s="258"/>
      <c r="Z418" s="258"/>
      <c r="AA418" s="258"/>
      <c r="AB418" s="258"/>
      <c r="AC418" s="258"/>
      <c r="AD418" s="260"/>
      <c r="AE418" s="261"/>
    </row>
    <row r="419" ht="21.25" customHeight="1">
      <c r="A419" t="s" s="10">
        <v>784</v>
      </c>
      <c r="B419" t="s" s="256">
        <v>948</v>
      </c>
      <c r="C419" s="257">
        <v>28</v>
      </c>
      <c r="D419" t="s" s="256">
        <v>917</v>
      </c>
      <c r="E419" s="119">
        <v>77.9325</v>
      </c>
      <c r="F419" s="258">
        <v>12.5745320463672</v>
      </c>
      <c r="G419" s="259">
        <v>0.103553496049427</v>
      </c>
      <c r="H419" s="259">
        <v>0.188538670985127</v>
      </c>
      <c r="I419" s="259">
        <v>0.292092167034554</v>
      </c>
      <c r="J419" s="259">
        <v>1.31108766431351</v>
      </c>
      <c r="K419" s="259">
        <v>0.00676100251177634</v>
      </c>
      <c r="L419" s="259">
        <v>0.0188040676695131</v>
      </c>
      <c r="M419" s="259">
        <v>0.00526197494879813</v>
      </c>
      <c r="N419" s="259">
        <v>0.008873005045904089</v>
      </c>
      <c r="O419" s="259">
        <v>0.342446699454215</v>
      </c>
      <c r="P419" s="259">
        <v>1.013127800084</v>
      </c>
      <c r="Q419" s="259">
        <v>-0.0619865063957885</v>
      </c>
      <c r="R419" s="259">
        <v>0.240207242704824</v>
      </c>
      <c r="S419" s="259">
        <v>0.0124672292695064</v>
      </c>
      <c r="T419" s="259">
        <v>0.181149618426592</v>
      </c>
      <c r="U419" s="259">
        <v>0.30340256909122</v>
      </c>
      <c r="V419" s="259">
        <v>0.373849552417783</v>
      </c>
      <c r="W419" s="259"/>
      <c r="X419" s="119"/>
      <c r="Y419" s="258"/>
      <c r="Z419" s="258"/>
      <c r="AA419" s="258"/>
      <c r="AB419" s="258"/>
      <c r="AC419" s="258"/>
      <c r="AD419" s="260"/>
      <c r="AE419" s="261"/>
    </row>
    <row r="420" ht="21.25" customHeight="1">
      <c r="A420" t="s" s="10">
        <v>806</v>
      </c>
      <c r="B420" t="s" s="256">
        <v>945</v>
      </c>
      <c r="C420" s="257">
        <v>27</v>
      </c>
      <c r="D420" t="s" s="256">
        <v>918</v>
      </c>
      <c r="E420" s="119">
        <v>57.96</v>
      </c>
      <c r="F420" s="258">
        <v>18.4149593834939</v>
      </c>
      <c r="G420" s="259">
        <v>0.08793479730113909</v>
      </c>
      <c r="H420" s="259">
        <v>0.203539723018725</v>
      </c>
      <c r="I420" s="259">
        <v>0.291474520319864</v>
      </c>
      <c r="J420" s="259">
        <v>1.61138442197088</v>
      </c>
      <c r="K420" s="259">
        <v>0.00666206935460203</v>
      </c>
      <c r="L420" s="259">
        <v>0.0407974357838333</v>
      </c>
      <c r="M420" s="259">
        <v>0.000186244008732288</v>
      </c>
      <c r="N420" s="259">
        <v>0.000920723321815529</v>
      </c>
      <c r="O420" s="259">
        <v>1.3514595680117</v>
      </c>
      <c r="P420" s="259">
        <v>0.7656127399434</v>
      </c>
      <c r="Q420" s="259">
        <v>0.0053402205465509</v>
      </c>
      <c r="R420" s="259">
        <v>0.365377489798084</v>
      </c>
      <c r="S420" s="259">
        <v>0.0127754996000229</v>
      </c>
      <c r="T420" s="259">
        <v>0</v>
      </c>
      <c r="U420" s="259">
        <v>0</v>
      </c>
      <c r="V420" s="259">
        <v>0</v>
      </c>
      <c r="W420" s="259"/>
      <c r="X420" s="119"/>
      <c r="Y420" s="258"/>
      <c r="Z420" s="258"/>
      <c r="AA420" s="258"/>
      <c r="AB420" s="258"/>
      <c r="AC420" s="258"/>
      <c r="AD420" s="260"/>
      <c r="AE420" s="261"/>
    </row>
    <row r="421" ht="21.25" customHeight="1">
      <c r="A421" t="s" s="10">
        <v>465</v>
      </c>
      <c r="B421" t="s" s="256">
        <v>949</v>
      </c>
      <c r="C421" s="257">
        <v>29</v>
      </c>
      <c r="D421" t="s" s="256">
        <v>918</v>
      </c>
      <c r="E421" s="119">
        <v>75.5025</v>
      </c>
      <c r="F421" s="258">
        <v>18.9480444415257</v>
      </c>
      <c r="G421" s="259">
        <v>0.08368225426474429</v>
      </c>
      <c r="H421" s="259">
        <v>0.206468651553532</v>
      </c>
      <c r="I421" s="259">
        <v>0.290150905818276</v>
      </c>
      <c r="J421" s="259">
        <v>1.69516003689115</v>
      </c>
      <c r="K421" s="259">
        <v>0.0012002135612063</v>
      </c>
      <c r="L421" s="259">
        <v>0.0156557946099172</v>
      </c>
      <c r="M421" s="259">
        <v>0.013789699467767</v>
      </c>
      <c r="N421" s="259">
        <v>0.0223872244258215</v>
      </c>
      <c r="O421" s="259">
        <v>1.62507414846338</v>
      </c>
      <c r="P421" s="259">
        <v>1.46018820350988</v>
      </c>
      <c r="Q421" s="259">
        <v>0.011625624269343</v>
      </c>
      <c r="R421" s="259">
        <v>0.584966419733955</v>
      </c>
      <c r="S421" s="259">
        <v>0.0145009284818186</v>
      </c>
      <c r="T421" s="259">
        <v>0</v>
      </c>
      <c r="U421" s="259">
        <v>0</v>
      </c>
      <c r="V421" s="259">
        <v>0</v>
      </c>
      <c r="W421" s="259"/>
      <c r="X421" s="119"/>
      <c r="Y421" s="258"/>
      <c r="Z421" s="258"/>
      <c r="AA421" s="258"/>
      <c r="AB421" s="258"/>
      <c r="AC421" s="258"/>
      <c r="AD421" s="260"/>
      <c r="AE421" s="261"/>
    </row>
    <row r="422" ht="21.25" customHeight="1">
      <c r="A422" t="s" s="10">
        <v>720</v>
      </c>
      <c r="B422" t="s" s="256">
        <v>941</v>
      </c>
      <c r="C422" s="257">
        <v>26</v>
      </c>
      <c r="D422" t="s" s="256">
        <v>915</v>
      </c>
      <c r="E422" s="119">
        <v>72.905</v>
      </c>
      <c r="F422" s="258">
        <v>12.4523708187329</v>
      </c>
      <c r="G422" s="259">
        <v>0.123324340199871</v>
      </c>
      <c r="H422" s="259">
        <v>0.164719861304051</v>
      </c>
      <c r="I422" s="259">
        <v>0.288044201503922</v>
      </c>
      <c r="J422" s="259">
        <v>1.01880087506511</v>
      </c>
      <c r="K422" s="259">
        <v>0.00118832591689483</v>
      </c>
      <c r="L422" s="259">
        <v>0.0024211764870595</v>
      </c>
      <c r="M422" s="259">
        <v>0.009698306654372541</v>
      </c>
      <c r="N422" s="259">
        <v>0.0166312283634007</v>
      </c>
      <c r="O422" s="259">
        <v>0.635538228839604</v>
      </c>
      <c r="P422" s="259">
        <v>1.27287458893566</v>
      </c>
      <c r="Q422" s="259">
        <v>0.00575099394566723</v>
      </c>
      <c r="R422" s="259">
        <v>0.498362151966617</v>
      </c>
      <c r="S422" s="259">
        <v>0.0187577911045424</v>
      </c>
      <c r="T422" s="259">
        <v>2.33486334267694</v>
      </c>
      <c r="U422" s="259">
        <v>2.56706564032324</v>
      </c>
      <c r="V422" s="259">
        <v>0.476315211985775</v>
      </c>
      <c r="W422" s="259"/>
      <c r="X422" s="119"/>
      <c r="Y422" s="258"/>
      <c r="Z422" s="258"/>
      <c r="AA422" s="258"/>
      <c r="AB422" s="258"/>
      <c r="AC422" s="258"/>
      <c r="AD422" s="260"/>
      <c r="AE422" s="261"/>
    </row>
    <row r="423" ht="21.25" customHeight="1">
      <c r="A423" t="s" s="10">
        <v>780</v>
      </c>
      <c r="B423" t="s" s="256">
        <v>954</v>
      </c>
      <c r="C423" s="257">
        <v>25</v>
      </c>
      <c r="D423" t="s" s="256">
        <v>916</v>
      </c>
      <c r="E423" s="119">
        <v>62.9625</v>
      </c>
      <c r="F423" s="258">
        <v>12.3295335967577</v>
      </c>
      <c r="G423" s="259">
        <v>0.129493851478985</v>
      </c>
      <c r="H423" s="259">
        <v>0.158140834061059</v>
      </c>
      <c r="I423" s="259">
        <v>0.287634685540044</v>
      </c>
      <c r="J423" s="259">
        <v>0.810511063920119</v>
      </c>
      <c r="K423" s="259">
        <v>0.00683005821157628</v>
      </c>
      <c r="L423" s="259">
        <v>0.0106721904846808</v>
      </c>
      <c r="M423" s="259">
        <v>0.00928769236889956</v>
      </c>
      <c r="N423" s="259">
        <v>0.0230428844374221</v>
      </c>
      <c r="O423" s="259">
        <v>0.963892763044874</v>
      </c>
      <c r="P423" s="259">
        <v>1.23015896000504</v>
      </c>
      <c r="Q423" s="259">
        <v>-0.0473201855964595</v>
      </c>
      <c r="R423" s="259">
        <v>0.22683327084196</v>
      </c>
      <c r="S423" s="259">
        <v>0.0150085021886827</v>
      </c>
      <c r="T423" s="259">
        <v>0.121161782664056</v>
      </c>
      <c r="U423" s="259">
        <v>0.60813579996783</v>
      </c>
      <c r="V423" s="259">
        <v>0.166134902335488</v>
      </c>
      <c r="W423" s="259"/>
      <c r="X423" s="119"/>
      <c r="Y423" s="258"/>
      <c r="Z423" s="258"/>
      <c r="AA423" s="258"/>
      <c r="AB423" s="258"/>
      <c r="AC423" s="258"/>
      <c r="AD423" s="260"/>
      <c r="AE423" s="261"/>
    </row>
    <row r="424" ht="21.25" customHeight="1">
      <c r="A424" t="s" s="10">
        <v>693</v>
      </c>
      <c r="B424" t="s" s="256">
        <v>950</v>
      </c>
      <c r="C424" s="257">
        <v>22</v>
      </c>
      <c r="D424" t="s" s="256">
        <v>917</v>
      </c>
      <c r="E424" s="119">
        <v>80.61499999999999</v>
      </c>
      <c r="F424" s="258">
        <v>12.3957657527663</v>
      </c>
      <c r="G424" s="259">
        <v>0.14890212145182</v>
      </c>
      <c r="H424" s="259">
        <v>0.137402452866761</v>
      </c>
      <c r="I424" s="259">
        <v>0.286304574318581</v>
      </c>
      <c r="J424" s="259">
        <v>1.62565514976943</v>
      </c>
      <c r="K424" s="259">
        <v>0.00286253371834113</v>
      </c>
      <c r="L424" s="259">
        <v>0.0136949837147668</v>
      </c>
      <c r="M424" s="259">
        <v>0.00480908241418691</v>
      </c>
      <c r="N424" s="259">
        <v>0.00822054157994462</v>
      </c>
      <c r="O424" s="259">
        <v>0.361167065298432</v>
      </c>
      <c r="P424" s="259">
        <v>1.24548863599113</v>
      </c>
      <c r="Q424" s="259">
        <v>-0.000942060832428882</v>
      </c>
      <c r="R424" s="259">
        <v>0.495137708953099</v>
      </c>
      <c r="S424" s="259">
        <v>0.0265360957839986</v>
      </c>
      <c r="T424" s="259">
        <v>0.08103320906739241</v>
      </c>
      <c r="U424" s="259">
        <v>0.0694570363434794</v>
      </c>
      <c r="V424" s="259">
        <v>0.538461538461538</v>
      </c>
      <c r="W424" s="259"/>
      <c r="X424" s="119"/>
      <c r="Y424" s="258"/>
      <c r="Z424" s="258"/>
      <c r="AA424" s="258"/>
      <c r="AB424" s="258"/>
      <c r="AC424" s="258"/>
      <c r="AD424" s="260"/>
      <c r="AE424" s="261"/>
    </row>
    <row r="425" ht="21.25" customHeight="1">
      <c r="A425" t="s" s="10">
        <v>422</v>
      </c>
      <c r="B425" t="s" s="256">
        <v>925</v>
      </c>
      <c r="C425" s="257">
        <v>32</v>
      </c>
      <c r="D425" t="s" s="256">
        <v>918</v>
      </c>
      <c r="E425" s="119">
        <v>71.9025</v>
      </c>
      <c r="F425" s="258">
        <v>18.6244521953179</v>
      </c>
      <c r="G425" s="259">
        <v>0.0804559887719497</v>
      </c>
      <c r="H425" s="259">
        <v>0.205134407221097</v>
      </c>
      <c r="I425" s="259">
        <v>0.285590395993047</v>
      </c>
      <c r="J425" s="259">
        <v>1.54118267855709</v>
      </c>
      <c r="K425" s="259">
        <v>0.000222058894645136</v>
      </c>
      <c r="L425" s="259">
        <v>0.00142828169358292</v>
      </c>
      <c r="M425" s="259">
        <v>0.000435708891660561</v>
      </c>
      <c r="N425" s="259">
        <v>0.00799413708764319</v>
      </c>
      <c r="O425" s="259">
        <v>1.50793166291738</v>
      </c>
      <c r="P425" s="259">
        <v>2.50624844324948</v>
      </c>
      <c r="Q425" s="259">
        <v>0.0435354094791271</v>
      </c>
      <c r="R425" s="259">
        <v>0.945953376780582</v>
      </c>
      <c r="S425" s="259">
        <v>0.0120209819515928</v>
      </c>
      <c r="T425" s="259">
        <v>0</v>
      </c>
      <c r="U425" s="259">
        <v>0.0108810598682763</v>
      </c>
      <c r="V425" s="259">
        <v>0</v>
      </c>
      <c r="W425" s="259"/>
      <c r="X425" s="119"/>
      <c r="Y425" s="258"/>
      <c r="Z425" s="258"/>
      <c r="AA425" s="258"/>
      <c r="AB425" s="258"/>
      <c r="AC425" s="258"/>
      <c r="AD425" s="260"/>
      <c r="AE425" s="261"/>
    </row>
    <row r="426" ht="21.25" customHeight="1">
      <c r="A426" t="s" s="10">
        <v>814</v>
      </c>
      <c r="B426" t="s" s="256">
        <v>936</v>
      </c>
      <c r="C426" s="257">
        <v>23</v>
      </c>
      <c r="D426" t="s" s="256">
        <v>917</v>
      </c>
      <c r="E426" s="119">
        <v>73.1875</v>
      </c>
      <c r="F426" s="258">
        <v>12.787452293363</v>
      </c>
      <c r="G426" s="259">
        <v>0.162537048247513</v>
      </c>
      <c r="H426" s="259">
        <v>0.122993465654646</v>
      </c>
      <c r="I426" s="259">
        <v>0.285530513902159</v>
      </c>
      <c r="J426" s="259">
        <v>0.992692201748911</v>
      </c>
      <c r="K426" s="259">
        <v>0.000766439339112816</v>
      </c>
      <c r="L426" s="259">
        <v>0.00179724831662126</v>
      </c>
      <c r="M426" s="259">
        <v>0.0513603596996487</v>
      </c>
      <c r="N426" s="259">
        <v>0.0748475996086253</v>
      </c>
      <c r="O426" s="259">
        <v>0.574583884475648</v>
      </c>
      <c r="P426" s="259">
        <v>0.382166063519952</v>
      </c>
      <c r="Q426" s="259">
        <v>-0.00064724324849543</v>
      </c>
      <c r="R426" s="259">
        <v>0.197429607710329</v>
      </c>
      <c r="S426" s="259">
        <v>0.0255441499296329</v>
      </c>
      <c r="T426" s="259">
        <v>0.048723391548302</v>
      </c>
      <c r="U426" s="259">
        <v>0.176660962101064</v>
      </c>
      <c r="V426" s="259">
        <v>0.216179121395897</v>
      </c>
      <c r="W426" s="259"/>
      <c r="X426" s="119"/>
      <c r="Y426" s="258"/>
      <c r="Z426" s="258"/>
      <c r="AA426" s="258"/>
      <c r="AB426" s="258"/>
      <c r="AC426" s="258"/>
      <c r="AD426" s="260"/>
      <c r="AE426" s="261"/>
    </row>
    <row r="427" ht="21.25" customHeight="1">
      <c r="A427" t="s" s="10">
        <v>504</v>
      </c>
      <c r="B427" t="s" s="256">
        <v>959</v>
      </c>
      <c r="C427" s="257">
        <v>30</v>
      </c>
      <c r="D427" t="s" s="256">
        <v>918</v>
      </c>
      <c r="E427" s="119">
        <v>80.82250000000001</v>
      </c>
      <c r="F427" s="258">
        <v>20.9636927997531</v>
      </c>
      <c r="G427" s="259">
        <v>0.0465642324661175</v>
      </c>
      <c r="H427" s="259">
        <v>0.238580980787716</v>
      </c>
      <c r="I427" s="259">
        <v>0.285145213253834</v>
      </c>
      <c r="J427" s="259">
        <v>1.24388177766526</v>
      </c>
      <c r="K427" s="259">
        <v>0.000274338338755264</v>
      </c>
      <c r="L427" s="259">
        <v>0.0018342731239564</v>
      </c>
      <c r="M427" s="259">
        <v>0.000309573807555381</v>
      </c>
      <c r="N427" s="259">
        <v>0.0121452578976754</v>
      </c>
      <c r="O427" s="259">
        <v>1.49580749106556</v>
      </c>
      <c r="P427" s="259">
        <v>1.42076220947374</v>
      </c>
      <c r="Q427" s="259">
        <v>0.0704684877082674</v>
      </c>
      <c r="R427" s="259">
        <v>0.233215775434926</v>
      </c>
      <c r="S427" s="259">
        <v>0.00497353148642668</v>
      </c>
      <c r="T427" s="259">
        <v>0</v>
      </c>
      <c r="U427" s="259">
        <v>0</v>
      </c>
      <c r="V427" s="259">
        <v>0</v>
      </c>
      <c r="W427" s="259"/>
      <c r="X427" s="119"/>
      <c r="Y427" s="258"/>
      <c r="Z427" s="258"/>
      <c r="AA427" s="258"/>
      <c r="AB427" s="258"/>
      <c r="AC427" s="258"/>
      <c r="AD427" s="260"/>
      <c r="AE427" s="261"/>
    </row>
    <row r="428" ht="21.25" customHeight="1">
      <c r="A428" t="s" s="10">
        <v>591</v>
      </c>
      <c r="B428" t="s" s="256">
        <v>947</v>
      </c>
      <c r="C428" s="257">
        <v>23</v>
      </c>
      <c r="D428" t="s" s="256">
        <v>918</v>
      </c>
      <c r="E428" s="119">
        <v>74.47750000000001</v>
      </c>
      <c r="F428" s="258">
        <v>21.7218772267429</v>
      </c>
      <c r="G428" s="259">
        <v>0.049269223908488</v>
      </c>
      <c r="H428" s="259">
        <v>0.235580240679031</v>
      </c>
      <c r="I428" s="259">
        <v>0.284849464587519</v>
      </c>
      <c r="J428" s="259">
        <v>1.06769620146264</v>
      </c>
      <c r="K428" s="259">
        <v>0.00293515663276237</v>
      </c>
      <c r="L428" s="259">
        <v>0.0357245903579446</v>
      </c>
      <c r="M428" s="259">
        <v>0.000717177068063768</v>
      </c>
      <c r="N428" s="259">
        <v>0.00300610998741623</v>
      </c>
      <c r="O428" s="259">
        <v>1.92362890155052</v>
      </c>
      <c r="P428" s="259">
        <v>0.923644805587448</v>
      </c>
      <c r="Q428" s="259">
        <v>-0.0604661700787383</v>
      </c>
      <c r="R428" s="259">
        <v>0.45998774839652</v>
      </c>
      <c r="S428" s="259">
        <v>0.00636732023876972</v>
      </c>
      <c r="T428" s="259">
        <v>0</v>
      </c>
      <c r="U428" s="259">
        <v>0</v>
      </c>
      <c r="V428" s="259">
        <v>0</v>
      </c>
      <c r="W428" s="259"/>
      <c r="X428" s="119"/>
      <c r="Y428" s="258"/>
      <c r="Z428" s="258"/>
      <c r="AA428" s="258"/>
      <c r="AB428" s="258"/>
      <c r="AC428" s="258"/>
      <c r="AD428" s="260"/>
      <c r="AE428" s="261"/>
    </row>
    <row r="429" ht="21.25" customHeight="1">
      <c r="A429" t="s" s="10">
        <v>373</v>
      </c>
      <c r="B429" t="s" s="256">
        <v>955</v>
      </c>
      <c r="C429" s="257">
        <v>31</v>
      </c>
      <c r="D429" t="s" s="256">
        <v>918</v>
      </c>
      <c r="E429" s="119">
        <v>81.85250000000001</v>
      </c>
      <c r="F429" s="258">
        <v>21.626043998118</v>
      </c>
      <c r="G429" s="259">
        <v>0.0692511465963825</v>
      </c>
      <c r="H429" s="259">
        <v>0.214951376421082</v>
      </c>
      <c r="I429" s="259">
        <v>0.284202523017465</v>
      </c>
      <c r="J429" s="259">
        <v>1.48093495000153</v>
      </c>
      <c r="K429" s="259">
        <v>0.000196107753696366</v>
      </c>
      <c r="L429" s="259">
        <v>0.00158551849312788</v>
      </c>
      <c r="M429" s="259">
        <v>0.000345057453001721</v>
      </c>
      <c r="N429" s="259">
        <v>0.0072302191331057</v>
      </c>
      <c r="O429" s="259">
        <v>1.82282080950343</v>
      </c>
      <c r="P429" s="259">
        <v>1.87998057201377</v>
      </c>
      <c r="Q429" s="259">
        <v>-0.00736736423933298</v>
      </c>
      <c r="R429" s="259">
        <v>0.557846584628677</v>
      </c>
      <c r="S429" s="259">
        <v>0.0105156253144547</v>
      </c>
      <c r="T429" s="259">
        <v>7.158869492940531e-15</v>
      </c>
      <c r="U429" s="259">
        <v>3.13936454172431e-07</v>
      </c>
      <c r="V429" s="259">
        <v>2.28035617862995e-08</v>
      </c>
      <c r="W429" s="259"/>
      <c r="X429" s="119"/>
      <c r="Y429" s="259"/>
      <c r="Z429" s="259"/>
      <c r="AA429" s="259"/>
      <c r="AB429" s="259"/>
      <c r="AC429" s="258"/>
      <c r="AD429" s="260"/>
      <c r="AE429" s="261"/>
    </row>
    <row r="430" ht="21.25" customHeight="1">
      <c r="A430" t="s" s="10">
        <v>467</v>
      </c>
      <c r="B430" t="s" s="256">
        <v>940</v>
      </c>
      <c r="C430" s="257">
        <v>28</v>
      </c>
      <c r="D430" t="s" s="256">
        <v>918</v>
      </c>
      <c r="E430" s="119">
        <v>75.63500000000001</v>
      </c>
      <c r="F430" s="258">
        <v>20.7529396361009</v>
      </c>
      <c r="G430" s="259">
        <v>0.0657749574453038</v>
      </c>
      <c r="H430" s="259">
        <v>0.217039995973185</v>
      </c>
      <c r="I430" s="259">
        <v>0.282814953418489</v>
      </c>
      <c r="J430" s="259">
        <v>1.13081669445015</v>
      </c>
      <c r="K430" s="259">
        <v>0.000461699082269645</v>
      </c>
      <c r="L430" s="259">
        <v>0.00298073570340313</v>
      </c>
      <c r="M430" s="259">
        <v>0.000430352293475765</v>
      </c>
      <c r="N430" s="259">
        <v>0.00185940379026857</v>
      </c>
      <c r="O430" s="259">
        <v>1.68176595719695</v>
      </c>
      <c r="P430" s="259">
        <v>1.89729465274741</v>
      </c>
      <c r="Q430" s="259">
        <v>-0.00208376277592116</v>
      </c>
      <c r="R430" s="259">
        <v>0.592724243394127</v>
      </c>
      <c r="S430" s="259">
        <v>0.0102124987297711</v>
      </c>
      <c r="T430" s="259">
        <v>0</v>
      </c>
      <c r="U430" s="259">
        <v>0</v>
      </c>
      <c r="V430" s="259">
        <v>0</v>
      </c>
      <c r="W430" s="259"/>
      <c r="X430" s="119"/>
      <c r="Y430" s="258"/>
      <c r="Z430" s="258"/>
      <c r="AA430" s="258"/>
      <c r="AB430" s="258"/>
      <c r="AC430" s="258"/>
      <c r="AD430" s="260"/>
      <c r="AE430" s="261"/>
    </row>
    <row r="431" ht="21.25" customHeight="1">
      <c r="A431" t="s" s="10">
        <v>734</v>
      </c>
      <c r="B431" t="s" s="256">
        <v>928</v>
      </c>
      <c r="C431" s="257">
        <v>23</v>
      </c>
      <c r="D431" t="s" s="256">
        <v>918</v>
      </c>
      <c r="E431" s="119">
        <v>65.015</v>
      </c>
      <c r="F431" s="258">
        <v>16.6723216680212</v>
      </c>
      <c r="G431" s="259">
        <v>0.0735053988283127</v>
      </c>
      <c r="H431" s="259">
        <v>0.209111775167862</v>
      </c>
      <c r="I431" s="259">
        <v>0.282617173996175</v>
      </c>
      <c r="J431" s="259">
        <v>1.07147242803918</v>
      </c>
      <c r="K431" s="259">
        <v>0.0101104567949072</v>
      </c>
      <c r="L431" s="259">
        <v>0.0392212369578008</v>
      </c>
      <c r="M431" s="259">
        <v>0.000161211442185945</v>
      </c>
      <c r="N431" s="259">
        <v>0.000795140585825969</v>
      </c>
      <c r="O431" s="259">
        <v>1.41340976769363</v>
      </c>
      <c r="P431" s="259">
        <v>1.11197286922559</v>
      </c>
      <c r="Q431" s="259">
        <v>0.0108717698910083</v>
      </c>
      <c r="R431" s="259">
        <v>0.420168243480602</v>
      </c>
      <c r="S431" s="259">
        <v>0.0114487391581918</v>
      </c>
      <c r="T431" s="259">
        <v>0</v>
      </c>
      <c r="U431" s="259">
        <v>0</v>
      </c>
      <c r="V431" s="259">
        <v>0</v>
      </c>
      <c r="W431" s="259"/>
      <c r="X431" s="119"/>
      <c r="Y431" s="258"/>
      <c r="Z431" s="258"/>
      <c r="AA431" s="258"/>
      <c r="AB431" s="258"/>
      <c r="AC431" s="258"/>
      <c r="AD431" s="260"/>
      <c r="AE431" s="261"/>
    </row>
    <row r="432" ht="21.25" customHeight="1">
      <c r="A432" t="s" s="10">
        <v>635</v>
      </c>
      <c r="B432" t="s" s="256">
        <v>935</v>
      </c>
      <c r="C432" s="257">
        <v>29</v>
      </c>
      <c r="D432" t="s" s="256">
        <v>917</v>
      </c>
      <c r="E432" s="119">
        <v>65.56999999999999</v>
      </c>
      <c r="F432" s="258">
        <v>11.2592020261244</v>
      </c>
      <c r="G432" s="259">
        <v>0.114499331477379</v>
      </c>
      <c r="H432" s="259">
        <v>0.167453315729001</v>
      </c>
      <c r="I432" s="259">
        <v>0.28195264720638</v>
      </c>
      <c r="J432" s="259">
        <v>1.41682480223635</v>
      </c>
      <c r="K432" s="259">
        <v>0.00137557972248189</v>
      </c>
      <c r="L432" s="259">
        <v>0.00309571348153588</v>
      </c>
      <c r="M432" s="259">
        <v>0.00114929537595103</v>
      </c>
      <c r="N432" s="259">
        <v>0.00197322548295364</v>
      </c>
      <c r="O432" s="259">
        <v>0.354688046115535</v>
      </c>
      <c r="P432" s="259">
        <v>2.83888590918528</v>
      </c>
      <c r="Q432" s="259">
        <v>0.039558184214443</v>
      </c>
      <c r="R432" s="259">
        <v>0.484671654949551</v>
      </c>
      <c r="S432" s="259">
        <v>0.0195535321272096</v>
      </c>
      <c r="T432" s="259">
        <v>0.216176202481327</v>
      </c>
      <c r="U432" s="259">
        <v>0.183738550457423</v>
      </c>
      <c r="V432" s="259">
        <v>0.540555708167226</v>
      </c>
      <c r="W432" s="259"/>
      <c r="X432" s="119"/>
      <c r="Y432" s="258"/>
      <c r="Z432" s="258"/>
      <c r="AA432" s="258"/>
      <c r="AB432" s="258"/>
      <c r="AC432" s="258"/>
      <c r="AD432" s="260"/>
      <c r="AE432" s="261"/>
    </row>
    <row r="433" ht="21.25" customHeight="1">
      <c r="A433" t="s" s="10">
        <v>843</v>
      </c>
      <c r="B433" t="s" s="256">
        <v>936</v>
      </c>
      <c r="C433" s="257">
        <v>29</v>
      </c>
      <c r="D433" t="s" s="256">
        <v>917</v>
      </c>
      <c r="E433" s="119">
        <v>63.825</v>
      </c>
      <c r="F433" s="258">
        <v>11.3208899608083</v>
      </c>
      <c r="G433" s="259">
        <v>0.113414416688533</v>
      </c>
      <c r="H433" s="259">
        <v>0.168283823477809</v>
      </c>
      <c r="I433" s="259">
        <v>0.281698240166342</v>
      </c>
      <c r="J433" s="259">
        <v>0.961737998720183</v>
      </c>
      <c r="K433" s="259">
        <v>0.00150844663055826</v>
      </c>
      <c r="L433" s="259">
        <v>0.00424228581045695</v>
      </c>
      <c r="M433" s="259">
        <v>0.000410093711062919</v>
      </c>
      <c r="N433" s="259">
        <v>0.000704066319083231</v>
      </c>
      <c r="O433" s="259">
        <v>0.547071058258404</v>
      </c>
      <c r="P433" s="259">
        <v>0.927746402046978</v>
      </c>
      <c r="Q433" s="259">
        <v>0.0231501438689474</v>
      </c>
      <c r="R433" s="259">
        <v>0.217584539969258</v>
      </c>
      <c r="S433" s="259">
        <v>0.0178240893095465</v>
      </c>
      <c r="T433" s="259">
        <v>0.0274229876782027</v>
      </c>
      <c r="U433" s="259">
        <v>0.042530934684466</v>
      </c>
      <c r="V433" s="259">
        <v>0.39201501148186</v>
      </c>
      <c r="W433" s="259"/>
      <c r="X433" s="119"/>
      <c r="Y433" s="258"/>
      <c r="Z433" s="258"/>
      <c r="AA433" s="258"/>
      <c r="AB433" s="258"/>
      <c r="AC433" s="258"/>
      <c r="AD433" s="260"/>
      <c r="AE433" s="261"/>
    </row>
    <row r="434" ht="21.25" customHeight="1">
      <c r="A434" t="s" s="10">
        <v>475</v>
      </c>
      <c r="B434" t="s" s="256">
        <v>954</v>
      </c>
      <c r="C434" s="257">
        <v>33</v>
      </c>
      <c r="D434" t="s" s="256">
        <v>918</v>
      </c>
      <c r="E434" s="119">
        <v>73.375</v>
      </c>
      <c r="F434" s="258">
        <v>20.0274192258194</v>
      </c>
      <c r="G434" s="259">
        <v>0.052919378384697</v>
      </c>
      <c r="H434" s="259">
        <v>0.227861598549286</v>
      </c>
      <c r="I434" s="259">
        <v>0.280780976933983</v>
      </c>
      <c r="J434" s="259">
        <v>0.901881130169773</v>
      </c>
      <c r="K434" s="259">
        <v>0.000254675416888026</v>
      </c>
      <c r="L434" s="259">
        <v>0.00172542928661064</v>
      </c>
      <c r="M434" s="259">
        <v>0.000377659333994671</v>
      </c>
      <c r="N434" s="259">
        <v>0.00769777220482248</v>
      </c>
      <c r="O434" s="259">
        <v>2.40302488827215</v>
      </c>
      <c r="P434" s="259">
        <v>1.22864925513772</v>
      </c>
      <c r="Q434" s="259">
        <v>-0.0731420982370074</v>
      </c>
      <c r="R434" s="259">
        <v>0.402149894331179</v>
      </c>
      <c r="S434" s="259">
        <v>0.00613342330341719</v>
      </c>
      <c r="T434" s="259">
        <v>0</v>
      </c>
      <c r="U434" s="259">
        <v>0</v>
      </c>
      <c r="V434" s="259">
        <v>0</v>
      </c>
      <c r="W434" s="259"/>
      <c r="X434" s="119"/>
      <c r="Y434" s="258"/>
      <c r="Z434" s="258"/>
      <c r="AA434" s="258"/>
      <c r="AB434" s="258"/>
      <c r="AC434" s="258"/>
      <c r="AD434" s="260"/>
      <c r="AE434" s="261"/>
    </row>
    <row r="435" ht="21.25" customHeight="1">
      <c r="A435" t="s" s="10">
        <v>822</v>
      </c>
      <c r="B435" t="s" s="256">
        <v>927</v>
      </c>
      <c r="C435" s="257">
        <v>32</v>
      </c>
      <c r="D435" t="s" s="256">
        <v>916</v>
      </c>
      <c r="E435" s="119">
        <v>76.49250000000001</v>
      </c>
      <c r="F435" s="258">
        <v>12.3018340395413</v>
      </c>
      <c r="G435" s="259">
        <v>0.102344707818469</v>
      </c>
      <c r="H435" s="259">
        <v>0.177043644359013</v>
      </c>
      <c r="I435" s="259">
        <v>0.279388352177482</v>
      </c>
      <c r="J435" s="259">
        <v>1.21593001008651</v>
      </c>
      <c r="K435" s="259">
        <v>0.00138134687532875</v>
      </c>
      <c r="L435" s="259">
        <v>0.00419445659318196</v>
      </c>
      <c r="M435" s="259">
        <v>0.00184905955608277</v>
      </c>
      <c r="N435" s="259">
        <v>0.00231454030443597</v>
      </c>
      <c r="O435" s="259">
        <v>0.547293184566054</v>
      </c>
      <c r="P435" s="259">
        <v>0.578480728437763</v>
      </c>
      <c r="Q435" s="259">
        <v>0.0150221200588161</v>
      </c>
      <c r="R435" s="259">
        <v>0.206474936588343</v>
      </c>
      <c r="S435" s="259">
        <v>0.0161255981649593</v>
      </c>
      <c r="T435" s="259">
        <v>0.119677033229436</v>
      </c>
      <c r="U435" s="259">
        <v>0.149961949195736</v>
      </c>
      <c r="V435" s="259">
        <v>0.443841732946193</v>
      </c>
      <c r="W435" s="259"/>
      <c r="X435" s="119"/>
      <c r="Y435" s="258"/>
      <c r="Z435" s="258"/>
      <c r="AA435" s="258"/>
      <c r="AB435" s="258"/>
      <c r="AC435" s="258"/>
      <c r="AD435" s="260"/>
      <c r="AE435" s="261"/>
    </row>
    <row r="436" ht="21.25" customHeight="1">
      <c r="A436" t="s" s="10">
        <v>697</v>
      </c>
      <c r="B436" t="s" s="256">
        <v>935</v>
      </c>
      <c r="C436" s="257">
        <v>30</v>
      </c>
      <c r="D436" t="s" s="256">
        <v>915</v>
      </c>
      <c r="E436" s="119">
        <v>75.2325</v>
      </c>
      <c r="F436" s="258">
        <v>13.0321374382942</v>
      </c>
      <c r="G436" s="259">
        <v>0.0714385222135764</v>
      </c>
      <c r="H436" s="259">
        <v>0.205112380281137</v>
      </c>
      <c r="I436" s="259">
        <v>0.276550902494713</v>
      </c>
      <c r="J436" s="259">
        <v>1.21093251232363</v>
      </c>
      <c r="K436" s="259">
        <v>0.00117435696940919</v>
      </c>
      <c r="L436" s="259">
        <v>0.00290731291149168</v>
      </c>
      <c r="M436" s="259">
        <v>0.013661682581857</v>
      </c>
      <c r="N436" s="259">
        <v>0.0328670865874112</v>
      </c>
      <c r="O436" s="259">
        <v>0.596996487678871</v>
      </c>
      <c r="P436" s="259">
        <v>1.24738242699066</v>
      </c>
      <c r="Q436" s="259">
        <v>0.0583920778813277</v>
      </c>
      <c r="R436" s="259">
        <v>0.283006254432253</v>
      </c>
      <c r="S436" s="259">
        <v>0.0121998567257968</v>
      </c>
      <c r="T436" s="259">
        <v>5.15722839908223</v>
      </c>
      <c r="U436" s="259">
        <v>4.61611062110228</v>
      </c>
      <c r="V436" s="259">
        <v>0.527683362710656</v>
      </c>
      <c r="W436" s="259"/>
      <c r="X436" s="119"/>
      <c r="Y436" s="258"/>
      <c r="Z436" s="258"/>
      <c r="AA436" s="258"/>
      <c r="AB436" s="258"/>
      <c r="AC436" s="258"/>
      <c r="AD436" s="260"/>
      <c r="AE436" s="261"/>
    </row>
    <row r="437" ht="21.25" customHeight="1">
      <c r="A437" t="s" s="10">
        <v>792</v>
      </c>
      <c r="B437" t="s" s="256">
        <v>936</v>
      </c>
      <c r="C437" s="257">
        <v>25</v>
      </c>
      <c r="D437" t="s" s="256">
        <v>915</v>
      </c>
      <c r="E437" s="119">
        <v>64.655</v>
      </c>
      <c r="F437" s="258">
        <v>11.0508942738201</v>
      </c>
      <c r="G437" s="259">
        <v>0.120470015313906</v>
      </c>
      <c r="H437" s="259">
        <v>0.155163544854151</v>
      </c>
      <c r="I437" s="259">
        <v>0.275633560168057</v>
      </c>
      <c r="J437" s="259">
        <v>0.984364521926688</v>
      </c>
      <c r="K437" s="259">
        <v>0.000963280512722936</v>
      </c>
      <c r="L437" s="259">
        <v>0.00222907660628463</v>
      </c>
      <c r="M437" s="259">
        <v>0.00040720883022495</v>
      </c>
      <c r="N437" s="259">
        <v>0.00069033571642477</v>
      </c>
      <c r="O437" s="259">
        <v>0.314376887301429</v>
      </c>
      <c r="P437" s="259">
        <v>1.85131562766106</v>
      </c>
      <c r="Q437" s="259">
        <v>0.0314757595362101</v>
      </c>
      <c r="R437" s="259">
        <v>0.320835838290766</v>
      </c>
      <c r="S437" s="259">
        <v>0.0189329396982615</v>
      </c>
      <c r="T437" s="259">
        <v>3.58928451729495</v>
      </c>
      <c r="U437" s="259">
        <v>4.85408001386555</v>
      </c>
      <c r="V437" s="259">
        <v>0.425101214574899</v>
      </c>
      <c r="W437" s="259"/>
      <c r="X437" s="119"/>
      <c r="Y437" s="258"/>
      <c r="Z437" s="258"/>
      <c r="AA437" s="258"/>
      <c r="AB437" s="258"/>
      <c r="AC437" s="258"/>
      <c r="AD437" s="260"/>
      <c r="AE437" s="261"/>
    </row>
    <row r="438" ht="21.25" customHeight="1">
      <c r="A438" t="s" s="10">
        <v>803</v>
      </c>
      <c r="B438" t="s" s="256">
        <v>958</v>
      </c>
      <c r="C438" s="257">
        <v>24</v>
      </c>
      <c r="D438" t="s" s="256">
        <v>915</v>
      </c>
      <c r="E438" s="119">
        <v>72.55249999999999</v>
      </c>
      <c r="F438" s="258">
        <v>13.4809445714955</v>
      </c>
      <c r="G438" s="259">
        <v>0.118576303785506</v>
      </c>
      <c r="H438" s="259">
        <v>0.156992019340104</v>
      </c>
      <c r="I438" s="259">
        <v>0.27556832312561</v>
      </c>
      <c r="J438" s="259">
        <v>0.920229650098516</v>
      </c>
      <c r="K438" s="259">
        <v>0.00295199073394885</v>
      </c>
      <c r="L438" s="259">
        <v>0.00683613003825715</v>
      </c>
      <c r="M438" s="259">
        <v>0.0192965774952562</v>
      </c>
      <c r="N438" s="259">
        <v>0.0209591867236317</v>
      </c>
      <c r="O438" s="259">
        <v>0.606285292361639</v>
      </c>
      <c r="P438" s="259">
        <v>0.83093004725905</v>
      </c>
      <c r="Q438" s="259">
        <v>-0.0828351261832533</v>
      </c>
      <c r="R438" s="259">
        <v>0.131146966246929</v>
      </c>
      <c r="S438" s="259">
        <v>0.0138212005304695</v>
      </c>
      <c r="T438" s="259">
        <v>3.86111618725543</v>
      </c>
      <c r="U438" s="259">
        <v>4.64673008684401</v>
      </c>
      <c r="V438" s="259">
        <v>0.453830036752061</v>
      </c>
      <c r="W438" s="259"/>
      <c r="X438" s="119"/>
      <c r="Y438" s="258"/>
      <c r="Z438" s="258"/>
      <c r="AA438" s="258"/>
      <c r="AB438" s="258"/>
      <c r="AC438" s="258"/>
      <c r="AD438" s="260"/>
      <c r="AE438" s="261"/>
    </row>
    <row r="439" ht="21.25" customHeight="1">
      <c r="A439" t="s" s="10">
        <v>473</v>
      </c>
      <c r="B439" t="s" s="256">
        <v>955</v>
      </c>
      <c r="C439" s="257">
        <v>27</v>
      </c>
      <c r="D439" t="s" s="256">
        <v>918</v>
      </c>
      <c r="E439" s="119">
        <v>77.43000000000001</v>
      </c>
      <c r="F439" s="258">
        <v>17.6792126070335</v>
      </c>
      <c r="G439" s="259">
        <v>0.042262524176984</v>
      </c>
      <c r="H439" s="259">
        <v>0.232730327125094</v>
      </c>
      <c r="I439" s="259">
        <v>0.274992851302078</v>
      </c>
      <c r="J439" s="259">
        <v>1.13917809205478</v>
      </c>
      <c r="K439" s="259">
        <v>0.000202681087353208</v>
      </c>
      <c r="L439" s="259">
        <v>0.00130857849992671</v>
      </c>
      <c r="M439" s="259">
        <v>0.000404096193231701</v>
      </c>
      <c r="N439" s="259">
        <v>0.00177638587642835</v>
      </c>
      <c r="O439" s="259">
        <v>1.35903062520545</v>
      </c>
      <c r="P439" s="259">
        <v>2.22000377044927</v>
      </c>
      <c r="Q439" s="259">
        <v>-0.0233928115531148</v>
      </c>
      <c r="R439" s="259">
        <v>0.624550444466495</v>
      </c>
      <c r="S439" s="259">
        <v>0.00641746586057915</v>
      </c>
      <c r="T439" s="259">
        <v>0</v>
      </c>
      <c r="U439" s="259">
        <v>0</v>
      </c>
      <c r="V439" s="259">
        <v>0</v>
      </c>
      <c r="W439" s="259"/>
      <c r="X439" s="119"/>
      <c r="Y439" s="258"/>
      <c r="Z439" s="258"/>
      <c r="AA439" s="258"/>
      <c r="AB439" s="258"/>
      <c r="AC439" s="258"/>
      <c r="AD439" s="260"/>
      <c r="AE439" s="261"/>
    </row>
    <row r="440" ht="21.25" customHeight="1">
      <c r="A440" t="s" s="10">
        <v>615</v>
      </c>
      <c r="B440" t="s" s="256">
        <v>930</v>
      </c>
      <c r="C440" s="257">
        <v>30</v>
      </c>
      <c r="D440" t="s" s="256">
        <v>965</v>
      </c>
      <c r="E440" s="119">
        <v>81.55249999999999</v>
      </c>
      <c r="F440" s="258">
        <v>13.9944978537822</v>
      </c>
      <c r="G440" s="259">
        <v>0.105897983246483</v>
      </c>
      <c r="H440" s="259">
        <v>0.168162078294953</v>
      </c>
      <c r="I440" s="259">
        <v>0.274060061541436</v>
      </c>
      <c r="J440" s="259">
        <v>1.12370295520627</v>
      </c>
      <c r="K440" s="259">
        <v>0.00697158588227277</v>
      </c>
      <c r="L440" s="259">
        <v>0.0195761307055034</v>
      </c>
      <c r="M440" s="259">
        <v>0.0150745337587065</v>
      </c>
      <c r="N440" s="259">
        <v>0.0205827605196969</v>
      </c>
      <c r="O440" s="259">
        <v>0.6613316041984461</v>
      </c>
      <c r="P440" s="259">
        <v>1.55130663811199</v>
      </c>
      <c r="Q440" s="259">
        <v>0.0114121267860197</v>
      </c>
      <c r="R440" s="259">
        <v>0.33405573793749</v>
      </c>
      <c r="S440" s="259">
        <v>0.0149943940826538</v>
      </c>
      <c r="T440" s="259">
        <v>6.68810840945757</v>
      </c>
      <c r="U440" s="259">
        <v>5.79351383010015</v>
      </c>
      <c r="V440" s="259">
        <v>0.535836470700187</v>
      </c>
      <c r="W440" s="259"/>
      <c r="X440" s="119"/>
      <c r="Y440" s="258"/>
      <c r="Z440" s="258"/>
      <c r="AA440" s="258"/>
      <c r="AB440" s="258"/>
      <c r="AC440" s="258"/>
      <c r="AD440" s="260"/>
      <c r="AE440" s="261"/>
    </row>
    <row r="441" ht="21.25" customHeight="1">
      <c r="A441" t="s" s="10">
        <v>747</v>
      </c>
      <c r="B441" t="s" s="256">
        <v>931</v>
      </c>
      <c r="C441" s="257">
        <v>31</v>
      </c>
      <c r="D441" t="s" s="256">
        <v>916</v>
      </c>
      <c r="E441" s="119">
        <v>80.1375</v>
      </c>
      <c r="F441" s="258">
        <v>12.4530060016013</v>
      </c>
      <c r="G441" s="259">
        <v>0.127107090976857</v>
      </c>
      <c r="H441" s="259">
        <v>0.146707147310171</v>
      </c>
      <c r="I441" s="259">
        <v>0.273814238287028</v>
      </c>
      <c r="J441" s="259">
        <v>1.39146606126101</v>
      </c>
      <c r="K441" s="259">
        <v>0.00236186254644067</v>
      </c>
      <c r="L441" s="259">
        <v>0.00551146832670335</v>
      </c>
      <c r="M441" s="259">
        <v>0.00699281954786993</v>
      </c>
      <c r="N441" s="259">
        <v>0.007871093974482589</v>
      </c>
      <c r="O441" s="259">
        <v>0.398087754364879</v>
      </c>
      <c r="P441" s="259">
        <v>1.08105021560196</v>
      </c>
      <c r="Q441" s="259">
        <v>0.0278558942461415</v>
      </c>
      <c r="R441" s="259">
        <v>0.244120813553257</v>
      </c>
      <c r="S441" s="259">
        <v>0.020776709497911</v>
      </c>
      <c r="T441" s="259">
        <v>0.105652118396834</v>
      </c>
      <c r="U441" s="259">
        <v>0.238909695964749</v>
      </c>
      <c r="V441" s="259">
        <v>0.30662747290378</v>
      </c>
      <c r="W441" s="259"/>
      <c r="X441" s="119"/>
      <c r="Y441" s="258"/>
      <c r="Z441" s="258"/>
      <c r="AA441" s="258"/>
      <c r="AB441" s="258"/>
      <c r="AC441" s="258"/>
      <c r="AD441" s="260"/>
      <c r="AE441" s="261"/>
    </row>
    <row r="442" ht="21.25" customHeight="1">
      <c r="A442" t="s" s="10">
        <v>378</v>
      </c>
      <c r="B442" t="s" s="256">
        <v>936</v>
      </c>
      <c r="C442" s="257">
        <v>24</v>
      </c>
      <c r="D442" t="s" s="256">
        <v>918</v>
      </c>
      <c r="E442" s="119">
        <v>80.72750000000001</v>
      </c>
      <c r="F442" s="258">
        <v>20.0120240859065</v>
      </c>
      <c r="G442" s="259">
        <v>0.0611751590433308</v>
      </c>
      <c r="H442" s="259">
        <v>0.210517940463749</v>
      </c>
      <c r="I442" s="259">
        <v>0.27169309950708</v>
      </c>
      <c r="J442" s="259">
        <v>1.37754667423469</v>
      </c>
      <c r="K442" s="259">
        <v>0.00031097291169031</v>
      </c>
      <c r="L442" s="259">
        <v>0.00198272593823909</v>
      </c>
      <c r="M442" s="259">
        <v>0.000351647514005604</v>
      </c>
      <c r="N442" s="259">
        <v>0.00150048897773388</v>
      </c>
      <c r="O442" s="259">
        <v>1.90362128990146</v>
      </c>
      <c r="P442" s="259">
        <v>1.94161284521328</v>
      </c>
      <c r="Q442" s="259">
        <v>0.0335946253612706</v>
      </c>
      <c r="R442" s="259">
        <v>0.433434961618399</v>
      </c>
      <c r="S442" s="259">
        <v>0.009614223042812561</v>
      </c>
      <c r="T442" s="259">
        <v>0</v>
      </c>
      <c r="U442" s="259">
        <v>0</v>
      </c>
      <c r="V442" s="259">
        <v>0</v>
      </c>
      <c r="W442" s="259"/>
      <c r="X442" s="119"/>
      <c r="Y442" s="258"/>
      <c r="Z442" s="258"/>
      <c r="AA442" s="258"/>
      <c r="AB442" s="258"/>
      <c r="AC442" s="258"/>
      <c r="AD442" s="260"/>
      <c r="AE442" s="261"/>
    </row>
    <row r="443" ht="21.25" customHeight="1">
      <c r="A443" t="s" s="10">
        <v>851</v>
      </c>
      <c r="B443" t="s" s="256">
        <v>945</v>
      </c>
      <c r="C443" s="257">
        <v>21</v>
      </c>
      <c r="D443" t="s" s="256">
        <v>917</v>
      </c>
      <c r="E443" s="119">
        <v>62.11</v>
      </c>
      <c r="F443" s="258">
        <v>11.4696262009113</v>
      </c>
      <c r="G443" s="259">
        <v>0.104670113633754</v>
      </c>
      <c r="H443" s="259">
        <v>0.167012084348409</v>
      </c>
      <c r="I443" s="259">
        <v>0.271682197982163</v>
      </c>
      <c r="J443" s="259">
        <v>1.47076972930771</v>
      </c>
      <c r="K443" s="259">
        <v>0.0252667098345524</v>
      </c>
      <c r="L443" s="259">
        <v>0.0430350577034471</v>
      </c>
      <c r="M443" s="259">
        <v>0.00184918456455419</v>
      </c>
      <c r="N443" s="259">
        <v>0.00307898715059841</v>
      </c>
      <c r="O443" s="259">
        <v>0.28777805056806</v>
      </c>
      <c r="P443" s="259">
        <v>0.715640613033509</v>
      </c>
      <c r="Q443" s="259">
        <v>-0.0562495255304366</v>
      </c>
      <c r="R443" s="259">
        <v>0.28692502083327</v>
      </c>
      <c r="S443" s="259">
        <v>0.0152068695886453</v>
      </c>
      <c r="T443" s="259">
        <v>0.129158770771932</v>
      </c>
      <c r="U443" s="259">
        <v>0.375534559302768</v>
      </c>
      <c r="V443" s="259">
        <v>0.255915351115925</v>
      </c>
      <c r="W443" s="259"/>
      <c r="X443" s="119"/>
      <c r="Y443" s="258"/>
      <c r="Z443" s="258"/>
      <c r="AA443" s="258"/>
      <c r="AB443" s="258"/>
      <c r="AC443" s="258"/>
      <c r="AD443" s="260"/>
      <c r="AE443" s="261"/>
    </row>
    <row r="444" ht="21.25" customHeight="1">
      <c r="A444" t="s" s="10">
        <v>401</v>
      </c>
      <c r="B444" t="s" s="256">
        <v>959</v>
      </c>
      <c r="C444" s="257">
        <v>25</v>
      </c>
      <c r="D444" t="s" s="256">
        <v>918</v>
      </c>
      <c r="E444" s="119">
        <v>78.045</v>
      </c>
      <c r="F444" s="258">
        <v>22.4702170433685</v>
      </c>
      <c r="G444" s="259">
        <v>0.053307504198535</v>
      </c>
      <c r="H444" s="259">
        <v>0.218235124497842</v>
      </c>
      <c r="I444" s="259">
        <v>0.271542628696377</v>
      </c>
      <c r="J444" s="259">
        <v>1.39344264812544</v>
      </c>
      <c r="K444" s="259">
        <v>0.00143647411259935</v>
      </c>
      <c r="L444" s="259">
        <v>0.012169702036902</v>
      </c>
      <c r="M444" s="259">
        <v>0.000335424888000037</v>
      </c>
      <c r="N444" s="259">
        <v>0.00143540120776956</v>
      </c>
      <c r="O444" s="259">
        <v>2.20084089120941</v>
      </c>
      <c r="P444" s="259">
        <v>1.5611290068262</v>
      </c>
      <c r="Q444" s="259">
        <v>-0.154807159257459</v>
      </c>
      <c r="R444" s="259">
        <v>0.406222291239466</v>
      </c>
      <c r="S444" s="259">
        <v>0.00569378118252364</v>
      </c>
      <c r="T444" s="259">
        <v>0</v>
      </c>
      <c r="U444" s="259">
        <v>0.00192597052311018</v>
      </c>
      <c r="V444" s="259">
        <v>0</v>
      </c>
      <c r="W444" s="259"/>
      <c r="X444" s="119"/>
      <c r="Y444" s="258"/>
      <c r="Z444" s="258"/>
      <c r="AA444" s="258"/>
      <c r="AB444" s="258"/>
      <c r="AC444" s="258"/>
      <c r="AD444" s="260"/>
      <c r="AE444" s="261"/>
    </row>
    <row r="445" ht="21.25" customHeight="1">
      <c r="A445" t="s" s="10">
        <v>636</v>
      </c>
      <c r="B445" t="s" s="256">
        <v>947</v>
      </c>
      <c r="C445" s="257">
        <v>34</v>
      </c>
      <c r="D445" t="s" s="256">
        <v>918</v>
      </c>
      <c r="E445" s="119">
        <v>78.02</v>
      </c>
      <c r="F445" s="258">
        <v>20.5232872867377</v>
      </c>
      <c r="G445" s="259">
        <v>0.0264566824534487</v>
      </c>
      <c r="H445" s="259">
        <v>0.242764231896031</v>
      </c>
      <c r="I445" s="259">
        <v>0.26922091434948</v>
      </c>
      <c r="J445" s="259">
        <v>0.709453804154287</v>
      </c>
      <c r="K445" s="259">
        <v>0.000202509971303051</v>
      </c>
      <c r="L445" s="259">
        <v>0.00196382040612192</v>
      </c>
      <c r="M445" s="259">
        <v>0.000259690939561722</v>
      </c>
      <c r="N445" s="259">
        <v>0.0078980247664686</v>
      </c>
      <c r="O445" s="259">
        <v>1.84056313836957</v>
      </c>
      <c r="P445" s="259">
        <v>0.746348518465148</v>
      </c>
      <c r="Q445" s="259">
        <v>0.0720147016215176</v>
      </c>
      <c r="R445" s="259">
        <v>0.378758511398286</v>
      </c>
      <c r="S445" s="259">
        <v>0.00341913584734843</v>
      </c>
      <c r="T445" s="259">
        <v>0</v>
      </c>
      <c r="U445" s="259">
        <v>0</v>
      </c>
      <c r="V445" s="259">
        <v>0</v>
      </c>
      <c r="W445" s="259"/>
      <c r="X445" s="119"/>
      <c r="Y445" s="258"/>
      <c r="Z445" s="258"/>
      <c r="AA445" s="258"/>
      <c r="AB445" s="258"/>
      <c r="AC445" s="258"/>
      <c r="AD445" s="260"/>
      <c r="AE445" s="261"/>
    </row>
    <row r="446" ht="21.25" customHeight="1">
      <c r="A446" t="s" s="10">
        <v>604</v>
      </c>
      <c r="B446" t="s" s="256">
        <v>938</v>
      </c>
      <c r="C446" s="257">
        <v>25</v>
      </c>
      <c r="D446" t="s" s="256">
        <v>918</v>
      </c>
      <c r="E446" s="119">
        <v>72.00749999999999</v>
      </c>
      <c r="F446" s="258">
        <v>19.4312150780859</v>
      </c>
      <c r="G446" s="259">
        <v>0.035448625634317</v>
      </c>
      <c r="H446" s="259">
        <v>0.23339198294189</v>
      </c>
      <c r="I446" s="259">
        <v>0.268840608576207</v>
      </c>
      <c r="J446" s="259">
        <v>1.22132349619337</v>
      </c>
      <c r="K446" s="259">
        <v>0.000150095977578266</v>
      </c>
      <c r="L446" s="259">
        <v>0.00139254525864395</v>
      </c>
      <c r="M446" s="259">
        <v>0.000475350322718793</v>
      </c>
      <c r="N446" s="259">
        <v>0.00636745662193591</v>
      </c>
      <c r="O446" s="259">
        <v>1.75003618350794</v>
      </c>
      <c r="P446" s="259">
        <v>1.24405444405238</v>
      </c>
      <c r="Q446" s="259">
        <v>0.0483415893530533</v>
      </c>
      <c r="R446" s="259">
        <v>0.502102167335051</v>
      </c>
      <c r="S446" s="259">
        <v>0.00589250302019738</v>
      </c>
      <c r="T446" s="259">
        <v>0</v>
      </c>
      <c r="U446" s="259">
        <v>0</v>
      </c>
      <c r="V446" s="259">
        <v>0</v>
      </c>
      <c r="W446" s="259"/>
      <c r="X446" s="119"/>
      <c r="Y446" s="258"/>
      <c r="Z446" s="258"/>
      <c r="AA446" s="258"/>
      <c r="AB446" s="258"/>
      <c r="AC446" s="258"/>
      <c r="AD446" s="260"/>
      <c r="AE446" s="261"/>
    </row>
    <row r="447" ht="21.25" customHeight="1">
      <c r="A447" t="s" s="10">
        <v>775</v>
      </c>
      <c r="B447" t="s" s="256">
        <v>933</v>
      </c>
      <c r="C447" s="257">
        <v>31</v>
      </c>
      <c r="D447" t="s" s="256">
        <v>915</v>
      </c>
      <c r="E447" s="119">
        <v>78.7675</v>
      </c>
      <c r="F447" s="258">
        <v>13.1364855816861</v>
      </c>
      <c r="G447" s="259">
        <v>0.104783271871535</v>
      </c>
      <c r="H447" s="259">
        <v>0.162992647352319</v>
      </c>
      <c r="I447" s="259">
        <v>0.267775919223854</v>
      </c>
      <c r="J447" s="259">
        <v>1.35844666029789</v>
      </c>
      <c r="K447" s="259">
        <v>0.0104667552325512</v>
      </c>
      <c r="L447" s="259">
        <v>0.0270335368363781</v>
      </c>
      <c r="M447" s="259">
        <v>0.00672019023527656</v>
      </c>
      <c r="N447" s="259">
        <v>0.0143540665975983</v>
      </c>
      <c r="O447" s="259">
        <v>0.615788244284628</v>
      </c>
      <c r="P447" s="259">
        <v>0.592388167418368</v>
      </c>
      <c r="Q447" s="259">
        <v>-0.0197435301323544</v>
      </c>
      <c r="R447" s="259">
        <v>0.167826147038631</v>
      </c>
      <c r="S447" s="259">
        <v>0.0172975310496609</v>
      </c>
      <c r="T447" s="259">
        <v>4.22673943421459</v>
      </c>
      <c r="U447" s="259">
        <v>4.28182311085276</v>
      </c>
      <c r="V447" s="259">
        <v>0.496763044500972</v>
      </c>
      <c r="W447" s="259"/>
      <c r="X447" s="119"/>
      <c r="Y447" s="258"/>
      <c r="Z447" s="258"/>
      <c r="AA447" s="258"/>
      <c r="AB447" s="258"/>
      <c r="AC447" s="258"/>
      <c r="AD447" s="260"/>
      <c r="AE447" s="261"/>
    </row>
    <row r="448" ht="21.25" customHeight="1">
      <c r="A448" t="s" s="10">
        <v>665</v>
      </c>
      <c r="B448" t="s" s="256">
        <v>954</v>
      </c>
      <c r="C448" s="257">
        <v>30</v>
      </c>
      <c r="D448" t="s" s="256">
        <v>917</v>
      </c>
      <c r="E448" s="119">
        <v>78.2325</v>
      </c>
      <c r="F448" s="258">
        <v>12.4850969146562</v>
      </c>
      <c r="G448" s="259">
        <v>0.140997128459216</v>
      </c>
      <c r="H448" s="259">
        <v>0.12669980127114</v>
      </c>
      <c r="I448" s="259">
        <v>0.267696929730356</v>
      </c>
      <c r="J448" s="259">
        <v>1.51864027349075</v>
      </c>
      <c r="K448" s="259">
        <v>0.0204014723593984</v>
      </c>
      <c r="L448" s="259">
        <v>0.0418046286452923</v>
      </c>
      <c r="M448" s="259">
        <v>0.000482202750829178</v>
      </c>
      <c r="N448" s="259">
        <v>0.000581359795877886</v>
      </c>
      <c r="O448" s="259">
        <v>0.43110311563684</v>
      </c>
      <c r="P448" s="259">
        <v>1.65798328471001</v>
      </c>
      <c r="Q448" s="259">
        <v>-0.0753758199262512</v>
      </c>
      <c r="R448" s="259">
        <v>0.63178334897638</v>
      </c>
      <c r="S448" s="259">
        <v>0.0163417466305073</v>
      </c>
      <c r="T448" s="259">
        <v>0.166937787829416</v>
      </c>
      <c r="U448" s="259">
        <v>0.192504286343004</v>
      </c>
      <c r="V448" s="259">
        <v>0.464435857192774</v>
      </c>
      <c r="W448" s="259"/>
      <c r="X448" s="119"/>
      <c r="Y448" s="258"/>
      <c r="Z448" s="258"/>
      <c r="AA448" s="258"/>
      <c r="AB448" s="258"/>
      <c r="AC448" s="258"/>
      <c r="AD448" s="260"/>
      <c r="AE448" s="261"/>
    </row>
    <row r="449" ht="21.25" customHeight="1">
      <c r="A449" t="s" s="10">
        <v>513</v>
      </c>
      <c r="B449" t="s" s="256">
        <v>939</v>
      </c>
      <c r="C449" s="257">
        <v>29</v>
      </c>
      <c r="D449" t="s" s="256">
        <v>918</v>
      </c>
      <c r="E449" s="119">
        <v>78.65000000000001</v>
      </c>
      <c r="F449" s="258">
        <v>18.519787512074</v>
      </c>
      <c r="G449" s="259">
        <v>0.0651488233631894</v>
      </c>
      <c r="H449" s="259">
        <v>0.201879082414369</v>
      </c>
      <c r="I449" s="259">
        <v>0.267027905777558</v>
      </c>
      <c r="J449" s="259">
        <v>1.27307968636379</v>
      </c>
      <c r="K449" s="259">
        <v>7.975384540976941e-05</v>
      </c>
      <c r="L449" s="259">
        <v>0.000513953014178109</v>
      </c>
      <c r="M449" s="259">
        <v>0.000338960784262581</v>
      </c>
      <c r="N449" s="259">
        <v>0.007820736096076661</v>
      </c>
      <c r="O449" s="259">
        <v>1.87064123354945</v>
      </c>
      <c r="P449" s="259">
        <v>1.10746387858875</v>
      </c>
      <c r="Q449" s="259">
        <v>0.00617825525818041</v>
      </c>
      <c r="R449" s="259">
        <v>0.382143617655666</v>
      </c>
      <c r="S449" s="259">
        <v>0.00965785065091322</v>
      </c>
      <c r="T449" s="259">
        <v>0</v>
      </c>
      <c r="U449" s="259">
        <v>0</v>
      </c>
      <c r="V449" s="259">
        <v>0</v>
      </c>
      <c r="W449" s="259"/>
      <c r="X449" s="119"/>
      <c r="Y449" s="258"/>
      <c r="Z449" s="258"/>
      <c r="AA449" s="258"/>
      <c r="AB449" s="258"/>
      <c r="AC449" s="258"/>
      <c r="AD449" s="260"/>
      <c r="AE449" s="261"/>
    </row>
    <row r="450" ht="21.25" customHeight="1">
      <c r="A450" t="s" s="10">
        <v>809</v>
      </c>
      <c r="B450" t="s" s="256">
        <v>926</v>
      </c>
      <c r="C450" s="257">
        <v>25</v>
      </c>
      <c r="D450" t="s" s="256">
        <v>917</v>
      </c>
      <c r="E450" s="119">
        <v>69.06</v>
      </c>
      <c r="F450" s="258">
        <v>11.260090060684</v>
      </c>
      <c r="G450" s="259">
        <v>0.105589569132559</v>
      </c>
      <c r="H450" s="259">
        <v>0.160844426458999</v>
      </c>
      <c r="I450" s="259">
        <v>0.266433995591558</v>
      </c>
      <c r="J450" s="259">
        <v>0.981147789447797</v>
      </c>
      <c r="K450" s="259">
        <v>0.00100468673080282</v>
      </c>
      <c r="L450" s="259">
        <v>0.00191120056216517</v>
      </c>
      <c r="M450" s="259">
        <v>0.00170743979209827</v>
      </c>
      <c r="N450" s="259">
        <v>0.00289107067971078</v>
      </c>
      <c r="O450" s="259">
        <v>0.665330600778291</v>
      </c>
      <c r="P450" s="259">
        <v>1.09583492827151</v>
      </c>
      <c r="Q450" s="259">
        <v>0.0760284235800474</v>
      </c>
      <c r="R450" s="259">
        <v>0.349056521939619</v>
      </c>
      <c r="S450" s="259">
        <v>0.0168924383046827</v>
      </c>
      <c r="T450" s="259">
        <v>1.78566905695658</v>
      </c>
      <c r="U450" s="259">
        <v>2.18200746568246</v>
      </c>
      <c r="V450" s="259">
        <v>0.450054092557139</v>
      </c>
      <c r="W450" s="259"/>
      <c r="X450" s="119"/>
      <c r="Y450" s="258"/>
      <c r="Z450" s="258"/>
      <c r="AA450" s="258"/>
      <c r="AB450" s="258"/>
      <c r="AC450" s="258"/>
      <c r="AD450" s="260"/>
      <c r="AE450" s="261"/>
    </row>
    <row r="451" ht="21.25" customHeight="1">
      <c r="A451" t="s" s="10">
        <v>758</v>
      </c>
      <c r="B451" t="s" s="256">
        <v>924</v>
      </c>
      <c r="C451" s="257">
        <v>23</v>
      </c>
      <c r="D451" t="s" s="256">
        <v>917</v>
      </c>
      <c r="E451" s="119">
        <v>64.63500000000001</v>
      </c>
      <c r="F451" s="258">
        <v>12.1064269137834</v>
      </c>
      <c r="G451" s="259">
        <v>0.118132442274515</v>
      </c>
      <c r="H451" s="259">
        <v>0.147435233945988</v>
      </c>
      <c r="I451" s="259">
        <v>0.265567676220503</v>
      </c>
      <c r="J451" s="259">
        <v>1.28590153146564</v>
      </c>
      <c r="K451" s="259">
        <v>0.00493619412659411</v>
      </c>
      <c r="L451" s="259">
        <v>0.0100008811981654</v>
      </c>
      <c r="M451" s="259">
        <v>0</v>
      </c>
      <c r="N451" s="259">
        <v>0</v>
      </c>
      <c r="O451" s="259">
        <v>0.35773119422771</v>
      </c>
      <c r="P451" s="259">
        <v>2.0284343244662</v>
      </c>
      <c r="Q451" s="259">
        <v>0.0466453775447623</v>
      </c>
      <c r="R451" s="259">
        <v>0.326889376064777</v>
      </c>
      <c r="S451" s="259">
        <v>0.019075454723351</v>
      </c>
      <c r="T451" s="259">
        <v>0.151529756581029</v>
      </c>
      <c r="U451" s="259">
        <v>0.210645312472595</v>
      </c>
      <c r="V451" s="259">
        <v>0.418388148518841</v>
      </c>
      <c r="W451" s="259"/>
      <c r="X451" s="119"/>
      <c r="Y451" s="258"/>
      <c r="Z451" s="258"/>
      <c r="AA451" s="258"/>
      <c r="AB451" s="258"/>
      <c r="AC451" s="258"/>
      <c r="AD451" s="260"/>
      <c r="AE451" s="261"/>
    </row>
    <row r="452" ht="21.25" customHeight="1">
      <c r="A452" t="s" s="10">
        <v>762</v>
      </c>
      <c r="B452" t="s" s="256">
        <v>948</v>
      </c>
      <c r="C452" s="257">
        <v>30</v>
      </c>
      <c r="D452" t="s" s="256">
        <v>915</v>
      </c>
      <c r="E452" s="119">
        <v>75.715</v>
      </c>
      <c r="F452" s="258">
        <v>12.4466917366314</v>
      </c>
      <c r="G452" s="259">
        <v>0.0818104402492271</v>
      </c>
      <c r="H452" s="259">
        <v>0.183686889276006</v>
      </c>
      <c r="I452" s="259">
        <v>0.265497329525233</v>
      </c>
      <c r="J452" s="259">
        <v>0.922071020774427</v>
      </c>
      <c r="K452" s="259">
        <v>0.0118943200590061</v>
      </c>
      <c r="L452" s="259">
        <v>0.0263383636943056</v>
      </c>
      <c r="M452" s="259">
        <v>0.0067246443624954</v>
      </c>
      <c r="N452" s="259">
        <v>0.0196612593928297</v>
      </c>
      <c r="O452" s="259">
        <v>0.585340791387721</v>
      </c>
      <c r="P452" s="259">
        <v>1.15408231622496</v>
      </c>
      <c r="Q452" s="259">
        <v>-0.0618476195268578</v>
      </c>
      <c r="R452" s="259">
        <v>0.363542976392231</v>
      </c>
      <c r="S452" s="259">
        <v>0.00984949377990618</v>
      </c>
      <c r="T452" s="259">
        <v>2.57346232476059</v>
      </c>
      <c r="U452" s="259">
        <v>3.53956312613171</v>
      </c>
      <c r="V452" s="259">
        <v>0.420980142391677</v>
      </c>
      <c r="W452" s="259"/>
      <c r="X452" s="119"/>
      <c r="Y452" s="258"/>
      <c r="Z452" s="258"/>
      <c r="AA452" s="258"/>
      <c r="AB452" s="258"/>
      <c r="AC452" s="258"/>
      <c r="AD452" s="260"/>
      <c r="AE452" s="261"/>
    </row>
    <row r="453" ht="21.25" customHeight="1">
      <c r="A453" t="s" s="10">
        <v>598</v>
      </c>
      <c r="B453" t="s" s="256">
        <v>930</v>
      </c>
      <c r="C453" s="257">
        <v>26</v>
      </c>
      <c r="D453" t="s" s="256">
        <v>918</v>
      </c>
      <c r="E453" s="119">
        <v>75.4025</v>
      </c>
      <c r="F453" s="258">
        <v>18.3537764399129</v>
      </c>
      <c r="G453" s="259">
        <v>0.0497109133352769</v>
      </c>
      <c r="H453" s="259">
        <v>0.215162170874258</v>
      </c>
      <c r="I453" s="259">
        <v>0.264873084209535</v>
      </c>
      <c r="J453" s="259">
        <v>1.32000703806653</v>
      </c>
      <c r="K453" s="259">
        <v>0.00025495821835003</v>
      </c>
      <c r="L453" s="259">
        <v>0.00215828218900909</v>
      </c>
      <c r="M453" s="259">
        <v>0.000307186944248453</v>
      </c>
      <c r="N453" s="259">
        <v>0.00151697759948981</v>
      </c>
      <c r="O453" s="259">
        <v>1.649735192402</v>
      </c>
      <c r="P453" s="259">
        <v>1.144943145599</v>
      </c>
      <c r="Q453" s="259">
        <v>0.0298836983604374</v>
      </c>
      <c r="R453" s="259">
        <v>0.47622314066009</v>
      </c>
      <c r="S453" s="259">
        <v>0.00703870840507764</v>
      </c>
      <c r="T453" s="259">
        <v>0</v>
      </c>
      <c r="U453" s="259">
        <v>0</v>
      </c>
      <c r="V453" s="259">
        <v>0</v>
      </c>
      <c r="W453" s="259"/>
      <c r="X453" s="119"/>
      <c r="Y453" s="258"/>
      <c r="Z453" s="258"/>
      <c r="AA453" s="258"/>
      <c r="AB453" s="258"/>
      <c r="AC453" s="258"/>
      <c r="AD453" s="260"/>
      <c r="AE453" s="261"/>
    </row>
    <row r="454" ht="21.25" customHeight="1">
      <c r="A454" t="s" s="10">
        <v>670</v>
      </c>
      <c r="B454" t="s" s="256">
        <v>948</v>
      </c>
      <c r="C454" s="257">
        <v>33</v>
      </c>
      <c r="D454" t="s" s="256">
        <v>918</v>
      </c>
      <c r="E454" s="119">
        <v>80.78</v>
      </c>
      <c r="F454" s="258">
        <v>20.5916946877764</v>
      </c>
      <c r="G454" s="259">
        <v>0.0325361446322914</v>
      </c>
      <c r="H454" s="259">
        <v>0.232126089266181</v>
      </c>
      <c r="I454" s="259">
        <v>0.264662233898472</v>
      </c>
      <c r="J454" s="259">
        <v>0.898484288288032</v>
      </c>
      <c r="K454" s="259">
        <v>9.61712604715208e-05</v>
      </c>
      <c r="L454" s="259">
        <v>0.00205158096114225</v>
      </c>
      <c r="M454" s="259">
        <v>0.0065299084162489</v>
      </c>
      <c r="N454" s="259">
        <v>0.0161333543061842</v>
      </c>
      <c r="O454" s="259">
        <v>1.44904901594826</v>
      </c>
      <c r="P454" s="259">
        <v>0.7226149442724989</v>
      </c>
      <c r="Q454" s="259">
        <v>-0.0596085527143305</v>
      </c>
      <c r="R454" s="259">
        <v>0.27633467352382</v>
      </c>
      <c r="S454" s="259">
        <v>0.00391715963392471</v>
      </c>
      <c r="T454" s="259">
        <v>0</v>
      </c>
      <c r="U454" s="259">
        <v>0</v>
      </c>
      <c r="V454" s="259">
        <v>0</v>
      </c>
      <c r="W454" s="259"/>
      <c r="X454" s="119"/>
      <c r="Y454" s="258"/>
      <c r="Z454" s="258"/>
      <c r="AA454" s="258"/>
      <c r="AB454" s="258"/>
      <c r="AC454" s="258"/>
      <c r="AD454" s="260"/>
      <c r="AE454" s="261"/>
    </row>
    <row r="455" ht="21.25" customHeight="1">
      <c r="A455" t="s" s="10">
        <v>589</v>
      </c>
      <c r="B455" t="s" s="256">
        <v>955</v>
      </c>
      <c r="C455" s="257">
        <v>23</v>
      </c>
      <c r="D455" t="s" s="256">
        <v>916</v>
      </c>
      <c r="E455" s="119">
        <v>76.58</v>
      </c>
      <c r="F455" s="258">
        <v>11.3612049259015</v>
      </c>
      <c r="G455" s="259">
        <v>0.134809456729097</v>
      </c>
      <c r="H455" s="259">
        <v>0.129043971255605</v>
      </c>
      <c r="I455" s="259">
        <v>0.263853427984702</v>
      </c>
      <c r="J455" s="259">
        <v>1.31369894533378</v>
      </c>
      <c r="K455" s="259">
        <v>0.000920315203132169</v>
      </c>
      <c r="L455" s="259">
        <v>0.00214295314095372</v>
      </c>
      <c r="M455" s="259">
        <v>0.00225015125396198</v>
      </c>
      <c r="N455" s="259">
        <v>0.00383847509572819</v>
      </c>
      <c r="O455" s="259">
        <v>0.373897138631278</v>
      </c>
      <c r="P455" s="259">
        <v>2.46232565707582</v>
      </c>
      <c r="Q455" s="259">
        <v>-0.0143204790229683</v>
      </c>
      <c r="R455" s="259">
        <v>0.322201263350015</v>
      </c>
      <c r="S455" s="259">
        <v>0.020470502013066</v>
      </c>
      <c r="T455" s="259">
        <v>0.511108991915425</v>
      </c>
      <c r="U455" s="259">
        <v>0.573439356783161</v>
      </c>
      <c r="V455" s="259">
        <v>0.471264367816092</v>
      </c>
      <c r="W455" s="259"/>
      <c r="X455" s="119"/>
      <c r="Y455" s="258"/>
      <c r="Z455" s="258"/>
      <c r="AA455" s="258"/>
      <c r="AB455" s="258"/>
      <c r="AC455" s="258"/>
      <c r="AD455" s="260"/>
      <c r="AE455" s="261"/>
    </row>
    <row r="456" ht="21.25" customHeight="1">
      <c r="A456" t="s" s="10">
        <v>801</v>
      </c>
      <c r="B456" t="s" s="256">
        <v>937</v>
      </c>
      <c r="C456" s="257">
        <v>24</v>
      </c>
      <c r="D456" t="s" s="256">
        <v>918</v>
      </c>
      <c r="E456" s="119">
        <v>69.2225</v>
      </c>
      <c r="F456" s="258">
        <v>14.9757474371969</v>
      </c>
      <c r="G456" s="259">
        <v>0.0534867542442854</v>
      </c>
      <c r="H456" s="259">
        <v>0.209827616673503</v>
      </c>
      <c r="I456" s="259">
        <v>0.263314370917788</v>
      </c>
      <c r="J456" s="259">
        <v>1.24589245701465</v>
      </c>
      <c r="K456" s="259">
        <v>0.00226036803697935</v>
      </c>
      <c r="L456" s="259">
        <v>0.0106555423963523</v>
      </c>
      <c r="M456" s="259">
        <v>6.31496948092672e-06</v>
      </c>
      <c r="N456" s="259">
        <v>3.09057569612164e-05</v>
      </c>
      <c r="O456" s="259">
        <v>0.928163747913902</v>
      </c>
      <c r="P456" s="259">
        <v>0.9525522565793459</v>
      </c>
      <c r="Q456" s="259">
        <v>0.0619187611082068</v>
      </c>
      <c r="R456" s="259">
        <v>0.288482885871943</v>
      </c>
      <c r="S456" s="259">
        <v>0.008553532942886849</v>
      </c>
      <c r="T456" s="259">
        <v>0</v>
      </c>
      <c r="U456" s="259">
        <v>0</v>
      </c>
      <c r="V456" s="259">
        <v>0</v>
      </c>
      <c r="W456" s="259"/>
      <c r="X456" s="119"/>
      <c r="Y456" s="258"/>
      <c r="Z456" s="258"/>
      <c r="AA456" s="258"/>
      <c r="AB456" s="258"/>
      <c r="AC456" s="258"/>
      <c r="AD456" s="260"/>
      <c r="AE456" s="261"/>
    </row>
    <row r="457" ht="21.25" customHeight="1">
      <c r="A457" t="s" s="10">
        <v>727</v>
      </c>
      <c r="B457" t="s" s="256">
        <v>951</v>
      </c>
      <c r="C457" s="257">
        <v>25</v>
      </c>
      <c r="D457" t="s" s="256">
        <v>918</v>
      </c>
      <c r="E457" s="119">
        <v>71.69499999999999</v>
      </c>
      <c r="F457" s="258">
        <v>17.4938172103403</v>
      </c>
      <c r="G457" s="259">
        <v>0.0381720803365897</v>
      </c>
      <c r="H457" s="259">
        <v>0.223494460599824</v>
      </c>
      <c r="I457" s="259">
        <v>0.261666540936414</v>
      </c>
      <c r="J457" s="259">
        <v>1.02426691457423</v>
      </c>
      <c r="K457" s="259">
        <v>0.001928522418275</v>
      </c>
      <c r="L457" s="259">
        <v>0.0272244451737696</v>
      </c>
      <c r="M457" s="259">
        <v>0.000267877691300715</v>
      </c>
      <c r="N457" s="259">
        <v>0.00131279850800604</v>
      </c>
      <c r="O457" s="259">
        <v>1.30026202805723</v>
      </c>
      <c r="P457" s="259">
        <v>1.01444916548182</v>
      </c>
      <c r="Q457" s="259">
        <v>0.0259485438579405</v>
      </c>
      <c r="R457" s="259">
        <v>0.398339744885003</v>
      </c>
      <c r="S457" s="259">
        <v>0.00558569733919749</v>
      </c>
      <c r="T457" s="259">
        <v>0</v>
      </c>
      <c r="U457" s="259">
        <v>0</v>
      </c>
      <c r="V457" s="259">
        <v>0</v>
      </c>
      <c r="W457" s="259"/>
      <c r="X457" s="119"/>
      <c r="Y457" s="258"/>
      <c r="Z457" s="258"/>
      <c r="AA457" s="258"/>
      <c r="AB457" s="258"/>
      <c r="AC457" s="258"/>
      <c r="AD457" s="260"/>
      <c r="AE457" s="261"/>
    </row>
    <row r="458" ht="21.25" customHeight="1">
      <c r="A458" t="s" s="10">
        <v>695</v>
      </c>
      <c r="B458" t="s" s="256">
        <v>949</v>
      </c>
      <c r="C458" s="257">
        <v>28</v>
      </c>
      <c r="D458" t="s" s="256">
        <v>918</v>
      </c>
      <c r="E458" s="119">
        <v>73.105</v>
      </c>
      <c r="F458" s="258">
        <v>17.1708714514159</v>
      </c>
      <c r="G458" s="259">
        <v>0.08548621288228191</v>
      </c>
      <c r="H458" s="259">
        <v>0.174219957435132</v>
      </c>
      <c r="I458" s="259">
        <v>0.259706170317414</v>
      </c>
      <c r="J458" s="259">
        <v>1.34120716172528</v>
      </c>
      <c r="K458" s="259">
        <v>0.000314639739688471</v>
      </c>
      <c r="L458" s="259">
        <v>0.00200942062659574</v>
      </c>
      <c r="M458" s="259">
        <v>0.00574776972408285</v>
      </c>
      <c r="N458" s="259">
        <v>0.013104451196828</v>
      </c>
      <c r="O458" s="259">
        <v>1.15704685227774</v>
      </c>
      <c r="P458" s="259">
        <v>1.1078940844001</v>
      </c>
      <c r="Q458" s="259">
        <v>0.0191455035729709</v>
      </c>
      <c r="R458" s="259">
        <v>0.447011259601168</v>
      </c>
      <c r="S458" s="259">
        <v>0.0148135285082748</v>
      </c>
      <c r="T458" s="259">
        <v>0</v>
      </c>
      <c r="U458" s="259">
        <v>0</v>
      </c>
      <c r="V458" s="259">
        <v>0</v>
      </c>
      <c r="W458" s="259"/>
      <c r="X458" s="119"/>
      <c r="Y458" s="258"/>
      <c r="Z458" s="258"/>
      <c r="AA458" s="258"/>
      <c r="AB458" s="258"/>
      <c r="AC458" s="258"/>
      <c r="AD458" s="260"/>
      <c r="AE458" s="261"/>
    </row>
    <row r="459" ht="21.25" customHeight="1">
      <c r="A459" t="s" s="10">
        <v>694</v>
      </c>
      <c r="B459" t="s" s="256">
        <v>925</v>
      </c>
      <c r="C459" s="257">
        <v>25</v>
      </c>
      <c r="D459" t="s" s="256">
        <v>918</v>
      </c>
      <c r="E459" s="119">
        <v>76.965</v>
      </c>
      <c r="F459" s="258">
        <v>16.6875072642264</v>
      </c>
      <c r="G459" s="259">
        <v>0.0359517761905428</v>
      </c>
      <c r="H459" s="259">
        <v>0.221821333391575</v>
      </c>
      <c r="I459" s="259">
        <v>0.257773109582118</v>
      </c>
      <c r="J459" s="259">
        <v>1.09449519774093</v>
      </c>
      <c r="K459" s="259">
        <v>0.000463016101473869</v>
      </c>
      <c r="L459" s="259">
        <v>0.00805175086593969</v>
      </c>
      <c r="M459" s="259">
        <v>0.000160418248511957</v>
      </c>
      <c r="N459" s="259">
        <v>0.00370855963566277</v>
      </c>
      <c r="O459" s="259">
        <v>1.39929365429472</v>
      </c>
      <c r="P459" s="259">
        <v>0.828444454516955</v>
      </c>
      <c r="Q459" s="259">
        <v>0.000305376409353311</v>
      </c>
      <c r="R459" s="259">
        <v>0.437003308486174</v>
      </c>
      <c r="S459" s="259">
        <v>0.00537157841586172</v>
      </c>
      <c r="T459" s="259">
        <v>0</v>
      </c>
      <c r="U459" s="259">
        <v>0</v>
      </c>
      <c r="V459" s="259">
        <v>0</v>
      </c>
      <c r="W459" s="259"/>
      <c r="X459" s="119"/>
      <c r="Y459" s="258"/>
      <c r="Z459" s="258"/>
      <c r="AA459" s="258"/>
      <c r="AB459" s="258"/>
      <c r="AC459" s="258"/>
      <c r="AD459" s="260"/>
      <c r="AE459" s="261"/>
    </row>
    <row r="460" ht="21.25" customHeight="1">
      <c r="A460" t="s" s="10">
        <v>394</v>
      </c>
      <c r="B460" t="s" s="256">
        <v>927</v>
      </c>
      <c r="C460" s="257">
        <v>27</v>
      </c>
      <c r="D460" t="s" s="256">
        <v>918</v>
      </c>
      <c r="E460" s="119">
        <v>75.3725</v>
      </c>
      <c r="F460" s="258">
        <v>20.8005905308988</v>
      </c>
      <c r="G460" s="259">
        <v>0.0375817284759044</v>
      </c>
      <c r="H460" s="259">
        <v>0.218388186055756</v>
      </c>
      <c r="I460" s="259">
        <v>0.25596991453166</v>
      </c>
      <c r="J460" s="259">
        <v>1.13021994914961</v>
      </c>
      <c r="K460" s="259">
        <v>0.000264475947876395</v>
      </c>
      <c r="L460" s="259">
        <v>0.00170971545768516</v>
      </c>
      <c r="M460" s="259">
        <v>0.000374907156771636</v>
      </c>
      <c r="N460" s="259">
        <v>0.00514967352525715</v>
      </c>
      <c r="O460" s="259">
        <v>1.66773159610437</v>
      </c>
      <c r="P460" s="259">
        <v>2.70239199585034</v>
      </c>
      <c r="Q460" s="259">
        <v>0.00735211593980591</v>
      </c>
      <c r="R460" s="259">
        <v>0.699506846090816</v>
      </c>
      <c r="S460" s="259">
        <v>0.0059214380954799</v>
      </c>
      <c r="T460" s="259">
        <v>0</v>
      </c>
      <c r="U460" s="259">
        <v>0</v>
      </c>
      <c r="V460" s="259">
        <v>0</v>
      </c>
      <c r="W460" s="259"/>
      <c r="X460" s="119"/>
      <c r="Y460" s="258"/>
      <c r="Z460" s="258"/>
      <c r="AA460" s="258"/>
      <c r="AB460" s="258"/>
      <c r="AC460" s="258"/>
      <c r="AD460" s="260"/>
      <c r="AE460" s="261"/>
    </row>
    <row r="461" ht="21.25" customHeight="1">
      <c r="A461" t="s" s="10">
        <v>703</v>
      </c>
      <c r="B461" t="s" s="256">
        <v>939</v>
      </c>
      <c r="C461" s="257">
        <v>35</v>
      </c>
      <c r="D461" t="s" s="256">
        <v>915</v>
      </c>
      <c r="E461" s="119">
        <v>81.30500000000001</v>
      </c>
      <c r="F461" s="258">
        <v>14.757865903904</v>
      </c>
      <c r="G461" s="259">
        <v>0.10920548015185</v>
      </c>
      <c r="H461" s="259">
        <v>0.146356084178755</v>
      </c>
      <c r="I461" s="259">
        <v>0.255561564330605</v>
      </c>
      <c r="J461" s="259">
        <v>1.59980496949916</v>
      </c>
      <c r="K461" s="259">
        <v>0.00987477449353942</v>
      </c>
      <c r="L461" s="259">
        <v>0.0167156853854179</v>
      </c>
      <c r="M461" s="259">
        <v>0.009425383382628581</v>
      </c>
      <c r="N461" s="259">
        <v>0.0163364326911938</v>
      </c>
      <c r="O461" s="259">
        <v>0.6211199915550289</v>
      </c>
      <c r="P461" s="259">
        <v>0.842978055067223</v>
      </c>
      <c r="Q461" s="259">
        <v>-0.00643722390139123</v>
      </c>
      <c r="R461" s="259">
        <v>0.447553342358305</v>
      </c>
      <c r="S461" s="259">
        <v>0.0161889373149256</v>
      </c>
      <c r="T461" s="259">
        <v>5.77532269619698</v>
      </c>
      <c r="U461" s="259">
        <v>5.3086337372852</v>
      </c>
      <c r="V461" s="259">
        <v>0.521052453684409</v>
      </c>
      <c r="W461" s="259"/>
      <c r="X461" s="119"/>
      <c r="Y461" s="258"/>
      <c r="Z461" s="258"/>
      <c r="AA461" s="258"/>
      <c r="AB461" s="258"/>
      <c r="AC461" s="258"/>
      <c r="AD461" s="260"/>
      <c r="AE461" s="261"/>
    </row>
    <row r="462" ht="21.25" customHeight="1">
      <c r="A462" t="s" s="10">
        <v>789</v>
      </c>
      <c r="B462" t="s" s="256">
        <v>949</v>
      </c>
      <c r="C462" s="257">
        <v>32</v>
      </c>
      <c r="D462" t="s" s="256">
        <v>917</v>
      </c>
      <c r="E462" s="119">
        <v>80.1575</v>
      </c>
      <c r="F462" s="258">
        <v>12.7040518410832</v>
      </c>
      <c r="G462" s="259">
        <v>0.0856724441940413</v>
      </c>
      <c r="H462" s="259">
        <v>0.169499751480038</v>
      </c>
      <c r="I462" s="259">
        <v>0.255172195674079</v>
      </c>
      <c r="J462" s="259">
        <v>1.00388786149466</v>
      </c>
      <c r="K462" s="259">
        <v>0.0006798170986266529</v>
      </c>
      <c r="L462" s="259">
        <v>0.00162013968066264</v>
      </c>
      <c r="M462" s="259">
        <v>0.00101322591682505</v>
      </c>
      <c r="N462" s="259">
        <v>0.0115226774510058</v>
      </c>
      <c r="O462" s="259">
        <v>0.38451103755035</v>
      </c>
      <c r="P462" s="259">
        <v>1.12382542515475</v>
      </c>
      <c r="Q462" s="259">
        <v>0.0733959156948901</v>
      </c>
      <c r="R462" s="259">
        <v>0.19297813920462</v>
      </c>
      <c r="S462" s="259">
        <v>0.0148457997102951</v>
      </c>
      <c r="T462" s="259">
        <v>0.101682590201016</v>
      </c>
      <c r="U462" s="259">
        <v>0.14217085599263</v>
      </c>
      <c r="V462" s="259">
        <v>0.416982379327413</v>
      </c>
      <c r="W462" s="259"/>
      <c r="X462" s="119"/>
      <c r="Y462" s="258"/>
      <c r="Z462" s="258"/>
      <c r="AA462" s="258"/>
      <c r="AB462" s="258"/>
      <c r="AC462" s="258"/>
      <c r="AD462" s="260"/>
      <c r="AE462" s="261"/>
    </row>
    <row r="463" ht="21.25" customHeight="1">
      <c r="A463" t="s" s="10">
        <v>765</v>
      </c>
      <c r="B463" t="s" s="256">
        <v>926</v>
      </c>
      <c r="C463" s="257">
        <v>29</v>
      </c>
      <c r="D463" t="s" s="256">
        <v>915</v>
      </c>
      <c r="E463" s="119">
        <v>81.31999999999999</v>
      </c>
      <c r="F463" s="258">
        <v>13.4135221923399</v>
      </c>
      <c r="G463" s="259">
        <v>0.0911698279558905</v>
      </c>
      <c r="H463" s="259">
        <v>0.163741079399442</v>
      </c>
      <c r="I463" s="259">
        <v>0.254910907355333</v>
      </c>
      <c r="J463" s="259">
        <v>1.05842896275507</v>
      </c>
      <c r="K463" s="259">
        <v>0.000770899174215202</v>
      </c>
      <c r="L463" s="259">
        <v>0.00184292925352425</v>
      </c>
      <c r="M463" s="259">
        <v>0.00442671829174883</v>
      </c>
      <c r="N463" s="259">
        <v>0.0153358645739483</v>
      </c>
      <c r="O463" s="259">
        <v>0.377231804486405</v>
      </c>
      <c r="P463" s="259">
        <v>1.03074195170894</v>
      </c>
      <c r="Q463" s="259">
        <v>0.0427364792008921</v>
      </c>
      <c r="R463" s="259">
        <v>0.213589355734234</v>
      </c>
      <c r="S463" s="259">
        <v>0.0145855381989482</v>
      </c>
      <c r="T463" s="259">
        <v>6.17433783692749</v>
      </c>
      <c r="U463" s="259">
        <v>5.78393696045694</v>
      </c>
      <c r="V463" s="259">
        <v>0.5163234614978049</v>
      </c>
      <c r="W463" s="259"/>
      <c r="X463" s="119"/>
      <c r="Y463" s="258"/>
      <c r="Z463" s="258"/>
      <c r="AA463" s="258"/>
      <c r="AB463" s="258"/>
      <c r="AC463" s="258"/>
      <c r="AD463" s="260"/>
      <c r="AE463" s="261"/>
    </row>
    <row r="464" ht="21.25" customHeight="1">
      <c r="A464" t="s" s="10">
        <v>788</v>
      </c>
      <c r="B464" t="s" s="256">
        <v>952</v>
      </c>
      <c r="C464" s="257">
        <v>20</v>
      </c>
      <c r="D464" t="s" s="256">
        <v>918</v>
      </c>
      <c r="E464" s="119">
        <v>65.845</v>
      </c>
      <c r="F464" s="258">
        <v>16.6571348363482</v>
      </c>
      <c r="G464" s="259">
        <v>0.0386898858961426</v>
      </c>
      <c r="H464" s="259">
        <v>0.215827045412017</v>
      </c>
      <c r="I464" s="259">
        <v>0.25451693130816</v>
      </c>
      <c r="J464" s="259">
        <v>1.06148169982375</v>
      </c>
      <c r="K464" s="259">
        <v>8.065730382835191e-05</v>
      </c>
      <c r="L464" s="259">
        <v>0.000497526391200827</v>
      </c>
      <c r="M464" s="259">
        <v>0.000127956928461203</v>
      </c>
      <c r="N464" s="259">
        <v>0.000610046114328101</v>
      </c>
      <c r="O464" s="259">
        <v>1.2790925706875</v>
      </c>
      <c r="P464" s="259">
        <v>1.0183057382493</v>
      </c>
      <c r="Q464" s="259">
        <v>-0.0982639222306089</v>
      </c>
      <c r="R464" s="259">
        <v>0.48442682384197</v>
      </c>
      <c r="S464" s="259">
        <v>0.00427849584980864</v>
      </c>
      <c r="T464" s="259">
        <v>0</v>
      </c>
      <c r="U464" s="259">
        <v>0</v>
      </c>
      <c r="V464" s="259">
        <v>0</v>
      </c>
      <c r="W464" s="259"/>
      <c r="X464" s="119"/>
      <c r="Y464" s="258"/>
      <c r="Z464" s="258"/>
      <c r="AA464" s="258"/>
      <c r="AB464" s="258"/>
      <c r="AC464" s="258"/>
      <c r="AD464" s="260"/>
      <c r="AE464" s="261"/>
    </row>
    <row r="465" ht="21.25" customHeight="1">
      <c r="A465" t="s" s="10">
        <v>772</v>
      </c>
      <c r="B465" t="s" s="256">
        <v>958</v>
      </c>
      <c r="C465" s="257">
        <v>25</v>
      </c>
      <c r="D465" t="s" s="256">
        <v>917</v>
      </c>
      <c r="E465" s="119">
        <v>71.095</v>
      </c>
      <c r="F465" s="258">
        <v>11.5884562272366</v>
      </c>
      <c r="G465" s="259">
        <v>0.133173267032582</v>
      </c>
      <c r="H465" s="259">
        <v>0.121214961660985</v>
      </c>
      <c r="I465" s="259">
        <v>0.254388228693567</v>
      </c>
      <c r="J465" s="259">
        <v>1.18111987958413</v>
      </c>
      <c r="K465" s="259">
        <v>0.00151803238392212</v>
      </c>
      <c r="L465" s="259">
        <v>0.00353018254023061</v>
      </c>
      <c r="M465" s="259">
        <v>0.0232715279962057</v>
      </c>
      <c r="N465" s="259">
        <v>0.0260398882066422</v>
      </c>
      <c r="O465" s="259">
        <v>0.722259007319891</v>
      </c>
      <c r="P465" s="259">
        <v>1.03095202908317</v>
      </c>
      <c r="Q465" s="259">
        <v>-0.0997435463362049</v>
      </c>
      <c r="R465" s="259">
        <v>0.237205011235354</v>
      </c>
      <c r="S465" s="259">
        <v>0.0155226159881369</v>
      </c>
      <c r="T465" s="259">
        <v>0.182349048776145</v>
      </c>
      <c r="U465" s="259">
        <v>0.291985039378251</v>
      </c>
      <c r="V465" s="259">
        <v>0.384431676596666</v>
      </c>
      <c r="W465" s="259"/>
      <c r="X465" s="119"/>
      <c r="Y465" s="258"/>
      <c r="Z465" s="258"/>
      <c r="AA465" s="258"/>
      <c r="AB465" s="258"/>
      <c r="AC465" s="258"/>
      <c r="AD465" s="260"/>
      <c r="AE465" s="261"/>
    </row>
    <row r="466" ht="21.25" customHeight="1">
      <c r="A466" t="s" s="10">
        <v>657</v>
      </c>
      <c r="B466" t="s" s="256">
        <v>930</v>
      </c>
      <c r="C466" s="257">
        <v>29</v>
      </c>
      <c r="D466" t="s" s="256">
        <v>917</v>
      </c>
      <c r="E466" s="119">
        <v>69.925</v>
      </c>
      <c r="F466" s="258">
        <v>12.1916847964303</v>
      </c>
      <c r="G466" s="259">
        <v>0.130086169038126</v>
      </c>
      <c r="H466" s="259">
        <v>0.124021653945366</v>
      </c>
      <c r="I466" s="259">
        <v>0.254107822983492</v>
      </c>
      <c r="J466" s="259">
        <v>1.24561719752583</v>
      </c>
      <c r="K466" s="259">
        <v>0.000905243332159892</v>
      </c>
      <c r="L466" s="259">
        <v>0.00235295074678308</v>
      </c>
      <c r="M466" s="259">
        <v>0.00451485757495323</v>
      </c>
      <c r="N466" s="259">
        <v>0.0103298806894069</v>
      </c>
      <c r="O466" s="259">
        <v>0.705354697487278</v>
      </c>
      <c r="P466" s="259">
        <v>1.95997599562257</v>
      </c>
      <c r="Q466" s="259">
        <v>0.0215967222341924</v>
      </c>
      <c r="R466" s="259">
        <v>0.808314548296505</v>
      </c>
      <c r="S466" s="259">
        <v>0.018419267520141</v>
      </c>
      <c r="T466" s="259">
        <v>4.75475363184777</v>
      </c>
      <c r="U466" s="259">
        <v>3.94929121949622</v>
      </c>
      <c r="V466" s="259">
        <v>0.546269431402756</v>
      </c>
      <c r="W466" s="259"/>
      <c r="X466" s="119"/>
      <c r="Y466" s="258"/>
      <c r="Z466" s="258"/>
      <c r="AA466" s="258"/>
      <c r="AB466" s="258"/>
      <c r="AC466" s="258"/>
      <c r="AD466" s="260"/>
      <c r="AE466" s="261"/>
    </row>
    <row r="467" ht="21.25" customHeight="1">
      <c r="A467" t="s" s="10">
        <v>736</v>
      </c>
      <c r="B467" t="s" s="256">
        <v>947</v>
      </c>
      <c r="C467" s="257">
        <v>20</v>
      </c>
      <c r="D467" t="s" s="256">
        <v>918</v>
      </c>
      <c r="E467" s="119">
        <v>79.54000000000001</v>
      </c>
      <c r="F467" s="258">
        <v>18.6948545857826</v>
      </c>
      <c r="G467" s="259">
        <v>0.0669374077612607</v>
      </c>
      <c r="H467" s="259">
        <v>0.187084910206985</v>
      </c>
      <c r="I467" s="259">
        <v>0.254022317968246</v>
      </c>
      <c r="J467" s="259">
        <v>1.2080454908276</v>
      </c>
      <c r="K467" s="259">
        <v>0.00479597252440707</v>
      </c>
      <c r="L467" s="259">
        <v>0.106206648087016</v>
      </c>
      <c r="M467" s="259">
        <v>0.000123476690778095</v>
      </c>
      <c r="N467" s="259">
        <v>0.000611931652710764</v>
      </c>
      <c r="O467" s="259">
        <v>1.13466001428987</v>
      </c>
      <c r="P467" s="259">
        <v>0.629930361195448</v>
      </c>
      <c r="Q467" s="259">
        <v>-0.129006319490311</v>
      </c>
      <c r="R467" s="259">
        <v>0.325400310918518</v>
      </c>
      <c r="S467" s="259">
        <v>0.00865067231342424</v>
      </c>
      <c r="T467" s="259">
        <v>0</v>
      </c>
      <c r="U467" s="259">
        <v>0</v>
      </c>
      <c r="V467" s="259">
        <v>0</v>
      </c>
      <c r="W467" s="259"/>
      <c r="X467" s="119"/>
      <c r="Y467" s="258"/>
      <c r="Z467" s="258"/>
      <c r="AA467" s="258"/>
      <c r="AB467" s="258"/>
      <c r="AC467" s="258"/>
      <c r="AD467" s="260"/>
      <c r="AE467" s="261"/>
    </row>
    <row r="468" ht="21.25" customHeight="1">
      <c r="A468" t="s" s="10">
        <v>671</v>
      </c>
      <c r="B468" t="s" s="256">
        <v>959</v>
      </c>
      <c r="C468" s="257">
        <v>26</v>
      </c>
      <c r="D468" t="s" s="256">
        <v>917</v>
      </c>
      <c r="E468" s="119">
        <v>70.1125</v>
      </c>
      <c r="F468" s="258">
        <v>10.5956183332136</v>
      </c>
      <c r="G468" s="259">
        <v>0.142733753071634</v>
      </c>
      <c r="H468" s="259">
        <v>0.110957554860006</v>
      </c>
      <c r="I468" s="259">
        <v>0.25369130793164</v>
      </c>
      <c r="J468" s="259">
        <v>1.62490981858575</v>
      </c>
      <c r="K468" s="259">
        <v>0.00183787309673665</v>
      </c>
      <c r="L468" s="259">
        <v>0.00292095132170276</v>
      </c>
      <c r="M468" s="259">
        <v>0.000923468535999823</v>
      </c>
      <c r="N468" s="259">
        <v>0.00105295900435224</v>
      </c>
      <c r="O468" s="259">
        <v>0.331207215992561</v>
      </c>
      <c r="P468" s="259">
        <v>2.21971922546026</v>
      </c>
      <c r="Q468" s="259">
        <v>0.0184388718055201</v>
      </c>
      <c r="R468" s="259">
        <v>0.299262088704693</v>
      </c>
      <c r="S468" s="259">
        <v>0.0152454099956265</v>
      </c>
      <c r="T468" s="259">
        <v>0.0667365128307148</v>
      </c>
      <c r="U468" s="259">
        <v>0.143601043788595</v>
      </c>
      <c r="V468" s="259">
        <v>0.317282913728533</v>
      </c>
      <c r="W468" s="259"/>
      <c r="X468" s="119"/>
      <c r="Y468" s="258"/>
      <c r="Z468" s="258"/>
      <c r="AA468" s="258"/>
      <c r="AB468" s="258"/>
      <c r="AC468" s="258"/>
      <c r="AD468" s="260"/>
      <c r="AE468" s="261"/>
    </row>
    <row r="469" ht="21.25" customHeight="1">
      <c r="A469" t="s" s="10">
        <v>509</v>
      </c>
      <c r="B469" t="s" s="256">
        <v>931</v>
      </c>
      <c r="C469" s="257">
        <v>22</v>
      </c>
      <c r="D469" t="s" s="256">
        <v>916</v>
      </c>
      <c r="E469" s="119">
        <v>80.265</v>
      </c>
      <c r="F469" s="258">
        <v>11.0500073304884</v>
      </c>
      <c r="G469" s="259">
        <v>0.140853709704306</v>
      </c>
      <c r="H469" s="259">
        <v>0.111383505883961</v>
      </c>
      <c r="I469" s="259">
        <v>0.252237215588267</v>
      </c>
      <c r="J469" s="259">
        <v>1.39630586490565</v>
      </c>
      <c r="K469" s="259">
        <v>0.00416751416483845</v>
      </c>
      <c r="L469" s="259">
        <v>0.009227081636968591</v>
      </c>
      <c r="M469" s="259">
        <v>3.61805446556798e-06</v>
      </c>
      <c r="N469" s="259">
        <v>6.21833931910929e-06</v>
      </c>
      <c r="O469" s="259">
        <v>0.346100292450413</v>
      </c>
      <c r="P469" s="259">
        <v>2.72632803210249</v>
      </c>
      <c r="Q469" s="259">
        <v>0.0367944177882761</v>
      </c>
      <c r="R469" s="259">
        <v>0.492687652382937</v>
      </c>
      <c r="S469" s="259">
        <v>0.0230237084787213</v>
      </c>
      <c r="T469" s="259">
        <v>0.0247445274283994</v>
      </c>
      <c r="U469" s="259">
        <v>0.102148017733492</v>
      </c>
      <c r="V469" s="259">
        <v>0.195003791568921</v>
      </c>
      <c r="W469" s="259"/>
      <c r="X469" s="119"/>
      <c r="Y469" s="258"/>
      <c r="Z469" s="258"/>
      <c r="AA469" s="258"/>
      <c r="AB469" s="258"/>
      <c r="AC469" s="258"/>
      <c r="AD469" s="260"/>
      <c r="AE469" s="261"/>
    </row>
    <row r="470" ht="21.25" customHeight="1">
      <c r="A470" t="s" s="10">
        <v>611</v>
      </c>
      <c r="B470" t="s" s="256">
        <v>940</v>
      </c>
      <c r="C470" s="257">
        <v>33</v>
      </c>
      <c r="D470" t="s" s="256">
        <v>918</v>
      </c>
      <c r="E470" s="119">
        <v>80.0325</v>
      </c>
      <c r="F470" s="258">
        <v>19.2553396794824</v>
      </c>
      <c r="G470" s="259">
        <v>0.0386066643079006</v>
      </c>
      <c r="H470" s="259">
        <v>0.213208694992274</v>
      </c>
      <c r="I470" s="259">
        <v>0.251815359300175</v>
      </c>
      <c r="J470" s="259">
        <v>0.996573149513167</v>
      </c>
      <c r="K470" s="259">
        <v>0.000263922488766147</v>
      </c>
      <c r="L470" s="259">
        <v>0.00186018230020213</v>
      </c>
      <c r="M470" s="259">
        <v>0.00027262987319454</v>
      </c>
      <c r="N470" s="259">
        <v>0.0040829199141931</v>
      </c>
      <c r="O470" s="259">
        <v>1.55007721268662</v>
      </c>
      <c r="P470" s="259">
        <v>1.10288275792228</v>
      </c>
      <c r="Q470" s="259">
        <v>-0.0306978648989312</v>
      </c>
      <c r="R470" s="259">
        <v>0.245293891176451</v>
      </c>
      <c r="S470" s="259">
        <v>0.00599423436393703</v>
      </c>
      <c r="T470" s="259">
        <v>0</v>
      </c>
      <c r="U470" s="259">
        <v>0</v>
      </c>
      <c r="V470" s="259">
        <v>0</v>
      </c>
      <c r="W470" s="259"/>
      <c r="X470" s="119"/>
      <c r="Y470" s="258"/>
      <c r="Z470" s="258"/>
      <c r="AA470" s="258"/>
      <c r="AB470" s="258"/>
      <c r="AC470" s="258"/>
      <c r="AD470" s="260"/>
      <c r="AE470" s="261"/>
    </row>
    <row r="471" ht="21.25" customHeight="1">
      <c r="A471" t="s" s="10">
        <v>793</v>
      </c>
      <c r="B471" t="s" s="256">
        <v>936</v>
      </c>
      <c r="C471" s="257">
        <v>31</v>
      </c>
      <c r="D471" t="s" s="256">
        <v>918</v>
      </c>
      <c r="E471" s="119">
        <v>67.2025</v>
      </c>
      <c r="F471" s="258">
        <v>15.5142129659138</v>
      </c>
      <c r="G471" s="259">
        <v>0.050010386793202</v>
      </c>
      <c r="H471" s="259">
        <v>0.200944592150501</v>
      </c>
      <c r="I471" s="259">
        <v>0.250954978943703</v>
      </c>
      <c r="J471" s="259">
        <v>1.61084152924411</v>
      </c>
      <c r="K471" s="259">
        <v>0.00204837155204635</v>
      </c>
      <c r="L471" s="259">
        <v>0.0547633606923491</v>
      </c>
      <c r="M471" s="259">
        <v>0.000989824938488133</v>
      </c>
      <c r="N471" s="259">
        <v>0.00118359977908841</v>
      </c>
      <c r="O471" s="259">
        <v>0.948776967720549</v>
      </c>
      <c r="P471" s="259">
        <v>0.97753276580891</v>
      </c>
      <c r="Q471" s="259">
        <v>0.00520089073425207</v>
      </c>
      <c r="R471" s="259">
        <v>0.43135826745302</v>
      </c>
      <c r="S471" s="259">
        <v>0.00785957929012673</v>
      </c>
      <c r="T471" s="259">
        <v>0</v>
      </c>
      <c r="U471" s="259">
        <v>0</v>
      </c>
      <c r="V471" s="259">
        <v>0</v>
      </c>
      <c r="W471" s="259"/>
      <c r="X471" s="119"/>
      <c r="Y471" s="258"/>
      <c r="Z471" s="258"/>
      <c r="AA471" s="258"/>
      <c r="AB471" s="258"/>
      <c r="AC471" s="258"/>
      <c r="AD471" s="260"/>
      <c r="AE471" s="261"/>
    </row>
    <row r="472" ht="21.25" customHeight="1">
      <c r="A472" t="s" s="10">
        <v>738</v>
      </c>
      <c r="B472" t="s" s="256">
        <v>959</v>
      </c>
      <c r="C472" s="257">
        <v>29</v>
      </c>
      <c r="D472" t="s" s="256">
        <v>915</v>
      </c>
      <c r="E472" s="119">
        <v>76.75749999999999</v>
      </c>
      <c r="F472" s="258">
        <v>12.7847497152593</v>
      </c>
      <c r="G472" s="259">
        <v>0.111065893343086</v>
      </c>
      <c r="H472" s="259">
        <v>0.13976097279259</v>
      </c>
      <c r="I472" s="259">
        <v>0.250826866135676</v>
      </c>
      <c r="J472" s="259">
        <v>1.16808552010911</v>
      </c>
      <c r="K472" s="259">
        <v>0.00209249853467212</v>
      </c>
      <c r="L472" s="259">
        <v>0.00476676668227337</v>
      </c>
      <c r="M472" s="259">
        <v>0.009221686578260051</v>
      </c>
      <c r="N472" s="259">
        <v>0.010120493570775</v>
      </c>
      <c r="O472" s="259">
        <v>0.527163923271424</v>
      </c>
      <c r="P472" s="259">
        <v>1.08344162938309</v>
      </c>
      <c r="Q472" s="259">
        <v>-0.121826985440747</v>
      </c>
      <c r="R472" s="259">
        <v>0.245849082783002</v>
      </c>
      <c r="S472" s="259">
        <v>0.0118629619421278</v>
      </c>
      <c r="T472" s="259">
        <v>6.16772641976094</v>
      </c>
      <c r="U472" s="259">
        <v>4.69592682100115</v>
      </c>
      <c r="V472" s="259">
        <v>0.567739625250435</v>
      </c>
      <c r="W472" s="259"/>
      <c r="X472" s="119"/>
      <c r="Y472" s="258"/>
      <c r="Z472" s="258"/>
      <c r="AA472" s="258"/>
      <c r="AB472" s="258"/>
      <c r="AC472" s="258"/>
      <c r="AD472" s="260"/>
      <c r="AE472" s="261"/>
    </row>
    <row r="473" ht="21.25" customHeight="1">
      <c r="A473" t="s" s="10">
        <v>845</v>
      </c>
      <c r="B473" t="s" s="256">
        <v>930</v>
      </c>
      <c r="C473" s="257">
        <v>29</v>
      </c>
      <c r="D473" t="s" s="256">
        <v>915</v>
      </c>
      <c r="E473" s="119">
        <v>62.455</v>
      </c>
      <c r="F473" s="258">
        <v>12.1755226675134</v>
      </c>
      <c r="G473" s="259">
        <v>0.121257541642282</v>
      </c>
      <c r="H473" s="259">
        <v>0.129413102348461</v>
      </c>
      <c r="I473" s="259">
        <v>0.250670643990743</v>
      </c>
      <c r="J473" s="259">
        <v>1.25766831171065</v>
      </c>
      <c r="K473" s="259">
        <v>0.00355906985933601</v>
      </c>
      <c r="L473" s="259">
        <v>0.0111785699772122</v>
      </c>
      <c r="M473" s="259">
        <v>0.0157891910373823</v>
      </c>
      <c r="N473" s="259">
        <v>0.0173310199658007</v>
      </c>
      <c r="O473" s="259">
        <v>0.454218718758348</v>
      </c>
      <c r="P473" s="259">
        <v>0.79193810163551</v>
      </c>
      <c r="Q473" s="259">
        <v>0.0382264815897682</v>
      </c>
      <c r="R473" s="259">
        <v>0.300197265336443</v>
      </c>
      <c r="S473" s="259">
        <v>0.0171691972702281</v>
      </c>
      <c r="T473" s="259">
        <v>2.94703494907873</v>
      </c>
      <c r="U473" s="259">
        <v>2.65907985759367</v>
      </c>
      <c r="V473" s="259">
        <v>0.525682232831045</v>
      </c>
      <c r="W473" s="259"/>
      <c r="X473" s="119"/>
      <c r="Y473" s="258"/>
      <c r="Z473" s="258"/>
      <c r="AA473" s="258"/>
      <c r="AB473" s="258"/>
      <c r="AC473" s="258"/>
      <c r="AD473" s="260"/>
      <c r="AE473" s="261"/>
    </row>
    <row r="474" ht="21.25" customHeight="1">
      <c r="A474" t="s" s="10">
        <v>497</v>
      </c>
      <c r="B474" t="s" s="256">
        <v>935</v>
      </c>
      <c r="C474" s="257">
        <v>34</v>
      </c>
      <c r="D474" t="s" s="256">
        <v>918</v>
      </c>
      <c r="E474" s="119">
        <v>80.5925</v>
      </c>
      <c r="F474" s="258">
        <v>19.444353964108</v>
      </c>
      <c r="G474" s="259">
        <v>0.0304153115726977</v>
      </c>
      <c r="H474" s="259">
        <v>0.219396936294878</v>
      </c>
      <c r="I474" s="259">
        <v>0.249812247867576</v>
      </c>
      <c r="J474" s="259">
        <v>1.18310615858351</v>
      </c>
      <c r="K474" s="259">
        <v>0.000269724229521828</v>
      </c>
      <c r="L474" s="259">
        <v>0.00250619820844013</v>
      </c>
      <c r="M474" s="259">
        <v>0.00779243302991745</v>
      </c>
      <c r="N474" s="259">
        <v>0.012881855384759</v>
      </c>
      <c r="O474" s="259">
        <v>1.74716040448309</v>
      </c>
      <c r="P474" s="259">
        <v>1.37558426912996</v>
      </c>
      <c r="Q474" s="259">
        <v>-0.00295099949908091</v>
      </c>
      <c r="R474" s="259">
        <v>0.740597277190859</v>
      </c>
      <c r="S474" s="259">
        <v>0.00519415060613984</v>
      </c>
      <c r="T474" s="259">
        <v>0</v>
      </c>
      <c r="U474" s="259">
        <v>0</v>
      </c>
      <c r="V474" s="259">
        <v>0</v>
      </c>
      <c r="W474" s="259"/>
      <c r="X474" s="119"/>
      <c r="Y474" s="258"/>
      <c r="Z474" s="258"/>
      <c r="AA474" s="258"/>
      <c r="AB474" s="258"/>
      <c r="AC474" s="258"/>
      <c r="AD474" s="260"/>
      <c r="AE474" s="261"/>
    </row>
    <row r="475" ht="21.25" customHeight="1">
      <c r="A475" t="s" s="10">
        <v>549</v>
      </c>
      <c r="B475" t="s" s="256">
        <v>932</v>
      </c>
      <c r="C475" s="257">
        <v>33</v>
      </c>
      <c r="D475" t="s" s="256">
        <v>918</v>
      </c>
      <c r="E475" s="119">
        <v>78.7025</v>
      </c>
      <c r="F475" s="258">
        <v>18.3675986481032</v>
      </c>
      <c r="G475" s="259">
        <v>0.038744616007762</v>
      </c>
      <c r="H475" s="259">
        <v>0.210767885107536</v>
      </c>
      <c r="I475" s="259">
        <v>0.249512501115298</v>
      </c>
      <c r="J475" s="259">
        <v>1.0538633245565</v>
      </c>
      <c r="K475" s="259">
        <v>0.000232106092484025</v>
      </c>
      <c r="L475" s="259">
        <v>0.00162449713211271</v>
      </c>
      <c r="M475" s="259">
        <v>0.000260033289673621</v>
      </c>
      <c r="N475" s="259">
        <v>0.00585383786194229</v>
      </c>
      <c r="O475" s="259">
        <v>1.36085133210228</v>
      </c>
      <c r="P475" s="259">
        <v>1.73932021249623</v>
      </c>
      <c r="Q475" s="259">
        <v>0.0017269173707655</v>
      </c>
      <c r="R475" s="259">
        <v>0.524957715414664</v>
      </c>
      <c r="S475" s="259">
        <v>0.00660059983254109</v>
      </c>
      <c r="T475" s="259">
        <v>0</v>
      </c>
      <c r="U475" s="259">
        <v>0</v>
      </c>
      <c r="V475" s="259">
        <v>0</v>
      </c>
      <c r="W475" s="259"/>
      <c r="X475" s="119"/>
      <c r="Y475" s="258"/>
      <c r="Z475" s="258"/>
      <c r="AA475" s="258"/>
      <c r="AB475" s="258"/>
      <c r="AC475" s="258"/>
      <c r="AD475" s="260"/>
      <c r="AE475" s="261"/>
    </row>
    <row r="476" ht="21.25" customHeight="1">
      <c r="A476" t="s" s="10">
        <v>491</v>
      </c>
      <c r="B476" t="s" s="256">
        <v>950</v>
      </c>
      <c r="C476" s="257">
        <v>25</v>
      </c>
      <c r="D476" t="s" s="256">
        <v>918</v>
      </c>
      <c r="E476" s="119">
        <v>77.4225</v>
      </c>
      <c r="F476" s="258">
        <v>20.5479144384649</v>
      </c>
      <c r="G476" s="259">
        <v>0.0439269804641386</v>
      </c>
      <c r="H476" s="259">
        <v>0.204594391152784</v>
      </c>
      <c r="I476" s="259">
        <v>0.248521371616923</v>
      </c>
      <c r="J476" s="259">
        <v>1.19319422746441</v>
      </c>
      <c r="K476" s="259">
        <v>0.000406769937318555</v>
      </c>
      <c r="L476" s="259">
        <v>0.00112246081327926</v>
      </c>
      <c r="M476" s="259">
        <v>0.000381724137245241</v>
      </c>
      <c r="N476" s="259">
        <v>0.00514864969944622</v>
      </c>
      <c r="O476" s="259">
        <v>1.68849840104382</v>
      </c>
      <c r="P476" s="259">
        <v>1.72708401625046</v>
      </c>
      <c r="Q476" s="259">
        <v>0.0399972911122767</v>
      </c>
      <c r="R476" s="259">
        <v>0.314387983737462</v>
      </c>
      <c r="S476" s="259">
        <v>0.007828300562362269</v>
      </c>
      <c r="T476" s="259">
        <v>0</v>
      </c>
      <c r="U476" s="259">
        <v>0</v>
      </c>
      <c r="V476" s="259">
        <v>0</v>
      </c>
      <c r="W476" s="259"/>
      <c r="X476" s="119"/>
      <c r="Y476" s="258"/>
      <c r="Z476" s="258"/>
      <c r="AA476" s="258"/>
      <c r="AB476" s="258"/>
      <c r="AC476" s="258"/>
      <c r="AD476" s="260"/>
      <c r="AE476" s="261"/>
    </row>
    <row r="477" ht="21.25" customHeight="1">
      <c r="A477" t="s" s="10">
        <v>555</v>
      </c>
      <c r="B477" t="s" s="256">
        <v>935</v>
      </c>
      <c r="C477" s="257">
        <v>30</v>
      </c>
      <c r="D477" t="s" s="256">
        <v>918</v>
      </c>
      <c r="E477" s="119">
        <v>72.22499999999999</v>
      </c>
      <c r="F477" s="258">
        <v>19.3748278588254</v>
      </c>
      <c r="G477" s="259">
        <v>0.0746757542530577</v>
      </c>
      <c r="H477" s="259">
        <v>0.173461312048162</v>
      </c>
      <c r="I477" s="259">
        <v>0.24813706630122</v>
      </c>
      <c r="J477" s="259">
        <v>1.16174818431433</v>
      </c>
      <c r="K477" s="259">
        <v>0.00330109435959804</v>
      </c>
      <c r="L477" s="259">
        <v>0.0129155819460505</v>
      </c>
      <c r="M477" s="259">
        <v>0.00285226489131546</v>
      </c>
      <c r="N477" s="259">
        <v>0.00695615899673412</v>
      </c>
      <c r="O477" s="259">
        <v>1.61159280951065</v>
      </c>
      <c r="P477" s="259">
        <v>1.75487585004774</v>
      </c>
      <c r="Q477" s="259">
        <v>0.0603645106201427</v>
      </c>
      <c r="R477" s="259">
        <v>0.633683224342916</v>
      </c>
      <c r="S477" s="259">
        <v>0.0127526924486826</v>
      </c>
      <c r="T477" s="259">
        <v>0</v>
      </c>
      <c r="U477" s="259">
        <v>0</v>
      </c>
      <c r="V477" s="259">
        <v>0</v>
      </c>
      <c r="W477" s="259"/>
      <c r="X477" s="119"/>
      <c r="Y477" s="258"/>
      <c r="Z477" s="258"/>
      <c r="AA477" s="258"/>
      <c r="AB477" s="258"/>
      <c r="AC477" s="258"/>
      <c r="AD477" s="260"/>
      <c r="AE477" s="261"/>
    </row>
    <row r="478" ht="21.25" customHeight="1">
      <c r="A478" t="s" s="10">
        <v>812</v>
      </c>
      <c r="B478" t="s" s="256">
        <v>941</v>
      </c>
      <c r="C478" s="257">
        <v>23</v>
      </c>
      <c r="D478" t="s" s="256">
        <v>918</v>
      </c>
      <c r="E478" s="119">
        <v>58.79</v>
      </c>
      <c r="F478" s="258">
        <v>15.1528664510493</v>
      </c>
      <c r="G478" s="259">
        <v>0.038394486908824</v>
      </c>
      <c r="H478" s="259">
        <v>0.209211425889008</v>
      </c>
      <c r="I478" s="259">
        <v>0.247605912797832</v>
      </c>
      <c r="J478" s="259">
        <v>1.08484798653128</v>
      </c>
      <c r="K478" s="259">
        <v>0.000653824465899811</v>
      </c>
      <c r="L478" s="259">
        <v>0.00600834845995294</v>
      </c>
      <c r="M478" s="259">
        <v>0.000206025853500238</v>
      </c>
      <c r="N478" s="259">
        <v>0.0009943418753266639</v>
      </c>
      <c r="O478" s="259">
        <v>1.12517949988291</v>
      </c>
      <c r="P478" s="259">
        <v>1.44348424385309</v>
      </c>
      <c r="Q478" s="259">
        <v>0.0368388914087809</v>
      </c>
      <c r="R478" s="259">
        <v>0.308348845149562</v>
      </c>
      <c r="S478" s="259">
        <v>0.00583985094779012</v>
      </c>
      <c r="T478" s="259">
        <v>0</v>
      </c>
      <c r="U478" s="259">
        <v>0</v>
      </c>
      <c r="V478" s="259">
        <v>0</v>
      </c>
      <c r="W478" s="259"/>
      <c r="X478" s="119"/>
      <c r="Y478" s="258"/>
      <c r="Z478" s="258"/>
      <c r="AA478" s="258"/>
      <c r="AB478" s="258"/>
      <c r="AC478" s="258"/>
      <c r="AD478" s="260"/>
      <c r="AE478" s="261"/>
    </row>
    <row r="479" ht="21.25" customHeight="1">
      <c r="A479" t="s" s="10">
        <v>424</v>
      </c>
      <c r="B479" t="s" s="256">
        <v>954</v>
      </c>
      <c r="C479" s="257">
        <v>26</v>
      </c>
      <c r="D479" t="s" s="256">
        <v>916</v>
      </c>
      <c r="E479" s="119">
        <v>72.59</v>
      </c>
      <c r="F479" s="258">
        <v>9.933400198119729</v>
      </c>
      <c r="G479" s="259">
        <v>0.09397009778092839</v>
      </c>
      <c r="H479" s="259">
        <v>0.150875253643527</v>
      </c>
      <c r="I479" s="259">
        <v>0.244845351424455</v>
      </c>
      <c r="J479" s="259">
        <v>1.00796489537439</v>
      </c>
      <c r="K479" s="259">
        <v>0.00048574659019087</v>
      </c>
      <c r="L479" s="259">
        <v>0.00135334426804922</v>
      </c>
      <c r="M479" s="259">
        <v>0.000533502730889195</v>
      </c>
      <c r="N479" s="259">
        <v>0.000907393489372675</v>
      </c>
      <c r="O479" s="259">
        <v>0.514419722877438</v>
      </c>
      <c r="P479" s="259">
        <v>3.94507068764567</v>
      </c>
      <c r="Q479" s="259">
        <v>-0.0531770906678945</v>
      </c>
      <c r="R479" s="259">
        <v>0.92310953535708</v>
      </c>
      <c r="S479" s="259">
        <v>0.0108912539252465</v>
      </c>
      <c r="T479" s="259">
        <v>0.131222314656036</v>
      </c>
      <c r="U479" s="259">
        <v>0.167085204623116</v>
      </c>
      <c r="V479" s="259">
        <v>0.43988939659694</v>
      </c>
      <c r="W479" s="259"/>
      <c r="X479" s="119"/>
      <c r="Y479" s="258"/>
      <c r="Z479" s="258"/>
      <c r="AA479" s="258"/>
      <c r="AB479" s="258"/>
      <c r="AC479" s="258"/>
      <c r="AD479" s="260"/>
      <c r="AE479" s="261"/>
    </row>
    <row r="480" ht="21.25" customHeight="1">
      <c r="A480" t="s" s="10">
        <v>678</v>
      </c>
      <c r="B480" t="s" s="256">
        <v>959</v>
      </c>
      <c r="C480" s="257">
        <v>26</v>
      </c>
      <c r="D480" t="s" s="256">
        <v>915</v>
      </c>
      <c r="E480" s="119">
        <v>74.13</v>
      </c>
      <c r="F480" s="258">
        <v>12.7538652974937</v>
      </c>
      <c r="G480" s="259">
        <v>0.128379620681005</v>
      </c>
      <c r="H480" s="259">
        <v>0.116444941487308</v>
      </c>
      <c r="I480" s="259">
        <v>0.244824562168313</v>
      </c>
      <c r="J480" s="259">
        <v>1.18349716122927</v>
      </c>
      <c r="K480" s="259">
        <v>0.0143942956545381</v>
      </c>
      <c r="L480" s="259">
        <v>0.0360830041234108</v>
      </c>
      <c r="M480" s="259">
        <v>0.000759231146769625</v>
      </c>
      <c r="N480" s="259">
        <v>0.00129337920649287</v>
      </c>
      <c r="O480" s="259">
        <v>0.588727185470033</v>
      </c>
      <c r="P480" s="259">
        <v>1.73425379354687</v>
      </c>
      <c r="Q480" s="259">
        <v>-0.143241858423184</v>
      </c>
      <c r="R480" s="259">
        <v>0.80313937481302</v>
      </c>
      <c r="S480" s="259">
        <v>0.0137122433218908</v>
      </c>
      <c r="T480" s="259">
        <v>1.84995960403433</v>
      </c>
      <c r="U480" s="259">
        <v>2.32054368912733</v>
      </c>
      <c r="V480" s="259">
        <v>0.443581859069071</v>
      </c>
      <c r="W480" s="259"/>
      <c r="X480" s="119"/>
      <c r="Y480" s="258"/>
      <c r="Z480" s="258"/>
      <c r="AA480" s="258"/>
      <c r="AB480" s="258"/>
      <c r="AC480" s="258"/>
      <c r="AD480" s="260"/>
      <c r="AE480" s="261"/>
    </row>
    <row r="481" ht="21.25" customHeight="1">
      <c r="A481" t="s" s="10">
        <v>462</v>
      </c>
      <c r="B481" t="s" s="256">
        <v>934</v>
      </c>
      <c r="C481" s="257">
        <v>26</v>
      </c>
      <c r="D481" t="s" s="256">
        <v>916</v>
      </c>
      <c r="E481" s="119">
        <v>77.9525</v>
      </c>
      <c r="F481" s="258">
        <v>13.4610500479827</v>
      </c>
      <c r="G481" s="259">
        <v>0.08232233411857801</v>
      </c>
      <c r="H481" s="259">
        <v>0.161945886016703</v>
      </c>
      <c r="I481" s="259">
        <v>0.244268220135281</v>
      </c>
      <c r="J481" s="259">
        <v>1.15072963687247</v>
      </c>
      <c r="K481" s="259">
        <v>0.000486616100506558</v>
      </c>
      <c r="L481" s="259">
        <v>0.00113805328648254</v>
      </c>
      <c r="M481" s="259">
        <v>0.00155753584271191</v>
      </c>
      <c r="N481" s="259">
        <v>0.0125435764308739</v>
      </c>
      <c r="O481" s="259">
        <v>0.990239563849066</v>
      </c>
      <c r="P481" s="259">
        <v>2.53064766908046</v>
      </c>
      <c r="Q481" s="259">
        <v>-0.036577905212994</v>
      </c>
      <c r="R481" s="259">
        <v>0.342013960273514</v>
      </c>
      <c r="S481" s="259">
        <v>0.0116449416548123</v>
      </c>
      <c r="T481" s="259">
        <v>0.277201689278159</v>
      </c>
      <c r="U481" s="259">
        <v>0.316114871302707</v>
      </c>
      <c r="V481" s="259">
        <v>0.467207065662846</v>
      </c>
      <c r="W481" s="259"/>
      <c r="X481" s="119"/>
      <c r="Y481" s="258"/>
      <c r="Z481" s="258"/>
      <c r="AA481" s="258"/>
      <c r="AB481" s="258"/>
      <c r="AC481" s="258"/>
      <c r="AD481" s="260"/>
      <c r="AE481" s="261"/>
    </row>
    <row r="482" ht="21.25" customHeight="1">
      <c r="A482" t="s" s="10">
        <v>563</v>
      </c>
      <c r="B482" t="s" s="256">
        <v>936</v>
      </c>
      <c r="C482" s="257">
        <v>33</v>
      </c>
      <c r="D482" t="s" s="256">
        <v>915</v>
      </c>
      <c r="E482" s="119">
        <v>78.96250000000001</v>
      </c>
      <c r="F482" s="258">
        <v>13.5592056721047</v>
      </c>
      <c r="G482" s="259">
        <v>0.0968707132112363</v>
      </c>
      <c r="H482" s="259">
        <v>0.14662229678154</v>
      </c>
      <c r="I482" s="259">
        <v>0.243493009992776</v>
      </c>
      <c r="J482" s="259">
        <v>1.15673918651228</v>
      </c>
      <c r="K482" s="259">
        <v>0.00179902333000642</v>
      </c>
      <c r="L482" s="259">
        <v>0.00583277316748206</v>
      </c>
      <c r="M482" s="259">
        <v>0.009437084003404509</v>
      </c>
      <c r="N482" s="259">
        <v>0.0146947907283492</v>
      </c>
      <c r="O482" s="259">
        <v>0.856732482963133</v>
      </c>
      <c r="P482" s="259">
        <v>1.81706876346567</v>
      </c>
      <c r="Q482" s="259">
        <v>0.00551756604436022</v>
      </c>
      <c r="R482" s="259">
        <v>0.437205095221896</v>
      </c>
      <c r="S482" s="259">
        <v>0.0152240984362539</v>
      </c>
      <c r="T482" s="259">
        <v>5.30864777715962</v>
      </c>
      <c r="U482" s="259">
        <v>4.54167323609787</v>
      </c>
      <c r="V482" s="259">
        <v>0.538931449037523</v>
      </c>
      <c r="W482" s="259"/>
      <c r="X482" s="119"/>
      <c r="Y482" s="258"/>
      <c r="Z482" s="258"/>
      <c r="AA482" s="258"/>
      <c r="AB482" s="258"/>
      <c r="AC482" s="258"/>
      <c r="AD482" s="260"/>
      <c r="AE482" s="261"/>
    </row>
    <row r="483" ht="21.25" customHeight="1">
      <c r="A483" t="s" s="10">
        <v>690</v>
      </c>
      <c r="B483" t="s" s="256">
        <v>934</v>
      </c>
      <c r="C483" s="257">
        <v>25</v>
      </c>
      <c r="D483" t="s" s="256">
        <v>918</v>
      </c>
      <c r="E483" s="119">
        <v>75.38500000000001</v>
      </c>
      <c r="F483" s="258">
        <v>17.7538207656562</v>
      </c>
      <c r="G483" s="259">
        <v>0.0448257724791859</v>
      </c>
      <c r="H483" s="259">
        <v>0.198286921680244</v>
      </c>
      <c r="I483" s="259">
        <v>0.24311269415943</v>
      </c>
      <c r="J483" s="259">
        <v>1.10232669923164</v>
      </c>
      <c r="K483" s="259">
        <v>0.00030877306393688</v>
      </c>
      <c r="L483" s="259">
        <v>0.0038503837053663</v>
      </c>
      <c r="M483" s="259">
        <v>0.000170922778066191</v>
      </c>
      <c r="N483" s="259">
        <v>0.0039976792483465</v>
      </c>
      <c r="O483" s="259">
        <v>1.24781588329328</v>
      </c>
      <c r="P483" s="259">
        <v>1.19421391175771</v>
      </c>
      <c r="Q483" s="259">
        <v>-0.0170739795052783</v>
      </c>
      <c r="R483" s="259">
        <v>0.335036348506244</v>
      </c>
      <c r="S483" s="259">
        <v>0.00634084918437959</v>
      </c>
      <c r="T483" s="259">
        <v>0</v>
      </c>
      <c r="U483" s="259">
        <v>0</v>
      </c>
      <c r="V483" s="259">
        <v>0</v>
      </c>
      <c r="W483" s="259"/>
      <c r="X483" s="119"/>
      <c r="Y483" s="258"/>
      <c r="Z483" s="258"/>
      <c r="AA483" s="258"/>
      <c r="AB483" s="258"/>
      <c r="AC483" s="258"/>
      <c r="AD483" s="260"/>
      <c r="AE483" s="261"/>
    </row>
    <row r="484" ht="21.25" customHeight="1">
      <c r="A484" t="s" s="10">
        <v>751</v>
      </c>
      <c r="B484" t="s" s="256">
        <v>952</v>
      </c>
      <c r="C484" s="257">
        <v>24</v>
      </c>
      <c r="D484" t="s" s="256">
        <v>918</v>
      </c>
      <c r="E484" s="119">
        <v>72.8775</v>
      </c>
      <c r="F484" s="258">
        <v>16.7669784952661</v>
      </c>
      <c r="G484" s="259">
        <v>0.0566251412917879</v>
      </c>
      <c r="H484" s="259">
        <v>0.186297790827509</v>
      </c>
      <c r="I484" s="259">
        <v>0.242922932119297</v>
      </c>
      <c r="J484" s="259">
        <v>0.890539117537518</v>
      </c>
      <c r="K484" s="259">
        <v>0.000330979312494093</v>
      </c>
      <c r="L484" s="259">
        <v>0.00279464964836503</v>
      </c>
      <c r="M484" s="259">
        <v>0.000265732722693262</v>
      </c>
      <c r="N484" s="259">
        <v>0.00130890688094389</v>
      </c>
      <c r="O484" s="259">
        <v>1.38871599478917</v>
      </c>
      <c r="P484" s="259">
        <v>0.822198363088365</v>
      </c>
      <c r="Q484" s="259">
        <v>-0.0483102331584426</v>
      </c>
      <c r="R484" s="259">
        <v>0.410564389582084</v>
      </c>
      <c r="S484" s="259">
        <v>0.00626185439424873</v>
      </c>
      <c r="T484" s="259">
        <v>0</v>
      </c>
      <c r="U484" s="259">
        <v>0</v>
      </c>
      <c r="V484" s="259">
        <v>0</v>
      </c>
      <c r="W484" s="259"/>
      <c r="X484" s="119"/>
      <c r="Y484" s="258"/>
      <c r="Z484" s="258"/>
      <c r="AA484" s="258"/>
      <c r="AB484" s="258"/>
      <c r="AC484" s="258"/>
      <c r="AD484" s="260"/>
      <c r="AE484" s="261"/>
    </row>
    <row r="485" ht="21.25" customHeight="1">
      <c r="A485" t="s" s="10">
        <v>701</v>
      </c>
      <c r="B485" t="s" s="256">
        <v>926</v>
      </c>
      <c r="C485" s="257">
        <v>25</v>
      </c>
      <c r="D485" t="s" s="256">
        <v>915</v>
      </c>
      <c r="E485" s="119">
        <v>75.77249999999999</v>
      </c>
      <c r="F485" s="258">
        <v>11.1279539946757</v>
      </c>
      <c r="G485" s="259">
        <v>0.111635477746187</v>
      </c>
      <c r="H485" s="259">
        <v>0.130747186215054</v>
      </c>
      <c r="I485" s="259">
        <v>0.242382663961241</v>
      </c>
      <c r="J485" s="259">
        <v>1.07189443600305</v>
      </c>
      <c r="K485" s="259">
        <v>0.000858390160021151</v>
      </c>
      <c r="L485" s="259">
        <v>0.00223340583014001</v>
      </c>
      <c r="M485" s="259">
        <v>0.0187582041791788</v>
      </c>
      <c r="N485" s="259">
        <v>0.0241096429473638</v>
      </c>
      <c r="O485" s="259">
        <v>0.530606927771893</v>
      </c>
      <c r="P485" s="259">
        <v>1.5725267350749</v>
      </c>
      <c r="Q485" s="259">
        <v>-0.00669234211462377</v>
      </c>
      <c r="R485" s="259">
        <v>0.356131582818047</v>
      </c>
      <c r="S485" s="259">
        <v>0.0178596753063154</v>
      </c>
      <c r="T485" s="259">
        <v>2.46476908327943</v>
      </c>
      <c r="U485" s="259">
        <v>2.92808550154649</v>
      </c>
      <c r="V485" s="259">
        <v>0.457043490513288</v>
      </c>
      <c r="W485" s="259"/>
      <c r="X485" s="119"/>
      <c r="Y485" s="258"/>
      <c r="Z485" s="258"/>
      <c r="AA485" s="258"/>
      <c r="AB485" s="258"/>
      <c r="AC485" s="258"/>
      <c r="AD485" s="260"/>
      <c r="AE485" s="261"/>
    </row>
    <row r="486" ht="21.25" customHeight="1">
      <c r="A486" t="s" s="10">
        <v>562</v>
      </c>
      <c r="B486" t="s" s="256">
        <v>929</v>
      </c>
      <c r="C486" s="257">
        <v>29</v>
      </c>
      <c r="D486" t="s" s="256">
        <v>915</v>
      </c>
      <c r="E486" s="119">
        <v>74.34</v>
      </c>
      <c r="F486" s="258">
        <v>11.8365700749332</v>
      </c>
      <c r="G486" s="259">
        <v>0.0861964493074394</v>
      </c>
      <c r="H486" s="259">
        <v>0.156068565840583</v>
      </c>
      <c r="I486" s="259">
        <v>0.242265015148022</v>
      </c>
      <c r="J486" s="259">
        <v>1.06821477770492</v>
      </c>
      <c r="K486" s="259">
        <v>0.000860894079404321</v>
      </c>
      <c r="L486" s="259">
        <v>0.00205235274902022</v>
      </c>
      <c r="M486" s="259">
        <v>0.00753377665805887</v>
      </c>
      <c r="N486" s="259">
        <v>0.0110518950499136</v>
      </c>
      <c r="O486" s="259">
        <v>0.833354072846461</v>
      </c>
      <c r="P486" s="259">
        <v>2.30579528960749</v>
      </c>
      <c r="Q486" s="259">
        <v>0.0297534514377273</v>
      </c>
      <c r="R486" s="259">
        <v>0.367104769355811</v>
      </c>
      <c r="S486" s="259">
        <v>0.0130050031609265</v>
      </c>
      <c r="T486" s="259">
        <v>2.38854055536625</v>
      </c>
      <c r="U486" s="259">
        <v>2.4400355689296</v>
      </c>
      <c r="V486" s="259">
        <v>0.494667681295916</v>
      </c>
      <c r="W486" s="259"/>
      <c r="X486" s="119"/>
      <c r="Y486" s="258"/>
      <c r="Z486" s="258"/>
      <c r="AA486" s="258"/>
      <c r="AB486" s="258"/>
      <c r="AC486" s="258"/>
      <c r="AD486" s="260"/>
      <c r="AE486" s="261"/>
    </row>
    <row r="487" ht="21.25" customHeight="1">
      <c r="A487" t="s" s="10">
        <v>813</v>
      </c>
      <c r="B487" t="s" s="256">
        <v>959</v>
      </c>
      <c r="C487" s="257">
        <v>24</v>
      </c>
      <c r="D487" t="s" s="256">
        <v>915</v>
      </c>
      <c r="E487" s="119">
        <v>70.93000000000001</v>
      </c>
      <c r="F487" s="258">
        <v>10.3674199992924</v>
      </c>
      <c r="G487" s="259">
        <v>0.08193587874387361</v>
      </c>
      <c r="H487" s="259">
        <v>0.160171041595497</v>
      </c>
      <c r="I487" s="259">
        <v>0.242106920339371</v>
      </c>
      <c r="J487" s="259">
        <v>1.01781218463495</v>
      </c>
      <c r="K487" s="259">
        <v>0.00101660165565626</v>
      </c>
      <c r="L487" s="259">
        <v>0.00231709113347787</v>
      </c>
      <c r="M487" s="259">
        <v>0.000616596378971838</v>
      </c>
      <c r="N487" s="259">
        <v>0.00559735921680398</v>
      </c>
      <c r="O487" s="259">
        <v>0.35358199171851</v>
      </c>
      <c r="P487" s="259">
        <v>1.31909915341793</v>
      </c>
      <c r="Q487" s="259">
        <v>0.0415847928497429</v>
      </c>
      <c r="R487" s="259">
        <v>0.403067701708386</v>
      </c>
      <c r="S487" s="259">
        <v>0.00875158144391662</v>
      </c>
      <c r="T487" s="259">
        <v>1.68884088862356</v>
      </c>
      <c r="U487" s="259">
        <v>1.87343723786885</v>
      </c>
      <c r="V487" s="259">
        <v>0.474090126782569</v>
      </c>
      <c r="W487" s="259"/>
      <c r="X487" s="119"/>
      <c r="Y487" s="258"/>
      <c r="Z487" s="258"/>
      <c r="AA487" s="258"/>
      <c r="AB487" s="258"/>
      <c r="AC487" s="258"/>
      <c r="AD487" s="260"/>
      <c r="AE487" s="261"/>
    </row>
    <row r="488" ht="21.25" customHeight="1">
      <c r="A488" t="s" s="10">
        <v>460</v>
      </c>
      <c r="B488" t="s" s="256">
        <v>941</v>
      </c>
      <c r="C488" s="257">
        <v>27</v>
      </c>
      <c r="D488" t="s" s="256">
        <v>917</v>
      </c>
      <c r="E488" s="119">
        <v>79.89749999999999</v>
      </c>
      <c r="F488" s="258">
        <v>10.8888751413998</v>
      </c>
      <c r="G488" s="259">
        <v>0.0969729912607545</v>
      </c>
      <c r="H488" s="259">
        <v>0.144154521619447</v>
      </c>
      <c r="I488" s="259">
        <v>0.241127512880202</v>
      </c>
      <c r="J488" s="259">
        <v>0.940264292776322</v>
      </c>
      <c r="K488" s="259">
        <v>0.000827561388819985</v>
      </c>
      <c r="L488" s="259">
        <v>0.00169475355144755</v>
      </c>
      <c r="M488" s="259">
        <v>0.007924845649412199</v>
      </c>
      <c r="N488" s="259">
        <v>0.0139999514360138</v>
      </c>
      <c r="O488" s="259">
        <v>0.479410253933751</v>
      </c>
      <c r="P488" s="259">
        <v>3.14221944779776</v>
      </c>
      <c r="Q488" s="259">
        <v>0.0103396040026594</v>
      </c>
      <c r="R488" s="259">
        <v>0.595600292032355</v>
      </c>
      <c r="S488" s="259">
        <v>0.0147497169650679</v>
      </c>
      <c r="T488" s="259">
        <v>0.194354348731585</v>
      </c>
      <c r="U488" s="259">
        <v>0.332196344662595</v>
      </c>
      <c r="V488" s="259">
        <v>0.369108523015636</v>
      </c>
      <c r="W488" s="259"/>
      <c r="X488" s="119"/>
      <c r="Y488" s="258"/>
      <c r="Z488" s="258"/>
      <c r="AA488" s="258"/>
      <c r="AB488" s="258"/>
      <c r="AC488" s="258"/>
      <c r="AD488" s="260"/>
      <c r="AE488" s="261"/>
    </row>
    <row r="489" ht="21.25" customHeight="1">
      <c r="A489" t="s" s="10">
        <v>833</v>
      </c>
      <c r="B489" t="s" s="256">
        <v>947</v>
      </c>
      <c r="C489" s="257">
        <v>22</v>
      </c>
      <c r="D489" t="s" s="256">
        <v>918</v>
      </c>
      <c r="E489" s="119">
        <v>61.28</v>
      </c>
      <c r="F489" s="258">
        <v>16.0240519295168</v>
      </c>
      <c r="G489" s="259">
        <v>0.0248661017085141</v>
      </c>
      <c r="H489" s="259">
        <v>0.215546420611448</v>
      </c>
      <c r="I489" s="259">
        <v>0.240412522319962</v>
      </c>
      <c r="J489" s="259">
        <v>0.811357792827016</v>
      </c>
      <c r="K489" s="259">
        <v>0.000397774637857697</v>
      </c>
      <c r="L489" s="259">
        <v>0.00236636067681033</v>
      </c>
      <c r="M489" s="259">
        <v>0.000228953522781072</v>
      </c>
      <c r="N489" s="259">
        <v>0.0010527314982046</v>
      </c>
      <c r="O489" s="259">
        <v>1.19105148330817</v>
      </c>
      <c r="P489" s="259">
        <v>0.997307640870013</v>
      </c>
      <c r="Q489" s="259">
        <v>-0.07646210358565481</v>
      </c>
      <c r="R489" s="259">
        <v>0.483057158868696</v>
      </c>
      <c r="S489" s="259">
        <v>0.00321357675456811</v>
      </c>
      <c r="T489" s="259">
        <v>0</v>
      </c>
      <c r="U489" s="259">
        <v>0</v>
      </c>
      <c r="V489" s="259">
        <v>0</v>
      </c>
      <c r="W489" s="259"/>
      <c r="X489" s="119"/>
      <c r="Y489" s="258"/>
      <c r="Z489" s="258"/>
      <c r="AA489" s="258"/>
      <c r="AB489" s="258"/>
      <c r="AC489" s="258"/>
      <c r="AD489" s="260"/>
      <c r="AE489" s="261"/>
    </row>
    <row r="490" ht="21.25" customHeight="1">
      <c r="A490" t="s" s="10">
        <v>827</v>
      </c>
      <c r="B490" t="s" s="256">
        <v>924</v>
      </c>
      <c r="C490" s="257">
        <v>39</v>
      </c>
      <c r="D490" t="s" s="256">
        <v>917</v>
      </c>
      <c r="E490" s="119">
        <v>76.9225</v>
      </c>
      <c r="F490" s="258">
        <v>11.244901856215</v>
      </c>
      <c r="G490" s="259">
        <v>0.113294703045638</v>
      </c>
      <c r="H490" s="259">
        <v>0.126404997630796</v>
      </c>
      <c r="I490" s="259">
        <v>0.239699700676434</v>
      </c>
      <c r="J490" s="259">
        <v>1.25531883272736</v>
      </c>
      <c r="K490" s="259">
        <v>0.0101094796257598</v>
      </c>
      <c r="L490" s="259">
        <v>0.0174582409322855</v>
      </c>
      <c r="M490" s="259">
        <v>0</v>
      </c>
      <c r="N490" s="259">
        <v>0</v>
      </c>
      <c r="O490" s="259">
        <v>0.33871394050859</v>
      </c>
      <c r="P490" s="259">
        <v>0.8873973486959</v>
      </c>
      <c r="Q490" s="259">
        <v>0.000530764294996211</v>
      </c>
      <c r="R490" s="259">
        <v>0.62347806942882</v>
      </c>
      <c r="S490" s="259">
        <v>0.0182942800193744</v>
      </c>
      <c r="T490" s="259">
        <v>0.00271656833997975</v>
      </c>
      <c r="U490" s="259">
        <v>0.0152156384507873</v>
      </c>
      <c r="V490" s="259">
        <v>0.151491022364211</v>
      </c>
      <c r="W490" s="259"/>
      <c r="X490" s="119"/>
      <c r="Y490" s="258"/>
      <c r="Z490" s="258"/>
      <c r="AA490" s="258"/>
      <c r="AB490" s="258"/>
      <c r="AC490" s="258"/>
      <c r="AD490" s="260"/>
      <c r="AE490" s="261"/>
    </row>
    <row r="491" ht="21.25" customHeight="1">
      <c r="A491" t="s" s="10">
        <v>645</v>
      </c>
      <c r="B491" t="s" s="256">
        <v>958</v>
      </c>
      <c r="C491" s="257">
        <v>23</v>
      </c>
      <c r="D491" t="s" s="256">
        <v>918</v>
      </c>
      <c r="E491" s="119">
        <v>77.465</v>
      </c>
      <c r="F491" s="258">
        <v>18.4704529551437</v>
      </c>
      <c r="G491" s="259">
        <v>0.0379939080969355</v>
      </c>
      <c r="H491" s="259">
        <v>0.20163250010682</v>
      </c>
      <c r="I491" s="259">
        <v>0.239626408203756</v>
      </c>
      <c r="J491" s="259">
        <v>0.845515283559344</v>
      </c>
      <c r="K491" s="259">
        <v>0.0009849685988205909</v>
      </c>
      <c r="L491" s="259">
        <v>0.0119433967154259</v>
      </c>
      <c r="M491" s="259">
        <v>0.0005930904956170751</v>
      </c>
      <c r="N491" s="259">
        <v>0.00251970559022564</v>
      </c>
      <c r="O491" s="259">
        <v>1.70546915487562</v>
      </c>
      <c r="P491" s="259">
        <v>0.944924714276337</v>
      </c>
      <c r="Q491" s="259">
        <v>-0.100743218698054</v>
      </c>
      <c r="R491" s="259">
        <v>0.367414460786131</v>
      </c>
      <c r="S491" s="259">
        <v>0.00442855280506864</v>
      </c>
      <c r="T491" s="259">
        <v>0</v>
      </c>
      <c r="U491" s="259">
        <v>0</v>
      </c>
      <c r="V491" s="259">
        <v>0</v>
      </c>
      <c r="W491" s="259"/>
      <c r="X491" s="119"/>
      <c r="Y491" s="258"/>
      <c r="Z491" s="258"/>
      <c r="AA491" s="258"/>
      <c r="AB491" s="258"/>
      <c r="AC491" s="258"/>
      <c r="AD491" s="260"/>
      <c r="AE491" s="261"/>
    </row>
    <row r="492" ht="21.25" customHeight="1">
      <c r="A492" t="s" s="10">
        <v>743</v>
      </c>
      <c r="B492" t="s" s="256">
        <v>942</v>
      </c>
      <c r="C492" s="257">
        <v>27</v>
      </c>
      <c r="D492" t="s" s="256">
        <v>917</v>
      </c>
      <c r="E492" s="119">
        <v>78.32250000000001</v>
      </c>
      <c r="F492" s="258">
        <v>11.4260234344739</v>
      </c>
      <c r="G492" s="259">
        <v>0.090034153043773</v>
      </c>
      <c r="H492" s="259">
        <v>0.148933774216133</v>
      </c>
      <c r="I492" s="259">
        <v>0.238967927259906</v>
      </c>
      <c r="J492" s="259">
        <v>1.14235931629267</v>
      </c>
      <c r="K492" s="259">
        <v>0.000823398989513781</v>
      </c>
      <c r="L492" s="259">
        <v>0.00199284451103421</v>
      </c>
      <c r="M492" s="259">
        <v>0.00670672558824868</v>
      </c>
      <c r="N492" s="259">
        <v>0.00745074545222321</v>
      </c>
      <c r="O492" s="259">
        <v>0.403122880504363</v>
      </c>
      <c r="P492" s="259">
        <v>1.59395136063089</v>
      </c>
      <c r="Q492" s="259">
        <v>-0.0381353861603321</v>
      </c>
      <c r="R492" s="259">
        <v>0.308341449657208</v>
      </c>
      <c r="S492" s="259">
        <v>0.0123655305313771</v>
      </c>
      <c r="T492" s="259">
        <v>0.724022894107432</v>
      </c>
      <c r="U492" s="259">
        <v>1.70520281623963</v>
      </c>
      <c r="V492" s="259">
        <v>0.298046777219393</v>
      </c>
      <c r="W492" s="259"/>
      <c r="X492" s="119"/>
      <c r="Y492" s="258"/>
      <c r="Z492" s="258"/>
      <c r="AA492" s="258"/>
      <c r="AB492" s="258"/>
      <c r="AC492" s="258"/>
      <c r="AD492" s="260"/>
      <c r="AE492" s="261"/>
    </row>
    <row r="493" ht="21.25" customHeight="1">
      <c r="A493" t="s" s="10">
        <v>847</v>
      </c>
      <c r="B493" t="s" s="256">
        <v>931</v>
      </c>
      <c r="C493" s="257">
        <v>31</v>
      </c>
      <c r="D493" t="s" s="256">
        <v>915</v>
      </c>
      <c r="E493" s="119">
        <v>62.655</v>
      </c>
      <c r="F493" s="258">
        <v>10.7889533592891</v>
      </c>
      <c r="G493" s="259">
        <v>0.08176781178669799</v>
      </c>
      <c r="H493" s="259">
        <v>0.15681088610168</v>
      </c>
      <c r="I493" s="259">
        <v>0.238578697888378</v>
      </c>
      <c r="J493" s="259">
        <v>1.4457825304491</v>
      </c>
      <c r="K493" s="259">
        <v>0.0084093121404541</v>
      </c>
      <c r="L493" s="259">
        <v>0.0191265374581682</v>
      </c>
      <c r="M493" s="259">
        <v>2.52283239460054e-05</v>
      </c>
      <c r="N493" s="259">
        <v>4.45426774752106e-05</v>
      </c>
      <c r="O493" s="259">
        <v>0.412038644517644</v>
      </c>
      <c r="P493" s="259">
        <v>0.829047006327988</v>
      </c>
      <c r="Q493" s="259">
        <v>0.0335359248736122</v>
      </c>
      <c r="R493" s="259">
        <v>0.259597634678674</v>
      </c>
      <c r="S493" s="259">
        <v>0.013365627823875</v>
      </c>
      <c r="T493" s="259">
        <v>2.76775147288702</v>
      </c>
      <c r="U493" s="259">
        <v>2.69763958152474</v>
      </c>
      <c r="V493" s="259">
        <v>0.506414169696576</v>
      </c>
      <c r="W493" s="259"/>
      <c r="X493" s="119"/>
      <c r="Y493" s="258"/>
      <c r="Z493" s="258"/>
      <c r="AA493" s="258"/>
      <c r="AB493" s="258"/>
      <c r="AC493" s="258"/>
      <c r="AD493" s="260"/>
      <c r="AE493" s="261"/>
    </row>
    <row r="494" ht="21.25" customHeight="1">
      <c r="A494" t="s" s="10">
        <v>748</v>
      </c>
      <c r="B494" t="s" s="256">
        <v>939</v>
      </c>
      <c r="C494" s="257">
        <v>30</v>
      </c>
      <c r="D494" t="s" s="256">
        <v>918</v>
      </c>
      <c r="E494" s="119">
        <v>76.795</v>
      </c>
      <c r="F494" s="258">
        <v>16.3365618959683</v>
      </c>
      <c r="G494" s="259">
        <v>0.0407936141357497</v>
      </c>
      <c r="H494" s="259">
        <v>0.197495703175703</v>
      </c>
      <c r="I494" s="259">
        <v>0.238289317311453</v>
      </c>
      <c r="J494" s="259">
        <v>1.0408154229531</v>
      </c>
      <c r="K494" s="259">
        <v>0.000250533809147683</v>
      </c>
      <c r="L494" s="259">
        <v>0.00366424585623907</v>
      </c>
      <c r="M494" s="259">
        <v>0.000191948282594517</v>
      </c>
      <c r="N494" s="259">
        <v>0.0009839038825556401</v>
      </c>
      <c r="O494" s="259">
        <v>1.1540093764205</v>
      </c>
      <c r="P494" s="259">
        <v>0.899152136737162</v>
      </c>
      <c r="Q494" s="259">
        <v>0.00883867135445854</v>
      </c>
      <c r="R494" s="259">
        <v>0.362870001330768</v>
      </c>
      <c r="S494" s="259">
        <v>0.00604736375111051</v>
      </c>
      <c r="T494" s="259">
        <v>0</v>
      </c>
      <c r="U494" s="259">
        <v>0</v>
      </c>
      <c r="V494" s="259">
        <v>0</v>
      </c>
      <c r="W494" s="259"/>
      <c r="X494" s="119"/>
      <c r="Y494" s="258"/>
      <c r="Z494" s="258"/>
      <c r="AA494" s="258"/>
      <c r="AB494" s="258"/>
      <c r="AC494" s="258"/>
      <c r="AD494" s="260"/>
      <c r="AE494" s="261"/>
    </row>
    <row r="495" ht="21.25" customHeight="1">
      <c r="A495" t="s" s="10">
        <v>805</v>
      </c>
      <c r="B495" t="s" s="256">
        <v>954</v>
      </c>
      <c r="C495" s="257">
        <v>31</v>
      </c>
      <c r="D495" t="s" s="256">
        <v>917</v>
      </c>
      <c r="E495" s="119">
        <v>71.6275</v>
      </c>
      <c r="F495" s="258">
        <v>12.8149245122899</v>
      </c>
      <c r="G495" s="259">
        <v>0.142907627266421</v>
      </c>
      <c r="H495" s="259">
        <v>0.09471231024694129</v>
      </c>
      <c r="I495" s="259">
        <v>0.237619937513362</v>
      </c>
      <c r="J495" s="259">
        <v>1.54198208267354</v>
      </c>
      <c r="K495" s="259">
        <v>0.00304370040459875</v>
      </c>
      <c r="L495" s="259">
        <v>0.00849636670120856</v>
      </c>
      <c r="M495" s="259">
        <v>0.0259538625732521</v>
      </c>
      <c r="N495" s="259">
        <v>0.0272178628781525</v>
      </c>
      <c r="O495" s="259">
        <v>0.528028260224471</v>
      </c>
      <c r="P495" s="259">
        <v>0.822751943402337</v>
      </c>
      <c r="Q495" s="259">
        <v>-0.0538155163209005</v>
      </c>
      <c r="R495" s="259">
        <v>0.414485477004201</v>
      </c>
      <c r="S495" s="259">
        <v>0.016563175873687</v>
      </c>
      <c r="T495" s="259">
        <v>0.0588603097008955</v>
      </c>
      <c r="U495" s="259">
        <v>0.147161077697798</v>
      </c>
      <c r="V495" s="259">
        <v>0.285699996704657</v>
      </c>
      <c r="W495" s="259"/>
      <c r="X495" s="119"/>
      <c r="Y495" s="258"/>
      <c r="Z495" s="258"/>
      <c r="AA495" s="258"/>
      <c r="AB495" s="258"/>
      <c r="AC495" s="258"/>
      <c r="AD495" s="260"/>
      <c r="AE495" s="261"/>
    </row>
    <row r="496" ht="21.25" customHeight="1">
      <c r="A496" t="s" s="10">
        <v>544</v>
      </c>
      <c r="B496" t="s" s="256">
        <v>930</v>
      </c>
      <c r="C496" s="257">
        <v>28</v>
      </c>
      <c r="D496" t="s" s="256">
        <v>916</v>
      </c>
      <c r="E496" s="119">
        <v>77.58750000000001</v>
      </c>
      <c r="F496" s="258">
        <v>13.0778989636789</v>
      </c>
      <c r="G496" s="259">
        <v>0.081967951127793</v>
      </c>
      <c r="H496" s="259">
        <v>0.155634118795921</v>
      </c>
      <c r="I496" s="259">
        <v>0.237602069923714</v>
      </c>
      <c r="J496" s="259">
        <v>1.24053597019572</v>
      </c>
      <c r="K496" s="259">
        <v>0.000543554537662465</v>
      </c>
      <c r="L496" s="259">
        <v>0.00129778234310387</v>
      </c>
      <c r="M496" s="259">
        <v>0.00764073014484979</v>
      </c>
      <c r="N496" s="259">
        <v>0.0305037475667381</v>
      </c>
      <c r="O496" s="259">
        <v>0.419195647459796</v>
      </c>
      <c r="P496" s="259">
        <v>2.64448896000704</v>
      </c>
      <c r="Q496" s="259">
        <v>0.0137950634703379</v>
      </c>
      <c r="R496" s="259">
        <v>0.613525045536365</v>
      </c>
      <c r="S496" s="259">
        <v>0.0116060733517194</v>
      </c>
      <c r="T496" s="259">
        <v>0.0318929835362242</v>
      </c>
      <c r="U496" s="259">
        <v>0.152868284883326</v>
      </c>
      <c r="V496" s="259">
        <v>0.172617257983976</v>
      </c>
      <c r="W496" s="259"/>
      <c r="X496" s="119"/>
      <c r="Y496" s="258"/>
      <c r="Z496" s="258"/>
      <c r="AA496" s="258"/>
      <c r="AB496" s="258"/>
      <c r="AC496" s="258"/>
      <c r="AD496" s="260"/>
      <c r="AE496" s="261"/>
    </row>
    <row r="497" ht="21.25" customHeight="1">
      <c r="A497" t="s" s="10">
        <v>582</v>
      </c>
      <c r="B497" t="s" s="256">
        <v>941</v>
      </c>
      <c r="C497" s="257">
        <v>27</v>
      </c>
      <c r="D497" t="s" s="256">
        <v>918</v>
      </c>
      <c r="E497" s="119">
        <v>72.84</v>
      </c>
      <c r="F497" s="258">
        <v>16.9880937003959</v>
      </c>
      <c r="G497" s="259">
        <v>0.06795183703756071</v>
      </c>
      <c r="H497" s="259">
        <v>0.169521571259457</v>
      </c>
      <c r="I497" s="259">
        <v>0.237473408297018</v>
      </c>
      <c r="J497" s="259">
        <v>1.00620021970895</v>
      </c>
      <c r="K497" s="259">
        <v>0.000311443146795075</v>
      </c>
      <c r="L497" s="259">
        <v>0.00199624529765441</v>
      </c>
      <c r="M497" s="259">
        <v>0.00157304096117691</v>
      </c>
      <c r="N497" s="259">
        <v>0.00642560726030514</v>
      </c>
      <c r="O497" s="259">
        <v>1.55567240938267</v>
      </c>
      <c r="P497" s="259">
        <v>1.74866850066773</v>
      </c>
      <c r="Q497" s="259">
        <v>0.0314082025366733</v>
      </c>
      <c r="R497" s="259">
        <v>0.44827360242142</v>
      </c>
      <c r="S497" s="259">
        <v>0.0103355620006131</v>
      </c>
      <c r="T497" s="259">
        <v>0</v>
      </c>
      <c r="U497" s="259">
        <v>0</v>
      </c>
      <c r="V497" s="259">
        <v>0</v>
      </c>
      <c r="W497" s="259"/>
      <c r="X497" s="119"/>
      <c r="Y497" s="258"/>
      <c r="Z497" s="258"/>
      <c r="AA497" s="258"/>
      <c r="AB497" s="258"/>
      <c r="AC497" s="258"/>
      <c r="AD497" s="260"/>
      <c r="AE497" s="261"/>
    </row>
    <row r="498" ht="21.25" customHeight="1">
      <c r="A498" t="s" s="10">
        <v>597</v>
      </c>
      <c r="B498" t="s" s="256">
        <v>952</v>
      </c>
      <c r="C498" s="257">
        <v>31</v>
      </c>
      <c r="D498" t="s" s="256">
        <v>915</v>
      </c>
      <c r="E498" s="119">
        <v>76.4675</v>
      </c>
      <c r="F498" s="258">
        <v>13.1954522010846</v>
      </c>
      <c r="G498" s="259">
        <v>0.112198553013658</v>
      </c>
      <c r="H498" s="259">
        <v>0.12502213727433</v>
      </c>
      <c r="I498" s="259">
        <v>0.237220690287988</v>
      </c>
      <c r="J498" s="259">
        <v>1.31594487035556</v>
      </c>
      <c r="K498" s="259">
        <v>0.00107845969513932</v>
      </c>
      <c r="L498" s="259">
        <v>0.00207519403738737</v>
      </c>
      <c r="M498" s="259">
        <v>0.00418479879419681</v>
      </c>
      <c r="N498" s="259">
        <v>0.0129889216522115</v>
      </c>
      <c r="O498" s="259">
        <v>0.54400432155269</v>
      </c>
      <c r="P498" s="259">
        <v>2.1773758785156</v>
      </c>
      <c r="Q498" s="259">
        <v>-0.104813706510107</v>
      </c>
      <c r="R498" s="259">
        <v>0.5369238776633179</v>
      </c>
      <c r="S498" s="259">
        <v>0.0124074039585454</v>
      </c>
      <c r="T498" s="259">
        <v>5.19411845234423</v>
      </c>
      <c r="U498" s="259">
        <v>5.39134042736406</v>
      </c>
      <c r="V498" s="259">
        <v>0.49068429733368</v>
      </c>
      <c r="W498" s="259"/>
      <c r="X498" s="119"/>
      <c r="Y498" s="258"/>
      <c r="Z498" s="258"/>
      <c r="AA498" s="258"/>
      <c r="AB498" s="258"/>
      <c r="AC498" s="258"/>
      <c r="AD498" s="260"/>
      <c r="AE498" s="261"/>
    </row>
    <row r="499" ht="21.25" customHeight="1">
      <c r="A499" t="s" s="10">
        <v>594</v>
      </c>
      <c r="B499" t="s" s="256">
        <v>931</v>
      </c>
      <c r="C499" s="257">
        <v>26</v>
      </c>
      <c r="D499" t="s" s="256">
        <v>918</v>
      </c>
      <c r="E499" s="119">
        <v>77.9525</v>
      </c>
      <c r="F499" s="258">
        <v>19.3274127760988</v>
      </c>
      <c r="G499" s="259">
        <v>0.0378901113928034</v>
      </c>
      <c r="H499" s="259">
        <v>0.198890737147216</v>
      </c>
      <c r="I499" s="259">
        <v>0.236780848540019</v>
      </c>
      <c r="J499" s="259">
        <v>1.01970225253087</v>
      </c>
      <c r="K499" s="259">
        <v>0.000143331671757895</v>
      </c>
      <c r="L499" s="259">
        <v>0.000918394282947537</v>
      </c>
      <c r="M499" s="259">
        <v>0.000414886067278</v>
      </c>
      <c r="N499" s="259">
        <v>0.00564851343215582</v>
      </c>
      <c r="O499" s="259">
        <v>1.49429928375265</v>
      </c>
      <c r="P499" s="259">
        <v>1.45605158879121</v>
      </c>
      <c r="Q499" s="259">
        <v>0.0476262700009395</v>
      </c>
      <c r="R499" s="259">
        <v>0.555231273986867</v>
      </c>
      <c r="S499" s="259">
        <v>0.00619345334081401</v>
      </c>
      <c r="T499" s="259">
        <v>0</v>
      </c>
      <c r="U499" s="259">
        <v>0</v>
      </c>
      <c r="V499" s="259">
        <v>0</v>
      </c>
      <c r="W499" s="259"/>
      <c r="X499" s="119"/>
      <c r="Y499" s="258"/>
      <c r="Z499" s="258"/>
      <c r="AA499" s="258"/>
      <c r="AB499" s="258"/>
      <c r="AC499" s="258"/>
      <c r="AD499" s="260"/>
      <c r="AE499" s="261"/>
    </row>
    <row r="500" ht="21.25" customHeight="1">
      <c r="A500" t="s" s="10">
        <v>543</v>
      </c>
      <c r="B500" t="s" s="256">
        <v>933</v>
      </c>
      <c r="C500" s="257">
        <v>27</v>
      </c>
      <c r="D500" t="s" s="256">
        <v>915</v>
      </c>
      <c r="E500" s="119">
        <v>80.0775</v>
      </c>
      <c r="F500" s="258">
        <v>13.9445034852659</v>
      </c>
      <c r="G500" s="259">
        <v>0.140354523809031</v>
      </c>
      <c r="H500" s="259">
        <v>0.0954790911326884</v>
      </c>
      <c r="I500" s="259">
        <v>0.235833614941719</v>
      </c>
      <c r="J500" s="259">
        <v>1.50687781968032</v>
      </c>
      <c r="K500" s="259">
        <v>0.000544499755422894</v>
      </c>
      <c r="L500" s="259">
        <v>0.00176677854859529</v>
      </c>
      <c r="M500" s="259">
        <v>0.00702166368999158</v>
      </c>
      <c r="N500" s="259">
        <v>0.0132686621299648</v>
      </c>
      <c r="O500" s="259">
        <v>0.446310024067391</v>
      </c>
      <c r="P500" s="259">
        <v>2.25657057328079</v>
      </c>
      <c r="Q500" s="259">
        <v>-0.000199550945689005</v>
      </c>
      <c r="R500" s="259">
        <v>0.427961994941432</v>
      </c>
      <c r="S500" s="259">
        <v>0.0231696022674647</v>
      </c>
      <c r="T500" s="259">
        <v>0.827285409613193</v>
      </c>
      <c r="U500" s="259">
        <v>1.23127570285407</v>
      </c>
      <c r="V500" s="259">
        <v>0.401875564734466</v>
      </c>
      <c r="W500" s="259"/>
      <c r="X500" s="119"/>
      <c r="Y500" s="258"/>
      <c r="Z500" s="258"/>
      <c r="AA500" s="258"/>
      <c r="AB500" s="258"/>
      <c r="AC500" s="258"/>
      <c r="AD500" s="260"/>
      <c r="AE500" s="261"/>
    </row>
    <row r="501" ht="21.25" customHeight="1">
      <c r="A501" t="s" s="10">
        <v>354</v>
      </c>
      <c r="B501" t="s" s="256">
        <v>941</v>
      </c>
      <c r="C501" s="257">
        <v>33</v>
      </c>
      <c r="D501" t="s" s="256">
        <v>918</v>
      </c>
      <c r="E501" s="119">
        <v>80.73</v>
      </c>
      <c r="F501" s="258">
        <v>19.4098366368699</v>
      </c>
      <c r="G501" s="259">
        <v>0.0282005034196825</v>
      </c>
      <c r="H501" s="259">
        <v>0.206937831201319</v>
      </c>
      <c r="I501" s="259">
        <v>0.235138334621002</v>
      </c>
      <c r="J501" s="259">
        <v>1.01175245772223</v>
      </c>
      <c r="K501" s="259">
        <v>0.000231330416095218</v>
      </c>
      <c r="L501" s="259">
        <v>0.00171951268465832</v>
      </c>
      <c r="M501" s="259">
        <v>0.000279886726961938</v>
      </c>
      <c r="N501" s="259">
        <v>0.0127480577544494</v>
      </c>
      <c r="O501" s="259">
        <v>2.34256072409183</v>
      </c>
      <c r="P501" s="259">
        <v>1.90101728422216</v>
      </c>
      <c r="Q501" s="259">
        <v>0.0335989724026609</v>
      </c>
      <c r="R501" s="259">
        <v>0.49389071686605</v>
      </c>
      <c r="S501" s="259">
        <v>0.0042893329194547</v>
      </c>
      <c r="T501" s="259">
        <v>0</v>
      </c>
      <c r="U501" s="259">
        <v>0</v>
      </c>
      <c r="V501" s="259">
        <v>0</v>
      </c>
      <c r="W501" s="259"/>
      <c r="X501" s="119"/>
      <c r="Y501" s="258"/>
      <c r="Z501" s="258"/>
      <c r="AA501" s="258"/>
      <c r="AB501" s="258"/>
      <c r="AC501" s="258"/>
      <c r="AD501" s="260"/>
      <c r="AE501" s="261"/>
    </row>
    <row r="502" ht="21.25" customHeight="1">
      <c r="A502" t="s" s="10">
        <v>444</v>
      </c>
      <c r="B502" t="s" s="256">
        <v>955</v>
      </c>
      <c r="C502" s="257">
        <v>31</v>
      </c>
      <c r="D502" t="s" s="256">
        <v>918</v>
      </c>
      <c r="E502" s="119">
        <v>80.0675</v>
      </c>
      <c r="F502" s="258">
        <v>19.844814404698</v>
      </c>
      <c r="G502" s="259">
        <v>0.0489811198278774</v>
      </c>
      <c r="H502" s="259">
        <v>0.185491672154997</v>
      </c>
      <c r="I502" s="259">
        <v>0.234472791982874</v>
      </c>
      <c r="J502" s="259">
        <v>1.19752846902794</v>
      </c>
      <c r="K502" s="259">
        <v>0.000128516809770717</v>
      </c>
      <c r="L502" s="259">
        <v>0.000852675486628947</v>
      </c>
      <c r="M502" s="259">
        <v>0.000367895090165691</v>
      </c>
      <c r="N502" s="259">
        <v>0.0100081274595324</v>
      </c>
      <c r="O502" s="259">
        <v>1.96798216293465</v>
      </c>
      <c r="P502" s="259">
        <v>1.53597517905005</v>
      </c>
      <c r="Q502" s="259">
        <v>-0.0153278494196021</v>
      </c>
      <c r="R502" s="259">
        <v>0.600343683635274</v>
      </c>
      <c r="S502" s="259">
        <v>0.00743766896156016</v>
      </c>
      <c r="T502" s="259">
        <v>0</v>
      </c>
      <c r="U502" s="259">
        <v>0</v>
      </c>
      <c r="V502" s="259">
        <v>0</v>
      </c>
      <c r="W502" s="259"/>
      <c r="X502" s="119"/>
      <c r="Y502" s="258"/>
      <c r="Z502" s="258"/>
      <c r="AA502" s="258"/>
      <c r="AB502" s="258"/>
      <c r="AC502" s="258"/>
      <c r="AD502" s="260"/>
      <c r="AE502" s="261"/>
    </row>
    <row r="503" ht="21.25" customHeight="1">
      <c r="A503" t="s" s="10">
        <v>633</v>
      </c>
      <c r="B503" t="s" s="256">
        <v>929</v>
      </c>
      <c r="C503" s="257">
        <v>24</v>
      </c>
      <c r="D503" t="s" s="256">
        <v>915</v>
      </c>
      <c r="E503" s="119">
        <v>74.55249999999999</v>
      </c>
      <c r="F503" s="258">
        <v>10.9532589752481</v>
      </c>
      <c r="G503" s="259">
        <v>0.0986248734922394</v>
      </c>
      <c r="H503" s="259">
        <v>0.135279427883348</v>
      </c>
      <c r="I503" s="259">
        <v>0.233904301375587</v>
      </c>
      <c r="J503" s="259">
        <v>1.1579010950105</v>
      </c>
      <c r="K503" s="259">
        <v>0.00254240007429934</v>
      </c>
      <c r="L503" s="259">
        <v>0.00541965535263508</v>
      </c>
      <c r="M503" s="259">
        <v>6.48102873088367e-06</v>
      </c>
      <c r="N503" s="259">
        <v>1.09759470581707e-05</v>
      </c>
      <c r="O503" s="259">
        <v>0.344321579601463</v>
      </c>
      <c r="P503" s="259">
        <v>2.48568869957209</v>
      </c>
      <c r="Q503" s="259">
        <v>0.00509348513878413</v>
      </c>
      <c r="R503" s="259">
        <v>0.317014887747348</v>
      </c>
      <c r="S503" s="259">
        <v>0.0148801580786443</v>
      </c>
      <c r="T503" s="259">
        <v>0.264629390447345</v>
      </c>
      <c r="U503" s="259">
        <v>0.301435659859002</v>
      </c>
      <c r="V503" s="259">
        <v>0.467489364171364</v>
      </c>
      <c r="W503" s="259"/>
      <c r="X503" s="119"/>
      <c r="Y503" s="258"/>
      <c r="Z503" s="258"/>
      <c r="AA503" s="258"/>
      <c r="AB503" s="258"/>
      <c r="AC503" s="258"/>
      <c r="AD503" s="260"/>
      <c r="AE503" s="261"/>
    </row>
    <row r="504" ht="21.25" customHeight="1">
      <c r="A504" t="s" s="10">
        <v>835</v>
      </c>
      <c r="B504" t="s" s="256">
        <v>956</v>
      </c>
      <c r="C504" s="257">
        <v>24</v>
      </c>
      <c r="D504" t="s" s="256">
        <v>918</v>
      </c>
      <c r="E504" s="119">
        <v>62.64</v>
      </c>
      <c r="F504" s="258">
        <v>15.1325536548735</v>
      </c>
      <c r="G504" s="259">
        <v>0.0500150324437523</v>
      </c>
      <c r="H504" s="259">
        <v>0.183731677657172</v>
      </c>
      <c r="I504" s="259">
        <v>0.233746710100924</v>
      </c>
      <c r="J504" s="259">
        <v>0.868083037175701</v>
      </c>
      <c r="K504" s="259">
        <v>0.007901006953710651</v>
      </c>
      <c r="L504" s="259">
        <v>0.0344997216017121</v>
      </c>
      <c r="M504" s="259">
        <v>0.000172040233767593</v>
      </c>
      <c r="N504" s="259">
        <v>0.00402706204580475</v>
      </c>
      <c r="O504" s="259">
        <v>1.1807942645957</v>
      </c>
      <c r="P504" s="259">
        <v>0.852799322679848</v>
      </c>
      <c r="Q504" s="259">
        <v>-0.0374180159639587</v>
      </c>
      <c r="R504" s="259">
        <v>0.401328899372624</v>
      </c>
      <c r="S504" s="259">
        <v>0.00724965529588745</v>
      </c>
      <c r="T504" s="259">
        <v>0</v>
      </c>
      <c r="U504" s="259">
        <v>0</v>
      </c>
      <c r="V504" s="259">
        <v>0</v>
      </c>
      <c r="W504" s="259"/>
      <c r="X504" s="119"/>
      <c r="Y504" s="258"/>
      <c r="Z504" s="258"/>
      <c r="AA504" s="258"/>
      <c r="AB504" s="258"/>
      <c r="AC504" s="258"/>
      <c r="AD504" s="260"/>
      <c r="AE504" s="261"/>
    </row>
    <row r="505" ht="21.25" customHeight="1">
      <c r="A505" t="s" s="10">
        <v>464</v>
      </c>
      <c r="B505" t="s" s="256">
        <v>933</v>
      </c>
      <c r="C505" s="257">
        <v>28</v>
      </c>
      <c r="D505" t="s" s="256">
        <v>918</v>
      </c>
      <c r="E505" s="119">
        <v>79.66249999999999</v>
      </c>
      <c r="F505" s="258">
        <v>18.7273956429891</v>
      </c>
      <c r="G505" s="259">
        <v>0.0576968382411185</v>
      </c>
      <c r="H505" s="259">
        <v>0.175672291686716</v>
      </c>
      <c r="I505" s="259">
        <v>0.233369129927835</v>
      </c>
      <c r="J505" s="259">
        <v>1.00557238093809</v>
      </c>
      <c r="K505" s="259">
        <v>0.00017159960064813</v>
      </c>
      <c r="L505" s="259">
        <v>0.00137386436499457</v>
      </c>
      <c r="M505" s="259">
        <v>0.00032742089404946</v>
      </c>
      <c r="N505" s="259">
        <v>0.0117349513927999</v>
      </c>
      <c r="O505" s="259">
        <v>1.8500471134371</v>
      </c>
      <c r="P505" s="259">
        <v>1.610893413317</v>
      </c>
      <c r="Q505" s="259">
        <v>-0.0220588873181871</v>
      </c>
      <c r="R505" s="259">
        <v>0.812111699079714</v>
      </c>
      <c r="S505" s="259">
        <v>0.00952454369020451</v>
      </c>
      <c r="T505" s="259">
        <v>0</v>
      </c>
      <c r="U505" s="259">
        <v>0</v>
      </c>
      <c r="V505" s="259">
        <v>0</v>
      </c>
      <c r="W505" s="259"/>
      <c r="X505" s="119"/>
      <c r="Y505" s="258"/>
      <c r="Z505" s="258"/>
      <c r="AA505" s="258"/>
      <c r="AB505" s="258"/>
      <c r="AC505" s="258"/>
      <c r="AD505" s="260"/>
      <c r="AE505" s="261"/>
    </row>
    <row r="506" ht="21.25" customHeight="1">
      <c r="A506" t="s" s="10">
        <v>848</v>
      </c>
      <c r="B506" t="s" s="256">
        <v>931</v>
      </c>
      <c r="C506" s="257">
        <v>23</v>
      </c>
      <c r="D506" t="s" s="256">
        <v>918</v>
      </c>
      <c r="E506" s="119">
        <v>56.9025</v>
      </c>
      <c r="F506" s="258">
        <v>14.6430171797816</v>
      </c>
      <c r="G506" s="259">
        <v>0.0543418563974541</v>
      </c>
      <c r="H506" s="259">
        <v>0.17626432035956</v>
      </c>
      <c r="I506" s="259">
        <v>0.230606176757014</v>
      </c>
      <c r="J506" s="259">
        <v>1.14565884224364</v>
      </c>
      <c r="K506" s="259">
        <v>0.000232558209200592</v>
      </c>
      <c r="L506" s="259">
        <v>0.00148074459835702</v>
      </c>
      <c r="M506" s="259">
        <v>0.000107347239967132</v>
      </c>
      <c r="N506" s="259">
        <v>0.00052828198357509</v>
      </c>
      <c r="O506" s="259">
        <v>0.957363221847262</v>
      </c>
      <c r="P506" s="259">
        <v>0.984596994776837</v>
      </c>
      <c r="Q506" s="259">
        <v>0.0233664126486055</v>
      </c>
      <c r="R506" s="259">
        <v>0.31505261559803</v>
      </c>
      <c r="S506" s="259">
        <v>0.008882627674585621</v>
      </c>
      <c r="T506" s="259">
        <v>0</v>
      </c>
      <c r="U506" s="259">
        <v>0</v>
      </c>
      <c r="V506" s="259">
        <v>0</v>
      </c>
      <c r="W506" s="259"/>
      <c r="X506" s="119"/>
      <c r="Y506" s="258"/>
      <c r="Z506" s="258"/>
      <c r="AA506" s="258"/>
      <c r="AB506" s="258"/>
      <c r="AC506" s="258"/>
      <c r="AD506" s="260"/>
      <c r="AE506" s="261"/>
    </row>
    <row r="507" ht="21.25" customHeight="1">
      <c r="A507" t="s" s="10">
        <v>278</v>
      </c>
      <c r="B507" t="s" s="256">
        <v>958</v>
      </c>
      <c r="C507" s="257">
        <v>34</v>
      </c>
      <c r="D507" t="s" s="256">
        <v>918</v>
      </c>
      <c r="E507" s="119">
        <v>77.315</v>
      </c>
      <c r="F507" s="258">
        <v>19.1232146929552</v>
      </c>
      <c r="G507" s="259">
        <v>0.0457530422971021</v>
      </c>
      <c r="H507" s="259">
        <v>0.183744181094619</v>
      </c>
      <c r="I507" s="259">
        <v>0.229497223391721</v>
      </c>
      <c r="J507" s="259">
        <v>1.33134500763998</v>
      </c>
      <c r="K507" s="259">
        <v>0.00032721602659935</v>
      </c>
      <c r="L507" s="259">
        <v>0.00222782965463499</v>
      </c>
      <c r="M507" s="259">
        <v>0.00211065441078984</v>
      </c>
      <c r="N507" s="259">
        <v>0.008968420008836979</v>
      </c>
      <c r="O507" s="259">
        <v>2.03409391357766</v>
      </c>
      <c r="P507" s="259">
        <v>3.31918833300445</v>
      </c>
      <c r="Q507" s="259">
        <v>-0.0494415299850848</v>
      </c>
      <c r="R507" s="259">
        <v>1.15469302981244</v>
      </c>
      <c r="S507" s="259">
        <v>0.00533295399063194</v>
      </c>
      <c r="T507" s="259">
        <v>0</v>
      </c>
      <c r="U507" s="259">
        <v>0</v>
      </c>
      <c r="V507" s="259">
        <v>0</v>
      </c>
      <c r="W507" s="259"/>
      <c r="X507" s="119"/>
      <c r="Y507" s="258"/>
      <c r="Z507" s="258"/>
      <c r="AA507" s="258"/>
      <c r="AB507" s="258"/>
      <c r="AC507" s="258"/>
      <c r="AD507" s="260"/>
      <c r="AE507" s="261"/>
    </row>
    <row r="508" ht="21.25" customHeight="1">
      <c r="A508" t="s" s="10">
        <v>408</v>
      </c>
      <c r="B508" t="s" s="256">
        <v>942</v>
      </c>
      <c r="C508" s="257">
        <v>33</v>
      </c>
      <c r="D508" t="s" s="256">
        <v>918</v>
      </c>
      <c r="E508" s="119">
        <v>79.5175</v>
      </c>
      <c r="F508" s="258">
        <v>19.1363042558543</v>
      </c>
      <c r="G508" s="259">
        <v>0.0576088399068498</v>
      </c>
      <c r="H508" s="259">
        <v>0.171693669146076</v>
      </c>
      <c r="I508" s="259">
        <v>0.229302509052926</v>
      </c>
      <c r="J508" s="259">
        <v>1.310175539160</v>
      </c>
      <c r="K508" s="259">
        <v>0.000534057235775392</v>
      </c>
      <c r="L508" s="259">
        <v>0.00149356875896159</v>
      </c>
      <c r="M508" s="259">
        <v>0.000314766374203909</v>
      </c>
      <c r="N508" s="259">
        <v>0.00138076093914416</v>
      </c>
      <c r="O508" s="259">
        <v>1.97873826648667</v>
      </c>
      <c r="P508" s="259">
        <v>1.87335550697779</v>
      </c>
      <c r="Q508" s="259">
        <v>-0.0662038986050037</v>
      </c>
      <c r="R508" s="259">
        <v>0.605149038781242</v>
      </c>
      <c r="S508" s="259">
        <v>0.007912151607613041</v>
      </c>
      <c r="T508" s="259">
        <v>0</v>
      </c>
      <c r="U508" s="259">
        <v>0</v>
      </c>
      <c r="V508" s="259">
        <v>0</v>
      </c>
      <c r="W508" s="259"/>
      <c r="X508" s="119"/>
      <c r="Y508" s="258"/>
      <c r="Z508" s="258"/>
      <c r="AA508" s="258"/>
      <c r="AB508" s="258"/>
      <c r="AC508" s="258"/>
      <c r="AD508" s="260"/>
      <c r="AE508" s="261"/>
    </row>
    <row r="509" ht="21.25" customHeight="1">
      <c r="A509" t="s" s="10">
        <v>687</v>
      </c>
      <c r="B509" t="s" s="256">
        <v>929</v>
      </c>
      <c r="C509" s="257">
        <v>26</v>
      </c>
      <c r="D509" t="s" s="256">
        <v>917</v>
      </c>
      <c r="E509" s="119">
        <v>70.69750000000001</v>
      </c>
      <c r="F509" s="258">
        <v>10.059342697174</v>
      </c>
      <c r="G509" s="259">
        <v>0.102891386763995</v>
      </c>
      <c r="H509" s="259">
        <v>0.125750928179439</v>
      </c>
      <c r="I509" s="259">
        <v>0.228642314943434</v>
      </c>
      <c r="J509" s="259">
        <v>1.04578712662237</v>
      </c>
      <c r="K509" s="259">
        <v>0.00373946986188731</v>
      </c>
      <c r="L509" s="259">
        <v>0.00703766844811945</v>
      </c>
      <c r="M509" s="259">
        <v>0.00211725782323067</v>
      </c>
      <c r="N509" s="259">
        <v>0.00360370704941453</v>
      </c>
      <c r="O509" s="259">
        <v>0.550185789472515</v>
      </c>
      <c r="P509" s="259">
        <v>2.213787911420</v>
      </c>
      <c r="Q509" s="259">
        <v>0.022419335016646</v>
      </c>
      <c r="R509" s="259">
        <v>0.47005356277375</v>
      </c>
      <c r="S509" s="259">
        <v>0.0155238739048892</v>
      </c>
      <c r="T509" s="259">
        <v>0.235608514872056</v>
      </c>
      <c r="U509" s="259">
        <v>0.300236075085341</v>
      </c>
      <c r="V509" s="259">
        <v>0.439695611913874</v>
      </c>
      <c r="W509" s="259"/>
      <c r="X509" s="119"/>
      <c r="Y509" s="258"/>
      <c r="Z509" s="258"/>
      <c r="AA509" s="258"/>
      <c r="AB509" s="258"/>
      <c r="AC509" s="258"/>
      <c r="AD509" s="260"/>
      <c r="AE509" s="261"/>
    </row>
    <row r="510" ht="21.25" customHeight="1">
      <c r="A510" t="s" s="10">
        <v>630</v>
      </c>
      <c r="B510" t="s" s="256">
        <v>954</v>
      </c>
      <c r="C510" s="257">
        <v>23</v>
      </c>
      <c r="D510" t="s" s="256">
        <v>918</v>
      </c>
      <c r="E510" s="119">
        <v>67.52249999999999</v>
      </c>
      <c r="F510" s="258">
        <v>15.6259097813542</v>
      </c>
      <c r="G510" s="259">
        <v>0.0641187788062183</v>
      </c>
      <c r="H510" s="259">
        <v>0.163646256231475</v>
      </c>
      <c r="I510" s="259">
        <v>0.227765035037693</v>
      </c>
      <c r="J510" s="259">
        <v>1.24390156240483</v>
      </c>
      <c r="K510" s="259">
        <v>0.00395168778751972</v>
      </c>
      <c r="L510" s="259">
        <v>0.009820686374272129</v>
      </c>
      <c r="M510" s="259">
        <v>0.000493920610586289</v>
      </c>
      <c r="N510" s="259">
        <v>0.00244811315278656</v>
      </c>
      <c r="O510" s="259">
        <v>1.16658958998716</v>
      </c>
      <c r="P510" s="259">
        <v>2.30085357854343</v>
      </c>
      <c r="Q510" s="259">
        <v>-0.0459220724515121</v>
      </c>
      <c r="R510" s="259">
        <v>1.096027976686</v>
      </c>
      <c r="S510" s="259">
        <v>0.00743144806535436</v>
      </c>
      <c r="T510" s="259">
        <v>0</v>
      </c>
      <c r="U510" s="259">
        <v>0</v>
      </c>
      <c r="V510" s="259">
        <v>0</v>
      </c>
      <c r="W510" s="259"/>
      <c r="X510" s="119"/>
      <c r="Y510" s="258"/>
      <c r="Z510" s="258"/>
      <c r="AA510" s="258"/>
      <c r="AB510" s="258"/>
      <c r="AC510" s="258"/>
      <c r="AD510" s="260"/>
      <c r="AE510" s="261"/>
    </row>
    <row r="511" ht="21.25" customHeight="1">
      <c r="A511" t="s" s="10">
        <v>781</v>
      </c>
      <c r="B511" t="s" s="256">
        <v>945</v>
      </c>
      <c r="C511" s="257">
        <v>26</v>
      </c>
      <c r="D511" t="s" s="256">
        <v>918</v>
      </c>
      <c r="E511" s="119">
        <v>69.405</v>
      </c>
      <c r="F511" s="258">
        <v>16.3619496466748</v>
      </c>
      <c r="G511" s="259">
        <v>0.0596554483680064</v>
      </c>
      <c r="H511" s="259">
        <v>0.168098398491289</v>
      </c>
      <c r="I511" s="259">
        <v>0.227753846859295</v>
      </c>
      <c r="J511" s="259">
        <v>1.05126074186752</v>
      </c>
      <c r="K511" s="259">
        <v>0.000513890272660211</v>
      </c>
      <c r="L511" s="259">
        <v>0.00282434800128359</v>
      </c>
      <c r="M511" s="259">
        <v>0.000353161182663643</v>
      </c>
      <c r="N511" s="259">
        <v>0.00403486340082499</v>
      </c>
      <c r="O511" s="259">
        <v>1.43877188214313</v>
      </c>
      <c r="P511" s="259">
        <v>0.706787180886373</v>
      </c>
      <c r="Q511" s="259">
        <v>-0.0999015958681404</v>
      </c>
      <c r="R511" s="259">
        <v>0.396550374391351</v>
      </c>
      <c r="S511" s="259">
        <v>0.00866696893784482</v>
      </c>
      <c r="T511" s="259">
        <v>0</v>
      </c>
      <c r="U511" s="259">
        <v>0</v>
      </c>
      <c r="V511" s="259">
        <v>0</v>
      </c>
      <c r="W511" s="259"/>
      <c r="X511" s="119"/>
      <c r="Y511" s="258"/>
      <c r="Z511" s="258"/>
      <c r="AA511" s="258"/>
      <c r="AB511" s="258"/>
      <c r="AC511" s="258"/>
      <c r="AD511" s="260"/>
      <c r="AE511" s="261"/>
    </row>
    <row r="512" ht="21.25" customHeight="1">
      <c r="A512" t="s" s="10">
        <v>816</v>
      </c>
      <c r="B512" t="s" s="256">
        <v>948</v>
      </c>
      <c r="C512" s="257">
        <v>25</v>
      </c>
      <c r="D512" t="s" s="256">
        <v>918</v>
      </c>
      <c r="E512" s="119">
        <v>70.5425</v>
      </c>
      <c r="F512" s="258">
        <v>14.8304849268095</v>
      </c>
      <c r="G512" s="259">
        <v>0.0464534981677611</v>
      </c>
      <c r="H512" s="259">
        <v>0.180851896083211</v>
      </c>
      <c r="I512" s="259">
        <v>0.227305394250972</v>
      </c>
      <c r="J512" s="259">
        <v>1.00691056353107</v>
      </c>
      <c r="K512" s="259">
        <v>0.0006038376841894421</v>
      </c>
      <c r="L512" s="259">
        <v>0.0024880145109235</v>
      </c>
      <c r="M512" s="259">
        <v>0.000139245536197833</v>
      </c>
      <c r="N512" s="259">
        <v>0.000684414357281103</v>
      </c>
      <c r="O512" s="259">
        <v>0.870823805075887</v>
      </c>
      <c r="P512" s="259">
        <v>1.08734728158005</v>
      </c>
      <c r="Q512" s="259">
        <v>-0.00346847487332456</v>
      </c>
      <c r="R512" s="259">
        <v>0.402242360068399</v>
      </c>
      <c r="S512" s="259">
        <v>0.00559272679458009</v>
      </c>
      <c r="T512" s="259">
        <v>0</v>
      </c>
      <c r="U512" s="259">
        <v>0</v>
      </c>
      <c r="V512" s="259">
        <v>0</v>
      </c>
      <c r="W512" s="259"/>
      <c r="X512" s="119"/>
      <c r="Y512" s="258"/>
      <c r="Z512" s="258"/>
      <c r="AA512" s="258"/>
      <c r="AB512" s="258"/>
      <c r="AC512" s="258"/>
      <c r="AD512" s="260"/>
      <c r="AE512" s="261"/>
    </row>
    <row r="513" ht="21.25" customHeight="1">
      <c r="A513" t="s" s="10">
        <v>423</v>
      </c>
      <c r="B513" t="s" s="256">
        <v>944</v>
      </c>
      <c r="C513" s="257">
        <v>24</v>
      </c>
      <c r="D513" t="s" s="256">
        <v>918</v>
      </c>
      <c r="E513" s="119">
        <v>76.8275</v>
      </c>
      <c r="F513" s="258">
        <v>18.1163442704902</v>
      </c>
      <c r="G513" s="259">
        <v>0.06441947414968691</v>
      </c>
      <c r="H513" s="259">
        <v>0.162839643100371</v>
      </c>
      <c r="I513" s="259">
        <v>0.227259117250058</v>
      </c>
      <c r="J513" s="259">
        <v>0.992282301273814</v>
      </c>
      <c r="K513" s="259">
        <v>0.000260717801387343</v>
      </c>
      <c r="L513" s="259">
        <v>0.00167588161009029</v>
      </c>
      <c r="M513" s="259">
        <v>0.0029043418259922</v>
      </c>
      <c r="N513" s="259">
        <v>0.0141574331780182</v>
      </c>
      <c r="O513" s="259">
        <v>1.60151453665512</v>
      </c>
      <c r="P513" s="259">
        <v>2.43973638011159</v>
      </c>
      <c r="Q513" s="259">
        <v>-0.0428073466452545</v>
      </c>
      <c r="R513" s="259">
        <v>0.37135705590841</v>
      </c>
      <c r="S513" s="259">
        <v>0.00914193088214872</v>
      </c>
      <c r="T513" s="259">
        <v>0</v>
      </c>
      <c r="U513" s="259">
        <v>0</v>
      </c>
      <c r="V513" s="259">
        <v>0</v>
      </c>
      <c r="W513" s="259"/>
      <c r="X513" s="119"/>
      <c r="Y513" s="258"/>
      <c r="Z513" s="258"/>
      <c r="AA513" s="258"/>
      <c r="AB513" s="258"/>
      <c r="AC513" s="258"/>
      <c r="AD513" s="260"/>
      <c r="AE513" s="261"/>
    </row>
    <row r="514" ht="21.25" customHeight="1">
      <c r="A514" t="s" s="10">
        <v>595</v>
      </c>
      <c r="B514" t="s" s="256">
        <v>959</v>
      </c>
      <c r="C514" s="257">
        <v>31</v>
      </c>
      <c r="D514" t="s" s="256">
        <v>915</v>
      </c>
      <c r="E514" s="119">
        <v>81.375</v>
      </c>
      <c r="F514" s="258">
        <v>12.4683421966015</v>
      </c>
      <c r="G514" s="259">
        <v>0.07852970249943381</v>
      </c>
      <c r="H514" s="259">
        <v>0.147755144187879</v>
      </c>
      <c r="I514" s="259">
        <v>0.226284846687313</v>
      </c>
      <c r="J514" s="259">
        <v>0.866122972882191</v>
      </c>
      <c r="K514" s="259">
        <v>0.000747727888982522</v>
      </c>
      <c r="L514" s="259">
        <v>0.00149833830027611</v>
      </c>
      <c r="M514" s="259">
        <v>0.00764673624632924</v>
      </c>
      <c r="N514" s="259">
        <v>0.0156231099814745</v>
      </c>
      <c r="O514" s="259">
        <v>0.868058327478739</v>
      </c>
      <c r="P514" s="259">
        <v>1.76849308121448</v>
      </c>
      <c r="Q514" s="259">
        <v>0.0181128336546544</v>
      </c>
      <c r="R514" s="259">
        <v>0.582783456769242</v>
      </c>
      <c r="S514" s="259">
        <v>0.00838776733375456</v>
      </c>
      <c r="T514" s="259">
        <v>3.68348056618009</v>
      </c>
      <c r="U514" s="259">
        <v>3.70644976961051</v>
      </c>
      <c r="V514" s="259">
        <v>0.498445912046073</v>
      </c>
      <c r="W514" s="259"/>
      <c r="X514" s="119"/>
      <c r="Y514" s="258"/>
      <c r="Z514" s="258"/>
      <c r="AA514" s="258"/>
      <c r="AB514" s="258"/>
      <c r="AC514" s="258"/>
      <c r="AD514" s="260"/>
      <c r="AE514" s="261"/>
    </row>
    <row r="515" ht="21.25" customHeight="1">
      <c r="A515" t="s" s="10">
        <v>840</v>
      </c>
      <c r="B515" t="s" s="256">
        <v>933</v>
      </c>
      <c r="C515" s="257">
        <v>24</v>
      </c>
      <c r="D515" t="s" s="256">
        <v>918</v>
      </c>
      <c r="E515" s="119">
        <v>60.865</v>
      </c>
      <c r="F515" s="258">
        <v>15.5044564412653</v>
      </c>
      <c r="G515" s="259">
        <v>0.0587733721072223</v>
      </c>
      <c r="H515" s="259">
        <v>0.166439410083162</v>
      </c>
      <c r="I515" s="259">
        <v>0.225212782190384</v>
      </c>
      <c r="J515" s="259">
        <v>0.912782250587404</v>
      </c>
      <c r="K515" s="259">
        <v>0.0181256020834433</v>
      </c>
      <c r="L515" s="259">
        <v>0.0560700431402062</v>
      </c>
      <c r="M515" s="259">
        <v>0.000354760073240287</v>
      </c>
      <c r="N515" s="259">
        <v>0.00175418836162257</v>
      </c>
      <c r="O515" s="259">
        <v>1.16258002722493</v>
      </c>
      <c r="P515" s="259">
        <v>0.9075940669785409</v>
      </c>
      <c r="Q515" s="259">
        <v>-0.00283961539626567</v>
      </c>
      <c r="R515" s="259">
        <v>0.324494737639125</v>
      </c>
      <c r="S515" s="259">
        <v>0.009702256961057251</v>
      </c>
      <c r="T515" s="259">
        <v>0</v>
      </c>
      <c r="U515" s="259">
        <v>0</v>
      </c>
      <c r="V515" s="259">
        <v>0</v>
      </c>
      <c r="W515" s="259"/>
      <c r="X515" s="119"/>
      <c r="Y515" s="258"/>
      <c r="Z515" s="258"/>
      <c r="AA515" s="258"/>
      <c r="AB515" s="258"/>
      <c r="AC515" s="258"/>
      <c r="AD515" s="260"/>
      <c r="AE515" s="261"/>
    </row>
    <row r="516" ht="21.25" customHeight="1">
      <c r="A516" t="s" s="10">
        <v>559</v>
      </c>
      <c r="B516" t="s" s="256">
        <v>934</v>
      </c>
      <c r="C516" s="257">
        <v>24</v>
      </c>
      <c r="D516" t="s" s="256">
        <v>918</v>
      </c>
      <c r="E516" s="119">
        <v>67.04000000000001</v>
      </c>
      <c r="F516" s="258">
        <v>20.388482657757</v>
      </c>
      <c r="G516" s="259">
        <v>0.0364812722535541</v>
      </c>
      <c r="H516" s="259">
        <v>0.187588328368709</v>
      </c>
      <c r="I516" s="259">
        <v>0.224069600622263</v>
      </c>
      <c r="J516" s="259">
        <v>1.2030554573528</v>
      </c>
      <c r="K516" s="259">
        <v>0.000276496967984429</v>
      </c>
      <c r="L516" s="259">
        <v>0.00173730227330551</v>
      </c>
      <c r="M516" s="259">
        <v>0.000587460338552179</v>
      </c>
      <c r="N516" s="259">
        <v>0.007842993876538071</v>
      </c>
      <c r="O516" s="259">
        <v>1.840811422756</v>
      </c>
      <c r="P516" s="259">
        <v>2.0156501108052</v>
      </c>
      <c r="Q516" s="259">
        <v>-0.00590803313456402</v>
      </c>
      <c r="R516" s="259">
        <v>0.470821723928516</v>
      </c>
      <c r="S516" s="259">
        <v>0.00516047426782191</v>
      </c>
      <c r="T516" s="259">
        <v>0</v>
      </c>
      <c r="U516" s="259">
        <v>0</v>
      </c>
      <c r="V516" s="259">
        <v>0</v>
      </c>
      <c r="W516" s="259"/>
      <c r="X516" s="119"/>
      <c r="Y516" s="258"/>
      <c r="Z516" s="258"/>
      <c r="AA516" s="258"/>
      <c r="AB516" s="258"/>
      <c r="AC516" s="258"/>
      <c r="AD516" s="260"/>
      <c r="AE516" s="261"/>
    </row>
    <row r="517" ht="21.25" customHeight="1">
      <c r="A517" t="s" s="10">
        <v>824</v>
      </c>
      <c r="B517" t="s" s="256">
        <v>930</v>
      </c>
      <c r="C517" s="257">
        <v>24</v>
      </c>
      <c r="D517" t="s" s="256">
        <v>918</v>
      </c>
      <c r="E517" s="119">
        <v>63.05</v>
      </c>
      <c r="F517" s="258">
        <v>16.2037532721782</v>
      </c>
      <c r="G517" s="259">
        <v>0.0641487769039663</v>
      </c>
      <c r="H517" s="259">
        <v>0.159508335184778</v>
      </c>
      <c r="I517" s="259">
        <v>0.223657112088744</v>
      </c>
      <c r="J517" s="259">
        <v>0.827272697909474</v>
      </c>
      <c r="K517" s="259">
        <v>0.000375998863142049</v>
      </c>
      <c r="L517" s="259">
        <v>0.00241345332098985</v>
      </c>
      <c r="M517" s="259">
        <v>0.000259681280855407</v>
      </c>
      <c r="N517" s="259">
        <v>0.00406127082734736</v>
      </c>
      <c r="O517" s="259">
        <v>1.30933270358841</v>
      </c>
      <c r="P517" s="259">
        <v>0.895549238646161</v>
      </c>
      <c r="Q517" s="259">
        <v>0.041188393524908</v>
      </c>
      <c r="R517" s="259">
        <v>0.30329597461615</v>
      </c>
      <c r="S517" s="259">
        <v>0.00908300622288059</v>
      </c>
      <c r="T517" s="259">
        <v>0</v>
      </c>
      <c r="U517" s="259">
        <v>0</v>
      </c>
      <c r="V517" s="259">
        <v>0</v>
      </c>
      <c r="W517" s="259"/>
      <c r="X517" s="119"/>
      <c r="Y517" s="258"/>
      <c r="Z517" s="258"/>
      <c r="AA517" s="258"/>
      <c r="AB517" s="258"/>
      <c r="AC517" s="258"/>
      <c r="AD517" s="260"/>
      <c r="AE517" s="261"/>
    </row>
    <row r="518" ht="21.25" customHeight="1">
      <c r="A518" t="s" s="10">
        <v>433</v>
      </c>
      <c r="B518" t="s" s="256">
        <v>929</v>
      </c>
      <c r="C518" s="257">
        <v>33</v>
      </c>
      <c r="D518" t="s" s="256">
        <v>918</v>
      </c>
      <c r="E518" s="119">
        <v>80.8425</v>
      </c>
      <c r="F518" s="258">
        <v>18.1452122990212</v>
      </c>
      <c r="G518" s="259">
        <v>0.0447299728280426</v>
      </c>
      <c r="H518" s="259">
        <v>0.178578139323664</v>
      </c>
      <c r="I518" s="259">
        <v>0.223308112151707</v>
      </c>
      <c r="J518" s="259">
        <v>0.934788623138321</v>
      </c>
      <c r="K518" s="259">
        <v>0.000232636196042403</v>
      </c>
      <c r="L518" s="259">
        <v>0.00157414495985322</v>
      </c>
      <c r="M518" s="259">
        <v>0.000334668725349471</v>
      </c>
      <c r="N518" s="259">
        <v>0.00481172653275607</v>
      </c>
      <c r="O518" s="259">
        <v>1.41599366275694</v>
      </c>
      <c r="P518" s="259">
        <v>2.44858522638562</v>
      </c>
      <c r="Q518" s="259">
        <v>-0.00273388447185852</v>
      </c>
      <c r="R518" s="259">
        <v>0.803932305281067</v>
      </c>
      <c r="S518" s="259">
        <v>0.0067486937419201</v>
      </c>
      <c r="T518" s="259">
        <v>0</v>
      </c>
      <c r="U518" s="259">
        <v>0</v>
      </c>
      <c r="V518" s="259">
        <v>0</v>
      </c>
      <c r="W518" s="259"/>
      <c r="X518" s="119"/>
      <c r="Y518" s="258"/>
      <c r="Z518" s="258"/>
      <c r="AA518" s="258"/>
      <c r="AB518" s="258"/>
      <c r="AC518" s="258"/>
      <c r="AD518" s="260"/>
      <c r="AE518" s="261"/>
    </row>
    <row r="519" ht="21.25" customHeight="1">
      <c r="A519" t="s" s="10">
        <v>800</v>
      </c>
      <c r="B519" t="s" s="256">
        <v>959</v>
      </c>
      <c r="C519" s="257">
        <v>30</v>
      </c>
      <c r="D519" t="s" s="256">
        <v>918</v>
      </c>
      <c r="E519" s="119">
        <v>67.57250000000001</v>
      </c>
      <c r="F519" s="258">
        <v>15.7640850453526</v>
      </c>
      <c r="G519" s="259">
        <v>0.0140324796437613</v>
      </c>
      <c r="H519" s="259">
        <v>0.207358586008757</v>
      </c>
      <c r="I519" s="259">
        <v>0.221391065652518</v>
      </c>
      <c r="J519" s="259">
        <v>0.795640923866558</v>
      </c>
      <c r="K519" s="259">
        <v>2.00543478028438e-05</v>
      </c>
      <c r="L519" s="259">
        <v>0.000198847627333191</v>
      </c>
      <c r="M519" s="259">
        <v>4.09557411524157e-05</v>
      </c>
      <c r="N519" s="259">
        <v>0.000746803621402176</v>
      </c>
      <c r="O519" s="259">
        <v>1.12935871848281</v>
      </c>
      <c r="P519" s="259">
        <v>1.23568245600802</v>
      </c>
      <c r="Q519" s="259">
        <v>-0.114341770835402</v>
      </c>
      <c r="R519" s="259">
        <v>0.412233121786832</v>
      </c>
      <c r="S519" s="259">
        <v>0.00149881090366241</v>
      </c>
      <c r="T519" s="259">
        <v>0</v>
      </c>
      <c r="U519" s="259">
        <v>0</v>
      </c>
      <c r="V519" s="259">
        <v>0</v>
      </c>
      <c r="W519" s="259"/>
      <c r="X519" s="119"/>
      <c r="Y519" s="258"/>
      <c r="Z519" s="258"/>
      <c r="AA519" s="258"/>
      <c r="AB519" s="258"/>
      <c r="AC519" s="258"/>
      <c r="AD519" s="260"/>
      <c r="AE519" s="261"/>
    </row>
    <row r="520" ht="21.25" customHeight="1">
      <c r="A520" t="s" s="10">
        <v>474</v>
      </c>
      <c r="B520" t="s" s="256">
        <v>934</v>
      </c>
      <c r="C520" s="257">
        <v>29</v>
      </c>
      <c r="D520" t="s" s="256">
        <v>918</v>
      </c>
      <c r="E520" s="119">
        <v>78.7475</v>
      </c>
      <c r="F520" s="258">
        <v>16.4878734704906</v>
      </c>
      <c r="G520" s="259">
        <v>0.0462171955678613</v>
      </c>
      <c r="H520" s="259">
        <v>0.174711088118077</v>
      </c>
      <c r="I520" s="259">
        <v>0.220928283685938</v>
      </c>
      <c r="J520" s="259">
        <v>1.01654905147558</v>
      </c>
      <c r="K520" s="259">
        <v>0.000109967157222492</v>
      </c>
      <c r="L520" s="259">
        <v>0.000714880743418294</v>
      </c>
      <c r="M520" s="259">
        <v>0.00385045909617869</v>
      </c>
      <c r="N520" s="259">
        <v>0.00545340081098312</v>
      </c>
      <c r="O520" s="259">
        <v>1.44696900665965</v>
      </c>
      <c r="P520" s="259">
        <v>2.25710203721961</v>
      </c>
      <c r="Q520" s="259">
        <v>-0.0121773576457776</v>
      </c>
      <c r="R520" s="259">
        <v>0.669819059070682</v>
      </c>
      <c r="S520" s="259">
        <v>0.00653767354387169</v>
      </c>
      <c r="T520" s="259">
        <v>0</v>
      </c>
      <c r="U520" s="259">
        <v>0</v>
      </c>
      <c r="V520" s="259">
        <v>0</v>
      </c>
      <c r="W520" s="259"/>
      <c r="X520" s="119"/>
      <c r="Y520" s="258"/>
      <c r="Z520" s="258"/>
      <c r="AA520" s="258"/>
      <c r="AB520" s="258"/>
      <c r="AC520" s="258"/>
      <c r="AD520" s="260"/>
      <c r="AE520" s="261"/>
    </row>
    <row r="521" ht="21.25" customHeight="1">
      <c r="A521" t="s" s="10">
        <v>779</v>
      </c>
      <c r="B521" t="s" s="256">
        <v>955</v>
      </c>
      <c r="C521" s="257">
        <v>22</v>
      </c>
      <c r="D521" t="s" s="256">
        <v>918</v>
      </c>
      <c r="E521" s="119">
        <v>62.94</v>
      </c>
      <c r="F521" s="258">
        <v>17.4544795175825</v>
      </c>
      <c r="G521" s="259">
        <v>0.0414502407030385</v>
      </c>
      <c r="H521" s="259">
        <v>0.178919562940637</v>
      </c>
      <c r="I521" s="259">
        <v>0.220369803643676</v>
      </c>
      <c r="J521" s="259">
        <v>1.12161876128295</v>
      </c>
      <c r="K521" s="259">
        <v>0.00228214719343012</v>
      </c>
      <c r="L521" s="259">
        <v>0.04817940667595</v>
      </c>
      <c r="M521" s="259">
        <v>0.000517020739423883</v>
      </c>
      <c r="N521" s="259">
        <v>0.0025120897098711</v>
      </c>
      <c r="O521" s="259">
        <v>1.19142346963296</v>
      </c>
      <c r="P521" s="259">
        <v>1.47043788937661</v>
      </c>
      <c r="Q521" s="259">
        <v>-0.00808393324523571</v>
      </c>
      <c r="R521" s="259">
        <v>0.464296451413032</v>
      </c>
      <c r="S521" s="259">
        <v>0.00629412250698938</v>
      </c>
      <c r="T521" s="259">
        <v>0</v>
      </c>
      <c r="U521" s="259">
        <v>0</v>
      </c>
      <c r="V521" s="259">
        <v>0</v>
      </c>
      <c r="W521" s="259"/>
      <c r="X521" s="119"/>
      <c r="Y521" s="258"/>
      <c r="Z521" s="258"/>
      <c r="AA521" s="258"/>
      <c r="AB521" s="258"/>
      <c r="AC521" s="258"/>
      <c r="AD521" s="260"/>
      <c r="AE521" s="261"/>
    </row>
    <row r="522" ht="21.25" customHeight="1">
      <c r="A522" t="s" s="10">
        <v>728</v>
      </c>
      <c r="B522" t="s" s="256">
        <v>938</v>
      </c>
      <c r="C522" s="257">
        <v>25</v>
      </c>
      <c r="D522" t="s" s="256">
        <v>915</v>
      </c>
      <c r="E522" s="119">
        <v>74.52500000000001</v>
      </c>
      <c r="F522" s="258">
        <v>10.6407827511857</v>
      </c>
      <c r="G522" s="259">
        <v>0.108119587189862</v>
      </c>
      <c r="H522" s="259">
        <v>0.112206001439003</v>
      </c>
      <c r="I522" s="259">
        <v>0.220325588628865</v>
      </c>
      <c r="J522" s="259">
        <v>1.19833428276483</v>
      </c>
      <c r="K522" s="259">
        <v>0.000609326048922716</v>
      </c>
      <c r="L522" s="259">
        <v>0.00191236218051018</v>
      </c>
      <c r="M522" s="259">
        <v>0.0020707623132339</v>
      </c>
      <c r="N522" s="259">
        <v>0.0125064272646304</v>
      </c>
      <c r="O522" s="259">
        <v>0.543241778131577</v>
      </c>
      <c r="P522" s="259">
        <v>1.46392724629199</v>
      </c>
      <c r="Q522" s="259">
        <v>0.0269980901779159</v>
      </c>
      <c r="R522" s="259">
        <v>0.309768528082613</v>
      </c>
      <c r="S522" s="259">
        <v>0.0179723468162331</v>
      </c>
      <c r="T522" s="259">
        <v>0.68844707589869</v>
      </c>
      <c r="U522" s="259">
        <v>0.793346859574113</v>
      </c>
      <c r="V522" s="259">
        <v>0.464603788298691</v>
      </c>
      <c r="W522" s="259"/>
      <c r="X522" s="119"/>
      <c r="Y522" s="258"/>
      <c r="Z522" s="258"/>
      <c r="AA522" s="258"/>
      <c r="AB522" s="258"/>
      <c r="AC522" s="258"/>
      <c r="AD522" s="260"/>
      <c r="AE522" s="261"/>
    </row>
    <row r="523" ht="21.25" customHeight="1">
      <c r="A523" t="s" s="10">
        <v>823</v>
      </c>
      <c r="B523" t="s" s="256">
        <v>928</v>
      </c>
      <c r="C523" s="257">
        <v>26</v>
      </c>
      <c r="D523" t="s" s="256">
        <v>916</v>
      </c>
      <c r="E523" s="119">
        <v>66.9175</v>
      </c>
      <c r="F523" s="258">
        <v>9.92211938511195</v>
      </c>
      <c r="G523" s="259">
        <v>0.0898320498727045</v>
      </c>
      <c r="H523" s="259">
        <v>0.130469386995373</v>
      </c>
      <c r="I523" s="259">
        <v>0.220301436868078</v>
      </c>
      <c r="J523" s="259">
        <v>1.15828144466061</v>
      </c>
      <c r="K523" s="259">
        <v>0.0025712565082064</v>
      </c>
      <c r="L523" s="259">
        <v>0.008069971858709659</v>
      </c>
      <c r="M523" s="259">
        <v>5.07365545127922e-05</v>
      </c>
      <c r="N523" s="259">
        <v>8.64050985652452e-05</v>
      </c>
      <c r="O523" s="259">
        <v>0.258098826593372</v>
      </c>
      <c r="P523" s="259">
        <v>1.68232248954278</v>
      </c>
      <c r="Q523" s="259">
        <v>-0.0881476319911048</v>
      </c>
      <c r="R523" s="259">
        <v>0.520950203715067</v>
      </c>
      <c r="S523" s="259">
        <v>0.0139916757603134</v>
      </c>
      <c r="T523" s="259">
        <v>0.0997660249242891</v>
      </c>
      <c r="U523" s="259">
        <v>0.156211939646071</v>
      </c>
      <c r="V523" s="259">
        <v>0.389744582475054</v>
      </c>
      <c r="W523" s="259"/>
      <c r="X523" s="119"/>
      <c r="Y523" s="258"/>
      <c r="Z523" s="258"/>
      <c r="AA523" s="258"/>
      <c r="AB523" s="258"/>
      <c r="AC523" s="258"/>
      <c r="AD523" s="260"/>
      <c r="AE523" s="261"/>
    </row>
    <row r="524" ht="21.25" customHeight="1">
      <c r="A524" t="s" s="10">
        <v>817</v>
      </c>
      <c r="B524" t="s" s="256">
        <v>937</v>
      </c>
      <c r="C524" s="257">
        <v>31</v>
      </c>
      <c r="D524" t="s" s="256">
        <v>915</v>
      </c>
      <c r="E524" s="119">
        <v>68.89749999999999</v>
      </c>
      <c r="F524" s="258">
        <v>12.3112903740366</v>
      </c>
      <c r="G524" s="259">
        <v>0.10258232305808</v>
      </c>
      <c r="H524" s="259">
        <v>0.117560331783591</v>
      </c>
      <c r="I524" s="259">
        <v>0.220142654841671</v>
      </c>
      <c r="J524" s="259">
        <v>1.43102021388477</v>
      </c>
      <c r="K524" s="259">
        <v>0.00245717264394725</v>
      </c>
      <c r="L524" s="259">
        <v>0.00431242161553978</v>
      </c>
      <c r="M524" s="259">
        <v>0.00691488666117306</v>
      </c>
      <c r="N524" s="259">
        <v>0.0126406854457529</v>
      </c>
      <c r="O524" s="259">
        <v>0.428514423838838</v>
      </c>
      <c r="P524" s="259">
        <v>1.10280847761659</v>
      </c>
      <c r="Q524" s="259">
        <v>-0.08198532817340989</v>
      </c>
      <c r="R524" s="259">
        <v>0.207464117259744</v>
      </c>
      <c r="S524" s="259">
        <v>0.0164048331597705</v>
      </c>
      <c r="T524" s="259">
        <v>0.729799740408868</v>
      </c>
      <c r="U524" s="259">
        <v>0.789949195986447</v>
      </c>
      <c r="V524" s="259">
        <v>0.480210726213684</v>
      </c>
      <c r="W524" s="259"/>
      <c r="X524" s="119"/>
      <c r="Y524" s="258"/>
      <c r="Z524" s="258"/>
      <c r="AA524" s="258"/>
      <c r="AB524" s="258"/>
      <c r="AC524" s="258"/>
      <c r="AD524" s="260"/>
      <c r="AE524" s="261"/>
    </row>
    <row r="525" ht="21.25" customHeight="1">
      <c r="A525" t="s" s="10">
        <v>515</v>
      </c>
      <c r="B525" t="s" s="256">
        <v>952</v>
      </c>
      <c r="C525" s="257">
        <v>32</v>
      </c>
      <c r="D525" t="s" s="256">
        <v>918</v>
      </c>
      <c r="E525" s="119">
        <v>79.27</v>
      </c>
      <c r="F525" s="258">
        <v>18.7567672880559</v>
      </c>
      <c r="G525" s="259">
        <v>0.0439965590124871</v>
      </c>
      <c r="H525" s="259">
        <v>0.174323666407477</v>
      </c>
      <c r="I525" s="259">
        <v>0.218320225419964</v>
      </c>
      <c r="J525" s="259">
        <v>1.16776619170432</v>
      </c>
      <c r="K525" s="259">
        <v>0.000221304097935967</v>
      </c>
      <c r="L525" s="259">
        <v>0.00148668596844038</v>
      </c>
      <c r="M525" s="259">
        <v>0.000342708908346167</v>
      </c>
      <c r="N525" s="259">
        <v>0.00740516109008369</v>
      </c>
      <c r="O525" s="259">
        <v>1.92105939306391</v>
      </c>
      <c r="P525" s="259">
        <v>1.28116510061672</v>
      </c>
      <c r="Q525" s="259">
        <v>-0.116209204330759</v>
      </c>
      <c r="R525" s="259">
        <v>0.6896225361349</v>
      </c>
      <c r="S525" s="259">
        <v>0.00486533084243483</v>
      </c>
      <c r="T525" s="259">
        <v>0</v>
      </c>
      <c r="U525" s="259">
        <v>0</v>
      </c>
      <c r="V525" s="259">
        <v>0</v>
      </c>
      <c r="W525" s="259"/>
      <c r="X525" s="119"/>
      <c r="Y525" s="258"/>
      <c r="Z525" s="258"/>
      <c r="AA525" s="258"/>
      <c r="AB525" s="258"/>
      <c r="AC525" s="258"/>
      <c r="AD525" s="260"/>
      <c r="AE525" s="261"/>
    </row>
    <row r="526" ht="21.25" customHeight="1">
      <c r="A526" t="s" s="10">
        <v>711</v>
      </c>
      <c r="B526" t="s" s="256">
        <v>934</v>
      </c>
      <c r="C526" s="257">
        <v>29</v>
      </c>
      <c r="D526" t="s" s="256">
        <v>967</v>
      </c>
      <c r="E526" s="119">
        <v>77.2475</v>
      </c>
      <c r="F526" s="258">
        <v>10.9206618083877</v>
      </c>
      <c r="G526" s="259">
        <v>0.0987720142173497</v>
      </c>
      <c r="H526" s="259">
        <v>0.119318628919009</v>
      </c>
      <c r="I526" s="259">
        <v>0.218090643136359</v>
      </c>
      <c r="J526" s="259">
        <v>0.976958952072782</v>
      </c>
      <c r="K526" s="259">
        <v>0.000807790079258903</v>
      </c>
      <c r="L526" s="259">
        <v>0.00188845827664357</v>
      </c>
      <c r="M526" s="259">
        <v>0.00574201089505942</v>
      </c>
      <c r="N526" s="259">
        <v>0.00707649545860402</v>
      </c>
      <c r="O526" s="259">
        <v>0.379931765418913</v>
      </c>
      <c r="P526" s="259">
        <v>1.95466535513978</v>
      </c>
      <c r="Q526" s="259">
        <v>0.0384955077846348</v>
      </c>
      <c r="R526" s="259">
        <v>0.335835392329589</v>
      </c>
      <c r="S526" s="259">
        <v>0.0139718383231527</v>
      </c>
      <c r="T526" s="259">
        <v>1.93428972154947</v>
      </c>
      <c r="U526" s="259">
        <v>2.33213065387267</v>
      </c>
      <c r="V526" s="259">
        <v>0.4533753243568</v>
      </c>
      <c r="W526" s="259"/>
      <c r="X526" s="119"/>
      <c r="Y526" s="258"/>
      <c r="Z526" s="258"/>
      <c r="AA526" s="258"/>
      <c r="AB526" s="258"/>
      <c r="AC526" s="258"/>
      <c r="AD526" s="260"/>
      <c r="AE526" s="261"/>
    </row>
    <row r="527" ht="21.25" customHeight="1">
      <c r="A527" t="s" s="10">
        <v>699</v>
      </c>
      <c r="B527" t="s" s="256">
        <v>948</v>
      </c>
      <c r="C527" s="257">
        <v>30</v>
      </c>
      <c r="D527" t="s" s="256">
        <v>915</v>
      </c>
      <c r="E527" s="119">
        <v>79.9725</v>
      </c>
      <c r="F527" s="258">
        <v>12.4897572870062</v>
      </c>
      <c r="G527" s="259">
        <v>0.0862600602213042</v>
      </c>
      <c r="H527" s="259">
        <v>0.131283345188044</v>
      </c>
      <c r="I527" s="259">
        <v>0.217543405409348</v>
      </c>
      <c r="J527" s="259">
        <v>0.950352502114243</v>
      </c>
      <c r="K527" s="259">
        <v>0.000968943601934856</v>
      </c>
      <c r="L527" s="259">
        <v>0.00202763270070516</v>
      </c>
      <c r="M527" s="259">
        <v>0.0172223043888618</v>
      </c>
      <c r="N527" s="259">
        <v>0.0358470101136892</v>
      </c>
      <c r="O527" s="259">
        <v>0.6358858088138321</v>
      </c>
      <c r="P527" s="259">
        <v>1.26374958337982</v>
      </c>
      <c r="Q527" s="259">
        <v>0.0373499060980739</v>
      </c>
      <c r="R527" s="259">
        <v>0.384906507802741</v>
      </c>
      <c r="S527" s="259">
        <v>0.0103852017421712</v>
      </c>
      <c r="T527" s="259">
        <v>3.80979814473824</v>
      </c>
      <c r="U527" s="259">
        <v>3.0953254351653</v>
      </c>
      <c r="V527" s="259">
        <v>0.551734969063575</v>
      </c>
      <c r="W527" s="259"/>
      <c r="X527" s="119"/>
      <c r="Y527" s="258"/>
      <c r="Z527" s="258"/>
      <c r="AA527" s="258"/>
      <c r="AB527" s="258"/>
      <c r="AC527" s="258"/>
      <c r="AD527" s="260"/>
      <c r="AE527" s="261"/>
    </row>
    <row r="528" ht="21.25" customHeight="1">
      <c r="A528" t="s" s="10">
        <v>740</v>
      </c>
      <c r="B528" t="s" s="256">
        <v>933</v>
      </c>
      <c r="C528" s="257">
        <v>24</v>
      </c>
      <c r="D528" t="s" s="256">
        <v>915</v>
      </c>
      <c r="E528" s="119">
        <v>64.1125</v>
      </c>
      <c r="F528" s="258">
        <v>9.79071020151294</v>
      </c>
      <c r="G528" s="259">
        <v>0.07898717702036311</v>
      </c>
      <c r="H528" s="259">
        <v>0.137720577459214</v>
      </c>
      <c r="I528" s="259">
        <v>0.216707754479577</v>
      </c>
      <c r="J528" s="259">
        <v>0.791673496700897</v>
      </c>
      <c r="K528" s="259">
        <v>0.000952042994516328</v>
      </c>
      <c r="L528" s="259">
        <v>0.00218374556224541</v>
      </c>
      <c r="M528" s="259">
        <v>0.000592850519424165</v>
      </c>
      <c r="N528" s="259">
        <v>0.000996234586910078</v>
      </c>
      <c r="O528" s="259">
        <v>0.396838779271722</v>
      </c>
      <c r="P528" s="259">
        <v>2.50811285669782</v>
      </c>
      <c r="Q528" s="259">
        <v>0.0166550354593468</v>
      </c>
      <c r="R528" s="259">
        <v>0.401612072004038</v>
      </c>
      <c r="S528" s="259">
        <v>0.0130391342304129</v>
      </c>
      <c r="T528" s="259">
        <v>0.08871161943868899</v>
      </c>
      <c r="U528" s="259">
        <v>0.172235414841866</v>
      </c>
      <c r="V528" s="259">
        <v>0.339960251639846</v>
      </c>
      <c r="W528" s="259"/>
      <c r="X528" s="119"/>
      <c r="Y528" s="258"/>
      <c r="Z528" s="258"/>
      <c r="AA528" s="258"/>
      <c r="AB528" s="258"/>
      <c r="AC528" s="258"/>
      <c r="AD528" s="260"/>
      <c r="AE528" s="261"/>
    </row>
    <row r="529" ht="21.25" customHeight="1">
      <c r="A529" t="s" s="10">
        <v>733</v>
      </c>
      <c r="B529" t="s" s="256">
        <v>942</v>
      </c>
      <c r="C529" s="257">
        <v>30</v>
      </c>
      <c r="D529" t="s" s="256">
        <v>918</v>
      </c>
      <c r="E529" s="119">
        <v>78.105</v>
      </c>
      <c r="F529" s="258">
        <v>16.0988238854331</v>
      </c>
      <c r="G529" s="259">
        <v>0.0474262383108459</v>
      </c>
      <c r="H529" s="259">
        <v>0.169164556029009</v>
      </c>
      <c r="I529" s="259">
        <v>0.216590794339855</v>
      </c>
      <c r="J529" s="259">
        <v>0.730427308982512</v>
      </c>
      <c r="K529" s="259">
        <v>0.000236145568564148</v>
      </c>
      <c r="L529" s="259">
        <v>0.00153696408426001</v>
      </c>
      <c r="M529" s="259">
        <v>0.000178091984728205</v>
      </c>
      <c r="N529" s="259">
        <v>0.000895890083077852</v>
      </c>
      <c r="O529" s="259">
        <v>1.33880229375711</v>
      </c>
      <c r="P529" s="259">
        <v>0.907456995714365</v>
      </c>
      <c r="Q529" s="259">
        <v>-0.0197046471764907</v>
      </c>
      <c r="R529" s="259">
        <v>0.216313832780697</v>
      </c>
      <c r="S529" s="259">
        <v>0.00651364596650351</v>
      </c>
      <c r="T529" s="259">
        <v>0</v>
      </c>
      <c r="U529" s="259">
        <v>0</v>
      </c>
      <c r="V529" s="259">
        <v>0</v>
      </c>
      <c r="W529" s="259"/>
      <c r="X529" s="119"/>
      <c r="Y529" s="258"/>
      <c r="Z529" s="258"/>
      <c r="AA529" s="258"/>
      <c r="AB529" s="258"/>
      <c r="AC529" s="258"/>
      <c r="AD529" s="260"/>
      <c r="AE529" s="261"/>
    </row>
    <row r="530" ht="21.25" customHeight="1">
      <c r="A530" t="s" s="10">
        <v>790</v>
      </c>
      <c r="B530" t="s" s="256">
        <v>927</v>
      </c>
      <c r="C530" s="257">
        <v>26</v>
      </c>
      <c r="D530" t="s" s="256">
        <v>917</v>
      </c>
      <c r="E530" s="119">
        <v>60.45</v>
      </c>
      <c r="F530" s="258">
        <v>10.1667019581606</v>
      </c>
      <c r="G530" s="259">
        <v>0.106329158800484</v>
      </c>
      <c r="H530" s="259">
        <v>0.109309043239772</v>
      </c>
      <c r="I530" s="259">
        <v>0.215638202040256</v>
      </c>
      <c r="J530" s="259">
        <v>0.8612081383699129</v>
      </c>
      <c r="K530" s="259">
        <v>0.0008781938896408</v>
      </c>
      <c r="L530" s="259">
        <v>0.00204041497712498</v>
      </c>
      <c r="M530" s="259">
        <v>0.000526927794302316</v>
      </c>
      <c r="N530" s="259">
        <v>0.0008969126221454431</v>
      </c>
      <c r="O530" s="259">
        <v>0.537124583896023</v>
      </c>
      <c r="P530" s="259">
        <v>2.25501119724999</v>
      </c>
      <c r="Q530" s="259">
        <v>0.0117204129519518</v>
      </c>
      <c r="R530" s="259">
        <v>0.239797872592452</v>
      </c>
      <c r="S530" s="259">
        <v>0.0167533947243858</v>
      </c>
      <c r="T530" s="259">
        <v>0</v>
      </c>
      <c r="U530" s="259">
        <v>0.119468533886824</v>
      </c>
      <c r="V530" s="259">
        <v>0</v>
      </c>
      <c r="W530" s="259"/>
      <c r="X530" s="119"/>
      <c r="Y530" s="258"/>
      <c r="Z530" s="258"/>
      <c r="AA530" s="258"/>
      <c r="AB530" s="258"/>
      <c r="AC530" s="258"/>
      <c r="AD530" s="260"/>
      <c r="AE530" s="261"/>
    </row>
    <row r="531" ht="21.25" customHeight="1">
      <c r="A531" t="s" s="10">
        <v>730</v>
      </c>
      <c r="B531" t="s" s="256">
        <v>938</v>
      </c>
      <c r="C531" s="257">
        <v>31</v>
      </c>
      <c r="D531" t="s" s="256">
        <v>918</v>
      </c>
      <c r="E531" s="119">
        <v>70.8275</v>
      </c>
      <c r="F531" s="258">
        <v>15.7057735245926</v>
      </c>
      <c r="G531" s="259">
        <v>0.0579120054458125</v>
      </c>
      <c r="H531" s="259">
        <v>0.156680833825119</v>
      </c>
      <c r="I531" s="259">
        <v>0.214592839270932</v>
      </c>
      <c r="J531" s="259">
        <v>1.24313998444414</v>
      </c>
      <c r="K531" s="259">
        <v>0.0023593688284832</v>
      </c>
      <c r="L531" s="259">
        <v>0.0125914785717066</v>
      </c>
      <c r="M531" s="259">
        <v>0.000345293934476222</v>
      </c>
      <c r="N531" s="259">
        <v>0.00172276345374435</v>
      </c>
      <c r="O531" s="259">
        <v>0.963343467745061</v>
      </c>
      <c r="P531" s="259">
        <v>1.55642251211915</v>
      </c>
      <c r="Q531" s="259">
        <v>0.0129507383317518</v>
      </c>
      <c r="R531" s="259">
        <v>0.458082322745003</v>
      </c>
      <c r="S531" s="259">
        <v>0.00962651332425098</v>
      </c>
      <c r="T531" s="259">
        <v>0</v>
      </c>
      <c r="U531" s="259">
        <v>0</v>
      </c>
      <c r="V531" s="259">
        <v>0</v>
      </c>
      <c r="W531" s="259"/>
      <c r="X531" s="119"/>
      <c r="Y531" s="258"/>
      <c r="Z531" s="258"/>
      <c r="AA531" s="258"/>
      <c r="AB531" s="258"/>
      <c r="AC531" s="258"/>
      <c r="AD531" s="260"/>
      <c r="AE531" s="261"/>
    </row>
    <row r="532" ht="21.25" customHeight="1">
      <c r="A532" t="s" s="10">
        <v>533</v>
      </c>
      <c r="B532" t="s" s="256">
        <v>937</v>
      </c>
      <c r="C532" s="257">
        <v>30</v>
      </c>
      <c r="D532" t="s" s="256">
        <v>918</v>
      </c>
      <c r="E532" s="119">
        <v>78.05249999999999</v>
      </c>
      <c r="F532" s="258">
        <v>19.0082791439989</v>
      </c>
      <c r="G532" s="259">
        <v>0.0572240271610427</v>
      </c>
      <c r="H532" s="259">
        <v>0.156169401523557</v>
      </c>
      <c r="I532" s="259">
        <v>0.2133934286846</v>
      </c>
      <c r="J532" s="259">
        <v>1.13800575856807</v>
      </c>
      <c r="K532" s="259">
        <v>0.00165746659670106</v>
      </c>
      <c r="L532" s="259">
        <v>0.00937896435038761</v>
      </c>
      <c r="M532" s="259">
        <v>0.0003608991840095</v>
      </c>
      <c r="N532" s="259">
        <v>0.00158846207183132</v>
      </c>
      <c r="O532" s="259">
        <v>1.39275523527822</v>
      </c>
      <c r="P532" s="259">
        <v>1.95741586291635</v>
      </c>
      <c r="Q532" s="259">
        <v>-0.0163965557329566</v>
      </c>
      <c r="R532" s="259">
        <v>0.737428836878647</v>
      </c>
      <c r="S532" s="259">
        <v>0.00915119282077068</v>
      </c>
      <c r="T532" s="259">
        <v>0</v>
      </c>
      <c r="U532" s="259">
        <v>0.00897893292943904</v>
      </c>
      <c r="V532" s="259">
        <v>0</v>
      </c>
      <c r="W532" s="259"/>
      <c r="X532" s="119"/>
      <c r="Y532" s="258"/>
      <c r="Z532" s="258"/>
      <c r="AA532" s="258"/>
      <c r="AB532" s="258"/>
      <c r="AC532" s="258"/>
      <c r="AD532" s="260"/>
      <c r="AE532" s="261"/>
    </row>
    <row r="533" ht="21.25" customHeight="1">
      <c r="A533" t="s" s="10">
        <v>512</v>
      </c>
      <c r="B533" t="s" s="256">
        <v>941</v>
      </c>
      <c r="C533" s="257">
        <v>25</v>
      </c>
      <c r="D533" t="s" s="256">
        <v>918</v>
      </c>
      <c r="E533" s="119">
        <v>77.295</v>
      </c>
      <c r="F533" s="258">
        <v>18.5680426168314</v>
      </c>
      <c r="G533" s="259">
        <v>0.0419845445082024</v>
      </c>
      <c r="H533" s="259">
        <v>0.17111117301971</v>
      </c>
      <c r="I533" s="259">
        <v>0.213095717527912</v>
      </c>
      <c r="J533" s="259">
        <v>1.41561324765156</v>
      </c>
      <c r="K533" s="259">
        <v>0.000257291862993133</v>
      </c>
      <c r="L533" s="259">
        <v>0.00164455091271756</v>
      </c>
      <c r="M533" s="259">
        <v>0.00050256098358411</v>
      </c>
      <c r="N533" s="259">
        <v>0.00218713725307082</v>
      </c>
      <c r="O533" s="259">
        <v>1.58490641624476</v>
      </c>
      <c r="P533" s="259">
        <v>1.78534408602254</v>
      </c>
      <c r="Q533" s="259">
        <v>0.0170040445357784</v>
      </c>
      <c r="R533" s="259">
        <v>0.526704066980222</v>
      </c>
      <c r="S533" s="259">
        <v>0.00638590333609623</v>
      </c>
      <c r="T533" s="259">
        <v>0</v>
      </c>
      <c r="U533" s="259">
        <v>0</v>
      </c>
      <c r="V533" s="259">
        <v>0</v>
      </c>
      <c r="W533" s="259"/>
      <c r="X533" s="119"/>
      <c r="Y533" s="258"/>
      <c r="Z533" s="258"/>
      <c r="AA533" s="258"/>
      <c r="AB533" s="258"/>
      <c r="AC533" s="258"/>
      <c r="AD533" s="260"/>
      <c r="AE533" s="261"/>
    </row>
    <row r="534" ht="21.25" customHeight="1">
      <c r="A534" t="s" s="10">
        <v>683</v>
      </c>
      <c r="B534" t="s" s="256">
        <v>959</v>
      </c>
      <c r="C534" s="257">
        <v>34</v>
      </c>
      <c r="D534" t="s" s="256">
        <v>918</v>
      </c>
      <c r="E534" s="119">
        <v>75.5475</v>
      </c>
      <c r="F534" s="258">
        <v>17.9314382327549</v>
      </c>
      <c r="G534" s="259">
        <v>0.0482734009444344</v>
      </c>
      <c r="H534" s="259">
        <v>0.164225652000395</v>
      </c>
      <c r="I534" s="259">
        <v>0.212499052944829</v>
      </c>
      <c r="J534" s="259">
        <v>0.998871158841025</v>
      </c>
      <c r="K534" s="259">
        <v>0.000515196323173588</v>
      </c>
      <c r="L534" s="259">
        <v>0.00343748131732632</v>
      </c>
      <c r="M534" s="259">
        <v>0.00028834188293287</v>
      </c>
      <c r="N534" s="259">
        <v>0.011088585896568</v>
      </c>
      <c r="O534" s="259">
        <v>1.41409373006029</v>
      </c>
      <c r="P534" s="259">
        <v>1.12974118327118</v>
      </c>
      <c r="Q534" s="259">
        <v>-0.126378819820552</v>
      </c>
      <c r="R534" s="259">
        <v>0.496910592619627</v>
      </c>
      <c r="S534" s="259">
        <v>0.00515608798510198</v>
      </c>
      <c r="T534" s="259">
        <v>0</v>
      </c>
      <c r="U534" s="259">
        <v>0</v>
      </c>
      <c r="V534" s="259">
        <v>0</v>
      </c>
      <c r="W534" s="259"/>
      <c r="X534" s="119"/>
      <c r="Y534" s="258"/>
      <c r="Z534" s="258"/>
      <c r="AA534" s="258"/>
      <c r="AB534" s="258"/>
      <c r="AC534" s="258"/>
      <c r="AD534" s="260"/>
      <c r="AE534" s="261"/>
    </row>
    <row r="535" ht="21.25" customHeight="1">
      <c r="A535" t="s" s="10">
        <v>742</v>
      </c>
      <c r="B535" t="s" s="256">
        <v>944</v>
      </c>
      <c r="C535" s="257">
        <v>33</v>
      </c>
      <c r="D535" t="s" s="256">
        <v>918</v>
      </c>
      <c r="E535" s="119">
        <v>77.9375</v>
      </c>
      <c r="F535" s="258">
        <v>16.9117603920745</v>
      </c>
      <c r="G535" s="259">
        <v>0.0320542364495019</v>
      </c>
      <c r="H535" s="259">
        <v>0.177240032590467</v>
      </c>
      <c r="I535" s="259">
        <v>0.209294269039969</v>
      </c>
      <c r="J535" s="259">
        <v>0.967857537367448</v>
      </c>
      <c r="K535" s="259">
        <v>0.000188025066097388</v>
      </c>
      <c r="L535" s="259">
        <v>0.00174494417951185</v>
      </c>
      <c r="M535" s="259">
        <v>0.000334117387377259</v>
      </c>
      <c r="N535" s="259">
        <v>0.008439097354970809</v>
      </c>
      <c r="O535" s="259">
        <v>1.52309152943793</v>
      </c>
      <c r="P535" s="259">
        <v>0.544630777985876</v>
      </c>
      <c r="Q535" s="259">
        <v>-0.0120255634166069</v>
      </c>
      <c r="R535" s="259">
        <v>0.289136294460435</v>
      </c>
      <c r="S535" s="259">
        <v>0.00454889795313274</v>
      </c>
      <c r="T535" s="259">
        <v>0</v>
      </c>
      <c r="U535" s="259">
        <v>0</v>
      </c>
      <c r="V535" s="259">
        <v>0</v>
      </c>
      <c r="W535" s="259"/>
      <c r="X535" s="119"/>
      <c r="Y535" s="258"/>
      <c r="Z535" s="258"/>
      <c r="AA535" s="258"/>
      <c r="AB535" s="258"/>
      <c r="AC535" s="258"/>
      <c r="AD535" s="260"/>
      <c r="AE535" s="261"/>
    </row>
    <row r="536" ht="21.25" customHeight="1">
      <c r="A536" t="s" s="10">
        <v>785</v>
      </c>
      <c r="B536" t="s" s="256">
        <v>948</v>
      </c>
      <c r="C536" s="257">
        <v>24</v>
      </c>
      <c r="D536" t="s" s="256">
        <v>918</v>
      </c>
      <c r="E536" s="119">
        <v>64.185</v>
      </c>
      <c r="F536" s="258">
        <v>16.4893215651033</v>
      </c>
      <c r="G536" s="259">
        <v>0.0374473615329442</v>
      </c>
      <c r="H536" s="259">
        <v>0.171174157976496</v>
      </c>
      <c r="I536" s="259">
        <v>0.20862151950944</v>
      </c>
      <c r="J536" s="259">
        <v>0.856221734168237</v>
      </c>
      <c r="K536" s="259">
        <v>0.000245201008338725</v>
      </c>
      <c r="L536" s="259">
        <v>0.00154659912321273</v>
      </c>
      <c r="M536" s="259">
        <v>0.000162345971190933</v>
      </c>
      <c r="N536" s="259">
        <v>0.000791449957087229</v>
      </c>
      <c r="O536" s="259">
        <v>1.45422061045148</v>
      </c>
      <c r="P536" s="259">
        <v>1.20647192435581</v>
      </c>
      <c r="Q536" s="259">
        <v>-0.0510726049669773</v>
      </c>
      <c r="R536" s="259">
        <v>0.354411252632332</v>
      </c>
      <c r="S536" s="259">
        <v>0.00450844113989616</v>
      </c>
      <c r="T536" s="259">
        <v>0</v>
      </c>
      <c r="U536" s="259">
        <v>0</v>
      </c>
      <c r="V536" s="259">
        <v>0</v>
      </c>
      <c r="W536" s="259"/>
      <c r="X536" s="119"/>
      <c r="Y536" s="258"/>
      <c r="Z536" s="258"/>
      <c r="AA536" s="258"/>
      <c r="AB536" s="258"/>
      <c r="AC536" s="258"/>
      <c r="AD536" s="260"/>
      <c r="AE536" s="261"/>
    </row>
    <row r="537" ht="21.25" customHeight="1">
      <c r="A537" t="s" s="10">
        <v>686</v>
      </c>
      <c r="B537" t="s" s="256">
        <v>958</v>
      </c>
      <c r="C537" s="257">
        <v>32</v>
      </c>
      <c r="D537" t="s" s="256">
        <v>918</v>
      </c>
      <c r="E537" s="119">
        <v>81.075</v>
      </c>
      <c r="F537" s="258">
        <v>17.6396054296744</v>
      </c>
      <c r="G537" s="259">
        <v>0.0338257159115512</v>
      </c>
      <c r="H537" s="259">
        <v>0.174196569738226</v>
      </c>
      <c r="I537" s="259">
        <v>0.208022285649777</v>
      </c>
      <c r="J537" s="259">
        <v>0.862872424805021</v>
      </c>
      <c r="K537" s="259">
        <v>0.000436149371879453</v>
      </c>
      <c r="L537" s="259">
        <v>0.00303285471898548</v>
      </c>
      <c r="M537" s="259">
        <v>0.000281896938151254</v>
      </c>
      <c r="N537" s="259">
        <v>0.00701831962032824</v>
      </c>
      <c r="O537" s="259">
        <v>1.2849559068673</v>
      </c>
      <c r="P537" s="259">
        <v>1.11082450530114</v>
      </c>
      <c r="Q537" s="259">
        <v>-0.0116529504237322</v>
      </c>
      <c r="R537" s="259">
        <v>0.271311039000028</v>
      </c>
      <c r="S537" s="259">
        <v>0.00394271020241893</v>
      </c>
      <c r="T537" s="259">
        <v>0</v>
      </c>
      <c r="U537" s="259">
        <v>0</v>
      </c>
      <c r="V537" s="259">
        <v>0</v>
      </c>
      <c r="W537" s="259"/>
      <c r="X537" s="119"/>
      <c r="Y537" s="258"/>
      <c r="Z537" s="258"/>
      <c r="AA537" s="258"/>
      <c r="AB537" s="258"/>
      <c r="AC537" s="258"/>
      <c r="AD537" s="260"/>
      <c r="AE537" s="261"/>
    </row>
    <row r="538" ht="21.25" customHeight="1">
      <c r="A538" t="s" s="10">
        <v>729</v>
      </c>
      <c r="B538" t="s" s="256">
        <v>928</v>
      </c>
      <c r="C538" s="257">
        <v>23</v>
      </c>
      <c r="D538" t="s" s="256">
        <v>915</v>
      </c>
      <c r="E538" s="119">
        <v>69.58</v>
      </c>
      <c r="F538" s="258">
        <v>10.2468690983021</v>
      </c>
      <c r="G538" s="259">
        <v>0.118654367563948</v>
      </c>
      <c r="H538" s="259">
        <v>0.088838544617351</v>
      </c>
      <c r="I538" s="259">
        <v>0.207492912181299</v>
      </c>
      <c r="J538" s="259">
        <v>0.799294378976189</v>
      </c>
      <c r="K538" s="259">
        <v>0.000244260710993118</v>
      </c>
      <c r="L538" s="259">
        <v>0.000573852024711484</v>
      </c>
      <c r="M538" s="259">
        <v>0.00255275482147373</v>
      </c>
      <c r="N538" s="259">
        <v>0.00439365895855012</v>
      </c>
      <c r="O538" s="259">
        <v>0.568395067009001</v>
      </c>
      <c r="P538" s="259">
        <v>1.87784624759611</v>
      </c>
      <c r="Q538" s="259">
        <v>0.0119734571518912</v>
      </c>
      <c r="R538" s="259">
        <v>0.350470736614917</v>
      </c>
      <c r="S538" s="259">
        <v>0.0184808589011643</v>
      </c>
      <c r="T538" s="259">
        <v>5.06380041604633</v>
      </c>
      <c r="U538" s="259">
        <v>4.21055932030225</v>
      </c>
      <c r="V538" s="259">
        <v>0.546</v>
      </c>
      <c r="W538" s="259"/>
      <c r="X538" s="119"/>
      <c r="Y538" s="258"/>
      <c r="Z538" s="258"/>
      <c r="AA538" s="258"/>
      <c r="AB538" s="258"/>
      <c r="AC538" s="258"/>
      <c r="AD538" s="260"/>
      <c r="AE538" s="261"/>
    </row>
    <row r="539" ht="21.25" customHeight="1">
      <c r="A539" t="s" s="10">
        <v>485</v>
      </c>
      <c r="B539" t="s" s="256">
        <v>928</v>
      </c>
      <c r="C539" s="257">
        <v>27</v>
      </c>
      <c r="D539" t="s" s="256">
        <v>918</v>
      </c>
      <c r="E539" s="119">
        <v>79.7025</v>
      </c>
      <c r="F539" s="258">
        <v>19.4083744626821</v>
      </c>
      <c r="G539" s="259">
        <v>0.0531859471306373</v>
      </c>
      <c r="H539" s="259">
        <v>0.153749606352697</v>
      </c>
      <c r="I539" s="259">
        <v>0.206935553483334</v>
      </c>
      <c r="J539" s="259">
        <v>1.16795783426982</v>
      </c>
      <c r="K539" s="259">
        <v>0.000249221414002144</v>
      </c>
      <c r="L539" s="259">
        <v>0.00199652210047806</v>
      </c>
      <c r="M539" s="259">
        <v>0.00198459280004894</v>
      </c>
      <c r="N539" s="259">
        <v>0.00302813651714121</v>
      </c>
      <c r="O539" s="259">
        <v>1.69134012554301</v>
      </c>
      <c r="P539" s="259">
        <v>1.77395466972441</v>
      </c>
      <c r="Q539" s="259">
        <v>0.0365162546446143</v>
      </c>
      <c r="R539" s="259">
        <v>0.490824589967693</v>
      </c>
      <c r="S539" s="259">
        <v>0.008283909009218309</v>
      </c>
      <c r="T539" s="259">
        <v>0</v>
      </c>
      <c r="U539" s="259">
        <v>0</v>
      </c>
      <c r="V539" s="259">
        <v>0</v>
      </c>
      <c r="W539" s="259"/>
      <c r="X539" s="119"/>
      <c r="Y539" s="258"/>
      <c r="Z539" s="258"/>
      <c r="AA539" s="258"/>
      <c r="AB539" s="258"/>
      <c r="AC539" s="258"/>
      <c r="AD539" s="260"/>
      <c r="AE539" s="261"/>
    </row>
    <row r="540" ht="21.25" customHeight="1">
      <c r="A540" t="s" s="10">
        <v>726</v>
      </c>
      <c r="B540" t="s" s="256">
        <v>934</v>
      </c>
      <c r="C540" s="257">
        <v>28</v>
      </c>
      <c r="D540" t="s" s="256">
        <v>917</v>
      </c>
      <c r="E540" s="119">
        <v>73.33750000000001</v>
      </c>
      <c r="F540" s="258">
        <v>10.8976601456755</v>
      </c>
      <c r="G540" s="259">
        <v>0.081022158505911</v>
      </c>
      <c r="H540" s="259">
        <v>0.125435078771131</v>
      </c>
      <c r="I540" s="259">
        <v>0.206457237277042</v>
      </c>
      <c r="J540" s="259">
        <v>1.0080959638861</v>
      </c>
      <c r="K540" s="259">
        <v>0.000679764142640603</v>
      </c>
      <c r="L540" s="259">
        <v>0.00159982436774217</v>
      </c>
      <c r="M540" s="259">
        <v>0.0007658537364887</v>
      </c>
      <c r="N540" s="259">
        <v>0.00132047696007155</v>
      </c>
      <c r="O540" s="259">
        <v>0.35453060572252</v>
      </c>
      <c r="P540" s="259">
        <v>2.15121569686407</v>
      </c>
      <c r="Q540" s="259">
        <v>-0.0193007570482983</v>
      </c>
      <c r="R540" s="259">
        <v>0.467788114952036</v>
      </c>
      <c r="S540" s="259">
        <v>0.0114610247468112</v>
      </c>
      <c r="T540" s="259">
        <v>0.0861522918617664</v>
      </c>
      <c r="U540" s="259">
        <v>0.166850753393498</v>
      </c>
      <c r="V540" s="259">
        <v>0.340518794051842</v>
      </c>
      <c r="W540" s="259"/>
      <c r="X540" s="119"/>
      <c r="Y540" s="258"/>
      <c r="Z540" s="258"/>
      <c r="AA540" s="258"/>
      <c r="AB540" s="258"/>
      <c r="AC540" s="258"/>
      <c r="AD540" s="260"/>
      <c r="AE540" s="261"/>
    </row>
    <row r="541" ht="21.25" customHeight="1">
      <c r="A541" t="s" s="10">
        <v>653</v>
      </c>
      <c r="B541" t="s" s="256">
        <v>940</v>
      </c>
      <c r="C541" s="257">
        <v>24</v>
      </c>
      <c r="D541" t="s" s="256">
        <v>918</v>
      </c>
      <c r="E541" s="119">
        <v>70.4175</v>
      </c>
      <c r="F541" s="258">
        <v>16.8806776094541</v>
      </c>
      <c r="G541" s="259">
        <v>0.0500655345238193</v>
      </c>
      <c r="H541" s="259">
        <v>0.155833246363978</v>
      </c>
      <c r="I541" s="259">
        <v>0.205898780887797</v>
      </c>
      <c r="J541" s="259">
        <v>0.870475893965547</v>
      </c>
      <c r="K541" s="259">
        <v>0.000342205099078796</v>
      </c>
      <c r="L541" s="259">
        <v>0.0021894753524853</v>
      </c>
      <c r="M541" s="259">
        <v>0.000478288318124506</v>
      </c>
      <c r="N541" s="259">
        <v>0.0112742852526976</v>
      </c>
      <c r="O541" s="259">
        <v>1.96802644340005</v>
      </c>
      <c r="P541" s="259">
        <v>1.07101342698996</v>
      </c>
      <c r="Q541" s="259">
        <v>-0.0329145257444052</v>
      </c>
      <c r="R541" s="259">
        <v>0.418305927317393</v>
      </c>
      <c r="S541" s="259">
        <v>0.00777338713073273</v>
      </c>
      <c r="T541" s="259">
        <v>0</v>
      </c>
      <c r="U541" s="259">
        <v>0</v>
      </c>
      <c r="V541" s="259">
        <v>0</v>
      </c>
      <c r="W541" s="259"/>
      <c r="X541" s="119"/>
      <c r="Y541" s="258"/>
      <c r="Z541" s="258"/>
      <c r="AA541" s="258"/>
      <c r="AB541" s="258"/>
      <c r="AC541" s="258"/>
      <c r="AD541" s="260"/>
      <c r="AE541" s="261"/>
    </row>
    <row r="542" ht="21.25" customHeight="1">
      <c r="A542" t="s" s="10">
        <v>682</v>
      </c>
      <c r="B542" t="s" s="256">
        <v>924</v>
      </c>
      <c r="C542" s="257">
        <v>30</v>
      </c>
      <c r="D542" t="s" s="256">
        <v>918</v>
      </c>
      <c r="E542" s="119">
        <v>81.23</v>
      </c>
      <c r="F542" s="258">
        <v>15.8793733742738</v>
      </c>
      <c r="G542" s="259">
        <v>0.0391197148698052</v>
      </c>
      <c r="H542" s="259">
        <v>0.166532454095451</v>
      </c>
      <c r="I542" s="259">
        <v>0.205652168965256</v>
      </c>
      <c r="J542" s="259">
        <v>1.13620320585995</v>
      </c>
      <c r="K542" s="259">
        <v>0.00022796983622066</v>
      </c>
      <c r="L542" s="259">
        <v>0.00221778834888679</v>
      </c>
      <c r="M542" s="259">
        <v>0.000285788480069938</v>
      </c>
      <c r="N542" s="259">
        <v>0.00965420453091265</v>
      </c>
      <c r="O542" s="259">
        <v>1.16500963160789</v>
      </c>
      <c r="P542" s="259">
        <v>1.12763583224955</v>
      </c>
      <c r="Q542" s="259">
        <v>0.077830510369904</v>
      </c>
      <c r="R542" s="259">
        <v>0.443515740195166</v>
      </c>
      <c r="S542" s="259">
        <v>0.00631686212035891</v>
      </c>
      <c r="T542" s="259">
        <v>0</v>
      </c>
      <c r="U542" s="259">
        <v>0</v>
      </c>
      <c r="V542" s="259">
        <v>0</v>
      </c>
      <c r="W542" s="259"/>
      <c r="X542" s="119"/>
      <c r="Y542" s="258"/>
      <c r="Z542" s="258"/>
      <c r="AA542" s="258"/>
      <c r="AB542" s="258"/>
      <c r="AC542" s="258"/>
      <c r="AD542" s="260"/>
      <c r="AE542" s="261"/>
    </row>
    <row r="543" ht="21.25" customHeight="1">
      <c r="A543" t="s" s="10">
        <v>616</v>
      </c>
      <c r="B543" t="s" s="256">
        <v>929</v>
      </c>
      <c r="C543" s="257">
        <v>27</v>
      </c>
      <c r="D543" t="s" s="256">
        <v>918</v>
      </c>
      <c r="E543" s="119">
        <v>76.11750000000001</v>
      </c>
      <c r="F543" s="258">
        <v>18.6329951609627</v>
      </c>
      <c r="G543" s="259">
        <v>0.0286054642645761</v>
      </c>
      <c r="H543" s="259">
        <v>0.176108602147884</v>
      </c>
      <c r="I543" s="259">
        <v>0.20471406641246</v>
      </c>
      <c r="J543" s="259">
        <v>1.05201168978616</v>
      </c>
      <c r="K543" s="259">
        <v>0.000928463297275145</v>
      </c>
      <c r="L543" s="259">
        <v>0.0026215536287681</v>
      </c>
      <c r="M543" s="259">
        <v>0.000386349875770071</v>
      </c>
      <c r="N543" s="259">
        <v>0.00389710789145991</v>
      </c>
      <c r="O543" s="259">
        <v>1.66101666855209</v>
      </c>
      <c r="P543" s="259">
        <v>1.37051451074398</v>
      </c>
      <c r="Q543" s="259">
        <v>0.0287746688381249</v>
      </c>
      <c r="R543" s="259">
        <v>0.457921146487743</v>
      </c>
      <c r="S543" s="259">
        <v>0.00431588721077951</v>
      </c>
      <c r="T543" s="259">
        <v>0</v>
      </c>
      <c r="U543" s="259">
        <v>0</v>
      </c>
      <c r="V543" s="259">
        <v>0</v>
      </c>
      <c r="W543" s="259"/>
      <c r="X543" s="119"/>
      <c r="Y543" s="258"/>
      <c r="Z543" s="258"/>
      <c r="AA543" s="258"/>
      <c r="AB543" s="258"/>
      <c r="AC543" s="258"/>
      <c r="AD543" s="260"/>
      <c r="AE543" s="261"/>
    </row>
    <row r="544" ht="21.25" customHeight="1">
      <c r="A544" t="s" s="10">
        <v>656</v>
      </c>
      <c r="B544" t="s" s="256">
        <v>928</v>
      </c>
      <c r="C544" s="257">
        <v>25</v>
      </c>
      <c r="D544" t="s" s="256">
        <v>915</v>
      </c>
      <c r="E544" s="119">
        <v>69.72</v>
      </c>
      <c r="F544" s="258">
        <v>9.86079460572906</v>
      </c>
      <c r="G544" s="259">
        <v>0.104896180110794</v>
      </c>
      <c r="H544" s="259">
        <v>0.0988286895260308</v>
      </c>
      <c r="I544" s="259">
        <v>0.203724869636825</v>
      </c>
      <c r="J544" s="259">
        <v>1.1806798784973</v>
      </c>
      <c r="K544" s="259">
        <v>0.000751001142364819</v>
      </c>
      <c r="L544" s="259">
        <v>0.00174706431376163</v>
      </c>
      <c r="M544" s="259">
        <v>0.000497504043778525</v>
      </c>
      <c r="N544" s="259">
        <v>0.000847882842479025</v>
      </c>
      <c r="O544" s="259">
        <v>0.57694308731794</v>
      </c>
      <c r="P544" s="259">
        <v>2.32260285535448</v>
      </c>
      <c r="Q544" s="259">
        <v>-0.0120920942704705</v>
      </c>
      <c r="R544" s="259">
        <v>0.792680755170003</v>
      </c>
      <c r="S544" s="259">
        <v>0.0163379700528421</v>
      </c>
      <c r="T544" s="259">
        <v>4.28921380253461</v>
      </c>
      <c r="U544" s="259">
        <v>3.38798702157743</v>
      </c>
      <c r="V544" s="259">
        <v>0.558695011476492</v>
      </c>
      <c r="W544" s="259"/>
      <c r="X544" s="119"/>
      <c r="Y544" s="258"/>
      <c r="Z544" s="258"/>
      <c r="AA544" s="258"/>
      <c r="AB544" s="258"/>
      <c r="AC544" s="258"/>
      <c r="AD544" s="260"/>
      <c r="AE544" s="261"/>
    </row>
    <row r="545" ht="21.25" customHeight="1">
      <c r="A545" t="s" s="10">
        <v>561</v>
      </c>
      <c r="B545" t="s" s="256">
        <v>956</v>
      </c>
      <c r="C545" s="257">
        <v>29</v>
      </c>
      <c r="D545" t="s" s="256">
        <v>918</v>
      </c>
      <c r="E545" s="119">
        <v>70.2775</v>
      </c>
      <c r="F545" s="258">
        <v>18.2634041921264</v>
      </c>
      <c r="G545" s="259">
        <v>0.0314234604723099</v>
      </c>
      <c r="H545" s="259">
        <v>0.171087218364282</v>
      </c>
      <c r="I545" s="259">
        <v>0.202510678836592</v>
      </c>
      <c r="J545" s="259">
        <v>1.24128041191707</v>
      </c>
      <c r="K545" s="259">
        <v>0.00178699607565852</v>
      </c>
      <c r="L545" s="259">
        <v>0.0112958123285296</v>
      </c>
      <c r="M545" s="259">
        <v>0.00438069105829195</v>
      </c>
      <c r="N545" s="259">
        <v>0.0147025988799392</v>
      </c>
      <c r="O545" s="259">
        <v>1.68197439579648</v>
      </c>
      <c r="P545" s="259">
        <v>1.97404649363123</v>
      </c>
      <c r="Q545" s="259">
        <v>-0.0318258394527191</v>
      </c>
      <c r="R545" s="259">
        <v>0.422058397568883</v>
      </c>
      <c r="S545" s="259">
        <v>0.00455481573233786</v>
      </c>
      <c r="T545" s="259">
        <v>0</v>
      </c>
      <c r="U545" s="259">
        <v>0</v>
      </c>
      <c r="V545" s="259">
        <v>0</v>
      </c>
      <c r="W545" s="259"/>
      <c r="X545" s="119"/>
      <c r="Y545" s="258"/>
      <c r="Z545" s="258"/>
      <c r="AA545" s="258"/>
      <c r="AB545" s="258"/>
      <c r="AC545" s="258"/>
      <c r="AD545" s="260"/>
      <c r="AE545" s="261"/>
    </row>
    <row r="546" ht="21.25" customHeight="1">
      <c r="A546" t="s" s="10">
        <v>767</v>
      </c>
      <c r="B546" t="s" s="256">
        <v>928</v>
      </c>
      <c r="C546" s="257">
        <v>27</v>
      </c>
      <c r="D546" t="s" s="256">
        <v>918</v>
      </c>
      <c r="E546" s="119">
        <v>61.0275</v>
      </c>
      <c r="F546" s="258">
        <v>16.7600869781174</v>
      </c>
      <c r="G546" s="259">
        <v>0.0221443660336773</v>
      </c>
      <c r="H546" s="259">
        <v>0.180229883867558</v>
      </c>
      <c r="I546" s="259">
        <v>0.202374249901235</v>
      </c>
      <c r="J546" s="259">
        <v>0.867593245049128</v>
      </c>
      <c r="K546" s="259">
        <v>0.000333980583931282</v>
      </c>
      <c r="L546" s="259">
        <v>0.00215771742412938</v>
      </c>
      <c r="M546" s="259">
        <v>0.000366090471193937</v>
      </c>
      <c r="N546" s="259">
        <v>0.0018280505901247</v>
      </c>
      <c r="O546" s="259">
        <v>1.3935506835963</v>
      </c>
      <c r="P546" s="259">
        <v>1.69502915880552</v>
      </c>
      <c r="Q546" s="259">
        <v>0.0339082308704534</v>
      </c>
      <c r="R546" s="259">
        <v>0.565187599126569</v>
      </c>
      <c r="S546" s="259">
        <v>0.00344906734177791</v>
      </c>
      <c r="T546" s="259">
        <v>0</v>
      </c>
      <c r="U546" s="259">
        <v>0</v>
      </c>
      <c r="V546" s="259">
        <v>0</v>
      </c>
      <c r="W546" s="259"/>
      <c r="X546" s="119"/>
      <c r="Y546" s="258"/>
      <c r="Z546" s="258"/>
      <c r="AA546" s="258"/>
      <c r="AB546" s="258"/>
      <c r="AC546" s="258"/>
      <c r="AD546" s="260"/>
      <c r="AE546" s="261"/>
    </row>
    <row r="547" ht="21.25" customHeight="1">
      <c r="A547" t="s" s="10">
        <v>756</v>
      </c>
      <c r="B547" t="s" s="256">
        <v>927</v>
      </c>
      <c r="C547" s="257">
        <v>30</v>
      </c>
      <c r="D547" t="s" s="256">
        <v>916</v>
      </c>
      <c r="E547" s="119">
        <v>75.7825</v>
      </c>
      <c r="F547" s="258">
        <v>10.8116502399899</v>
      </c>
      <c r="G547" s="259">
        <v>0.108844057803576</v>
      </c>
      <c r="H547" s="259">
        <v>0.09346961128986581</v>
      </c>
      <c r="I547" s="259">
        <v>0.202313669093442</v>
      </c>
      <c r="J547" s="259">
        <v>1.09234156415557</v>
      </c>
      <c r="K547" s="259">
        <v>0.00086827705811333</v>
      </c>
      <c r="L547" s="259">
        <v>0.00201504022679331</v>
      </c>
      <c r="M547" s="259">
        <v>0.00105001244763647</v>
      </c>
      <c r="N547" s="259">
        <v>0.00177575639285908</v>
      </c>
      <c r="O547" s="259">
        <v>0.496438712525707</v>
      </c>
      <c r="P547" s="259">
        <v>1.59528455808171</v>
      </c>
      <c r="Q547" s="259">
        <v>-0.0204549335782334</v>
      </c>
      <c r="R547" s="259">
        <v>0.261829027439063</v>
      </c>
      <c r="S547" s="259">
        <v>0.0171496462904292</v>
      </c>
      <c r="T547" s="259">
        <v>1.34970150218886</v>
      </c>
      <c r="U547" s="259">
        <v>1.50627017646564</v>
      </c>
      <c r="V547" s="259">
        <v>0.472589245991657</v>
      </c>
      <c r="W547" s="259"/>
      <c r="X547" s="119"/>
      <c r="Y547" s="258"/>
      <c r="Z547" s="258"/>
      <c r="AA547" s="258"/>
      <c r="AB547" s="258"/>
      <c r="AC547" s="258"/>
      <c r="AD547" s="260"/>
      <c r="AE547" s="261"/>
    </row>
    <row r="548" ht="21.25" customHeight="1">
      <c r="A548" t="s" s="10">
        <v>750</v>
      </c>
      <c r="B548" t="s" s="256">
        <v>932</v>
      </c>
      <c r="C548" s="257">
        <v>33</v>
      </c>
      <c r="D548" t="s" s="256">
        <v>918</v>
      </c>
      <c r="E548" s="119">
        <v>76.645</v>
      </c>
      <c r="F548" s="258">
        <v>15.8475305289352</v>
      </c>
      <c r="G548" s="259">
        <v>0.0395750170650917</v>
      </c>
      <c r="H548" s="259">
        <v>0.162107109985543</v>
      </c>
      <c r="I548" s="259">
        <v>0.201682127050635</v>
      </c>
      <c r="J548" s="259">
        <v>1.07294700715515</v>
      </c>
      <c r="K548" s="259">
        <v>0.00476732518343013</v>
      </c>
      <c r="L548" s="259">
        <v>0.022896431033973</v>
      </c>
      <c r="M548" s="259">
        <v>0.000221422538918443</v>
      </c>
      <c r="N548" s="259">
        <v>0.00265850521566874</v>
      </c>
      <c r="O548" s="259">
        <v>1.19146323774271</v>
      </c>
      <c r="P548" s="259">
        <v>0.967091993131148</v>
      </c>
      <c r="Q548" s="259">
        <v>0.0371008437503405</v>
      </c>
      <c r="R548" s="259">
        <v>0.203040305058507</v>
      </c>
      <c r="S548" s="259">
        <v>0.00674206839371755</v>
      </c>
      <c r="T548" s="259">
        <v>0</v>
      </c>
      <c r="U548" s="259">
        <v>0</v>
      </c>
      <c r="V548" s="259">
        <v>0</v>
      </c>
      <c r="W548" s="259"/>
      <c r="X548" s="119"/>
      <c r="Y548" s="258"/>
      <c r="Z548" s="258"/>
      <c r="AA548" s="258"/>
      <c r="AB548" s="258"/>
      <c r="AC548" s="258"/>
      <c r="AD548" s="260"/>
      <c r="AE548" s="261"/>
    </row>
    <row r="549" ht="21.25" customHeight="1">
      <c r="A549" t="s" s="10">
        <v>605</v>
      </c>
      <c r="B549" t="s" s="256">
        <v>936</v>
      </c>
      <c r="C549" s="257">
        <v>31</v>
      </c>
      <c r="D549" t="s" s="256">
        <v>918</v>
      </c>
      <c r="E549" s="119">
        <v>72.6525</v>
      </c>
      <c r="F549" s="258">
        <v>17.563462996171</v>
      </c>
      <c r="G549" s="259">
        <v>0.0372271721209436</v>
      </c>
      <c r="H549" s="259">
        <v>0.164222270482009</v>
      </c>
      <c r="I549" s="259">
        <v>0.201449442602953</v>
      </c>
      <c r="J549" s="259">
        <v>0.990610671235482</v>
      </c>
      <c r="K549" s="259">
        <v>0.000128805045854055</v>
      </c>
      <c r="L549" s="259">
        <v>0.000869517304073477</v>
      </c>
      <c r="M549" s="259">
        <v>0.000394027945324075</v>
      </c>
      <c r="N549" s="259">
        <v>0.00413082767459626</v>
      </c>
      <c r="O549" s="259">
        <v>1.93247153563737</v>
      </c>
      <c r="P549" s="259">
        <v>1.34596559049423</v>
      </c>
      <c r="Q549" s="259">
        <v>0.010278359864099</v>
      </c>
      <c r="R549" s="259">
        <v>0.630584300562033</v>
      </c>
      <c r="S549" s="259">
        <v>0.00585058284475264</v>
      </c>
      <c r="T549" s="259">
        <v>0</v>
      </c>
      <c r="U549" s="259">
        <v>0</v>
      </c>
      <c r="V549" s="259">
        <v>0</v>
      </c>
      <c r="W549" s="259"/>
      <c r="X549" s="119"/>
      <c r="Y549" s="258"/>
      <c r="Z549" s="258"/>
      <c r="AA549" s="258"/>
      <c r="AB549" s="258"/>
      <c r="AC549" s="258"/>
      <c r="AD549" s="260"/>
      <c r="AE549" s="261"/>
    </row>
    <row r="550" ht="21.25" customHeight="1">
      <c r="A550" t="s" s="10">
        <v>397</v>
      </c>
      <c r="B550" t="s" s="256">
        <v>956</v>
      </c>
      <c r="C550" s="257">
        <v>32</v>
      </c>
      <c r="D550" t="s" s="256">
        <v>917</v>
      </c>
      <c r="E550" s="119">
        <v>81.705</v>
      </c>
      <c r="F550" s="258">
        <v>11.4962450614894</v>
      </c>
      <c r="G550" s="259">
        <v>0.0962703573907199</v>
      </c>
      <c r="H550" s="259">
        <v>0.104881146245444</v>
      </c>
      <c r="I550" s="259">
        <v>0.201151503636164</v>
      </c>
      <c r="J550" s="259">
        <v>1.14298103865485</v>
      </c>
      <c r="K550" s="259">
        <v>0.000706877256831696</v>
      </c>
      <c r="L550" s="259">
        <v>0.00165051142473911</v>
      </c>
      <c r="M550" s="259">
        <v>0.00619605550192333</v>
      </c>
      <c r="N550" s="259">
        <v>0.0221094003811116</v>
      </c>
      <c r="O550" s="259">
        <v>0.8154961305050999</v>
      </c>
      <c r="P550" s="259">
        <v>3.14405066738343</v>
      </c>
      <c r="Q550" s="259">
        <v>-0.0248303623036226</v>
      </c>
      <c r="R550" s="259">
        <v>0.633574464444404</v>
      </c>
      <c r="S550" s="259">
        <v>0.0139543427684369</v>
      </c>
      <c r="T550" s="259">
        <v>0.1472077174391</v>
      </c>
      <c r="U550" s="259">
        <v>0.184055295076274</v>
      </c>
      <c r="V550" s="259">
        <v>0.444383199685683</v>
      </c>
      <c r="W550" s="259"/>
      <c r="X550" s="119"/>
      <c r="Y550" s="258"/>
      <c r="Z550" s="258"/>
      <c r="AA550" s="258"/>
      <c r="AB550" s="258"/>
      <c r="AC550" s="258"/>
      <c r="AD550" s="260"/>
      <c r="AE550" s="261"/>
    </row>
    <row r="551" ht="21.25" customHeight="1">
      <c r="A551" t="s" s="10">
        <v>610</v>
      </c>
      <c r="B551" t="s" s="256">
        <v>945</v>
      </c>
      <c r="C551" s="257">
        <v>24</v>
      </c>
      <c r="D551" t="s" s="256">
        <v>918</v>
      </c>
      <c r="E551" s="119">
        <v>75.28</v>
      </c>
      <c r="F551" s="258">
        <v>18.682135522211</v>
      </c>
      <c r="G551" s="259">
        <v>0.0343827720086311</v>
      </c>
      <c r="H551" s="259">
        <v>0.165173629163342</v>
      </c>
      <c r="I551" s="259">
        <v>0.199556401171973</v>
      </c>
      <c r="J551" s="259">
        <v>0.89114546426608</v>
      </c>
      <c r="K551" s="259">
        <v>0.000334267557332108</v>
      </c>
      <c r="L551" s="259">
        <v>0.00210283560869439</v>
      </c>
      <c r="M551" s="259">
        <v>0.0006021331525185839</v>
      </c>
      <c r="N551" s="259">
        <v>0.00253506305505823</v>
      </c>
      <c r="O551" s="259">
        <v>1.42489491243765</v>
      </c>
      <c r="P551" s="259">
        <v>1.83897922625654</v>
      </c>
      <c r="Q551" s="259">
        <v>0.0349974138969189</v>
      </c>
      <c r="R551" s="259">
        <v>0.766718593266652</v>
      </c>
      <c r="S551" s="259">
        <v>0.00499525902743231</v>
      </c>
      <c r="T551" s="259">
        <v>0</v>
      </c>
      <c r="U551" s="259">
        <v>0</v>
      </c>
      <c r="V551" s="259">
        <v>0</v>
      </c>
      <c r="W551" s="259"/>
      <c r="X551" s="119"/>
      <c r="Y551" s="258"/>
      <c r="Z551" s="258"/>
      <c r="AA551" s="258"/>
      <c r="AB551" s="258"/>
      <c r="AC551" s="258"/>
      <c r="AD551" s="260"/>
      <c r="AE551" s="261"/>
    </row>
    <row r="552" ht="21.25" customHeight="1">
      <c r="A552" t="s" s="10">
        <v>825</v>
      </c>
      <c r="B552" t="s" s="256">
        <v>958</v>
      </c>
      <c r="C552" s="257">
        <v>30</v>
      </c>
      <c r="D552" t="s" s="256">
        <v>916</v>
      </c>
      <c r="E552" s="119">
        <v>68.9725</v>
      </c>
      <c r="F552" s="258">
        <v>11.3040279048369</v>
      </c>
      <c r="G552" s="259">
        <v>0.104515103353848</v>
      </c>
      <c r="H552" s="259">
        <v>0.0946118746675694</v>
      </c>
      <c r="I552" s="259">
        <v>0.199126978021417</v>
      </c>
      <c r="J552" s="259">
        <v>1.07236176195861</v>
      </c>
      <c r="K552" s="259">
        <v>0.0008785605380241341</v>
      </c>
      <c r="L552" s="259">
        <v>0.00203353374272651</v>
      </c>
      <c r="M552" s="259">
        <v>0.009636642189262939</v>
      </c>
      <c r="N552" s="259">
        <v>0.0113297798727681</v>
      </c>
      <c r="O552" s="259">
        <v>0.499025340221799</v>
      </c>
      <c r="P552" s="259">
        <v>1.29572289254817</v>
      </c>
      <c r="Q552" s="259">
        <v>-0.08921086492050991</v>
      </c>
      <c r="R552" s="259">
        <v>0.232332644966785</v>
      </c>
      <c r="S552" s="259">
        <v>0.012182233345115</v>
      </c>
      <c r="T552" s="259">
        <v>0.135867183437325</v>
      </c>
      <c r="U552" s="259">
        <v>0.271248553005483</v>
      </c>
      <c r="V552" s="259">
        <v>0.333731102178635</v>
      </c>
      <c r="W552" s="259"/>
      <c r="X552" s="119"/>
      <c r="Y552" s="258"/>
      <c r="Z552" s="258"/>
      <c r="AA552" s="258"/>
      <c r="AB552" s="258"/>
      <c r="AC552" s="258"/>
      <c r="AD552" s="260"/>
      <c r="AE552" s="261"/>
    </row>
    <row r="553" ht="21.25" customHeight="1">
      <c r="A553" t="s" s="10">
        <v>363</v>
      </c>
      <c r="B553" t="s" s="256">
        <v>956</v>
      </c>
      <c r="C553" s="257">
        <v>31</v>
      </c>
      <c r="D553" t="s" s="256">
        <v>918</v>
      </c>
      <c r="E553" s="119">
        <v>75.48999999999999</v>
      </c>
      <c r="F553" s="258">
        <v>18.0430272530889</v>
      </c>
      <c r="G553" s="259">
        <v>0.0351780593033576</v>
      </c>
      <c r="H553" s="259">
        <v>0.161851224230846</v>
      </c>
      <c r="I553" s="259">
        <v>0.197029283534204</v>
      </c>
      <c r="J553" s="259">
        <v>1.32978274337346</v>
      </c>
      <c r="K553" s="259">
        <v>0.000270733261663985</v>
      </c>
      <c r="L553" s="259">
        <v>0.00182836339314525</v>
      </c>
      <c r="M553" s="259">
        <v>0.00047033743593673</v>
      </c>
      <c r="N553" s="259">
        <v>0.0336962363980171</v>
      </c>
      <c r="O553" s="259">
        <v>2.57427622466684</v>
      </c>
      <c r="P553" s="259">
        <v>1.87803131608027</v>
      </c>
      <c r="Q553" s="259">
        <v>-0.0204093751655776</v>
      </c>
      <c r="R553" s="259">
        <v>0.7175223669126199</v>
      </c>
      <c r="S553" s="259">
        <v>0.00509904305699369</v>
      </c>
      <c r="T553" s="259">
        <v>0</v>
      </c>
      <c r="U553" s="259">
        <v>0</v>
      </c>
      <c r="V553" s="259">
        <v>0</v>
      </c>
      <c r="W553" s="259"/>
      <c r="X553" s="119"/>
      <c r="Y553" s="258"/>
      <c r="Z553" s="258"/>
      <c r="AA553" s="258"/>
      <c r="AB553" s="258"/>
      <c r="AC553" s="258"/>
      <c r="AD553" s="260"/>
      <c r="AE553" s="261"/>
    </row>
    <row r="554" ht="21.25" customHeight="1">
      <c r="A554" t="s" s="10">
        <v>486</v>
      </c>
      <c r="B554" t="s" s="256">
        <v>932</v>
      </c>
      <c r="C554" s="257">
        <v>28</v>
      </c>
      <c r="D554" t="s" s="256">
        <v>918</v>
      </c>
      <c r="E554" s="119">
        <v>79.0925</v>
      </c>
      <c r="F554" s="258">
        <v>19.6845485951981</v>
      </c>
      <c r="G554" s="259">
        <v>0.036795828254167</v>
      </c>
      <c r="H554" s="259">
        <v>0.15929159618849</v>
      </c>
      <c r="I554" s="259">
        <v>0.196087424442657</v>
      </c>
      <c r="J554" s="259">
        <v>1.09116700695166</v>
      </c>
      <c r="K554" s="259">
        <v>0.000294061589931553</v>
      </c>
      <c r="L554" s="259">
        <v>0.00192591943429751</v>
      </c>
      <c r="M554" s="259">
        <v>0.00215649543220938</v>
      </c>
      <c r="N554" s="259">
        <v>0.0088145420221417</v>
      </c>
      <c r="O554" s="259">
        <v>1.52338657417772</v>
      </c>
      <c r="P554" s="259">
        <v>2.09803445416023</v>
      </c>
      <c r="Q554" s="259">
        <v>0.0418989916506138</v>
      </c>
      <c r="R554" s="259">
        <v>0.7014471431696619</v>
      </c>
      <c r="S554" s="259">
        <v>0.00626860097836584</v>
      </c>
      <c r="T554" s="259">
        <v>0</v>
      </c>
      <c r="U554" s="259">
        <v>0</v>
      </c>
      <c r="V554" s="259">
        <v>0</v>
      </c>
      <c r="W554" s="259"/>
      <c r="X554" s="119"/>
      <c r="Y554" s="258"/>
      <c r="Z554" s="258"/>
      <c r="AA554" s="258"/>
      <c r="AB554" s="258"/>
      <c r="AC554" s="258"/>
      <c r="AD554" s="260"/>
      <c r="AE554" s="261"/>
    </row>
    <row r="555" ht="21.25" customHeight="1">
      <c r="A555" t="s" s="10">
        <v>791</v>
      </c>
      <c r="B555" t="s" s="256">
        <v>929</v>
      </c>
      <c r="C555" s="257">
        <v>27</v>
      </c>
      <c r="D555" t="s" s="256">
        <v>918</v>
      </c>
      <c r="E555" s="119">
        <v>69.99250000000001</v>
      </c>
      <c r="F555" s="258">
        <v>15.3083897912369</v>
      </c>
      <c r="G555" s="259">
        <v>0.0579839287230229</v>
      </c>
      <c r="H555" s="259">
        <v>0.137503020020103</v>
      </c>
      <c r="I555" s="259">
        <v>0.195486948743126</v>
      </c>
      <c r="J555" s="259">
        <v>0.895092517680546</v>
      </c>
      <c r="K555" s="259">
        <v>0.000227295212853311</v>
      </c>
      <c r="L555" s="259">
        <v>0.00145909378896989</v>
      </c>
      <c r="M555" s="259">
        <v>0.000191313358265673</v>
      </c>
      <c r="N555" s="259">
        <v>0.000949215128916959</v>
      </c>
      <c r="O555" s="259">
        <v>1.14208422152808</v>
      </c>
      <c r="P555" s="259">
        <v>1.17852167093971</v>
      </c>
      <c r="Q555" s="259">
        <v>-0.0418179369615256</v>
      </c>
      <c r="R555" s="259">
        <v>0.454689682151628</v>
      </c>
      <c r="S555" s="259">
        <v>0.00874840184699773</v>
      </c>
      <c r="T555" s="259">
        <v>0</v>
      </c>
      <c r="U555" s="259">
        <v>0</v>
      </c>
      <c r="V555" s="259">
        <v>0</v>
      </c>
      <c r="W555" s="259"/>
      <c r="X555" s="119"/>
      <c r="Y555" s="258"/>
      <c r="Z555" s="258"/>
      <c r="AA555" s="258"/>
      <c r="AB555" s="258"/>
      <c r="AC555" s="258"/>
      <c r="AD555" s="260"/>
      <c r="AE555" s="261"/>
    </row>
    <row r="556" ht="21.25" customHeight="1">
      <c r="A556" t="s" s="10">
        <v>721</v>
      </c>
      <c r="B556" t="s" s="256">
        <v>942</v>
      </c>
      <c r="C556" s="257">
        <v>29</v>
      </c>
      <c r="D556" t="s" s="256">
        <v>916</v>
      </c>
      <c r="E556" s="119">
        <v>74.57250000000001</v>
      </c>
      <c r="F556" s="258">
        <v>11.9836124511641</v>
      </c>
      <c r="G556" s="259">
        <v>0.0937263304534449</v>
      </c>
      <c r="H556" s="259">
        <v>0.0995872572524823</v>
      </c>
      <c r="I556" s="259">
        <v>0.193313587705927</v>
      </c>
      <c r="J556" s="259">
        <v>1.28036268860169</v>
      </c>
      <c r="K556" s="259">
        <v>0.000428760513046701</v>
      </c>
      <c r="L556" s="259">
        <v>0.00100144333244893</v>
      </c>
      <c r="M556" s="259">
        <v>0.0170263966102441</v>
      </c>
      <c r="N556" s="259">
        <v>0.0186281013975028</v>
      </c>
      <c r="O556" s="259">
        <v>0.647475241509509</v>
      </c>
      <c r="P556" s="259">
        <v>1.57253204367165</v>
      </c>
      <c r="Q556" s="259">
        <v>0.00408426882575818</v>
      </c>
      <c r="R556" s="259">
        <v>0.247861555346295</v>
      </c>
      <c r="S556" s="259">
        <v>0.0128726240169388</v>
      </c>
      <c r="T556" s="259">
        <v>0.840510129908066</v>
      </c>
      <c r="U556" s="259">
        <v>0.869001613760826</v>
      </c>
      <c r="V556" s="259">
        <v>0.491666777382993</v>
      </c>
      <c r="W556" s="259"/>
      <c r="X556" s="119"/>
      <c r="Y556" s="258"/>
      <c r="Z556" s="258"/>
      <c r="AA556" s="258"/>
      <c r="AB556" s="258"/>
      <c r="AC556" s="258"/>
      <c r="AD556" s="260"/>
      <c r="AE556" s="261"/>
    </row>
    <row r="557" ht="21.25" customHeight="1">
      <c r="A557" t="s" s="10">
        <v>774</v>
      </c>
      <c r="B557" t="s" s="256">
        <v>932</v>
      </c>
      <c r="C557" s="257">
        <v>27</v>
      </c>
      <c r="D557" t="s" s="256">
        <v>916</v>
      </c>
      <c r="E557" s="119">
        <v>72.95999999999999</v>
      </c>
      <c r="F557" s="258">
        <v>9.753264417895471</v>
      </c>
      <c r="G557" s="259">
        <v>0.0835114578252196</v>
      </c>
      <c r="H557" s="259">
        <v>0.108415360493365</v>
      </c>
      <c r="I557" s="259">
        <v>0.191926818318585</v>
      </c>
      <c r="J557" s="259">
        <v>1.08238824710238</v>
      </c>
      <c r="K557" s="259">
        <v>0.00140620602576864</v>
      </c>
      <c r="L557" s="259">
        <v>0.00246070696424721</v>
      </c>
      <c r="M557" s="259">
        <v>0.00115107700905566</v>
      </c>
      <c r="N557" s="259">
        <v>0.00196910667120876</v>
      </c>
      <c r="O557" s="259">
        <v>0.440497296806383</v>
      </c>
      <c r="P557" s="259">
        <v>1.75560707645032</v>
      </c>
      <c r="Q557" s="259">
        <v>-0.0415727749036293</v>
      </c>
      <c r="R557" s="259">
        <v>0.596964439474598</v>
      </c>
      <c r="S557" s="259">
        <v>0.0142271564757791</v>
      </c>
      <c r="T557" s="259">
        <v>0.080621033876401</v>
      </c>
      <c r="U557" s="259">
        <v>0.0579462454687907</v>
      </c>
      <c r="V557" s="259">
        <v>0.581818696718163</v>
      </c>
      <c r="W557" s="259"/>
      <c r="X557" s="119"/>
      <c r="Y557" s="258"/>
      <c r="Z557" s="258"/>
      <c r="AA557" s="258"/>
      <c r="AB557" s="258"/>
      <c r="AC557" s="258"/>
      <c r="AD557" s="260"/>
      <c r="AE557" s="261"/>
    </row>
    <row r="558" ht="21.25" customHeight="1">
      <c r="A558" t="s" s="10">
        <v>749</v>
      </c>
      <c r="B558" t="s" s="256">
        <v>938</v>
      </c>
      <c r="C558" s="257">
        <v>26</v>
      </c>
      <c r="D558" t="s" s="256">
        <v>918</v>
      </c>
      <c r="E558" s="119">
        <v>60.85</v>
      </c>
      <c r="F558" s="258">
        <v>15.3139008076229</v>
      </c>
      <c r="G558" s="259">
        <v>0.0406146848156037</v>
      </c>
      <c r="H558" s="259">
        <v>0.151289881532895</v>
      </c>
      <c r="I558" s="259">
        <v>0.191904566348499</v>
      </c>
      <c r="J558" s="259">
        <v>1.14107209129432</v>
      </c>
      <c r="K558" s="259">
        <v>0.00033392446038928</v>
      </c>
      <c r="L558" s="259">
        <v>0.00213955209156648</v>
      </c>
      <c r="M558" s="259">
        <v>0.000370011925481303</v>
      </c>
      <c r="N558" s="259">
        <v>0.00422698277939621</v>
      </c>
      <c r="O558" s="259">
        <v>1.40099324285606</v>
      </c>
      <c r="P558" s="259">
        <v>1.72609867084818</v>
      </c>
      <c r="Q558" s="259">
        <v>0.0227646911142954</v>
      </c>
      <c r="R558" s="259">
        <v>0.789138217595395</v>
      </c>
      <c r="S558" s="259">
        <v>0.0067512392556237</v>
      </c>
      <c r="T558" s="259">
        <v>0</v>
      </c>
      <c r="U558" s="259">
        <v>0</v>
      </c>
      <c r="V558" s="259">
        <v>0</v>
      </c>
      <c r="W558" s="259"/>
      <c r="X558" s="119"/>
      <c r="Y558" s="258"/>
      <c r="Z558" s="258"/>
      <c r="AA558" s="258"/>
      <c r="AB558" s="258"/>
      <c r="AC558" s="258"/>
      <c r="AD558" s="260"/>
      <c r="AE558" s="261"/>
    </row>
    <row r="559" ht="21.25" customHeight="1">
      <c r="A559" t="s" s="10">
        <v>850</v>
      </c>
      <c r="B559" t="s" s="256">
        <v>929</v>
      </c>
      <c r="C559" s="257">
        <v>23</v>
      </c>
      <c r="D559" t="s" s="256">
        <v>918</v>
      </c>
      <c r="E559" s="119">
        <v>55</v>
      </c>
      <c r="F559" s="258">
        <v>13.9889564529031</v>
      </c>
      <c r="G559" s="259">
        <v>0.0326957673052618</v>
      </c>
      <c r="H559" s="259">
        <v>0.156558231972709</v>
      </c>
      <c r="I559" s="259">
        <v>0.189253999277971</v>
      </c>
      <c r="J559" s="259">
        <v>0.90917242647217</v>
      </c>
      <c r="K559" s="259">
        <v>3.64062101897566e-05</v>
      </c>
      <c r="L559" s="259">
        <v>0.000228490782919036</v>
      </c>
      <c r="M559" s="259">
        <v>0.00068114666100564</v>
      </c>
      <c r="N559" s="259">
        <v>0.0033041540109637</v>
      </c>
      <c r="O559" s="259">
        <v>1.06653530813829</v>
      </c>
      <c r="P559" s="259">
        <v>1.22127700914141</v>
      </c>
      <c r="Q559" s="259">
        <v>0.0373672795387759</v>
      </c>
      <c r="R559" s="259">
        <v>0.334002666539739</v>
      </c>
      <c r="S559" s="259">
        <v>0.00493301708562545</v>
      </c>
      <c r="T559" s="259">
        <v>0</v>
      </c>
      <c r="U559" s="259">
        <v>0</v>
      </c>
      <c r="V559" s="259">
        <v>0</v>
      </c>
      <c r="W559" s="259"/>
      <c r="X559" s="119"/>
      <c r="Y559" s="258"/>
      <c r="Z559" s="258"/>
      <c r="AA559" s="258"/>
      <c r="AB559" s="258"/>
      <c r="AC559" s="258"/>
      <c r="AD559" s="260"/>
      <c r="AE559" s="261"/>
    </row>
    <row r="560" ht="21.25" customHeight="1">
      <c r="A560" t="s" s="10">
        <v>675</v>
      </c>
      <c r="B560" t="s" s="256">
        <v>940</v>
      </c>
      <c r="C560" s="257">
        <v>26</v>
      </c>
      <c r="D560" t="s" s="256">
        <v>915</v>
      </c>
      <c r="E560" s="119">
        <v>73.31999999999999</v>
      </c>
      <c r="F560" s="258">
        <v>11.6473825405281</v>
      </c>
      <c r="G560" s="259">
        <v>0.0879647840466893</v>
      </c>
      <c r="H560" s="259">
        <v>0.101203035512522</v>
      </c>
      <c r="I560" s="259">
        <v>0.189167819559211</v>
      </c>
      <c r="J560" s="259">
        <v>1.68879461337441</v>
      </c>
      <c r="K560" s="259">
        <v>0.000860179660885301</v>
      </c>
      <c r="L560" s="259">
        <v>0.00190954202139942</v>
      </c>
      <c r="M560" s="259">
        <v>0.00233247769951194</v>
      </c>
      <c r="N560" s="259">
        <v>0.00988055689739579</v>
      </c>
      <c r="O560" s="259">
        <v>0.494213037299648</v>
      </c>
      <c r="P560" s="259">
        <v>1.9388509218787</v>
      </c>
      <c r="Q560" s="259">
        <v>0.0365465420799572</v>
      </c>
      <c r="R560" s="259">
        <v>0.341965400049458</v>
      </c>
      <c r="S560" s="259">
        <v>0.0136577852762343</v>
      </c>
      <c r="T560" s="259">
        <v>0.166000807890655</v>
      </c>
      <c r="U560" s="259">
        <v>0.227422239469977</v>
      </c>
      <c r="V560" s="259">
        <v>0.421939713507659</v>
      </c>
      <c r="W560" s="259"/>
      <c r="X560" s="119"/>
      <c r="Y560" s="258"/>
      <c r="Z560" s="258"/>
      <c r="AA560" s="258"/>
      <c r="AB560" s="258"/>
      <c r="AC560" s="258"/>
      <c r="AD560" s="260"/>
      <c r="AE560" s="261"/>
    </row>
    <row r="561" ht="21.25" customHeight="1">
      <c r="A561" t="s" s="10">
        <v>466</v>
      </c>
      <c r="B561" t="s" s="256">
        <v>930</v>
      </c>
      <c r="C561" s="257">
        <v>34</v>
      </c>
      <c r="D561" t="s" s="256">
        <v>918</v>
      </c>
      <c r="E561" s="119">
        <v>75.4075</v>
      </c>
      <c r="F561" s="258">
        <v>15.2662014830355</v>
      </c>
      <c r="G561" s="259">
        <v>0.0367491798298837</v>
      </c>
      <c r="H561" s="259">
        <v>0.15126022618119</v>
      </c>
      <c r="I561" s="259">
        <v>0.188009406011074</v>
      </c>
      <c r="J561" s="259">
        <v>1.10534580164572</v>
      </c>
      <c r="K561" s="259">
        <v>0.00016179472826968</v>
      </c>
      <c r="L561" s="259">
        <v>0.00110909791798873</v>
      </c>
      <c r="M561" s="259">
        <v>0.000370303897823624</v>
      </c>
      <c r="N561" s="259">
        <v>0.0017283424781499</v>
      </c>
      <c r="O561" s="259">
        <v>1.26141277641037</v>
      </c>
      <c r="P561" s="259">
        <v>2.89606175311534</v>
      </c>
      <c r="Q561" s="259">
        <v>0.0136073161527594</v>
      </c>
      <c r="R561" s="259">
        <v>0.746830038181035</v>
      </c>
      <c r="S561" s="259">
        <v>0.00520342000565802</v>
      </c>
      <c r="T561" s="259">
        <v>0</v>
      </c>
      <c r="U561" s="259">
        <v>0</v>
      </c>
      <c r="V561" s="259">
        <v>0</v>
      </c>
      <c r="W561" s="259"/>
      <c r="X561" s="119"/>
      <c r="Y561" s="258"/>
      <c r="Z561" s="258"/>
      <c r="AA561" s="258"/>
      <c r="AB561" s="258"/>
      <c r="AC561" s="258"/>
      <c r="AD561" s="260"/>
      <c r="AE561" s="261"/>
    </row>
    <row r="562" ht="21.25" customHeight="1">
      <c r="A562" t="s" s="10">
        <v>846</v>
      </c>
      <c r="B562" t="s" s="256">
        <v>924</v>
      </c>
      <c r="C562" s="257">
        <v>31</v>
      </c>
      <c r="D562" t="s" s="256">
        <v>915</v>
      </c>
      <c r="E562" s="119">
        <v>76.3775</v>
      </c>
      <c r="F562" s="258">
        <v>12.0166785433107</v>
      </c>
      <c r="G562" s="259">
        <v>0.0685471087311543</v>
      </c>
      <c r="H562" s="259">
        <v>0.118220510994327</v>
      </c>
      <c r="I562" s="259">
        <v>0.186767619725481</v>
      </c>
      <c r="J562" s="259">
        <v>0.976929249381729</v>
      </c>
      <c r="K562" s="259">
        <v>0.000306323447576156</v>
      </c>
      <c r="L562" s="259">
        <v>0.000746506182929374</v>
      </c>
      <c r="M562" s="259">
        <v>0.0141352901378178</v>
      </c>
      <c r="N562" s="259">
        <v>0.0214875298491247</v>
      </c>
      <c r="O562" s="259">
        <v>0.338088446542366</v>
      </c>
      <c r="P562" s="259">
        <v>0.741772810304089</v>
      </c>
      <c r="Q562" s="259">
        <v>0.0676420187619643</v>
      </c>
      <c r="R562" s="259">
        <v>0.382926378490447</v>
      </c>
      <c r="S562" s="259">
        <v>0.0110686551792372</v>
      </c>
      <c r="T562" s="259">
        <v>0.3829369026622</v>
      </c>
      <c r="U562" s="259">
        <v>0.5142297249276609</v>
      </c>
      <c r="V562" s="259">
        <v>0.42682918745085</v>
      </c>
      <c r="W562" s="259"/>
      <c r="X562" s="119"/>
      <c r="Y562" s="258"/>
      <c r="Z562" s="258"/>
      <c r="AA562" s="258"/>
      <c r="AB562" s="258"/>
      <c r="AC562" s="258"/>
      <c r="AD562" s="260"/>
      <c r="AE562" s="261"/>
    </row>
    <row r="563" ht="21.25" customHeight="1">
      <c r="A563" t="s" s="10">
        <v>627</v>
      </c>
      <c r="B563" t="s" s="256">
        <v>947</v>
      </c>
      <c r="C563" s="257">
        <v>37</v>
      </c>
      <c r="D563" t="s" s="256">
        <v>918</v>
      </c>
      <c r="E563" s="119">
        <v>70.95</v>
      </c>
      <c r="F563" s="258">
        <v>17.3122438319067</v>
      </c>
      <c r="G563" s="259">
        <v>0.0436872159579101</v>
      </c>
      <c r="H563" s="259">
        <v>0.142060291865984</v>
      </c>
      <c r="I563" s="259">
        <v>0.185747507823894</v>
      </c>
      <c r="J563" s="259">
        <v>1.02180931895901</v>
      </c>
      <c r="K563" s="259">
        <v>0.000140103798419807</v>
      </c>
      <c r="L563" s="259">
        <v>0.00230374116447892</v>
      </c>
      <c r="M563" s="259">
        <v>0.000198614535503719</v>
      </c>
      <c r="N563" s="259">
        <v>0.00104522493399167</v>
      </c>
      <c r="O563" s="259">
        <v>2.40613283916641</v>
      </c>
      <c r="P563" s="259">
        <v>0.79573397309389</v>
      </c>
      <c r="Q563" s="259">
        <v>-0.0015246625840962</v>
      </c>
      <c r="R563" s="259">
        <v>0.265031663594909</v>
      </c>
      <c r="S563" s="259">
        <v>0.00564592807187251</v>
      </c>
      <c r="T563" s="259">
        <v>0</v>
      </c>
      <c r="U563" s="259">
        <v>0</v>
      </c>
      <c r="V563" s="259">
        <v>0</v>
      </c>
      <c r="W563" s="259"/>
      <c r="X563" s="119"/>
      <c r="Y563" s="258"/>
      <c r="Z563" s="258"/>
      <c r="AA563" s="258"/>
      <c r="AB563" s="258"/>
      <c r="AC563" s="258"/>
      <c r="AD563" s="260"/>
      <c r="AE563" s="261"/>
    </row>
    <row r="564" ht="21.25" customHeight="1">
      <c r="A564" t="s" s="10">
        <v>830</v>
      </c>
      <c r="B564" t="s" s="256">
        <v>951</v>
      </c>
      <c r="C564" s="257">
        <v>23</v>
      </c>
      <c r="D564" t="s" s="256">
        <v>918</v>
      </c>
      <c r="E564" s="119">
        <v>62</v>
      </c>
      <c r="F564" s="258">
        <v>15.19</v>
      </c>
      <c r="G564" s="259">
        <v>0.026284816938683</v>
      </c>
      <c r="H564" s="259">
        <v>0.158889029639691</v>
      </c>
      <c r="I564" s="259">
        <v>0.185173846578374</v>
      </c>
      <c r="J564" s="259">
        <v>0.916291590390375</v>
      </c>
      <c r="K564" s="259">
        <v>0</v>
      </c>
      <c r="L564" s="259">
        <v>0</v>
      </c>
      <c r="M564" s="259">
        <v>0</v>
      </c>
      <c r="N564" s="259">
        <v>0</v>
      </c>
      <c r="O564" s="259">
        <v>1.27314093907163</v>
      </c>
      <c r="P564" s="259">
        <v>1.10271450185501</v>
      </c>
      <c r="Q564" s="259">
        <v>-0.00586025887479279</v>
      </c>
      <c r="R564" s="259">
        <v>0.455201427702799</v>
      </c>
      <c r="S564" s="259">
        <v>0.00384624130362007</v>
      </c>
      <c r="T564" s="259">
        <v>0</v>
      </c>
      <c r="U564" s="259">
        <v>0</v>
      </c>
      <c r="V564" s="259">
        <v>0</v>
      </c>
      <c r="W564" s="259"/>
      <c r="X564" s="119"/>
      <c r="Y564" s="258"/>
      <c r="Z564" s="258"/>
      <c r="AA564" s="258"/>
      <c r="AB564" s="258"/>
      <c r="AC564" s="258"/>
      <c r="AD564" s="260"/>
      <c r="AE564" s="261"/>
    </row>
    <row r="565" ht="21.25" customHeight="1">
      <c r="A565" t="s" s="10">
        <v>754</v>
      </c>
      <c r="B565" t="s" s="256">
        <v>959</v>
      </c>
      <c r="C565" s="257">
        <v>37</v>
      </c>
      <c r="D565" t="s" s="256">
        <v>918</v>
      </c>
      <c r="E565" s="119">
        <v>76.3425</v>
      </c>
      <c r="F565" s="258">
        <v>15.4882438339319</v>
      </c>
      <c r="G565" s="259">
        <v>0.0380668265612549</v>
      </c>
      <c r="H565" s="259">
        <v>0.146806772358985</v>
      </c>
      <c r="I565" s="259">
        <v>0.18487359892024</v>
      </c>
      <c r="J565" s="259">
        <v>0.961760954611619</v>
      </c>
      <c r="K565" s="259">
        <v>0.000115112534955599</v>
      </c>
      <c r="L565" s="259">
        <v>0.00080166513671192</v>
      </c>
      <c r="M565" s="259">
        <v>0.000112397622420382</v>
      </c>
      <c r="N565" s="259">
        <v>0.000604998015381921</v>
      </c>
      <c r="O565" s="259">
        <v>1.45158530350734</v>
      </c>
      <c r="P565" s="259">
        <v>0.762756073075113</v>
      </c>
      <c r="Q565" s="259">
        <v>-0.129339257545478</v>
      </c>
      <c r="R565" s="259">
        <v>0.236180000751089</v>
      </c>
      <c r="S565" s="259">
        <v>0.00406592250024755</v>
      </c>
      <c r="T565" s="259">
        <v>0</v>
      </c>
      <c r="U565" s="259">
        <v>0</v>
      </c>
      <c r="V565" s="259">
        <v>0</v>
      </c>
      <c r="W565" s="259"/>
      <c r="X565" s="119"/>
      <c r="Y565" s="258"/>
      <c r="Z565" s="258"/>
      <c r="AA565" s="258"/>
      <c r="AB565" s="258"/>
      <c r="AC565" s="258"/>
      <c r="AD565" s="260"/>
      <c r="AE565" s="261"/>
    </row>
    <row r="566" ht="21.25" customHeight="1">
      <c r="A566" t="s" s="10">
        <v>649</v>
      </c>
      <c r="B566" t="s" s="256">
        <v>925</v>
      </c>
      <c r="C566" s="257">
        <v>25</v>
      </c>
      <c r="D566" t="s" s="256">
        <v>916</v>
      </c>
      <c r="E566" s="119">
        <v>73.8625</v>
      </c>
      <c r="F566" s="258">
        <v>11.1767400478136</v>
      </c>
      <c r="G566" s="259">
        <v>0.0801325165351193</v>
      </c>
      <c r="H566" s="259">
        <v>0.104026626483025</v>
      </c>
      <c r="I566" s="259">
        <v>0.184159143018144</v>
      </c>
      <c r="J566" s="259">
        <v>1.07143926343074</v>
      </c>
      <c r="K566" s="259">
        <v>0.000781853172491806</v>
      </c>
      <c r="L566" s="259">
        <v>0.00181891627888135</v>
      </c>
      <c r="M566" s="259">
        <v>0.0123767248936911</v>
      </c>
      <c r="N566" s="259">
        <v>0.0225313782371384</v>
      </c>
      <c r="O566" s="259">
        <v>0.689854954690161</v>
      </c>
      <c r="P566" s="259">
        <v>2.24547870044823</v>
      </c>
      <c r="Q566" s="259">
        <v>-0.0342689077077772</v>
      </c>
      <c r="R566" s="259">
        <v>0.498645602558031</v>
      </c>
      <c r="S566" s="259">
        <v>0.0119726517529322</v>
      </c>
      <c r="T566" s="259">
        <v>0.132437311908827</v>
      </c>
      <c r="U566" s="259">
        <v>0.344748324084261</v>
      </c>
      <c r="V566" s="259">
        <v>0.277538345497779</v>
      </c>
      <c r="W566" s="259"/>
      <c r="X566" s="119"/>
      <c r="Y566" s="258"/>
      <c r="Z566" s="258"/>
      <c r="AA566" s="258"/>
      <c r="AB566" s="258"/>
      <c r="AC566" s="258"/>
      <c r="AD566" s="260"/>
      <c r="AE566" s="261"/>
    </row>
    <row r="567" ht="21.25" customHeight="1">
      <c r="A567" t="s" s="10">
        <v>676</v>
      </c>
      <c r="B567" t="s" s="256">
        <v>940</v>
      </c>
      <c r="C567" s="257">
        <v>34</v>
      </c>
      <c r="D567" t="s" s="256">
        <v>918</v>
      </c>
      <c r="E567" s="119">
        <v>71.13249999999999</v>
      </c>
      <c r="F567" s="258">
        <v>15.8660415511094</v>
      </c>
      <c r="G567" s="259">
        <v>0.0558105683543971</v>
      </c>
      <c r="H567" s="259">
        <v>0.127850137711416</v>
      </c>
      <c r="I567" s="259">
        <v>0.183660706065813</v>
      </c>
      <c r="J567" s="259">
        <v>1.29616457395291</v>
      </c>
      <c r="K567" s="259">
        <v>0.000199938465573556</v>
      </c>
      <c r="L567" s="259">
        <v>0.00170381199102813</v>
      </c>
      <c r="M567" s="259">
        <v>0.000223302180794437</v>
      </c>
      <c r="N567" s="259">
        <v>0.00588878759803809</v>
      </c>
      <c r="O567" s="259">
        <v>1.53902718201793</v>
      </c>
      <c r="P567" s="259">
        <v>1.30251754387148</v>
      </c>
      <c r="Q567" s="259">
        <v>-0.0387727894411783</v>
      </c>
      <c r="R567" s="259">
        <v>0.540613563182078</v>
      </c>
      <c r="S567" s="259">
        <v>0.00866538543793129</v>
      </c>
      <c r="T567" s="259">
        <v>0</v>
      </c>
      <c r="U567" s="259">
        <v>5.22598150047559e-07</v>
      </c>
      <c r="V567" s="259">
        <v>0</v>
      </c>
      <c r="W567" s="259"/>
      <c r="X567" s="119"/>
      <c r="Y567" s="258"/>
      <c r="Z567" s="258"/>
      <c r="AA567" s="258"/>
      <c r="AB567" s="258"/>
      <c r="AC567" s="258"/>
      <c r="AD567" s="260"/>
      <c r="AE567" s="261"/>
    </row>
    <row r="568" ht="21.25" customHeight="1">
      <c r="A568" t="s" s="10">
        <v>716</v>
      </c>
      <c r="B568" t="s" s="256">
        <v>952</v>
      </c>
      <c r="C568" s="257">
        <v>27</v>
      </c>
      <c r="D568" t="s" s="256">
        <v>917</v>
      </c>
      <c r="E568" s="119">
        <v>67.66</v>
      </c>
      <c r="F568" s="258">
        <v>10.3444562644251</v>
      </c>
      <c r="G568" s="259">
        <v>0.06998630117513741</v>
      </c>
      <c r="H568" s="259">
        <v>0.113282590084711</v>
      </c>
      <c r="I568" s="259">
        <v>0.183268891259848</v>
      </c>
      <c r="J568" s="259">
        <v>0.946387455264149</v>
      </c>
      <c r="K568" s="259">
        <v>0.000686792327637853</v>
      </c>
      <c r="L568" s="259">
        <v>0.0016143845503606</v>
      </c>
      <c r="M568" s="259">
        <v>0.00685779474160441</v>
      </c>
      <c r="N568" s="259">
        <v>0.007934018507567539</v>
      </c>
      <c r="O568" s="259">
        <v>0.619785178068845</v>
      </c>
      <c r="P568" s="259">
        <v>2.35855211488835</v>
      </c>
      <c r="Q568" s="259">
        <v>-0.0964565893270105</v>
      </c>
      <c r="R568" s="259">
        <v>0.842641462578548</v>
      </c>
      <c r="S568" s="259">
        <v>0.00773938956359489</v>
      </c>
      <c r="T568" s="259">
        <v>0.0460238281797371</v>
      </c>
      <c r="U568" s="259">
        <v>0.20724902709886</v>
      </c>
      <c r="V568" s="259">
        <v>0.181716386973691</v>
      </c>
      <c r="W568" s="259"/>
      <c r="X568" s="119"/>
      <c r="Y568" s="258"/>
      <c r="Z568" s="258"/>
      <c r="AA568" s="258"/>
      <c r="AB568" s="258"/>
      <c r="AC568" s="258"/>
      <c r="AD568" s="260"/>
      <c r="AE568" s="261"/>
    </row>
    <row r="569" ht="21.25" customHeight="1">
      <c r="A569" t="s" s="10">
        <v>842</v>
      </c>
      <c r="B569" t="s" s="256">
        <v>932</v>
      </c>
      <c r="C569" s="257">
        <v>32</v>
      </c>
      <c r="D569" t="s" s="256">
        <v>916</v>
      </c>
      <c r="E569" s="119">
        <v>70.965</v>
      </c>
      <c r="F569" s="258">
        <v>11.8193815239336</v>
      </c>
      <c r="G569" s="259">
        <v>0.0580552686049524</v>
      </c>
      <c r="H569" s="259">
        <v>0.123891141479931</v>
      </c>
      <c r="I569" s="259">
        <v>0.181946410084883</v>
      </c>
      <c r="J569" s="259">
        <v>1.01980969226535</v>
      </c>
      <c r="K569" s="259">
        <v>0.000613334440791365</v>
      </c>
      <c r="L569" s="259">
        <v>0.00153587804859388</v>
      </c>
      <c r="M569" s="259">
        <v>0.00376353155801179</v>
      </c>
      <c r="N569" s="259">
        <v>0.00669876679467543</v>
      </c>
      <c r="O569" s="259">
        <v>0.490699307602138</v>
      </c>
      <c r="P569" s="259">
        <v>1.09064492896233</v>
      </c>
      <c r="Q569" s="259">
        <v>0.00515396263063794</v>
      </c>
      <c r="R569" s="259">
        <v>0.363074944021693</v>
      </c>
      <c r="S569" s="259">
        <v>0.00989039602703012</v>
      </c>
      <c r="T569" s="259">
        <v>4.03787334022231</v>
      </c>
      <c r="U569" s="259">
        <v>3.22530632235603</v>
      </c>
      <c r="V569" s="259">
        <v>0.555937416917609</v>
      </c>
      <c r="W569" s="259"/>
      <c r="X569" s="119"/>
      <c r="Y569" s="258"/>
      <c r="Z569" s="258"/>
      <c r="AA569" s="258"/>
      <c r="AB569" s="258"/>
      <c r="AC569" s="258"/>
      <c r="AD569" s="260"/>
      <c r="AE569" s="261"/>
    </row>
    <row r="570" ht="21.25" customHeight="1">
      <c r="A570" t="s" s="10">
        <v>661</v>
      </c>
      <c r="B570" t="s" s="256">
        <v>935</v>
      </c>
      <c r="C570" s="257">
        <v>28</v>
      </c>
      <c r="D570" t="s" s="256">
        <v>918</v>
      </c>
      <c r="E570" s="119">
        <v>70.395</v>
      </c>
      <c r="F570" s="258">
        <v>17.2214199652237</v>
      </c>
      <c r="G570" s="259">
        <v>0.0210964516179737</v>
      </c>
      <c r="H570" s="259">
        <v>0.159274586501195</v>
      </c>
      <c r="I570" s="259">
        <v>0.180371038119169</v>
      </c>
      <c r="J570" s="259">
        <v>0.652067220875912</v>
      </c>
      <c r="K570" s="259">
        <v>0.000315466624091546</v>
      </c>
      <c r="L570" s="259">
        <v>0.00210808408360427</v>
      </c>
      <c r="M570" s="259">
        <v>0.000503322933422581</v>
      </c>
      <c r="N570" s="259">
        <v>0.0137680598807076</v>
      </c>
      <c r="O570" s="259">
        <v>1.62400852558096</v>
      </c>
      <c r="P570" s="259">
        <v>1.6885581518313</v>
      </c>
      <c r="Q570" s="259">
        <v>0.00260804144149778</v>
      </c>
      <c r="R570" s="259">
        <v>0.705441735171938</v>
      </c>
      <c r="S570" s="259">
        <v>0.00360272972042347</v>
      </c>
      <c r="T570" s="259">
        <v>0</v>
      </c>
      <c r="U570" s="259">
        <v>0</v>
      </c>
      <c r="V570" s="259">
        <v>0</v>
      </c>
      <c r="W570" s="259"/>
      <c r="X570" s="119"/>
      <c r="Y570" s="258"/>
      <c r="Z570" s="258"/>
      <c r="AA570" s="258"/>
      <c r="AB570" s="258"/>
      <c r="AC570" s="258"/>
      <c r="AD570" s="260"/>
      <c r="AE570" s="261"/>
    </row>
    <row r="571" ht="21.25" customHeight="1">
      <c r="A571" t="s" s="10">
        <v>724</v>
      </c>
      <c r="B571" t="s" s="256">
        <v>948</v>
      </c>
      <c r="C571" s="257">
        <v>39</v>
      </c>
      <c r="D571" t="s" s="256">
        <v>918</v>
      </c>
      <c r="E571" s="119">
        <v>82.03</v>
      </c>
      <c r="F571" s="258">
        <v>17.2305280483373</v>
      </c>
      <c r="G571" s="259">
        <v>0.0197301806600869</v>
      </c>
      <c r="H571" s="259">
        <v>0.160163258348598</v>
      </c>
      <c r="I571" s="259">
        <v>0.179893439008685</v>
      </c>
      <c r="J571" s="259">
        <v>0.974339446851499</v>
      </c>
      <c r="K571" s="259">
        <v>0.000325407798113919</v>
      </c>
      <c r="L571" s="259">
        <v>0.00222187066634737</v>
      </c>
      <c r="M571" s="259">
        <v>5.69195343898288e-05</v>
      </c>
      <c r="N571" s="259">
        <v>0.00270721052645654</v>
      </c>
      <c r="O571" s="259">
        <v>1.21305681855924</v>
      </c>
      <c r="P571" s="259">
        <v>0.992201715637276</v>
      </c>
      <c r="Q571" s="259">
        <v>0.0607538161907612</v>
      </c>
      <c r="R571" s="259">
        <v>0.334149437433499</v>
      </c>
      <c r="S571" s="259">
        <v>0.002375397212091</v>
      </c>
      <c r="T571" s="259">
        <v>0</v>
      </c>
      <c r="U571" s="259">
        <v>0</v>
      </c>
      <c r="V571" s="259">
        <v>0</v>
      </c>
      <c r="W571" s="259"/>
      <c r="X571" s="119"/>
      <c r="Y571" s="258"/>
      <c r="Z571" s="258"/>
      <c r="AA571" s="258"/>
      <c r="AB571" s="258"/>
      <c r="AC571" s="258"/>
      <c r="AD571" s="260"/>
      <c r="AE571" s="261"/>
    </row>
    <row r="572" ht="21.25" customHeight="1">
      <c r="A572" t="s" s="10">
        <v>778</v>
      </c>
      <c r="B572" t="s" s="256">
        <v>942</v>
      </c>
      <c r="C572" s="257">
        <v>32</v>
      </c>
      <c r="D572" t="s" s="256">
        <v>918</v>
      </c>
      <c r="E572" s="119">
        <v>72.645</v>
      </c>
      <c r="F572" s="258">
        <v>14.9923083178829</v>
      </c>
      <c r="G572" s="259">
        <v>0.0193618008014361</v>
      </c>
      <c r="H572" s="259">
        <v>0.158819724797645</v>
      </c>
      <c r="I572" s="259">
        <v>0.178181525599081</v>
      </c>
      <c r="J572" s="259">
        <v>0.555534214100104</v>
      </c>
      <c r="K572" s="259">
        <v>0.000175476012400793</v>
      </c>
      <c r="L572" s="259">
        <v>0.00130566121849599</v>
      </c>
      <c r="M572" s="259">
        <v>0.0009892169934599369</v>
      </c>
      <c r="N572" s="259">
        <v>0.00380020909247616</v>
      </c>
      <c r="O572" s="259">
        <v>1.13079243031527</v>
      </c>
      <c r="P572" s="259">
        <v>1.43097537562906</v>
      </c>
      <c r="Q572" s="259">
        <v>-0.0261457336759413</v>
      </c>
      <c r="R572" s="259">
        <v>0.41866536132235</v>
      </c>
      <c r="S572" s="259">
        <v>0.00265920132370433</v>
      </c>
      <c r="T572" s="259">
        <v>0</v>
      </c>
      <c r="U572" s="259">
        <v>0</v>
      </c>
      <c r="V572" s="259">
        <v>0</v>
      </c>
      <c r="W572" s="259"/>
      <c r="X572" s="119"/>
      <c r="Y572" s="258"/>
      <c r="Z572" s="258"/>
      <c r="AA572" s="258"/>
      <c r="AB572" s="258"/>
      <c r="AC572" s="258"/>
      <c r="AD572" s="260"/>
      <c r="AE572" s="261"/>
    </row>
    <row r="573" ht="21.25" customHeight="1">
      <c r="A573" t="s" s="10">
        <v>844</v>
      </c>
      <c r="B573" t="s" s="256">
        <v>929</v>
      </c>
      <c r="C573" s="257">
        <v>29</v>
      </c>
      <c r="D573" t="s" s="256">
        <v>918</v>
      </c>
      <c r="E573" s="119">
        <v>62.11</v>
      </c>
      <c r="F573" s="258">
        <v>13.5297619488222</v>
      </c>
      <c r="G573" s="259">
        <v>0.0450794594763966</v>
      </c>
      <c r="H573" s="259">
        <v>0.133046917595558</v>
      </c>
      <c r="I573" s="259">
        <v>0.178126377071955</v>
      </c>
      <c r="J573" s="259">
        <v>0.8548990890050689</v>
      </c>
      <c r="K573" s="259">
        <v>0.000164115946091674</v>
      </c>
      <c r="L573" s="259">
        <v>0.001059478916963</v>
      </c>
      <c r="M573" s="259">
        <v>0.000309761239504466</v>
      </c>
      <c r="N573" s="259">
        <v>0.001545592665449</v>
      </c>
      <c r="O573" s="259">
        <v>1.13049485499838</v>
      </c>
      <c r="P573" s="259">
        <v>1.05168624863473</v>
      </c>
      <c r="Q573" s="259">
        <v>0.00282438913342346</v>
      </c>
      <c r="R573" s="259">
        <v>0.264688529378653</v>
      </c>
      <c r="S573" s="259">
        <v>0.00680142300168734</v>
      </c>
      <c r="T573" s="259">
        <v>0</v>
      </c>
      <c r="U573" s="259">
        <v>0</v>
      </c>
      <c r="V573" s="259">
        <v>0</v>
      </c>
      <c r="W573" s="259"/>
      <c r="X573" s="119"/>
      <c r="Y573" s="258"/>
      <c r="Z573" s="258"/>
      <c r="AA573" s="258"/>
      <c r="AB573" s="258"/>
      <c r="AC573" s="258"/>
      <c r="AD573" s="260"/>
      <c r="AE573" s="261"/>
    </row>
    <row r="574" ht="21.25" customHeight="1">
      <c r="A574" t="s" s="10">
        <v>459</v>
      </c>
      <c r="B574" t="s" s="256">
        <v>937</v>
      </c>
      <c r="C574" s="257">
        <v>30</v>
      </c>
      <c r="D574" t="s" s="256">
        <v>918</v>
      </c>
      <c r="E574" s="119">
        <v>78.185</v>
      </c>
      <c r="F574" s="258">
        <v>17.6083911249273</v>
      </c>
      <c r="G574" s="259">
        <v>0.0196437695087254</v>
      </c>
      <c r="H574" s="259">
        <v>0.157993657725703</v>
      </c>
      <c r="I574" s="259">
        <v>0.177637427234428</v>
      </c>
      <c r="J574" s="259">
        <v>0.691496171762691</v>
      </c>
      <c r="K574" s="259">
        <v>0.000140817992208266</v>
      </c>
      <c r="L574" s="259">
        <v>0.00100657415708719</v>
      </c>
      <c r="M574" s="259">
        <v>0.00271731535142875</v>
      </c>
      <c r="N574" s="259">
        <v>0.008623108046927799</v>
      </c>
      <c r="O574" s="259">
        <v>1.91648127239588</v>
      </c>
      <c r="P574" s="259">
        <v>2.10262555430441</v>
      </c>
      <c r="Q574" s="259">
        <v>-0.0138555796959995</v>
      </c>
      <c r="R574" s="259">
        <v>0.606977424467539</v>
      </c>
      <c r="S574" s="259">
        <v>0.00314140635357979</v>
      </c>
      <c r="T574" s="259">
        <v>0</v>
      </c>
      <c r="U574" s="259">
        <v>0</v>
      </c>
      <c r="V574" s="259">
        <v>0</v>
      </c>
      <c r="W574" s="259"/>
      <c r="X574" s="119"/>
      <c r="Y574" s="258"/>
      <c r="Z574" s="258"/>
      <c r="AA574" s="258"/>
      <c r="AB574" s="258"/>
      <c r="AC574" s="258"/>
      <c r="AD574" s="260"/>
      <c r="AE574" s="261"/>
    </row>
    <row r="575" ht="21.25" customHeight="1">
      <c r="A575" t="s" s="10">
        <v>557</v>
      </c>
      <c r="B575" t="s" s="256">
        <v>928</v>
      </c>
      <c r="C575" s="257">
        <v>26</v>
      </c>
      <c r="D575" t="s" s="256">
        <v>918</v>
      </c>
      <c r="E575" s="119">
        <v>73.94499999999999</v>
      </c>
      <c r="F575" s="258">
        <v>16.5323665630352</v>
      </c>
      <c r="G575" s="259">
        <v>0.0415921536336084</v>
      </c>
      <c r="H575" s="259">
        <v>0.135210322328151</v>
      </c>
      <c r="I575" s="259">
        <v>0.176802475961759</v>
      </c>
      <c r="J575" s="259">
        <v>0.902709253357843</v>
      </c>
      <c r="K575" s="259">
        <v>2.98998282282559e-05</v>
      </c>
      <c r="L575" s="259">
        <v>0.000192475567658571</v>
      </c>
      <c r="M575" s="259">
        <v>0.000358123247874343</v>
      </c>
      <c r="N575" s="259">
        <v>0.009436934625032339</v>
      </c>
      <c r="O575" s="259">
        <v>1.7811375987633</v>
      </c>
      <c r="P575" s="259">
        <v>1.8610060516813</v>
      </c>
      <c r="Q575" s="259">
        <v>-0.018358947915821</v>
      </c>
      <c r="R575" s="259">
        <v>0.38043715164967</v>
      </c>
      <c r="S575" s="259">
        <v>0.00647813256670893</v>
      </c>
      <c r="T575" s="259">
        <v>0</v>
      </c>
      <c r="U575" s="259">
        <v>0</v>
      </c>
      <c r="V575" s="259">
        <v>0</v>
      </c>
      <c r="W575" s="259"/>
      <c r="X575" s="119"/>
      <c r="Y575" s="258"/>
      <c r="Z575" s="258"/>
      <c r="AA575" s="258"/>
      <c r="AB575" s="258"/>
      <c r="AC575" s="258"/>
      <c r="AD575" s="260"/>
      <c r="AE575" s="261"/>
    </row>
    <row r="576" ht="21.25" customHeight="1">
      <c r="A576" t="s" s="10">
        <v>587</v>
      </c>
      <c r="B576" t="s" s="256">
        <v>951</v>
      </c>
      <c r="C576" s="257">
        <v>35</v>
      </c>
      <c r="D576" t="s" s="256">
        <v>918</v>
      </c>
      <c r="E576" s="119">
        <v>80.06999999999999</v>
      </c>
      <c r="F576" s="258">
        <v>18.5775476229138</v>
      </c>
      <c r="G576" s="259">
        <v>0.024454443819267</v>
      </c>
      <c r="H576" s="259">
        <v>0.152346359462411</v>
      </c>
      <c r="I576" s="259">
        <v>0.176800803281678</v>
      </c>
      <c r="J576" s="259">
        <v>0.901281512435677</v>
      </c>
      <c r="K576" s="259">
        <v>0.000206682675217775</v>
      </c>
      <c r="L576" s="259">
        <v>0.00159366034579996</v>
      </c>
      <c r="M576" s="259">
        <v>0.000243305058135703</v>
      </c>
      <c r="N576" s="259">
        <v>0.00291344974449692</v>
      </c>
      <c r="O576" s="259">
        <v>1.8540098704497</v>
      </c>
      <c r="P576" s="259">
        <v>1.24093306912845</v>
      </c>
      <c r="Q576" s="259">
        <v>0.07200102764954661</v>
      </c>
      <c r="R576" s="259">
        <v>0.761998490006158</v>
      </c>
      <c r="S576" s="259">
        <v>0.00357840391638025</v>
      </c>
      <c r="T576" s="259">
        <v>0</v>
      </c>
      <c r="U576" s="259">
        <v>0</v>
      </c>
      <c r="V576" s="259">
        <v>0</v>
      </c>
      <c r="W576" s="259"/>
      <c r="X576" s="119"/>
      <c r="Y576" s="258"/>
      <c r="Z576" s="258"/>
      <c r="AA576" s="258"/>
      <c r="AB576" s="258"/>
      <c r="AC576" s="258"/>
      <c r="AD576" s="260"/>
      <c r="AE576" s="261"/>
    </row>
    <row r="577" ht="21.25" customHeight="1">
      <c r="A577" t="s" s="10">
        <v>852</v>
      </c>
      <c r="B577" t="s" s="256">
        <v>938</v>
      </c>
      <c r="C577" s="257">
        <v>24</v>
      </c>
      <c r="D577" t="s" s="256">
        <v>915</v>
      </c>
      <c r="E577" s="119">
        <v>65.14749999999999</v>
      </c>
      <c r="F577" s="258">
        <v>9.370518061413209</v>
      </c>
      <c r="G577" s="259">
        <v>0.0597434271325709</v>
      </c>
      <c r="H577" s="259">
        <v>0.114849746069979</v>
      </c>
      <c r="I577" s="259">
        <v>0.17459317320255</v>
      </c>
      <c r="J577" s="259">
        <v>0.819884729078178</v>
      </c>
      <c r="K577" s="259">
        <v>0.000581868996378245</v>
      </c>
      <c r="L577" s="259">
        <v>0.00132919586207227</v>
      </c>
      <c r="M577" s="259">
        <v>0.00214207615139994</v>
      </c>
      <c r="N577" s="259">
        <v>0.00888621063117727</v>
      </c>
      <c r="O577" s="259">
        <v>0.482259734232579</v>
      </c>
      <c r="P577" s="259">
        <v>0.890856941576191</v>
      </c>
      <c r="Q577" s="259">
        <v>0.0198809083822978</v>
      </c>
      <c r="R577" s="259">
        <v>0.152422490838097</v>
      </c>
      <c r="S577" s="259">
        <v>0.009930944247238069</v>
      </c>
      <c r="T577" s="259">
        <v>2.51976190281053</v>
      </c>
      <c r="U577" s="259">
        <v>2.34513289780259</v>
      </c>
      <c r="V577" s="259">
        <v>0.517947870628769</v>
      </c>
      <c r="W577" s="259"/>
      <c r="X577" s="119"/>
      <c r="Y577" s="258"/>
      <c r="Z577" s="258"/>
      <c r="AA577" s="258"/>
      <c r="AB577" s="258"/>
      <c r="AC577" s="258"/>
      <c r="AD577" s="260"/>
      <c r="AE577" s="261"/>
    </row>
    <row r="578" ht="21.25" customHeight="1">
      <c r="A578" t="s" s="10">
        <v>421</v>
      </c>
      <c r="B578" t="s" s="256">
        <v>926</v>
      </c>
      <c r="C578" s="257">
        <v>32</v>
      </c>
      <c r="D578" t="s" s="256">
        <v>918</v>
      </c>
      <c r="E578" s="119">
        <v>78.63500000000001</v>
      </c>
      <c r="F578" s="258">
        <v>18.261038774881</v>
      </c>
      <c r="G578" s="259">
        <v>0.0464679901772176</v>
      </c>
      <c r="H578" s="259">
        <v>0.127708439179485</v>
      </c>
      <c r="I578" s="259">
        <v>0.174176429356703</v>
      </c>
      <c r="J578" s="259">
        <v>0.90332920384605</v>
      </c>
      <c r="K578" s="259">
        <v>0.000186218875250836</v>
      </c>
      <c r="L578" s="259">
        <v>0.00121717380690384</v>
      </c>
      <c r="M578" s="259">
        <v>0.00031867144116222</v>
      </c>
      <c r="N578" s="259">
        <v>0.00323472102683377</v>
      </c>
      <c r="O578" s="259">
        <v>1.6973937275874</v>
      </c>
      <c r="P578" s="259">
        <v>2.5489605030888</v>
      </c>
      <c r="Q578" s="259">
        <v>0.04116789449792</v>
      </c>
      <c r="R578" s="259">
        <v>0.550335474532598</v>
      </c>
      <c r="S578" s="259">
        <v>0.00743404546168573</v>
      </c>
      <c r="T578" s="259">
        <v>0</v>
      </c>
      <c r="U578" s="259">
        <v>0</v>
      </c>
      <c r="V578" s="259">
        <v>0</v>
      </c>
      <c r="W578" s="259"/>
      <c r="X578" s="119"/>
      <c r="Y578" s="258"/>
      <c r="Z578" s="258"/>
      <c r="AA578" s="258"/>
      <c r="AB578" s="258"/>
      <c r="AC578" s="258"/>
      <c r="AD578" s="260"/>
      <c r="AE578" s="261"/>
    </row>
    <row r="579" ht="21.25" customHeight="1">
      <c r="A579" t="s" s="10">
        <v>643</v>
      </c>
      <c r="B579" t="s" s="256">
        <v>944</v>
      </c>
      <c r="C579" s="257">
        <v>27</v>
      </c>
      <c r="D579" t="s" s="256">
        <v>917</v>
      </c>
      <c r="E579" s="119">
        <v>77.21250000000001</v>
      </c>
      <c r="F579" s="258">
        <v>10.9504211726786</v>
      </c>
      <c r="G579" s="259">
        <v>0.08559340786446019</v>
      </c>
      <c r="H579" s="259">
        <v>0.0877744468779033</v>
      </c>
      <c r="I579" s="259">
        <v>0.173367854742364</v>
      </c>
      <c r="J579" s="259">
        <v>1.1842955986558</v>
      </c>
      <c r="K579" s="259">
        <v>0.000823089982308081</v>
      </c>
      <c r="L579" s="259">
        <v>0.00192117633628924</v>
      </c>
      <c r="M579" s="259">
        <v>0.0146680356018532</v>
      </c>
      <c r="N579" s="259">
        <v>0.0168257668469601</v>
      </c>
      <c r="O579" s="259">
        <v>0.44854930354138</v>
      </c>
      <c r="P579" s="259">
        <v>2.37947648552882</v>
      </c>
      <c r="Q579" s="259">
        <v>-0.00510366748551862</v>
      </c>
      <c r="R579" s="259">
        <v>0.760168710340082</v>
      </c>
      <c r="S579" s="259">
        <v>0.0121467774922572</v>
      </c>
      <c r="T579" s="259">
        <v>0.0604991039015201</v>
      </c>
      <c r="U579" s="259">
        <v>0.117056804766411</v>
      </c>
      <c r="V579" s="259">
        <v>0.340732698536475</v>
      </c>
      <c r="W579" s="259"/>
      <c r="X579" s="119"/>
      <c r="Y579" s="258"/>
      <c r="Z579" s="258"/>
      <c r="AA579" s="258"/>
      <c r="AB579" s="258"/>
      <c r="AC579" s="258"/>
      <c r="AD579" s="260"/>
      <c r="AE579" s="261"/>
    </row>
    <row r="580" ht="21.25" customHeight="1">
      <c r="A580" t="s" s="10">
        <v>795</v>
      </c>
      <c r="B580" t="s" s="256">
        <v>939</v>
      </c>
      <c r="C580" s="257">
        <v>25</v>
      </c>
      <c r="D580" t="s" s="256">
        <v>918</v>
      </c>
      <c r="E580" s="119">
        <v>60</v>
      </c>
      <c r="F580" s="258">
        <v>15.5349783590035</v>
      </c>
      <c r="G580" s="259">
        <v>0.0362709166342362</v>
      </c>
      <c r="H580" s="259">
        <v>0.136966340250634</v>
      </c>
      <c r="I580" s="259">
        <v>0.17323725688487</v>
      </c>
      <c r="J580" s="259">
        <v>0.942778981685886</v>
      </c>
      <c r="K580" s="259">
        <v>0.000228335282914097</v>
      </c>
      <c r="L580" s="259">
        <v>0.00145798661692961</v>
      </c>
      <c r="M580" s="259">
        <v>0.00166062920965887</v>
      </c>
      <c r="N580" s="259">
        <v>0.0072197005151389</v>
      </c>
      <c r="O580" s="259">
        <v>1.27046005824189</v>
      </c>
      <c r="P580" s="259">
        <v>1.65188029899822</v>
      </c>
      <c r="Q580" s="259">
        <v>-0.00348812250341335</v>
      </c>
      <c r="R580" s="259">
        <v>0.339780252366139</v>
      </c>
      <c r="S580" s="259">
        <v>0.00537690594766911</v>
      </c>
      <c r="T580" s="259">
        <v>0</v>
      </c>
      <c r="U580" s="259">
        <v>0</v>
      </c>
      <c r="V580" s="259">
        <v>0</v>
      </c>
      <c r="W580" s="259"/>
      <c r="X580" s="119"/>
      <c r="Y580" s="258"/>
      <c r="Z580" s="258"/>
      <c r="AA580" s="258"/>
      <c r="AB580" s="258"/>
      <c r="AC580" s="258"/>
      <c r="AD580" s="260"/>
      <c r="AE580" s="261"/>
    </row>
    <row r="581" ht="21.25" customHeight="1">
      <c r="A581" t="s" s="10">
        <v>679</v>
      </c>
      <c r="B581" t="s" s="256">
        <v>933</v>
      </c>
      <c r="C581" s="257">
        <v>34</v>
      </c>
      <c r="D581" t="s" s="256">
        <v>918</v>
      </c>
      <c r="E581" s="119">
        <v>70.66249999999999</v>
      </c>
      <c r="F581" s="258">
        <v>17.2676238651163</v>
      </c>
      <c r="G581" s="259">
        <v>0.0379752497991339</v>
      </c>
      <c r="H581" s="259">
        <v>0.135002908870862</v>
      </c>
      <c r="I581" s="259">
        <v>0.172978158669996</v>
      </c>
      <c r="J581" s="259">
        <v>1.19688620737694</v>
      </c>
      <c r="K581" s="259">
        <v>0.000255433739781374</v>
      </c>
      <c r="L581" s="259">
        <v>0.00173013351945123</v>
      </c>
      <c r="M581" s="259">
        <v>0.000227516534315008</v>
      </c>
      <c r="N581" s="259">
        <v>0.00567753712885144</v>
      </c>
      <c r="O581" s="259">
        <v>1.25651657052007</v>
      </c>
      <c r="P581" s="259">
        <v>1.76548769227826</v>
      </c>
      <c r="Q581" s="259">
        <v>0.00362305275232416</v>
      </c>
      <c r="R581" s="259">
        <v>0.61801844909717</v>
      </c>
      <c r="S581" s="259">
        <v>0.00626892108622535</v>
      </c>
      <c r="T581" s="259">
        <v>0.000643817748966245</v>
      </c>
      <c r="U581" s="259">
        <v>0.00179866555740623</v>
      </c>
      <c r="V581" s="259">
        <v>0.263591463362929</v>
      </c>
      <c r="W581" s="259"/>
      <c r="X581" s="119"/>
      <c r="Y581" s="258"/>
      <c r="Z581" s="258"/>
      <c r="AA581" s="258"/>
      <c r="AB581" s="258"/>
      <c r="AC581" s="258"/>
      <c r="AD581" s="260"/>
      <c r="AE581" s="261"/>
    </row>
    <row r="582" ht="21.25" customHeight="1">
      <c r="A582" t="s" s="10">
        <v>854</v>
      </c>
      <c r="B582" t="s" s="256">
        <v>924</v>
      </c>
      <c r="C582" s="257">
        <v>30</v>
      </c>
      <c r="D582" t="s" s="256">
        <v>917</v>
      </c>
      <c r="E582" s="119">
        <v>67.55249999999999</v>
      </c>
      <c r="F582" s="258">
        <v>11.8875302450477</v>
      </c>
      <c r="G582" s="259">
        <v>0.0564962405423608</v>
      </c>
      <c r="H582" s="259">
        <v>0.11532215837116</v>
      </c>
      <c r="I582" s="259">
        <v>0.171818398913521</v>
      </c>
      <c r="J582" s="259">
        <v>1.28099394547394</v>
      </c>
      <c r="K582" s="259">
        <v>0.00160246035306372</v>
      </c>
      <c r="L582" s="259">
        <v>0.00828955832793519</v>
      </c>
      <c r="M582" s="259">
        <v>0.00402107181784077</v>
      </c>
      <c r="N582" s="259">
        <v>0.0131802373638349</v>
      </c>
      <c r="O582" s="259">
        <v>0.360728280087904</v>
      </c>
      <c r="P582" s="259">
        <v>0.631929416097145</v>
      </c>
      <c r="Q582" s="259">
        <v>0.0589758431364662</v>
      </c>
      <c r="R582" s="259">
        <v>0.165674436947304</v>
      </c>
      <c r="S582" s="259">
        <v>0.0091227393403162</v>
      </c>
      <c r="T582" s="259">
        <v>0.271527045933617</v>
      </c>
      <c r="U582" s="259">
        <v>0.423688401569593</v>
      </c>
      <c r="V582" s="259">
        <v>0.390565323179709</v>
      </c>
      <c r="W582" s="259"/>
      <c r="X582" s="119"/>
      <c r="Y582" s="258"/>
      <c r="Z582" s="258"/>
      <c r="AA582" s="258"/>
      <c r="AB582" s="258"/>
      <c r="AC582" s="258"/>
      <c r="AD582" s="260"/>
      <c r="AE582" s="261"/>
    </row>
    <row r="583" ht="21.25" customHeight="1">
      <c r="A583" t="s" s="10">
        <v>664</v>
      </c>
      <c r="B583" t="s" s="256">
        <v>935</v>
      </c>
      <c r="C583" s="257">
        <v>32</v>
      </c>
      <c r="D583" t="s" s="256">
        <v>918</v>
      </c>
      <c r="E583" s="119">
        <v>69.2375</v>
      </c>
      <c r="F583" s="258">
        <v>17.3935415695676</v>
      </c>
      <c r="G583" s="259">
        <v>0.0441509172536779</v>
      </c>
      <c r="H583" s="259">
        <v>0.127591284077115</v>
      </c>
      <c r="I583" s="259">
        <v>0.171742201330793</v>
      </c>
      <c r="J583" s="259">
        <v>0.722358846811211</v>
      </c>
      <c r="K583" s="259">
        <v>0.000151188800484637</v>
      </c>
      <c r="L583" s="259">
        <v>0.000991679353766344</v>
      </c>
      <c r="M583" s="259">
        <v>0.00767426559318764</v>
      </c>
      <c r="N583" s="259">
        <v>0.0116143040127393</v>
      </c>
      <c r="O583" s="259">
        <v>1.61491815484271</v>
      </c>
      <c r="P583" s="259">
        <v>1.73994524760405</v>
      </c>
      <c r="Q583" s="259">
        <v>0.0253062111281227</v>
      </c>
      <c r="R583" s="259">
        <v>0.455304567048098</v>
      </c>
      <c r="S583" s="259">
        <v>0.00753983772504491</v>
      </c>
      <c r="T583" s="259">
        <v>0</v>
      </c>
      <c r="U583" s="259">
        <v>0</v>
      </c>
      <c r="V583" s="259">
        <v>0</v>
      </c>
      <c r="W583" s="259"/>
      <c r="X583" s="119"/>
      <c r="Y583" s="258"/>
      <c r="Z583" s="258"/>
      <c r="AA583" s="258"/>
      <c r="AB583" s="258"/>
      <c r="AC583" s="258"/>
      <c r="AD583" s="260"/>
      <c r="AE583" s="261"/>
    </row>
    <row r="584" ht="21.25" customHeight="1">
      <c r="A584" t="s" s="10">
        <v>681</v>
      </c>
      <c r="B584" t="s" s="256">
        <v>945</v>
      </c>
      <c r="C584" s="257">
        <v>25</v>
      </c>
      <c r="D584" t="s" s="256">
        <v>918</v>
      </c>
      <c r="E584" s="119">
        <v>65.375</v>
      </c>
      <c r="F584" s="258">
        <v>15.0296302942423</v>
      </c>
      <c r="G584" s="259">
        <v>0.0401624784194564</v>
      </c>
      <c r="H584" s="259">
        <v>0.13144410118896</v>
      </c>
      <c r="I584" s="259">
        <v>0.171606579608416</v>
      </c>
      <c r="J584" s="259">
        <v>1.06492869221507</v>
      </c>
      <c r="K584" s="259">
        <v>0.000170356578855385</v>
      </c>
      <c r="L584" s="259">
        <v>0.00109114965291839</v>
      </c>
      <c r="M584" s="259">
        <v>0.000633994700744535</v>
      </c>
      <c r="N584" s="259">
        <v>0.0149608647869321</v>
      </c>
      <c r="O584" s="259">
        <v>1.31227150643961</v>
      </c>
      <c r="P584" s="259">
        <v>2.07469520611682</v>
      </c>
      <c r="Q584" s="259">
        <v>-0.00790932900223959</v>
      </c>
      <c r="R584" s="259">
        <v>0.686024487855634</v>
      </c>
      <c r="S584" s="259">
        <v>0.00583495661252917</v>
      </c>
      <c r="T584" s="259">
        <v>0</v>
      </c>
      <c r="U584" s="259">
        <v>0</v>
      </c>
      <c r="V584" s="259">
        <v>0</v>
      </c>
      <c r="W584" s="259"/>
      <c r="X584" s="119"/>
      <c r="Y584" s="258"/>
      <c r="Z584" s="258"/>
      <c r="AA584" s="258"/>
      <c r="AB584" s="258"/>
      <c r="AC584" s="258"/>
      <c r="AD584" s="260"/>
      <c r="AE584" s="261"/>
    </row>
    <row r="585" ht="21.25" customHeight="1">
      <c r="A585" t="s" s="10">
        <v>831</v>
      </c>
      <c r="B585" t="s" s="256">
        <v>924</v>
      </c>
      <c r="C585" s="257">
        <v>37</v>
      </c>
      <c r="D585" t="s" s="256">
        <v>915</v>
      </c>
      <c r="E585" s="119">
        <v>78.925</v>
      </c>
      <c r="F585" s="258">
        <v>10.2587855204434</v>
      </c>
      <c r="G585" s="259">
        <v>0.087691768233656</v>
      </c>
      <c r="H585" s="259">
        <v>0.08384552141489229</v>
      </c>
      <c r="I585" s="259">
        <v>0.171537289648548</v>
      </c>
      <c r="J585" s="259">
        <v>0.824944285166464</v>
      </c>
      <c r="K585" s="259">
        <v>0.000278221761314306</v>
      </c>
      <c r="L585" s="259">
        <v>0.000637008537048349</v>
      </c>
      <c r="M585" s="259">
        <v>0.0191663695833126</v>
      </c>
      <c r="N585" s="259">
        <v>0.0312142782545318</v>
      </c>
      <c r="O585" s="259">
        <v>0.434417833482477</v>
      </c>
      <c r="P585" s="259">
        <v>0.838202162991645</v>
      </c>
      <c r="Q585" s="259">
        <v>0.0710937878832677</v>
      </c>
      <c r="R585" s="259">
        <v>0.205676271415865</v>
      </c>
      <c r="S585" s="259">
        <v>0.0141600420878843</v>
      </c>
      <c r="T585" s="259">
        <v>3.09140799684316</v>
      </c>
      <c r="U585" s="259">
        <v>2.67597214144167</v>
      </c>
      <c r="V585" s="259">
        <v>0.536015993869014</v>
      </c>
      <c r="W585" s="259"/>
      <c r="X585" s="119"/>
      <c r="Y585" s="258"/>
      <c r="Z585" s="258"/>
      <c r="AA585" s="258"/>
      <c r="AB585" s="258"/>
      <c r="AC585" s="258"/>
      <c r="AD585" s="260"/>
      <c r="AE585" s="261"/>
    </row>
    <row r="586" ht="21.25" customHeight="1">
      <c r="A586" t="s" s="10">
        <v>349</v>
      </c>
      <c r="B586" t="s" s="256">
        <v>930</v>
      </c>
      <c r="C586" s="257">
        <v>27</v>
      </c>
      <c r="D586" t="s" s="256">
        <v>918</v>
      </c>
      <c r="E586" s="119">
        <v>77.83499999999999</v>
      </c>
      <c r="F586" s="258">
        <v>17.503431128508</v>
      </c>
      <c r="G586" s="259">
        <v>0.0513008600224174</v>
      </c>
      <c r="H586" s="259">
        <v>0.119847889632137</v>
      </c>
      <c r="I586" s="259">
        <v>0.171148749654554</v>
      </c>
      <c r="J586" s="259">
        <v>1.15464212450502</v>
      </c>
      <c r="K586" s="259">
        <v>0.000327644170660689</v>
      </c>
      <c r="L586" s="259">
        <v>0.00211451942030919</v>
      </c>
      <c r="M586" s="259">
        <v>0.000391320284482192</v>
      </c>
      <c r="N586" s="259">
        <v>0.00536611489251338</v>
      </c>
      <c r="O586" s="259">
        <v>1.35160552928051</v>
      </c>
      <c r="P586" s="259">
        <v>3.63379598796165</v>
      </c>
      <c r="Q586" s="259">
        <v>-0.00838794223107709</v>
      </c>
      <c r="R586" s="259">
        <v>1.03517075325696</v>
      </c>
      <c r="S586" s="259">
        <v>0.00726383344019662</v>
      </c>
      <c r="T586" s="259">
        <v>0</v>
      </c>
      <c r="U586" s="259">
        <v>0</v>
      </c>
      <c r="V586" s="259">
        <v>0</v>
      </c>
      <c r="W586" s="259"/>
      <c r="X586" s="119"/>
      <c r="Y586" s="258"/>
      <c r="Z586" s="258"/>
      <c r="AA586" s="258"/>
      <c r="AB586" s="258"/>
      <c r="AC586" s="258"/>
      <c r="AD586" s="260"/>
      <c r="AE586" s="261"/>
    </row>
    <row r="587" ht="21.25" customHeight="1">
      <c r="A587" t="s" s="10">
        <v>837</v>
      </c>
      <c r="B587" t="s" s="256">
        <v>936</v>
      </c>
      <c r="C587" s="257">
        <v>23</v>
      </c>
      <c r="D587" t="s" s="256">
        <v>918</v>
      </c>
      <c r="E587" s="119">
        <v>62.11</v>
      </c>
      <c r="F587" s="258">
        <v>13.1522150732896</v>
      </c>
      <c r="G587" s="259">
        <v>0.0529081758024953</v>
      </c>
      <c r="H587" s="259">
        <v>0.118232415707431</v>
      </c>
      <c r="I587" s="259">
        <v>0.171140591509926</v>
      </c>
      <c r="J587" s="259">
        <v>0.9225059345640561</v>
      </c>
      <c r="K587" s="259">
        <v>0.00486456530749357</v>
      </c>
      <c r="L587" s="259">
        <v>0.0116182519711531</v>
      </c>
      <c r="M587" s="259">
        <v>0.000118912075959532</v>
      </c>
      <c r="N587" s="259">
        <v>0.000592550535137663</v>
      </c>
      <c r="O587" s="259">
        <v>1.04727054827529</v>
      </c>
      <c r="P587" s="259">
        <v>1.257634855699</v>
      </c>
      <c r="Q587" s="259">
        <v>0.0187640119181777</v>
      </c>
      <c r="R587" s="259">
        <v>0.251792939665943</v>
      </c>
      <c r="S587" s="259">
        <v>0.00831499273411342</v>
      </c>
      <c r="T587" s="259">
        <v>0</v>
      </c>
      <c r="U587" s="259">
        <v>0</v>
      </c>
      <c r="V587" s="259">
        <v>0</v>
      </c>
      <c r="W587" s="259"/>
      <c r="X587" s="119"/>
      <c r="Y587" s="258"/>
      <c r="Z587" s="258"/>
      <c r="AA587" s="258"/>
      <c r="AB587" s="258"/>
      <c r="AC587" s="258"/>
      <c r="AD587" s="260"/>
      <c r="AE587" s="261"/>
    </row>
    <row r="588" ht="21.25" customHeight="1">
      <c r="A588" t="s" s="10">
        <v>603</v>
      </c>
      <c r="B588" t="s" s="256">
        <v>939</v>
      </c>
      <c r="C588" s="257">
        <v>32</v>
      </c>
      <c r="D588" t="s" s="256">
        <v>915</v>
      </c>
      <c r="E588" s="119">
        <v>70.34999999999999</v>
      </c>
      <c r="F588" s="258">
        <v>12.1965751417279</v>
      </c>
      <c r="G588" s="259">
        <v>0.08942593415955651</v>
      </c>
      <c r="H588" s="259">
        <v>0.07891932375561921</v>
      </c>
      <c r="I588" s="259">
        <v>0.168345257915176</v>
      </c>
      <c r="J588" s="259">
        <v>1.02558428759738</v>
      </c>
      <c r="K588" s="259">
        <v>0.000780005139419121</v>
      </c>
      <c r="L588" s="259">
        <v>0.00179896651290575</v>
      </c>
      <c r="M588" s="259">
        <v>0.001489329287609</v>
      </c>
      <c r="N588" s="259">
        <v>0.0130968917283246</v>
      </c>
      <c r="O588" s="259">
        <v>1.18419454231132</v>
      </c>
      <c r="P588" s="259">
        <v>2.0951871879647</v>
      </c>
      <c r="Q588" s="259">
        <v>-0.0228962552253691</v>
      </c>
      <c r="R588" s="259">
        <v>0.259087659439407</v>
      </c>
      <c r="S588" s="259">
        <v>0.0132567600126357</v>
      </c>
      <c r="T588" s="259">
        <v>4.89214354566041</v>
      </c>
      <c r="U588" s="259">
        <v>4.19144977719628</v>
      </c>
      <c r="V588" s="259">
        <v>0.538569195227014</v>
      </c>
      <c r="W588" s="259"/>
      <c r="X588" s="119"/>
      <c r="Y588" s="258"/>
      <c r="Z588" s="258"/>
      <c r="AA588" s="258"/>
      <c r="AB588" s="258"/>
      <c r="AC588" s="258"/>
      <c r="AD588" s="260"/>
      <c r="AE588" s="261"/>
    </row>
    <row r="589" ht="21.25" customHeight="1">
      <c r="A589" t="s" s="10">
        <v>707</v>
      </c>
      <c r="B589" t="s" s="256">
        <v>950</v>
      </c>
      <c r="C589" s="257">
        <v>31</v>
      </c>
      <c r="D589" t="s" s="256">
        <v>918</v>
      </c>
      <c r="E589" s="119">
        <v>68.19499999999999</v>
      </c>
      <c r="F589" s="258">
        <v>16.9354254273992</v>
      </c>
      <c r="G589" s="259">
        <v>0.0349124165954916</v>
      </c>
      <c r="H589" s="259">
        <v>0.133042464283726</v>
      </c>
      <c r="I589" s="259">
        <v>0.167954880879218</v>
      </c>
      <c r="J589" s="259">
        <v>0.9131068002613481</v>
      </c>
      <c r="K589" s="259">
        <v>0.000181496385349324</v>
      </c>
      <c r="L589" s="259">
        <v>0.00121038222408115</v>
      </c>
      <c r="M589" s="259">
        <v>0.000436214483801441</v>
      </c>
      <c r="N589" s="259">
        <v>0.00559070569379833</v>
      </c>
      <c r="O589" s="259">
        <v>1.52328004471926</v>
      </c>
      <c r="P589" s="259">
        <v>1.5536440021454</v>
      </c>
      <c r="Q589" s="259">
        <v>-0.0107369391745302</v>
      </c>
      <c r="R589" s="259">
        <v>0.520211169425093</v>
      </c>
      <c r="S589" s="259">
        <v>0.00622180007776849</v>
      </c>
      <c r="T589" s="259">
        <v>0</v>
      </c>
      <c r="U589" s="259">
        <v>0</v>
      </c>
      <c r="V589" s="259">
        <v>0</v>
      </c>
      <c r="W589" s="259"/>
      <c r="X589" s="119"/>
      <c r="Y589" s="258"/>
      <c r="Z589" s="258"/>
      <c r="AA589" s="258"/>
      <c r="AB589" s="258"/>
      <c r="AC589" s="258"/>
      <c r="AD589" s="260"/>
      <c r="AE589" s="261"/>
    </row>
    <row r="590" ht="21.25" customHeight="1">
      <c r="A590" t="s" s="10">
        <v>668</v>
      </c>
      <c r="B590" t="s" s="256">
        <v>925</v>
      </c>
      <c r="C590" s="257">
        <v>33</v>
      </c>
      <c r="D590" t="s" s="256">
        <v>918</v>
      </c>
      <c r="E590" s="119">
        <v>72.66</v>
      </c>
      <c r="F590" s="258">
        <v>16.651405615791</v>
      </c>
      <c r="G590" s="259">
        <v>0.0409276382180423</v>
      </c>
      <c r="H590" s="259">
        <v>0.123793386545626</v>
      </c>
      <c r="I590" s="259">
        <v>0.164721024763668</v>
      </c>
      <c r="J590" s="259">
        <v>1.01150736989086</v>
      </c>
      <c r="K590" s="259">
        <v>0.000149476614659787</v>
      </c>
      <c r="L590" s="259">
        <v>0.0009884628394897961</v>
      </c>
      <c r="M590" s="259">
        <v>0.000521026128927788</v>
      </c>
      <c r="N590" s="259">
        <v>0.00234591672969007</v>
      </c>
      <c r="O590" s="259">
        <v>1.45592782074504</v>
      </c>
      <c r="P590" s="259">
        <v>1.60739317494699</v>
      </c>
      <c r="Q590" s="259">
        <v>0.0124256699529657</v>
      </c>
      <c r="R590" s="259">
        <v>0.40924459776661</v>
      </c>
      <c r="S590" s="259">
        <v>0.00611502521875579</v>
      </c>
      <c r="T590" s="259">
        <v>0</v>
      </c>
      <c r="U590" s="259">
        <v>0</v>
      </c>
      <c r="V590" s="259">
        <v>0</v>
      </c>
      <c r="W590" s="259"/>
      <c r="X590" s="119"/>
      <c r="Y590" s="258"/>
      <c r="Z590" s="258"/>
      <c r="AA590" s="258"/>
      <c r="AB590" s="258"/>
      <c r="AC590" s="258"/>
      <c r="AD590" s="260"/>
      <c r="AE590" s="261"/>
    </row>
    <row r="591" ht="21.25" customHeight="1">
      <c r="A591" t="s" s="10">
        <v>819</v>
      </c>
      <c r="B591" t="s" s="256">
        <v>947</v>
      </c>
      <c r="C591" s="257">
        <v>36</v>
      </c>
      <c r="D591" t="s" s="256">
        <v>916</v>
      </c>
      <c r="E591" s="119">
        <v>76.1525</v>
      </c>
      <c r="F591" s="258">
        <v>10.7703375141206</v>
      </c>
      <c r="G591" s="259">
        <v>0.0488942811876606</v>
      </c>
      <c r="H591" s="259">
        <v>0.11216364657905</v>
      </c>
      <c r="I591" s="259">
        <v>0.161057927766711</v>
      </c>
      <c r="J591" s="259">
        <v>0.900531487087167</v>
      </c>
      <c r="K591" s="259">
        <v>0.000977098925164341</v>
      </c>
      <c r="L591" s="259">
        <v>0.00298364925437281</v>
      </c>
      <c r="M591" s="259">
        <v>2.21524021589701e-06</v>
      </c>
      <c r="N591" s="259">
        <v>4.21314806580918e-06</v>
      </c>
      <c r="O591" s="259">
        <v>0.266952466400793</v>
      </c>
      <c r="P591" s="259">
        <v>1.71178860584401</v>
      </c>
      <c r="Q591" s="259">
        <v>-0.008586984204379731</v>
      </c>
      <c r="R591" s="259">
        <v>0.835155838625565</v>
      </c>
      <c r="S591" s="259">
        <v>0.00631886442426089</v>
      </c>
      <c r="T591" s="259">
        <v>0.143851761472043</v>
      </c>
      <c r="U591" s="259">
        <v>0.280288343134939</v>
      </c>
      <c r="V591" s="259">
        <v>0.339160951557127</v>
      </c>
      <c r="W591" s="259"/>
      <c r="X591" s="119"/>
      <c r="Y591" s="258"/>
      <c r="Z591" s="258"/>
      <c r="AA591" s="258"/>
      <c r="AB591" s="258"/>
      <c r="AC591" s="258"/>
      <c r="AD591" s="260"/>
      <c r="AE591" s="261"/>
    </row>
    <row r="592" ht="21.25" customHeight="1">
      <c r="A592" t="s" s="10">
        <v>797</v>
      </c>
      <c r="B592" t="s" s="256">
        <v>938</v>
      </c>
      <c r="C592" s="257">
        <v>28</v>
      </c>
      <c r="D592" t="s" s="256">
        <v>918</v>
      </c>
      <c r="E592" s="119">
        <v>59.8475</v>
      </c>
      <c r="F592" s="258">
        <v>16.216651321232</v>
      </c>
      <c r="G592" s="259">
        <v>0.0375367991112925</v>
      </c>
      <c r="H592" s="259">
        <v>0.123102063636469</v>
      </c>
      <c r="I592" s="259">
        <v>0.160638862747762</v>
      </c>
      <c r="J592" s="259">
        <v>1.14097613553434</v>
      </c>
      <c r="K592" s="259">
        <v>0.000234323187237259</v>
      </c>
      <c r="L592" s="259">
        <v>0.00152072918800096</v>
      </c>
      <c r="M592" s="259">
        <v>0.000475421758720436</v>
      </c>
      <c r="N592" s="259">
        <v>0.00238474587617869</v>
      </c>
      <c r="O592" s="259">
        <v>1.46862808310041</v>
      </c>
      <c r="P592" s="259">
        <v>1.37987670806982</v>
      </c>
      <c r="Q592" s="259">
        <v>0.0137664233600195</v>
      </c>
      <c r="R592" s="259">
        <v>0.363011542368144</v>
      </c>
      <c r="S592" s="259">
        <v>0.00623961290949765</v>
      </c>
      <c r="T592" s="259">
        <v>0</v>
      </c>
      <c r="U592" s="259">
        <v>0</v>
      </c>
      <c r="V592" s="259">
        <v>0</v>
      </c>
      <c r="W592" s="259"/>
      <c r="X592" s="119"/>
      <c r="Y592" s="258"/>
      <c r="Z592" s="258"/>
      <c r="AA592" s="258"/>
      <c r="AB592" s="258"/>
      <c r="AC592" s="258"/>
      <c r="AD592" s="260"/>
      <c r="AE592" s="261"/>
    </row>
    <row r="593" ht="21.25" customHeight="1">
      <c r="A593" t="s" s="10">
        <v>488</v>
      </c>
      <c r="B593" t="s" s="256">
        <v>947</v>
      </c>
      <c r="C593" s="257">
        <v>31</v>
      </c>
      <c r="D593" t="s" s="256">
        <v>918</v>
      </c>
      <c r="E593" s="119">
        <v>72.86499999999999</v>
      </c>
      <c r="F593" s="258">
        <v>18.8330778804233</v>
      </c>
      <c r="G593" s="259">
        <v>0.0572956676158793</v>
      </c>
      <c r="H593" s="259">
        <v>0.103203881967894</v>
      </c>
      <c r="I593" s="259">
        <v>0.160499549583773</v>
      </c>
      <c r="J593" s="259">
        <v>1.03223093824058</v>
      </c>
      <c r="K593" s="259">
        <v>0.000267659789177859</v>
      </c>
      <c r="L593" s="259">
        <v>0.00170265594150802</v>
      </c>
      <c r="M593" s="259">
        <v>0.00809113068810499</v>
      </c>
      <c r="N593" s="259">
        <v>0.009524700269699661</v>
      </c>
      <c r="O593" s="259">
        <v>2.0455991381499</v>
      </c>
      <c r="P593" s="259">
        <v>2.0231539054579</v>
      </c>
      <c r="Q593" s="259">
        <v>-0.104419361678255</v>
      </c>
      <c r="R593" s="259">
        <v>0.72380420394065</v>
      </c>
      <c r="S593" s="259">
        <v>0.00740461966037912</v>
      </c>
      <c r="T593" s="259">
        <v>0</v>
      </c>
      <c r="U593" s="259">
        <v>0</v>
      </c>
      <c r="V593" s="259">
        <v>0</v>
      </c>
      <c r="W593" s="259"/>
      <c r="X593" s="119"/>
      <c r="Y593" s="258"/>
      <c r="Z593" s="258"/>
      <c r="AA593" s="258"/>
      <c r="AB593" s="258"/>
      <c r="AC593" s="258"/>
      <c r="AD593" s="260"/>
      <c r="AE593" s="261"/>
    </row>
    <row r="594" ht="21.25" customHeight="1">
      <c r="A594" t="s" s="10">
        <v>757</v>
      </c>
      <c r="B594" t="s" s="256">
        <v>945</v>
      </c>
      <c r="C594" s="257">
        <v>29</v>
      </c>
      <c r="D594" t="s" s="256">
        <v>916</v>
      </c>
      <c r="E594" s="119">
        <v>78.08750000000001</v>
      </c>
      <c r="F594" s="258">
        <v>9.65857787393718</v>
      </c>
      <c r="G594" s="259">
        <v>0.0875041274522446</v>
      </c>
      <c r="H594" s="259">
        <v>0.0717519517487057</v>
      </c>
      <c r="I594" s="259">
        <v>0.15925607920095</v>
      </c>
      <c r="J594" s="259">
        <v>1.06402530624447</v>
      </c>
      <c r="K594" s="259">
        <v>0.00134372448173236</v>
      </c>
      <c r="L594" s="259">
        <v>0.0023271540215525</v>
      </c>
      <c r="M594" s="259">
        <v>0.00107406164520936</v>
      </c>
      <c r="N594" s="259">
        <v>0.0034511410507541</v>
      </c>
      <c r="O594" s="259">
        <v>0.29354137183206</v>
      </c>
      <c r="P594" s="259">
        <v>1.94248766047066</v>
      </c>
      <c r="Q594" s="259">
        <v>0.0435055539459367</v>
      </c>
      <c r="R594" s="259">
        <v>0.586603604776904</v>
      </c>
      <c r="S594" s="259">
        <v>0.0127129302571557</v>
      </c>
      <c r="T594" s="259">
        <v>0.080229114206174</v>
      </c>
      <c r="U594" s="259">
        <v>0.149369236144637</v>
      </c>
      <c r="V594" s="259">
        <v>0.349432450553713</v>
      </c>
      <c r="W594" s="259"/>
      <c r="X594" s="119"/>
      <c r="Y594" s="258"/>
      <c r="Z594" s="258"/>
      <c r="AA594" s="258"/>
      <c r="AB594" s="258"/>
      <c r="AC594" s="258"/>
      <c r="AD594" s="260"/>
      <c r="AE594" s="261"/>
    </row>
    <row r="595" ht="21.25" customHeight="1">
      <c r="A595" t="s" s="10">
        <v>839</v>
      </c>
      <c r="B595" t="s" s="256">
        <v>932</v>
      </c>
      <c r="C595" s="257">
        <v>25</v>
      </c>
      <c r="D595" t="s" s="256">
        <v>916</v>
      </c>
      <c r="E595" s="119">
        <v>64.035</v>
      </c>
      <c r="F595" s="258">
        <v>8.35399441928875</v>
      </c>
      <c r="G595" s="259">
        <v>0.0647548926565624</v>
      </c>
      <c r="H595" s="259">
        <v>0.0831852620072796</v>
      </c>
      <c r="I595" s="259">
        <v>0.147940154663842</v>
      </c>
      <c r="J595" s="259">
        <v>0.845735413252209</v>
      </c>
      <c r="K595" s="259">
        <v>0.000897553656817679</v>
      </c>
      <c r="L595" s="259">
        <v>0.00208924078249172</v>
      </c>
      <c r="M595" s="259">
        <v>0.000332681365637252</v>
      </c>
      <c r="N595" s="259">
        <v>0.000567319206218309</v>
      </c>
      <c r="O595" s="259">
        <v>0.333132358186459</v>
      </c>
      <c r="P595" s="259">
        <v>1.9585918763529</v>
      </c>
      <c r="Q595" s="259">
        <v>0.0422112122646088</v>
      </c>
      <c r="R595" s="259">
        <v>1.00742020384992</v>
      </c>
      <c r="S595" s="259">
        <v>0.0110317555744905</v>
      </c>
      <c r="T595" s="259">
        <v>0.00501775261840181</v>
      </c>
      <c r="U595" s="259">
        <v>0.0228460315727226</v>
      </c>
      <c r="V595" s="259">
        <v>0.180081520298314</v>
      </c>
      <c r="W595" s="259"/>
      <c r="X595" s="119"/>
      <c r="Y595" s="258"/>
      <c r="Z595" s="258"/>
      <c r="AA595" s="258"/>
      <c r="AB595" s="258"/>
      <c r="AC595" s="258"/>
      <c r="AD595" s="260"/>
      <c r="AE595" s="261"/>
    </row>
    <row r="596" ht="21.25" customHeight="1">
      <c r="A596" t="s" s="10">
        <v>706</v>
      </c>
      <c r="B596" t="s" s="256">
        <v>937</v>
      </c>
      <c r="C596" s="257">
        <v>35</v>
      </c>
      <c r="D596" t="s" s="256">
        <v>918</v>
      </c>
      <c r="E596" s="119">
        <v>71.9325</v>
      </c>
      <c r="F596" s="258">
        <v>15.2926303298543</v>
      </c>
      <c r="G596" s="259">
        <v>0.0401795914580069</v>
      </c>
      <c r="H596" s="259">
        <v>0.10756065948405</v>
      </c>
      <c r="I596" s="259">
        <v>0.147740250942057</v>
      </c>
      <c r="J596" s="259">
        <v>0.935570812277444</v>
      </c>
      <c r="K596" s="259">
        <v>0.000232733943341256</v>
      </c>
      <c r="L596" s="259">
        <v>0.00153548072989682</v>
      </c>
      <c r="M596" s="259">
        <v>0.000379353312554749</v>
      </c>
      <c r="N596" s="259">
        <v>0.0048099494865941</v>
      </c>
      <c r="O596" s="259">
        <v>1.37429677418374</v>
      </c>
      <c r="P596" s="259">
        <v>1.5964340380381</v>
      </c>
      <c r="Q596" s="259">
        <v>0.0163609045062857</v>
      </c>
      <c r="R596" s="259">
        <v>0.793483097999277</v>
      </c>
      <c r="S596" s="259">
        <v>0.00642546858607551</v>
      </c>
      <c r="T596" s="259">
        <v>0</v>
      </c>
      <c r="U596" s="259">
        <v>0</v>
      </c>
      <c r="V596" s="259">
        <v>0</v>
      </c>
      <c r="W596" s="259"/>
      <c r="X596" s="119"/>
      <c r="Y596" s="258"/>
      <c r="Z596" s="258"/>
      <c r="AA596" s="258"/>
      <c r="AB596" s="258"/>
      <c r="AC596" s="258"/>
      <c r="AD596" s="260"/>
      <c r="AE596" s="261"/>
    </row>
    <row r="597" ht="21.25" customHeight="1">
      <c r="A597" t="s" s="10">
        <v>841</v>
      </c>
      <c r="B597" t="s" s="256">
        <v>925</v>
      </c>
      <c r="C597" s="257">
        <v>28</v>
      </c>
      <c r="D597" t="s" s="256">
        <v>916</v>
      </c>
      <c r="E597" s="119">
        <v>73.16500000000001</v>
      </c>
      <c r="F597" s="258">
        <v>9.65663427625883</v>
      </c>
      <c r="G597" s="259">
        <v>0.06438932861161339</v>
      </c>
      <c r="H597" s="259">
        <v>0.0752030422602404</v>
      </c>
      <c r="I597" s="259">
        <v>0.139592370871854</v>
      </c>
      <c r="J597" s="259">
        <v>0.9039484957977491</v>
      </c>
      <c r="K597" s="259">
        <v>0.00011457903829455</v>
      </c>
      <c r="L597" s="259">
        <v>0.000269049055661413</v>
      </c>
      <c r="M597" s="259">
        <v>0.00451286199925048</v>
      </c>
      <c r="N597" s="259">
        <v>0.00552934442807466</v>
      </c>
      <c r="O597" s="259">
        <v>0.422427347149085</v>
      </c>
      <c r="P597" s="259">
        <v>1.39106863280926</v>
      </c>
      <c r="Q597" s="259">
        <v>0.0205885087492265</v>
      </c>
      <c r="R597" s="259">
        <v>0.294916523156788</v>
      </c>
      <c r="S597" s="259">
        <v>0.00962045173926491</v>
      </c>
      <c r="T597" s="259">
        <v>0.0262759123239152</v>
      </c>
      <c r="U597" s="259">
        <v>0.085505569511983</v>
      </c>
      <c r="V597" s="259">
        <v>0.235064984757402</v>
      </c>
      <c r="W597" s="259"/>
      <c r="X597" s="119"/>
      <c r="Y597" s="258"/>
      <c r="Z597" s="258"/>
      <c r="AA597" s="258"/>
      <c r="AB597" s="258"/>
      <c r="AC597" s="258"/>
      <c r="AD597" s="260"/>
      <c r="AE597" s="261"/>
    </row>
    <row r="598" ht="21.25" customHeight="1">
      <c r="A598" t="s" s="10">
        <v>481</v>
      </c>
      <c r="B598" t="s" s="256">
        <v>926</v>
      </c>
      <c r="C598" s="257">
        <v>25</v>
      </c>
      <c r="D598" t="s" s="256">
        <v>918</v>
      </c>
      <c r="E598" s="119">
        <v>75.38500000000001</v>
      </c>
      <c r="F598" s="258">
        <v>17.0833208935938</v>
      </c>
      <c r="G598" s="259">
        <v>0.0302787521606002</v>
      </c>
      <c r="H598" s="259">
        <v>0.101954931785259</v>
      </c>
      <c r="I598" s="259">
        <v>0.132233683945859</v>
      </c>
      <c r="J598" s="259">
        <v>0.912755020260074</v>
      </c>
      <c r="K598" s="259">
        <v>0.000230399711761029</v>
      </c>
      <c r="L598" s="259">
        <v>0.00149170485150023</v>
      </c>
      <c r="M598" s="259">
        <v>0.000249906040819599</v>
      </c>
      <c r="N598" s="259">
        <v>0.00125055892898793</v>
      </c>
      <c r="O598" s="259">
        <v>1.45890831149111</v>
      </c>
      <c r="P598" s="259">
        <v>2.89341862412501</v>
      </c>
      <c r="Q598" s="259">
        <v>0.054059872764408</v>
      </c>
      <c r="R598" s="259">
        <v>0.625931885145266</v>
      </c>
      <c r="S598" s="259">
        <v>0.00484405758085436</v>
      </c>
      <c r="T598" s="259">
        <v>0</v>
      </c>
      <c r="U598" s="259">
        <v>0</v>
      </c>
      <c r="V598" s="259">
        <v>0</v>
      </c>
      <c r="W598" s="259"/>
      <c r="X598" s="119"/>
      <c r="Y598" s="258"/>
      <c r="Z598" s="258"/>
      <c r="AA598" s="258"/>
      <c r="AB598" s="258"/>
      <c r="AC598" s="258"/>
      <c r="AD598" s="260"/>
      <c r="AE598" s="261"/>
    </row>
    <row r="599" ht="21.25" customHeight="1">
      <c r="A599" t="s" s="10">
        <v>855</v>
      </c>
      <c r="B599" t="s" s="256">
        <v>931</v>
      </c>
      <c r="C599" s="257">
        <v>22</v>
      </c>
      <c r="D599" t="s" s="256">
        <v>915</v>
      </c>
      <c r="E599" s="119">
        <v>58.43</v>
      </c>
      <c r="F599" s="258">
        <v>5.6243566799052</v>
      </c>
      <c r="G599" s="259">
        <v>0.0590790324137026</v>
      </c>
      <c r="H599" s="259">
        <v>0.0731071190230666</v>
      </c>
      <c r="I599" s="259">
        <v>0.132186151436769</v>
      </c>
      <c r="J599" s="259">
        <v>0.632337495989121</v>
      </c>
      <c r="K599" s="259">
        <v>0.000800090736774786</v>
      </c>
      <c r="L599" s="259">
        <v>0.00184691560261518</v>
      </c>
      <c r="M599" s="259">
        <v>1.14911009812105e-05</v>
      </c>
      <c r="N599" s="259">
        <v>1.9433023950817e-05</v>
      </c>
      <c r="O599" s="259">
        <v>0.253795422097332</v>
      </c>
      <c r="P599" s="259">
        <v>1.36558847366093</v>
      </c>
      <c r="Q599" s="259">
        <v>0.0425957330063554</v>
      </c>
      <c r="R599" s="259">
        <v>0.429542115158107</v>
      </c>
      <c r="S599" s="259">
        <v>0.009656958431222841</v>
      </c>
      <c r="T599" s="259">
        <v>0.235254906615296</v>
      </c>
      <c r="U599" s="259">
        <v>0.235254906615297</v>
      </c>
      <c r="V599" s="259">
        <v>0.5</v>
      </c>
      <c r="W599" s="259"/>
      <c r="X599" s="119"/>
      <c r="Y599" s="258"/>
      <c r="Z599" s="258"/>
      <c r="AA599" s="258"/>
      <c r="AB599" s="258"/>
      <c r="AC599" s="258"/>
      <c r="AD599" s="260"/>
      <c r="AE599" s="261"/>
    </row>
    <row r="600" ht="21.25" customHeight="1">
      <c r="A600" t="s" s="10">
        <v>836</v>
      </c>
      <c r="B600" t="s" s="256">
        <v>945</v>
      </c>
      <c r="C600" s="257">
        <v>31</v>
      </c>
      <c r="D600" t="s" s="256">
        <v>965</v>
      </c>
      <c r="E600" s="119">
        <v>62.295</v>
      </c>
      <c r="F600" s="258">
        <v>11.3910027322301</v>
      </c>
      <c r="G600" s="259">
        <v>0.06318890221127769</v>
      </c>
      <c r="H600" s="259">
        <v>0.06356426435438101</v>
      </c>
      <c r="I600" s="259">
        <v>0.126753166565659</v>
      </c>
      <c r="J600" s="259">
        <v>0.879066610700006</v>
      </c>
      <c r="K600" s="259">
        <v>0.000731140799391935</v>
      </c>
      <c r="L600" s="259">
        <v>0.00171247333939901</v>
      </c>
      <c r="M600" s="259">
        <v>0.00236771239002493</v>
      </c>
      <c r="N600" s="259">
        <v>0.00476020098246727</v>
      </c>
      <c r="O600" s="259">
        <v>0.786901120285065</v>
      </c>
      <c r="P600" s="259">
        <v>1.62880797168637</v>
      </c>
      <c r="Q600" s="259">
        <v>-0.0478526011186717</v>
      </c>
      <c r="R600" s="259">
        <v>0.246104290129196</v>
      </c>
      <c r="S600" s="259">
        <v>0.009180322462807431</v>
      </c>
      <c r="T600" s="259">
        <v>2.7955923158853</v>
      </c>
      <c r="U600" s="259">
        <v>3.40021172124002</v>
      </c>
      <c r="V600" s="259">
        <v>0.451207349221195</v>
      </c>
      <c r="W600" s="259"/>
      <c r="X600" s="119"/>
      <c r="Y600" s="258"/>
      <c r="Z600" s="258"/>
      <c r="AA600" s="258"/>
      <c r="AB600" s="258"/>
      <c r="AC600" s="258"/>
      <c r="AD600" s="260"/>
      <c r="AE600" s="261"/>
    </row>
    <row r="601" ht="21.25" customHeight="1">
      <c r="A601" t="s" s="10">
        <v>732</v>
      </c>
      <c r="B601" t="s" s="256">
        <v>927</v>
      </c>
      <c r="C601" s="257">
        <v>35</v>
      </c>
      <c r="D601" t="s" s="256">
        <v>915</v>
      </c>
      <c r="E601" s="119">
        <v>80.2025</v>
      </c>
      <c r="F601" s="258">
        <v>11.6418285660067</v>
      </c>
      <c r="G601" s="259">
        <v>0.0735830060716342</v>
      </c>
      <c r="H601" s="259">
        <v>0.032218428772608</v>
      </c>
      <c r="I601" s="259">
        <v>0.105801434844242</v>
      </c>
      <c r="J601" s="259">
        <v>0.819727769265624</v>
      </c>
      <c r="K601" s="259">
        <v>0.000196941123107415</v>
      </c>
      <c r="L601" s="259">
        <v>0.000423524619412297</v>
      </c>
      <c r="M601" s="259">
        <v>0.0113078132680699</v>
      </c>
      <c r="N601" s="259">
        <v>0.0145591087478702</v>
      </c>
      <c r="O601" s="259">
        <v>0.674523629960383</v>
      </c>
      <c r="P601" s="259">
        <v>1.5355845314787</v>
      </c>
      <c r="Q601" s="259">
        <v>-0.0147581479121835</v>
      </c>
      <c r="R601" s="259">
        <v>0.310660220134849</v>
      </c>
      <c r="S601" s="259">
        <v>0.0115938577868196</v>
      </c>
      <c r="T601" s="259">
        <v>6.06411531879227</v>
      </c>
      <c r="U601" s="259">
        <v>4.44286802481655</v>
      </c>
      <c r="V601" s="259">
        <v>0.577150940520044</v>
      </c>
      <c r="W601" s="259"/>
      <c r="X601" s="119"/>
      <c r="Y601" s="259"/>
      <c r="Z601" s="259"/>
      <c r="AA601" s="259"/>
      <c r="AB601" s="259"/>
      <c r="AC601" s="258"/>
      <c r="AD601" s="260"/>
      <c r="AE601" s="261"/>
    </row>
    <row r="602" ht="21.25" customHeight="1">
      <c r="A602" t="s" s="10">
        <v>853</v>
      </c>
      <c r="B602" t="s" s="256">
        <v>940</v>
      </c>
      <c r="C602" s="257">
        <v>28</v>
      </c>
      <c r="D602" t="s" s="256">
        <v>915</v>
      </c>
      <c r="E602" s="119">
        <v>68.52500000000001</v>
      </c>
      <c r="F602" s="258">
        <v>6.37778321793296</v>
      </c>
      <c r="G602" s="259">
        <v>0.045202979498503</v>
      </c>
      <c r="H602" s="259">
        <v>0.0597700924680175</v>
      </c>
      <c r="I602" s="259">
        <v>0.104973071966521</v>
      </c>
      <c r="J602" s="259">
        <v>0.67025568544964</v>
      </c>
      <c r="K602" s="259">
        <v>0.000675571079169576</v>
      </c>
      <c r="L602" s="259">
        <v>0.00158699301458298</v>
      </c>
      <c r="M602" s="259">
        <v>0</v>
      </c>
      <c r="N602" s="259">
        <v>0</v>
      </c>
      <c r="O602" s="259">
        <v>0.266442676846013</v>
      </c>
      <c r="P602" s="259">
        <v>1.42811095983528</v>
      </c>
      <c r="Q602" s="259">
        <v>-0.0180447693974217</v>
      </c>
      <c r="R602" s="259">
        <v>0.58778041591501</v>
      </c>
      <c r="S602" s="259">
        <v>0.00701840622389171</v>
      </c>
      <c r="T602" s="259">
        <v>0.324540524484344</v>
      </c>
      <c r="U602" s="259">
        <v>0.309660651375817</v>
      </c>
      <c r="V602" s="259">
        <v>0.511731193251373</v>
      </c>
      <c r="W602" s="259"/>
      <c r="X602" s="119"/>
      <c r="Y602" s="259"/>
      <c r="Z602" s="259"/>
      <c r="AA602" s="259"/>
      <c r="AB602" s="259"/>
      <c r="AC602" s="258"/>
      <c r="AD602" s="260"/>
      <c r="AE602" s="261"/>
    </row>
    <row r="603" ht="21.25" customHeight="1">
      <c r="A603" t="s" s="10">
        <v>834</v>
      </c>
      <c r="B603" t="s" s="256">
        <v>952</v>
      </c>
      <c r="C603" s="257">
        <v>37</v>
      </c>
      <c r="D603" t="s" s="256">
        <v>918</v>
      </c>
      <c r="E603" s="119">
        <v>81.0125</v>
      </c>
      <c r="F603" s="258">
        <v>12.922133274460</v>
      </c>
      <c r="G603" s="259">
        <v>0.0159276923000081</v>
      </c>
      <c r="H603" s="259">
        <v>0.0794116605400661</v>
      </c>
      <c r="I603" s="259">
        <v>0.09533935284007421</v>
      </c>
      <c r="J603" s="259">
        <v>0.705730549190687</v>
      </c>
      <c r="K603" s="259">
        <v>7.49474705604981e-05</v>
      </c>
      <c r="L603" s="259">
        <v>0.000587118859517505</v>
      </c>
      <c r="M603" s="259">
        <v>0.000108993874350561</v>
      </c>
      <c r="N603" s="259">
        <v>0.0043632146720075</v>
      </c>
      <c r="O603" s="259">
        <v>0.983671109581561</v>
      </c>
      <c r="P603" s="259">
        <v>0.9464670694463631</v>
      </c>
      <c r="Q603" s="259">
        <v>0.023773210254799</v>
      </c>
      <c r="R603" s="259">
        <v>0.256606969065126</v>
      </c>
      <c r="S603" s="259">
        <v>0.00176135348616802</v>
      </c>
      <c r="T603" s="259">
        <v>0</v>
      </c>
      <c r="U603" s="259">
        <v>0.00149788740295222</v>
      </c>
      <c r="V603" s="259">
        <v>0</v>
      </c>
      <c r="W603" s="259"/>
      <c r="X603" s="119"/>
      <c r="Y603" s="259"/>
      <c r="Z603" s="259"/>
      <c r="AA603" s="259"/>
      <c r="AB603" s="259"/>
      <c r="AC603" s="258"/>
      <c r="AD603" s="260"/>
      <c r="AE603" s="261"/>
    </row>
    <row r="604" ht="21.25" customHeight="1">
      <c r="A604" s="50"/>
      <c r="B604" s="262"/>
      <c r="C604" s="262"/>
      <c r="D604" s="263"/>
      <c r="E604" s="119"/>
      <c r="F604" s="258"/>
      <c r="G604" s="259"/>
      <c r="H604" s="259"/>
      <c r="I604" s="259"/>
      <c r="J604" s="259"/>
      <c r="K604" s="259"/>
      <c r="L604" s="259"/>
      <c r="M604" s="259"/>
      <c r="N604" s="259"/>
      <c r="O604" s="259"/>
      <c r="P604" s="259"/>
      <c r="Q604" s="259"/>
      <c r="R604" s="259"/>
      <c r="S604" s="259"/>
      <c r="T604" s="259"/>
      <c r="U604" s="259"/>
      <c r="V604" s="259"/>
      <c r="W604" s="259"/>
      <c r="X604" s="119"/>
      <c r="Y604" s="259"/>
      <c r="Z604" s="259"/>
      <c r="AA604" s="259"/>
      <c r="AB604" s="259"/>
      <c r="AC604" s="258"/>
      <c r="AD604" s="260"/>
      <c r="AE604" s="261"/>
    </row>
    <row r="605" ht="21.25" customHeight="1">
      <c r="A605" t="s" s="10">
        <v>364</v>
      </c>
      <c r="B605" t="s" s="256">
        <v>958</v>
      </c>
      <c r="C605" s="264">
        <v>31</v>
      </c>
      <c r="D605" t="s" s="256">
        <v>103</v>
      </c>
      <c r="E605" s="119"/>
      <c r="F605" s="258"/>
      <c r="G605" s="259"/>
      <c r="H605" s="259"/>
      <c r="I605" s="259"/>
      <c r="J605" s="259"/>
      <c r="K605" s="259"/>
      <c r="L605" s="259"/>
      <c r="M605" s="259"/>
      <c r="N605" s="259"/>
      <c r="O605" s="259"/>
      <c r="P605" s="259"/>
      <c r="Q605" s="259"/>
      <c r="R605" s="259"/>
      <c r="S605" s="259"/>
      <c r="T605" s="259"/>
      <c r="U605" s="259"/>
      <c r="V605" s="259"/>
      <c r="W605" s="259"/>
      <c r="X605" s="119">
        <v>44</v>
      </c>
      <c r="Y605" s="259">
        <v>0.377611635634861</v>
      </c>
      <c r="Z605" s="259">
        <v>0.497388364365139</v>
      </c>
      <c r="AA605" s="259">
        <v>0.125</v>
      </c>
      <c r="AB605" s="259">
        <v>0.0283601553449032</v>
      </c>
      <c r="AC605" s="258">
        <v>28.769894090495</v>
      </c>
      <c r="AD605" s="260">
        <v>0.90049125727701</v>
      </c>
      <c r="AE605" s="261">
        <v>3.1792157514952</v>
      </c>
    </row>
    <row r="606" ht="21.25" customHeight="1">
      <c r="A606" t="s" s="10">
        <v>450</v>
      </c>
      <c r="B606" t="s" s="256">
        <v>958</v>
      </c>
      <c r="C606" s="264">
        <v>24</v>
      </c>
      <c r="D606" t="s" s="256">
        <v>103</v>
      </c>
      <c r="E606" s="119"/>
      <c r="F606" s="258"/>
      <c r="G606" s="259"/>
      <c r="H606" s="259"/>
      <c r="I606" s="259"/>
      <c r="J606" s="259"/>
      <c r="K606" s="259"/>
      <c r="L606" s="259"/>
      <c r="M606" s="259"/>
      <c r="N606" s="259"/>
      <c r="O606" s="259"/>
      <c r="P606" s="259"/>
      <c r="Q606" s="259"/>
      <c r="R606" s="259"/>
      <c r="S606" s="259"/>
      <c r="T606" s="259"/>
      <c r="U606" s="259"/>
      <c r="V606" s="259"/>
      <c r="W606" s="259"/>
      <c r="X606" s="119">
        <v>36</v>
      </c>
      <c r="Y606" s="259">
        <v>0.38824194142097</v>
      </c>
      <c r="Z606" s="259">
        <v>0.48675805857903</v>
      </c>
      <c r="AA606" s="259">
        <v>0.125</v>
      </c>
      <c r="AB606" s="259">
        <v>0.0362631016056617</v>
      </c>
      <c r="AC606" s="258">
        <v>28.873528751997</v>
      </c>
      <c r="AD606" s="260">
        <v>0.903734999028017</v>
      </c>
      <c r="AE606" s="261">
        <v>3.0755810899932</v>
      </c>
    </row>
    <row r="607" ht="21.25" customHeight="1">
      <c r="A607" t="s" s="10">
        <v>263</v>
      </c>
      <c r="B607" t="s" s="256">
        <v>951</v>
      </c>
      <c r="C607" s="264">
        <v>27</v>
      </c>
      <c r="D607" t="s" s="256">
        <v>103</v>
      </c>
      <c r="E607" s="119"/>
      <c r="F607" s="258"/>
      <c r="G607" s="259"/>
      <c r="H607" s="259"/>
      <c r="I607" s="259"/>
      <c r="J607" s="259"/>
      <c r="K607" s="259"/>
      <c r="L607" s="259"/>
      <c r="M607" s="259"/>
      <c r="N607" s="259"/>
      <c r="O607" s="259"/>
      <c r="P607" s="259"/>
      <c r="Q607" s="259"/>
      <c r="R607" s="259"/>
      <c r="S607" s="259"/>
      <c r="T607" s="259"/>
      <c r="U607" s="259"/>
      <c r="V607" s="259"/>
      <c r="W607" s="259"/>
      <c r="X607" s="119">
        <v>48</v>
      </c>
      <c r="Y607" s="259">
        <v>0.539822978592739</v>
      </c>
      <c r="Z607" s="259">
        <v>0.335177021407261</v>
      </c>
      <c r="AA607" s="259">
        <v>0.125</v>
      </c>
      <c r="AB607" s="259">
        <v>0.0550500988408919</v>
      </c>
      <c r="AC607" s="258">
        <v>27.700986199641</v>
      </c>
      <c r="AD607" s="260">
        <v>0.9074828359628651</v>
      </c>
      <c r="AE607" s="261">
        <v>2.8240938369962</v>
      </c>
    </row>
    <row r="608" ht="21.25" customHeight="1">
      <c r="A608" t="s" s="10">
        <v>527</v>
      </c>
      <c r="B608" t="s" s="256">
        <v>951</v>
      </c>
      <c r="C608" s="264">
        <v>28</v>
      </c>
      <c r="D608" t="s" s="256">
        <v>103</v>
      </c>
      <c r="E608" s="119"/>
      <c r="F608" s="258"/>
      <c r="G608" s="259"/>
      <c r="H608" s="259"/>
      <c r="I608" s="259"/>
      <c r="J608" s="259"/>
      <c r="K608" s="259"/>
      <c r="L608" s="259"/>
      <c r="M608" s="259"/>
      <c r="N608" s="259"/>
      <c r="O608" s="259"/>
      <c r="P608" s="259"/>
      <c r="Q608" s="259"/>
      <c r="R608" s="259"/>
      <c r="S608" s="259"/>
      <c r="T608" s="259"/>
      <c r="U608" s="259"/>
      <c r="V608" s="259"/>
      <c r="W608" s="259"/>
      <c r="X608" s="119">
        <v>32</v>
      </c>
      <c r="Y608" s="259">
        <v>0.496841571415781</v>
      </c>
      <c r="Z608" s="259">
        <v>0.378158428584219</v>
      </c>
      <c r="AA608" s="259">
        <v>0.125</v>
      </c>
      <c r="AB608" s="259">
        <v>0.0399951859871455</v>
      </c>
      <c r="AC608" s="258">
        <v>27.5039224402679</v>
      </c>
      <c r="AD608" s="260">
        <v>0.90102703767711</v>
      </c>
      <c r="AE608" s="261">
        <v>3.0211575963693</v>
      </c>
    </row>
    <row r="609" ht="21.25" customHeight="1">
      <c r="A609" t="s" s="10">
        <v>200</v>
      </c>
      <c r="B609" t="s" s="256">
        <v>928</v>
      </c>
      <c r="C609" s="264">
        <v>25</v>
      </c>
      <c r="D609" t="s" s="256">
        <v>103</v>
      </c>
      <c r="E609" s="119"/>
      <c r="F609" s="258"/>
      <c r="G609" s="259"/>
      <c r="H609" s="259"/>
      <c r="I609" s="259"/>
      <c r="J609" s="259"/>
      <c r="K609" s="259"/>
      <c r="L609" s="259"/>
      <c r="M609" s="259"/>
      <c r="N609" s="259"/>
      <c r="O609" s="259"/>
      <c r="P609" s="259"/>
      <c r="Q609" s="259"/>
      <c r="R609" s="259"/>
      <c r="S609" s="259"/>
      <c r="T609" s="259"/>
      <c r="U609" s="259"/>
      <c r="V609" s="259"/>
      <c r="W609" s="259"/>
      <c r="X609" s="119">
        <v>54</v>
      </c>
      <c r="Y609" s="259">
        <v>0.5885754185668221</v>
      </c>
      <c r="Z609" s="259">
        <v>0.286424581433178</v>
      </c>
      <c r="AA609" s="259">
        <v>0.125</v>
      </c>
      <c r="AB609" s="259">
        <v>0.0736676456336303</v>
      </c>
      <c r="AC609" s="258">
        <v>27.1249656793188</v>
      </c>
      <c r="AD609" s="260">
        <v>0.9131040955676299</v>
      </c>
      <c r="AE609" s="261">
        <v>2.5813578504827</v>
      </c>
    </row>
    <row r="610" ht="21.25" customHeight="1">
      <c r="A610" t="s" s="10">
        <v>648</v>
      </c>
      <c r="B610" t="s" s="256">
        <v>928</v>
      </c>
      <c r="C610" s="264">
        <v>30</v>
      </c>
      <c r="D610" t="s" s="256">
        <v>103</v>
      </c>
      <c r="E610" s="119"/>
      <c r="F610" s="258"/>
      <c r="G610" s="259"/>
      <c r="H610" s="259"/>
      <c r="I610" s="259"/>
      <c r="J610" s="259"/>
      <c r="K610" s="259"/>
      <c r="L610" s="259"/>
      <c r="M610" s="259"/>
      <c r="N610" s="259"/>
      <c r="O610" s="259"/>
      <c r="P610" s="259"/>
      <c r="Q610" s="259"/>
      <c r="R610" s="259"/>
      <c r="S610" s="259"/>
      <c r="T610" s="259"/>
      <c r="U610" s="259"/>
      <c r="V610" s="259"/>
      <c r="W610" s="259"/>
      <c r="X610" s="119">
        <v>26</v>
      </c>
      <c r="Y610" s="259">
        <v>0.497996256815095</v>
      </c>
      <c r="Z610" s="259">
        <v>0.377003743184905</v>
      </c>
      <c r="AA610" s="259">
        <v>0.125</v>
      </c>
      <c r="AB610" s="259">
        <v>0.0455857349721742</v>
      </c>
      <c r="AC610" s="258">
        <v>26.7572459268941</v>
      </c>
      <c r="AD610" s="260">
        <v>0.900725594671825</v>
      </c>
      <c r="AE610" s="261">
        <v>2.9490776029074</v>
      </c>
    </row>
    <row r="611" ht="21.25" customHeight="1">
      <c r="A611" t="s" s="10">
        <v>321</v>
      </c>
      <c r="B611" t="s" s="256">
        <v>934</v>
      </c>
      <c r="C611" s="264">
        <v>25</v>
      </c>
      <c r="D611" t="s" s="256">
        <v>103</v>
      </c>
      <c r="E611" s="119"/>
      <c r="F611" s="258"/>
      <c r="G611" s="259"/>
      <c r="H611" s="259"/>
      <c r="I611" s="259"/>
      <c r="J611" s="259"/>
      <c r="K611" s="259"/>
      <c r="L611" s="259"/>
      <c r="M611" s="259"/>
      <c r="N611" s="259"/>
      <c r="O611" s="259"/>
      <c r="P611" s="259"/>
      <c r="Q611" s="259"/>
      <c r="R611" s="259"/>
      <c r="S611" s="259"/>
      <c r="T611" s="259"/>
      <c r="U611" s="259"/>
      <c r="V611" s="259"/>
      <c r="W611" s="259"/>
      <c r="X611" s="119">
        <v>46</v>
      </c>
      <c r="Y611" s="259">
        <v>0.506431690333612</v>
      </c>
      <c r="Z611" s="259">
        <v>0.368568309666388</v>
      </c>
      <c r="AA611" s="259">
        <v>0.125</v>
      </c>
      <c r="AB611" s="259">
        <v>0.0476724842286133</v>
      </c>
      <c r="AC611" s="258">
        <v>27.796571095601</v>
      </c>
      <c r="AD611" s="260">
        <v>0.904915815359525</v>
      </c>
      <c r="AE611" s="261">
        <v>2.9207294795441</v>
      </c>
    </row>
    <row r="612" ht="21.25" customHeight="1">
      <c r="A612" t="s" s="10">
        <v>492</v>
      </c>
      <c r="B612" t="s" s="256">
        <v>934</v>
      </c>
      <c r="C612" s="264">
        <v>22</v>
      </c>
      <c r="D612" t="s" s="256">
        <v>103</v>
      </c>
      <c r="E612" s="119"/>
      <c r="F612" s="258"/>
      <c r="G612" s="259"/>
      <c r="H612" s="259"/>
      <c r="I612" s="259"/>
      <c r="J612" s="259"/>
      <c r="K612" s="259"/>
      <c r="L612" s="259"/>
      <c r="M612" s="259"/>
      <c r="N612" s="259"/>
      <c r="O612" s="259"/>
      <c r="P612" s="259"/>
      <c r="Q612" s="259"/>
      <c r="R612" s="259"/>
      <c r="S612" s="259"/>
      <c r="T612" s="259"/>
      <c r="U612" s="259"/>
      <c r="V612" s="259"/>
      <c r="W612" s="259"/>
      <c r="X612" s="119">
        <v>34</v>
      </c>
      <c r="Y612" s="259">
        <v>0.501431994039115</v>
      </c>
      <c r="Z612" s="259">
        <v>0.373568005960885</v>
      </c>
      <c r="AA612" s="259">
        <v>0.125</v>
      </c>
      <c r="AB612" s="259">
        <v>0.0427189036091494</v>
      </c>
      <c r="AC612" s="258">
        <v>27.731728940681</v>
      </c>
      <c r="AD612" s="260">
        <v>0.902804882637381</v>
      </c>
      <c r="AE612" s="261">
        <v>2.9855716344641</v>
      </c>
    </row>
    <row r="613" ht="21.25" customHeight="1">
      <c r="A613" t="s" s="10">
        <v>341</v>
      </c>
      <c r="B613" t="s" s="256">
        <v>949</v>
      </c>
      <c r="C613" s="264">
        <v>34</v>
      </c>
      <c r="D613" t="s" s="256">
        <v>103</v>
      </c>
      <c r="E613" s="119"/>
      <c r="F613" s="258"/>
      <c r="G613" s="259"/>
      <c r="H613" s="259"/>
      <c r="I613" s="259"/>
      <c r="J613" s="259"/>
      <c r="K613" s="259"/>
      <c r="L613" s="259"/>
      <c r="M613" s="259"/>
      <c r="N613" s="259"/>
      <c r="O613" s="259"/>
      <c r="P613" s="259"/>
      <c r="Q613" s="259"/>
      <c r="R613" s="259"/>
      <c r="S613" s="259"/>
      <c r="T613" s="259"/>
      <c r="U613" s="259"/>
      <c r="V613" s="259"/>
      <c r="W613" s="259"/>
      <c r="X613" s="119">
        <v>41</v>
      </c>
      <c r="Y613" s="259">
        <v>0.611290505604532</v>
      </c>
      <c r="Z613" s="259">
        <v>0.263709494395468</v>
      </c>
      <c r="AA613" s="259">
        <v>0.125</v>
      </c>
      <c r="AB613" s="259">
        <v>0.0733273631969234</v>
      </c>
      <c r="AC613" s="258">
        <v>26.0192027598181</v>
      </c>
      <c r="AD613" s="260">
        <v>0.908780050531135</v>
      </c>
      <c r="AE613" s="261">
        <v>2.6117104568741</v>
      </c>
    </row>
    <row r="614" ht="21.25" customHeight="1">
      <c r="A614" t="s" s="10">
        <v>345</v>
      </c>
      <c r="B614" t="s" s="256">
        <v>949</v>
      </c>
      <c r="C614" s="264">
        <v>25</v>
      </c>
      <c r="D614" t="s" s="256">
        <v>103</v>
      </c>
      <c r="E614" s="119"/>
      <c r="F614" s="258"/>
      <c r="G614" s="259"/>
      <c r="H614" s="259"/>
      <c r="I614" s="259"/>
      <c r="J614" s="259"/>
      <c r="K614" s="259"/>
      <c r="L614" s="259"/>
      <c r="M614" s="259"/>
      <c r="N614" s="259"/>
      <c r="O614" s="259"/>
      <c r="P614" s="259"/>
      <c r="Q614" s="259"/>
      <c r="R614" s="259"/>
      <c r="S614" s="259"/>
      <c r="T614" s="259"/>
      <c r="U614" s="259"/>
      <c r="V614" s="259"/>
      <c r="W614" s="259"/>
      <c r="X614" s="119">
        <v>41</v>
      </c>
      <c r="Y614" s="259">
        <v>0.6131105577142409</v>
      </c>
      <c r="Z614" s="259">
        <v>0.261889442285759</v>
      </c>
      <c r="AA614" s="259">
        <v>0.125</v>
      </c>
      <c r="AB614" s="259">
        <v>0.06978628464259749</v>
      </c>
      <c r="AC614" s="258">
        <v>25.9723695780737</v>
      </c>
      <c r="AD614" s="260">
        <v>0.907144294752409</v>
      </c>
      <c r="AE614" s="261">
        <v>2.6585436386185</v>
      </c>
    </row>
    <row r="615" ht="21.25" customHeight="1">
      <c r="A615" t="s" s="10">
        <v>316</v>
      </c>
      <c r="B615" t="s" s="256">
        <v>952</v>
      </c>
      <c r="C615" s="264">
        <v>30</v>
      </c>
      <c r="D615" t="s" s="256">
        <v>103</v>
      </c>
      <c r="E615" s="119"/>
      <c r="F615" s="258"/>
      <c r="G615" s="259"/>
      <c r="H615" s="259"/>
      <c r="I615" s="259"/>
      <c r="J615" s="259"/>
      <c r="K615" s="259"/>
      <c r="L615" s="259"/>
      <c r="M615" s="259"/>
      <c r="N615" s="259"/>
      <c r="O615" s="259"/>
      <c r="P615" s="259"/>
      <c r="Q615" s="259"/>
      <c r="R615" s="259"/>
      <c r="S615" s="259"/>
      <c r="T615" s="259"/>
      <c r="U615" s="259"/>
      <c r="V615" s="259"/>
      <c r="W615" s="259"/>
      <c r="X615" s="119">
        <v>48</v>
      </c>
      <c r="Y615" s="259">
        <v>0.380877122515102</v>
      </c>
      <c r="Z615" s="259">
        <v>0.494122877484898</v>
      </c>
      <c r="AA615" s="259">
        <v>0.125</v>
      </c>
      <c r="AB615" s="259">
        <v>0.0230525101102649</v>
      </c>
      <c r="AC615" s="258">
        <v>29.0881136335918</v>
      </c>
      <c r="AD615" s="260">
        <v>0.8999251020189321</v>
      </c>
      <c r="AE615" s="261">
        <v>3.2347025300358</v>
      </c>
    </row>
    <row r="616" ht="21.25" customHeight="1">
      <c r="A616" t="s" s="10">
        <v>640</v>
      </c>
      <c r="B616" t="s" s="256">
        <v>952</v>
      </c>
      <c r="C616" s="264">
        <v>25</v>
      </c>
      <c r="D616" t="s" s="256">
        <v>103</v>
      </c>
      <c r="E616" s="119"/>
      <c r="F616" s="258"/>
      <c r="G616" s="259"/>
      <c r="H616" s="259"/>
      <c r="I616" s="259"/>
      <c r="J616" s="259"/>
      <c r="K616" s="259"/>
      <c r="L616" s="259"/>
      <c r="M616" s="259"/>
      <c r="N616" s="259"/>
      <c r="O616" s="259"/>
      <c r="P616" s="259"/>
      <c r="Q616" s="259"/>
      <c r="R616" s="259"/>
      <c r="S616" s="259"/>
      <c r="T616" s="259"/>
      <c r="U616" s="259"/>
      <c r="V616" s="259"/>
      <c r="W616" s="259"/>
      <c r="X616" s="119">
        <v>26</v>
      </c>
      <c r="Y616" s="259">
        <v>0.385881837560149</v>
      </c>
      <c r="Z616" s="259">
        <v>0.489118162439851</v>
      </c>
      <c r="AA616" s="259">
        <v>0.125</v>
      </c>
      <c r="AB616" s="259">
        <v>0.030297323752501</v>
      </c>
      <c r="AC616" s="258">
        <v>29.1827051752805</v>
      </c>
      <c r="AD616" s="260">
        <v>0.902851565517962</v>
      </c>
      <c r="AE616" s="261">
        <v>3.1401109883471</v>
      </c>
    </row>
    <row r="617" ht="21.25" customHeight="1">
      <c r="A617" t="s" s="10">
        <v>371</v>
      </c>
      <c r="B617" t="s" s="256">
        <v>945</v>
      </c>
      <c r="C617" s="264">
        <v>23</v>
      </c>
      <c r="D617" t="s" s="256">
        <v>103</v>
      </c>
      <c r="E617" s="119"/>
      <c r="F617" s="258"/>
      <c r="G617" s="259"/>
      <c r="H617" s="259"/>
      <c r="I617" s="259"/>
      <c r="J617" s="259"/>
      <c r="K617" s="259"/>
      <c r="L617" s="259"/>
      <c r="M617" s="259"/>
      <c r="N617" s="259"/>
      <c r="O617" s="259"/>
      <c r="P617" s="259"/>
      <c r="Q617" s="259"/>
      <c r="R617" s="259"/>
      <c r="S617" s="259"/>
      <c r="T617" s="259"/>
      <c r="U617" s="259"/>
      <c r="V617" s="259"/>
      <c r="W617" s="259"/>
      <c r="X617" s="119">
        <v>42</v>
      </c>
      <c r="Y617" s="259">
        <v>0.450086667250223</v>
      </c>
      <c r="Z617" s="259">
        <v>0.424913332749777</v>
      </c>
      <c r="AA617" s="259">
        <v>0.125</v>
      </c>
      <c r="AB617" s="259">
        <v>0.0438678320133581</v>
      </c>
      <c r="AC617" s="258">
        <v>27.7663059020998</v>
      </c>
      <c r="AD617" s="260">
        <v>0.9033472036774191</v>
      </c>
      <c r="AE617" s="261">
        <v>2.9708301504241</v>
      </c>
    </row>
    <row r="618" ht="21.25" customHeight="1">
      <c r="A618" t="s" s="10">
        <v>413</v>
      </c>
      <c r="B618" t="s" s="256">
        <v>945</v>
      </c>
      <c r="C618" s="264">
        <v>26</v>
      </c>
      <c r="D618" t="s" s="256">
        <v>103</v>
      </c>
      <c r="E618" s="119"/>
      <c r="F618" s="258"/>
      <c r="G618" s="259"/>
      <c r="H618" s="259"/>
      <c r="I618" s="259"/>
      <c r="J618" s="259"/>
      <c r="K618" s="259"/>
      <c r="L618" s="259"/>
      <c r="M618" s="259"/>
      <c r="N618" s="259"/>
      <c r="O618" s="259"/>
      <c r="P618" s="259"/>
      <c r="Q618" s="259"/>
      <c r="R618" s="259"/>
      <c r="S618" s="259"/>
      <c r="T618" s="259"/>
      <c r="U618" s="259"/>
      <c r="V618" s="259"/>
      <c r="W618" s="259"/>
      <c r="X618" s="119">
        <v>40</v>
      </c>
      <c r="Y618" s="259">
        <v>0.433442999897302</v>
      </c>
      <c r="Z618" s="259">
        <v>0.441557000102698</v>
      </c>
      <c r="AA618" s="259">
        <v>0.125</v>
      </c>
      <c r="AB618" s="259">
        <v>0.0325335921663446</v>
      </c>
      <c r="AC618" s="258">
        <v>27.6179263146293</v>
      </c>
      <c r="AD618" s="260">
        <v>0.898519831757766</v>
      </c>
      <c r="AE618" s="261">
        <v>3.1192097378946</v>
      </c>
    </row>
    <row r="619" ht="21.25" customHeight="1">
      <c r="A619" t="s" s="10">
        <v>398</v>
      </c>
      <c r="B619" t="s" s="256">
        <v>947</v>
      </c>
      <c r="C619" s="264">
        <v>32</v>
      </c>
      <c r="D619" t="s" s="256">
        <v>103</v>
      </c>
      <c r="E619" s="119"/>
      <c r="F619" s="258"/>
      <c r="G619" s="259"/>
      <c r="H619" s="259"/>
      <c r="I619" s="259"/>
      <c r="J619" s="259"/>
      <c r="K619" s="259"/>
      <c r="L619" s="259"/>
      <c r="M619" s="259"/>
      <c r="N619" s="259"/>
      <c r="O619" s="259"/>
      <c r="P619" s="259"/>
      <c r="Q619" s="259"/>
      <c r="R619" s="259"/>
      <c r="S619" s="259"/>
      <c r="T619" s="259"/>
      <c r="U619" s="259"/>
      <c r="V619" s="259"/>
      <c r="W619" s="259"/>
      <c r="X619" s="119">
        <v>40</v>
      </c>
      <c r="Y619" s="259">
        <v>0.392145531383651</v>
      </c>
      <c r="Z619" s="259">
        <v>0.482854468616349</v>
      </c>
      <c r="AA619" s="259">
        <v>0.125</v>
      </c>
      <c r="AB619" s="259">
        <v>0.0479117538607356</v>
      </c>
      <c r="AC619" s="258">
        <v>27.7628014247844</v>
      </c>
      <c r="AD619" s="260">
        <v>0.905111295916734</v>
      </c>
      <c r="AE619" s="261">
        <v>2.9105550453336</v>
      </c>
    </row>
    <row r="620" ht="21.25" customHeight="1">
      <c r="A620" t="s" s="10">
        <v>435</v>
      </c>
      <c r="B620" t="s" s="256">
        <v>947</v>
      </c>
      <c r="C620" s="264">
        <v>31</v>
      </c>
      <c r="D620" t="s" s="256">
        <v>103</v>
      </c>
      <c r="E620" s="119"/>
      <c r="F620" s="258"/>
      <c r="G620" s="259"/>
      <c r="H620" s="259"/>
      <c r="I620" s="259"/>
      <c r="J620" s="259"/>
      <c r="K620" s="259"/>
      <c r="L620" s="259"/>
      <c r="M620" s="259"/>
      <c r="N620" s="259"/>
      <c r="O620" s="259"/>
      <c r="P620" s="259"/>
      <c r="Q620" s="259"/>
      <c r="R620" s="259"/>
      <c r="S620" s="259"/>
      <c r="T620" s="259"/>
      <c r="U620" s="259"/>
      <c r="V620" s="259"/>
      <c r="W620" s="259"/>
      <c r="X620" s="119">
        <v>36</v>
      </c>
      <c r="Y620" s="259">
        <v>0.427360607923942</v>
      </c>
      <c r="Z620" s="259">
        <v>0.447639392076058</v>
      </c>
      <c r="AA620" s="259">
        <v>0.125</v>
      </c>
      <c r="AB620" s="259">
        <v>0.0616527643950458</v>
      </c>
      <c r="AC620" s="258">
        <v>27.9422364924983</v>
      </c>
      <c r="AD620" s="260">
        <v>0.910961163305347</v>
      </c>
      <c r="AE620" s="261">
        <v>2.7311199776197</v>
      </c>
    </row>
    <row r="621" ht="21.25" customHeight="1">
      <c r="A621" t="s" s="10">
        <v>211</v>
      </c>
      <c r="B621" t="s" s="256">
        <v>925</v>
      </c>
      <c r="C621" s="264">
        <v>28</v>
      </c>
      <c r="D621" t="s" s="256">
        <v>103</v>
      </c>
      <c r="E621" s="119"/>
      <c r="F621" s="258"/>
      <c r="G621" s="259"/>
      <c r="H621" s="259"/>
      <c r="I621" s="259"/>
      <c r="J621" s="259"/>
      <c r="K621" s="259"/>
      <c r="L621" s="259"/>
      <c r="M621" s="259"/>
      <c r="N621" s="259"/>
      <c r="O621" s="259"/>
      <c r="P621" s="259"/>
      <c r="Q621" s="259"/>
      <c r="R621" s="259"/>
      <c r="S621" s="259"/>
      <c r="T621" s="259"/>
      <c r="U621" s="259"/>
      <c r="V621" s="259"/>
      <c r="W621" s="259"/>
      <c r="X621" s="119">
        <v>54</v>
      </c>
      <c r="Y621" s="259">
        <v>0.588197115629007</v>
      </c>
      <c r="Z621" s="259">
        <v>0.286802884370993</v>
      </c>
      <c r="AA621" s="259">
        <v>0.125</v>
      </c>
      <c r="AB621" s="259">
        <v>0.0552572442754934</v>
      </c>
      <c r="AC621" s="258">
        <v>27.3694117840101</v>
      </c>
      <c r="AD621" s="260">
        <v>0.907088503704089</v>
      </c>
      <c r="AE621" s="261">
        <v>2.8034012019856</v>
      </c>
    </row>
    <row r="622" ht="21.25" customHeight="1">
      <c r="A622" t="s" s="10">
        <v>612</v>
      </c>
      <c r="B622" t="s" s="256">
        <v>925</v>
      </c>
      <c r="C622" s="264">
        <v>24</v>
      </c>
      <c r="D622" t="s" s="256">
        <v>103</v>
      </c>
      <c r="E622" s="119"/>
      <c r="F622" s="258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119">
        <v>26</v>
      </c>
      <c r="Y622" s="259">
        <v>0.585263535452356</v>
      </c>
      <c r="Z622" s="259">
        <v>0.289736464547644</v>
      </c>
      <c r="AA622" s="259">
        <v>0.125</v>
      </c>
      <c r="AB622" s="259">
        <v>0.0508361292252435</v>
      </c>
      <c r="AC622" s="258">
        <v>27.3119096925837</v>
      </c>
      <c r="AD622" s="260">
        <v>0.905182745316458</v>
      </c>
      <c r="AE622" s="261">
        <v>2.860903293412</v>
      </c>
    </row>
    <row r="623" ht="21.25" customHeight="1">
      <c r="A623" t="s" s="10">
        <v>175</v>
      </c>
      <c r="B623" t="s" s="256">
        <v>937</v>
      </c>
      <c r="C623" s="264">
        <v>25</v>
      </c>
      <c r="D623" t="s" s="256">
        <v>103</v>
      </c>
      <c r="E623" s="119"/>
      <c r="F623" s="258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119">
        <v>60</v>
      </c>
      <c r="Y623" s="259">
        <v>0.621719962002062</v>
      </c>
      <c r="Z623" s="259">
        <v>0.253280037997938</v>
      </c>
      <c r="AA623" s="259">
        <v>0.125</v>
      </c>
      <c r="AB623" s="259">
        <v>0.07413032757059811</v>
      </c>
      <c r="AC623" s="258">
        <v>26.1798691135641</v>
      </c>
      <c r="AD623" s="260">
        <v>0.91079550853685</v>
      </c>
      <c r="AE623" s="261">
        <v>2.5640902803737</v>
      </c>
    </row>
    <row r="624" ht="21.25" customHeight="1">
      <c r="A624" t="s" s="10">
        <v>336</v>
      </c>
      <c r="B624" t="s" s="256">
        <v>942</v>
      </c>
      <c r="C624" s="264">
        <v>37</v>
      </c>
      <c r="D624" t="s" s="256">
        <v>103</v>
      </c>
      <c r="E624" s="119"/>
      <c r="F624" s="258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119">
        <v>44</v>
      </c>
      <c r="Y624" s="259">
        <v>0.456063031231212</v>
      </c>
      <c r="Z624" s="259">
        <v>0.418936968768788</v>
      </c>
      <c r="AA624" s="259">
        <v>0.125</v>
      </c>
      <c r="AB624" s="259">
        <v>0.0491524765008991</v>
      </c>
      <c r="AC624" s="258">
        <v>28.2068102545561</v>
      </c>
      <c r="AD624" s="260">
        <v>0.907</v>
      </c>
      <c r="AE624" s="261">
        <v>2.8922087692103</v>
      </c>
    </row>
    <row r="625" ht="21.25" customHeight="1">
      <c r="A625" t="s" s="10">
        <v>472</v>
      </c>
      <c r="B625" t="s" s="256">
        <v>942</v>
      </c>
      <c r="C625" s="264">
        <v>31</v>
      </c>
      <c r="D625" t="s" s="256">
        <v>103</v>
      </c>
      <c r="E625" s="119"/>
      <c r="F625" s="258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119">
        <v>34</v>
      </c>
      <c r="Y625" s="259">
        <v>0.452775127281447</v>
      </c>
      <c r="Z625" s="259">
        <v>0.422224872718553</v>
      </c>
      <c r="AA625" s="259">
        <v>0.125</v>
      </c>
      <c r="AB625" s="259">
        <v>0.0445894960089341</v>
      </c>
      <c r="AC625" s="258">
        <v>28.1472693583428</v>
      </c>
      <c r="AD625" s="260">
        <v>0.905085441339233</v>
      </c>
      <c r="AE625" s="261">
        <v>2.9517496654236</v>
      </c>
    </row>
    <row r="626" ht="21.25" customHeight="1">
      <c r="A626" t="s" s="10">
        <v>187</v>
      </c>
      <c r="B626" t="s" s="256">
        <v>924</v>
      </c>
      <c r="C626" s="264">
        <v>25</v>
      </c>
      <c r="D626" t="s" s="256">
        <v>103</v>
      </c>
      <c r="E626" s="119"/>
      <c r="F626" s="258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119">
        <v>56</v>
      </c>
      <c r="Y626" s="259">
        <v>0.66618468603139</v>
      </c>
      <c r="Z626" s="259">
        <v>0.20881531396861</v>
      </c>
      <c r="AA626" s="259">
        <v>0.125</v>
      </c>
      <c r="AB626" s="259">
        <v>0.0593602285664084</v>
      </c>
      <c r="AC626" s="258">
        <v>27.1710980403834</v>
      </c>
      <c r="AD626" s="260">
        <v>0.908989718253294</v>
      </c>
      <c r="AE626" s="261">
        <v>2.7204370284567</v>
      </c>
    </row>
    <row r="627" ht="21.25" customHeight="1">
      <c r="A627" t="s" s="10">
        <v>658</v>
      </c>
      <c r="B627" t="s" s="256">
        <v>924</v>
      </c>
      <c r="C627" s="264">
        <v>32</v>
      </c>
      <c r="D627" t="s" s="256">
        <v>103</v>
      </c>
      <c r="E627" s="119"/>
      <c r="F627" s="258"/>
      <c r="G627" s="259"/>
      <c r="H627" s="259"/>
      <c r="I627" s="259"/>
      <c r="J627" s="259"/>
      <c r="K627" s="259"/>
      <c r="L627" s="259"/>
      <c r="M627" s="259"/>
      <c r="N627" s="259"/>
      <c r="O627" s="259"/>
      <c r="P627" s="259"/>
      <c r="Q627" s="259"/>
      <c r="R627" s="259"/>
      <c r="S627" s="259"/>
      <c r="T627" s="259"/>
      <c r="U627" s="259"/>
      <c r="V627" s="259"/>
      <c r="W627" s="259"/>
      <c r="X627" s="119">
        <v>24</v>
      </c>
      <c r="Y627" s="259">
        <v>0.61174828404686</v>
      </c>
      <c r="Z627" s="259">
        <v>0.26325171595314</v>
      </c>
      <c r="AA627" s="259">
        <v>0.125</v>
      </c>
      <c r="AB627" s="259">
        <v>0.0448889287829298</v>
      </c>
      <c r="AC627" s="258">
        <v>26.9849066748047</v>
      </c>
      <c r="AD627" s="260">
        <v>0.902760818829095</v>
      </c>
      <c r="AE627" s="261">
        <v>2.9066283940354</v>
      </c>
    </row>
    <row r="628" ht="21.25" customHeight="1">
      <c r="A628" t="s" s="10">
        <v>205</v>
      </c>
      <c r="B628" t="s" s="256">
        <v>932</v>
      </c>
      <c r="C628" s="264">
        <v>35</v>
      </c>
      <c r="D628" t="s" s="256">
        <v>103</v>
      </c>
      <c r="E628" s="119"/>
      <c r="F628" s="258"/>
      <c r="G628" s="259"/>
      <c r="H628" s="259"/>
      <c r="I628" s="259"/>
      <c r="J628" s="259"/>
      <c r="K628" s="259"/>
      <c r="L628" s="259"/>
      <c r="M628" s="259"/>
      <c r="N628" s="259"/>
      <c r="O628" s="259"/>
      <c r="P628" s="259"/>
      <c r="Q628" s="259"/>
      <c r="R628" s="259"/>
      <c r="S628" s="259"/>
      <c r="T628" s="259"/>
      <c r="U628" s="259"/>
      <c r="V628" s="259"/>
      <c r="W628" s="259"/>
      <c r="X628" s="119">
        <v>56</v>
      </c>
      <c r="Y628" s="259">
        <v>0.622261268530916</v>
      </c>
      <c r="Z628" s="259">
        <v>0.252738731469084</v>
      </c>
      <c r="AA628" s="259">
        <v>0.125</v>
      </c>
      <c r="AB628" s="259">
        <v>0.0716170586134544</v>
      </c>
      <c r="AC628" s="258">
        <v>25.8215729081378</v>
      </c>
      <c r="AD628" s="260">
        <v>0.908586924417999</v>
      </c>
      <c r="AE628" s="261">
        <v>2.5979125744185</v>
      </c>
    </row>
    <row r="629" ht="21.25" customHeight="1">
      <c r="A629" t="s" s="10">
        <v>709</v>
      </c>
      <c r="B629" t="s" s="256">
        <v>932</v>
      </c>
      <c r="C629" s="264">
        <v>23</v>
      </c>
      <c r="D629" t="s" s="256">
        <v>103</v>
      </c>
      <c r="E629" s="119"/>
      <c r="F629" s="258"/>
      <c r="G629" s="259"/>
      <c r="H629" s="259"/>
      <c r="I629" s="259"/>
      <c r="J629" s="259"/>
      <c r="K629" s="259"/>
      <c r="L629" s="259"/>
      <c r="M629" s="259"/>
      <c r="N629" s="259"/>
      <c r="O629" s="259"/>
      <c r="P629" s="259"/>
      <c r="Q629" s="259"/>
      <c r="R629" s="259"/>
      <c r="S629" s="259"/>
      <c r="T629" s="259"/>
      <c r="U629" s="259"/>
      <c r="V629" s="259"/>
      <c r="W629" s="259"/>
      <c r="X629" s="119">
        <v>22</v>
      </c>
      <c r="Y629" s="259">
        <v>0.583811935432449</v>
      </c>
      <c r="Z629" s="259">
        <v>0.291188064567551</v>
      </c>
      <c r="AA629" s="259">
        <v>0.125</v>
      </c>
      <c r="AB629" s="259">
        <v>0.0549234074408213</v>
      </c>
      <c r="AC629" s="258">
        <v>25.6038401746394</v>
      </c>
      <c r="AD629" s="260">
        <v>0.9009255354167089</v>
      </c>
      <c r="AE629" s="261">
        <v>2.8156453079169</v>
      </c>
    </row>
    <row r="630" ht="21.25" customHeight="1">
      <c r="A630" t="s" s="10">
        <v>266</v>
      </c>
      <c r="B630" t="s" s="256">
        <v>950</v>
      </c>
      <c r="C630" s="264">
        <v>34</v>
      </c>
      <c r="D630" t="s" s="256">
        <v>103</v>
      </c>
      <c r="E630" s="119"/>
      <c r="F630" s="258"/>
      <c r="G630" s="259"/>
      <c r="H630" s="259"/>
      <c r="I630" s="259"/>
      <c r="J630" s="259"/>
      <c r="K630" s="259"/>
      <c r="L630" s="259"/>
      <c r="M630" s="259"/>
      <c r="N630" s="259"/>
      <c r="O630" s="259"/>
      <c r="P630" s="259"/>
      <c r="Q630" s="259"/>
      <c r="R630" s="259"/>
      <c r="S630" s="259"/>
      <c r="T630" s="259"/>
      <c r="U630" s="259"/>
      <c r="V630" s="259"/>
      <c r="W630" s="259"/>
      <c r="X630" s="119">
        <v>50</v>
      </c>
      <c r="Y630" s="259">
        <v>0.5547127324829489</v>
      </c>
      <c r="Z630" s="259">
        <v>0.320287267517051</v>
      </c>
      <c r="AA630" s="259">
        <v>0.125</v>
      </c>
      <c r="AB630" s="259">
        <v>0.0646723287903718</v>
      </c>
      <c r="AC630" s="258">
        <v>25.8123523773214</v>
      </c>
      <c r="AD630" s="260">
        <v>0.9056991915295201</v>
      </c>
      <c r="AE630" s="261">
        <v>2.6875652760556</v>
      </c>
    </row>
    <row r="631" ht="21.25" customHeight="1">
      <c r="A631" t="s" s="10">
        <v>646</v>
      </c>
      <c r="B631" t="s" s="256">
        <v>950</v>
      </c>
      <c r="C631" s="264">
        <v>31</v>
      </c>
      <c r="D631" t="s" s="256">
        <v>103</v>
      </c>
      <c r="E631" s="119"/>
      <c r="F631" s="258"/>
      <c r="G631" s="259"/>
      <c r="H631" s="259"/>
      <c r="I631" s="259"/>
      <c r="J631" s="259"/>
      <c r="K631" s="259"/>
      <c r="L631" s="259"/>
      <c r="M631" s="259"/>
      <c r="N631" s="259"/>
      <c r="O631" s="259"/>
      <c r="P631" s="259"/>
      <c r="Q631" s="259"/>
      <c r="R631" s="259"/>
      <c r="S631" s="259"/>
      <c r="T631" s="259"/>
      <c r="U631" s="259"/>
      <c r="V631" s="259"/>
      <c r="W631" s="259"/>
      <c r="X631" s="119">
        <v>25</v>
      </c>
      <c r="Y631" s="259">
        <v>0.555909947468857</v>
      </c>
      <c r="Z631" s="259">
        <v>0.319090052531143</v>
      </c>
      <c r="AA631" s="259">
        <v>0.125</v>
      </c>
      <c r="AB631" s="259">
        <v>0.0652183424187292</v>
      </c>
      <c r="AC631" s="258">
        <v>25.8194714955806</v>
      </c>
      <c r="AD631" s="260">
        <v>0.905948985874393</v>
      </c>
      <c r="AE631" s="261">
        <v>2.6804461577964</v>
      </c>
    </row>
    <row r="632" ht="21.25" customHeight="1">
      <c r="A632" t="s" s="10">
        <v>274</v>
      </c>
      <c r="B632" t="s" s="256">
        <v>933</v>
      </c>
      <c r="C632" s="264">
        <v>26</v>
      </c>
      <c r="D632" t="s" s="256">
        <v>103</v>
      </c>
      <c r="E632" s="119"/>
      <c r="F632" s="258"/>
      <c r="G632" s="259"/>
      <c r="H632" s="259"/>
      <c r="I632" s="259"/>
      <c r="J632" s="259"/>
      <c r="K632" s="259"/>
      <c r="L632" s="259"/>
      <c r="M632" s="259"/>
      <c r="N632" s="259"/>
      <c r="O632" s="259"/>
      <c r="P632" s="259"/>
      <c r="Q632" s="259"/>
      <c r="R632" s="259"/>
      <c r="S632" s="259"/>
      <c r="T632" s="259"/>
      <c r="U632" s="259"/>
      <c r="V632" s="259"/>
      <c r="W632" s="259"/>
      <c r="X632" s="119">
        <v>50</v>
      </c>
      <c r="Y632" s="259">
        <v>0.541185650056778</v>
      </c>
      <c r="Z632" s="259">
        <v>0.333814349943222</v>
      </c>
      <c r="AA632" s="259">
        <v>0.125</v>
      </c>
      <c r="AB632" s="259">
        <v>0.0788487691588575</v>
      </c>
      <c r="AC632" s="258">
        <v>25.4172060942497</v>
      </c>
      <c r="AD632" s="260">
        <v>0.91019355133849</v>
      </c>
      <c r="AE632" s="261">
        <v>2.5078501279926</v>
      </c>
    </row>
    <row r="633" ht="21.25" customHeight="1">
      <c r="A633" t="s" s="10">
        <v>586</v>
      </c>
      <c r="B633" t="s" s="256">
        <v>933</v>
      </c>
      <c r="C633" s="264">
        <v>39</v>
      </c>
      <c r="D633" t="s" s="256">
        <v>103</v>
      </c>
      <c r="E633" s="119"/>
      <c r="F633" s="258"/>
      <c r="G633" s="259"/>
      <c r="H633" s="259"/>
      <c r="I633" s="259"/>
      <c r="J633" s="259"/>
      <c r="K633" s="259"/>
      <c r="L633" s="259"/>
      <c r="M633" s="259"/>
      <c r="N633" s="259"/>
      <c r="O633" s="259"/>
      <c r="P633" s="259"/>
      <c r="Q633" s="259"/>
      <c r="R633" s="259"/>
      <c r="S633" s="259"/>
      <c r="T633" s="259"/>
      <c r="U633" s="259"/>
      <c r="V633" s="259"/>
      <c r="W633" s="259"/>
      <c r="X633" s="119">
        <v>30</v>
      </c>
      <c r="Y633" s="259">
        <v>0.483477830905516</v>
      </c>
      <c r="Z633" s="259">
        <v>0.391522169094484</v>
      </c>
      <c r="AA633" s="259">
        <v>0.125</v>
      </c>
      <c r="AB633" s="259">
        <v>0.06420148635324401</v>
      </c>
      <c r="AC633" s="258">
        <v>25.2258387875759</v>
      </c>
      <c r="AD633" s="260">
        <v>0.903340662479436</v>
      </c>
      <c r="AE633" s="261">
        <v>2.6992174346664</v>
      </c>
    </row>
    <row r="634" ht="21.25" customHeight="1">
      <c r="A634" t="s" s="10">
        <v>276</v>
      </c>
      <c r="B634" t="s" s="256">
        <v>954</v>
      </c>
      <c r="C634" s="264">
        <v>27</v>
      </c>
      <c r="D634" t="s" s="256">
        <v>103</v>
      </c>
      <c r="E634" s="119"/>
      <c r="F634" s="258"/>
      <c r="G634" s="259"/>
      <c r="H634" s="259"/>
      <c r="I634" s="259"/>
      <c r="J634" s="259"/>
      <c r="K634" s="259"/>
      <c r="L634" s="259"/>
      <c r="M634" s="259"/>
      <c r="N634" s="259"/>
      <c r="O634" s="259"/>
      <c r="P634" s="259"/>
      <c r="Q634" s="259"/>
      <c r="R634" s="259"/>
      <c r="S634" s="259"/>
      <c r="T634" s="259"/>
      <c r="U634" s="259"/>
      <c r="V634" s="259"/>
      <c r="W634" s="259"/>
      <c r="X634" s="119">
        <v>50</v>
      </c>
      <c r="Y634" s="259">
        <v>0.472791349291518</v>
      </c>
      <c r="Z634" s="259">
        <v>0.402208650708482</v>
      </c>
      <c r="AA634" s="259">
        <v>0.125</v>
      </c>
      <c r="AB634" s="259">
        <v>0.0391108411644431</v>
      </c>
      <c r="AC634" s="258">
        <v>28.8005283739219</v>
      </c>
      <c r="AD634" s="260">
        <v>0.904542115709784</v>
      </c>
      <c r="AE634" s="261">
        <v>3.0393692645893</v>
      </c>
    </row>
    <row r="635" ht="21.25" customHeight="1">
      <c r="A635" t="s" s="10">
        <v>601</v>
      </c>
      <c r="B635" t="s" s="256">
        <v>954</v>
      </c>
      <c r="C635" s="264">
        <v>24</v>
      </c>
      <c r="D635" t="s" s="256">
        <v>103</v>
      </c>
      <c r="E635" s="119"/>
      <c r="F635" s="258"/>
      <c r="G635" s="259"/>
      <c r="H635" s="259"/>
      <c r="I635" s="259"/>
      <c r="J635" s="259"/>
      <c r="K635" s="259"/>
      <c r="L635" s="259"/>
      <c r="M635" s="259"/>
      <c r="N635" s="259"/>
      <c r="O635" s="259"/>
      <c r="P635" s="259"/>
      <c r="Q635" s="259"/>
      <c r="R635" s="259"/>
      <c r="S635" s="259"/>
      <c r="T635" s="259"/>
      <c r="U635" s="259"/>
      <c r="V635" s="259"/>
      <c r="W635" s="259"/>
      <c r="X635" s="119">
        <v>28</v>
      </c>
      <c r="Y635" s="259">
        <v>0.433993517608139</v>
      </c>
      <c r="Z635" s="259">
        <v>0.441006482391861</v>
      </c>
      <c r="AA635" s="259">
        <v>0.125</v>
      </c>
      <c r="AB635" s="259">
        <v>0.0329407835014029</v>
      </c>
      <c r="AC635" s="258">
        <v>28.7195876699371</v>
      </c>
      <c r="AD635" s="260">
        <v>0.902</v>
      </c>
      <c r="AE635" s="261">
        <v>3.1203099685741</v>
      </c>
    </row>
    <row r="636" ht="21.25" customHeight="1">
      <c r="A636" t="s" s="10">
        <v>199</v>
      </c>
      <c r="B636" t="s" s="256">
        <v>929</v>
      </c>
      <c r="C636" s="264">
        <v>34</v>
      </c>
      <c r="D636" t="s" s="256">
        <v>103</v>
      </c>
      <c r="E636" s="119"/>
      <c r="F636" s="258"/>
      <c r="G636" s="259"/>
      <c r="H636" s="259"/>
      <c r="I636" s="259"/>
      <c r="J636" s="259"/>
      <c r="K636" s="259"/>
      <c r="L636" s="259"/>
      <c r="M636" s="259"/>
      <c r="N636" s="259"/>
      <c r="O636" s="259"/>
      <c r="P636" s="259"/>
      <c r="Q636" s="259"/>
      <c r="R636" s="259"/>
      <c r="S636" s="259"/>
      <c r="T636" s="259"/>
      <c r="U636" s="259"/>
      <c r="V636" s="259"/>
      <c r="W636" s="259"/>
      <c r="X636" s="119">
        <v>54</v>
      </c>
      <c r="Y636" s="259">
        <v>0.586044778392667</v>
      </c>
      <c r="Z636" s="259">
        <v>0.288955221607333</v>
      </c>
      <c r="AA636" s="259">
        <v>0.125</v>
      </c>
      <c r="AB636" s="259">
        <v>0.0621650454801608</v>
      </c>
      <c r="AC636" s="258">
        <v>27.2805875851726</v>
      </c>
      <c r="AD636" s="260">
        <v>0.909</v>
      </c>
      <c r="AE636" s="261">
        <v>2.7310599232681</v>
      </c>
    </row>
    <row r="637" ht="21.25" customHeight="1">
      <c r="A637" t="s" s="10">
        <v>667</v>
      </c>
      <c r="B637" t="s" s="256">
        <v>929</v>
      </c>
      <c r="C637" s="264">
        <v>33</v>
      </c>
      <c r="D637" t="s" s="256">
        <v>103</v>
      </c>
      <c r="E637" s="119"/>
      <c r="F637" s="258"/>
      <c r="G637" s="259"/>
      <c r="H637" s="259"/>
      <c r="I637" s="259"/>
      <c r="J637" s="259"/>
      <c r="K637" s="259"/>
      <c r="L637" s="259"/>
      <c r="M637" s="259"/>
      <c r="N637" s="259"/>
      <c r="O637" s="259"/>
      <c r="P637" s="259"/>
      <c r="Q637" s="259"/>
      <c r="R637" s="259"/>
      <c r="S637" s="259"/>
      <c r="T637" s="259"/>
      <c r="U637" s="259"/>
      <c r="V637" s="259"/>
      <c r="W637" s="259"/>
      <c r="X637" s="119">
        <v>24</v>
      </c>
      <c r="Y637" s="259">
        <v>0.533958097112481</v>
      </c>
      <c r="Z637" s="259">
        <v>0.341041902887519</v>
      </c>
      <c r="AA637" s="259">
        <v>0.125</v>
      </c>
      <c r="AB637" s="259">
        <v>0.048408894632699</v>
      </c>
      <c r="AC637" s="258">
        <v>27.100517700122</v>
      </c>
      <c r="AD637" s="260">
        <v>0.903</v>
      </c>
      <c r="AE637" s="261">
        <v>2.9111298083187</v>
      </c>
    </row>
    <row r="638" ht="21.25" customHeight="1">
      <c r="A638" t="s" s="10">
        <v>164</v>
      </c>
      <c r="B638" t="s" s="256">
        <v>930</v>
      </c>
      <c r="C638" s="264">
        <v>29</v>
      </c>
      <c r="D638" t="s" s="256">
        <v>103</v>
      </c>
      <c r="E638" s="119"/>
      <c r="F638" s="258"/>
      <c r="G638" s="259"/>
      <c r="H638" s="259"/>
      <c r="I638" s="259"/>
      <c r="J638" s="259"/>
      <c r="K638" s="259"/>
      <c r="L638" s="259"/>
      <c r="M638" s="259"/>
      <c r="N638" s="259"/>
      <c r="O638" s="259"/>
      <c r="P638" s="259"/>
      <c r="Q638" s="259"/>
      <c r="R638" s="259"/>
      <c r="S638" s="259"/>
      <c r="T638" s="259"/>
      <c r="U638" s="259"/>
      <c r="V638" s="259"/>
      <c r="W638" s="259"/>
      <c r="X638" s="119">
        <v>60</v>
      </c>
      <c r="Y638" s="259">
        <v>0.5834714594567419</v>
      </c>
      <c r="Z638" s="259">
        <v>0.291528540543258</v>
      </c>
      <c r="AA638" s="259">
        <v>0.125</v>
      </c>
      <c r="AB638" s="259">
        <v>0.06722356088505781</v>
      </c>
      <c r="AC638" s="258">
        <v>27.5393460739512</v>
      </c>
      <c r="AD638" s="260">
        <v>0.912008686577135</v>
      </c>
      <c r="AE638" s="261">
        <v>2.6570177099391</v>
      </c>
    </row>
    <row r="639" ht="21.25" customHeight="1">
      <c r="A639" t="s" s="10">
        <v>753</v>
      </c>
      <c r="B639" t="s" s="256">
        <v>930</v>
      </c>
      <c r="C639" s="264">
        <v>31</v>
      </c>
      <c r="D639" t="s" s="256">
        <v>103</v>
      </c>
      <c r="E639" s="119"/>
      <c r="F639" s="258"/>
      <c r="G639" s="259"/>
      <c r="H639" s="259"/>
      <c r="I639" s="259"/>
      <c r="J639" s="259"/>
      <c r="K639" s="259"/>
      <c r="L639" s="259"/>
      <c r="M639" s="259"/>
      <c r="N639" s="259"/>
      <c r="O639" s="259"/>
      <c r="P639" s="259"/>
      <c r="Q639" s="259"/>
      <c r="R639" s="259"/>
      <c r="S639" s="259"/>
      <c r="T639" s="259"/>
      <c r="U639" s="259"/>
      <c r="V639" s="259"/>
      <c r="W639" s="259"/>
      <c r="X639" s="119">
        <v>20</v>
      </c>
      <c r="Y639" s="259">
        <v>0.498179932699906</v>
      </c>
      <c r="Z639" s="259">
        <v>0.376820067300094</v>
      </c>
      <c r="AA639" s="259">
        <v>0.125</v>
      </c>
      <c r="AB639" s="259">
        <v>0.0394402995979809</v>
      </c>
      <c r="AC639" s="258">
        <v>27.1767274055013</v>
      </c>
      <c r="AD639" s="260">
        <v>0.9</v>
      </c>
      <c r="AE639" s="261">
        <v>3.019636378389</v>
      </c>
    </row>
    <row r="640" ht="21.25" customHeight="1">
      <c r="A640" t="s" s="10">
        <v>206</v>
      </c>
      <c r="B640" t="s" s="256">
        <v>936</v>
      </c>
      <c r="C640" s="264">
        <v>28</v>
      </c>
      <c r="D640" t="s" s="256">
        <v>103</v>
      </c>
      <c r="E640" s="119"/>
      <c r="F640" s="258"/>
      <c r="G640" s="259"/>
      <c r="H640" s="259"/>
      <c r="I640" s="259"/>
      <c r="J640" s="259"/>
      <c r="K640" s="259"/>
      <c r="L640" s="259"/>
      <c r="M640" s="259"/>
      <c r="N640" s="259"/>
      <c r="O640" s="259"/>
      <c r="P640" s="259"/>
      <c r="Q640" s="259"/>
      <c r="R640" s="259"/>
      <c r="S640" s="259"/>
      <c r="T640" s="259"/>
      <c r="U640" s="259"/>
      <c r="V640" s="259"/>
      <c r="W640" s="259"/>
      <c r="X640" s="119">
        <v>54</v>
      </c>
      <c r="Y640" s="259">
        <v>0.572090289299094</v>
      </c>
      <c r="Z640" s="259">
        <v>0.302909710700906</v>
      </c>
      <c r="AA640" s="259">
        <v>0.125</v>
      </c>
      <c r="AB640" s="259">
        <v>0.07888747463967601</v>
      </c>
      <c r="AC640" s="258">
        <v>26.6974331188132</v>
      </c>
      <c r="AD640" s="260">
        <v>0.913968418512338</v>
      </c>
      <c r="AE640" s="261">
        <v>2.513021616886</v>
      </c>
    </row>
    <row r="641" ht="21.25" customHeight="1">
      <c r="A641" t="s" s="10">
        <v>621</v>
      </c>
      <c r="B641" t="s" s="256">
        <v>936</v>
      </c>
      <c r="C641" s="264">
        <v>36</v>
      </c>
      <c r="D641" t="s" s="256">
        <v>103</v>
      </c>
      <c r="E641" s="119"/>
      <c r="F641" s="258"/>
      <c r="G641" s="259"/>
      <c r="H641" s="259"/>
      <c r="I641" s="259"/>
      <c r="J641" s="259"/>
      <c r="K641" s="259"/>
      <c r="L641" s="259"/>
      <c r="M641" s="259"/>
      <c r="N641" s="259"/>
      <c r="O641" s="259"/>
      <c r="P641" s="259"/>
      <c r="Q641" s="259"/>
      <c r="R641" s="259"/>
      <c r="S641" s="259"/>
      <c r="T641" s="259"/>
      <c r="U641" s="259"/>
      <c r="V641" s="259"/>
      <c r="W641" s="259"/>
      <c r="X641" s="119">
        <v>26</v>
      </c>
      <c r="Y641" s="259">
        <v>0.521815231232147</v>
      </c>
      <c r="Z641" s="259">
        <v>0.353184768767853</v>
      </c>
      <c r="AA641" s="259">
        <v>0.125</v>
      </c>
      <c r="AB641" s="259">
        <v>0.06765987115533841</v>
      </c>
      <c r="AC641" s="258">
        <v>26.550411916268</v>
      </c>
      <c r="AD641" s="260">
        <v>0.908935247893274</v>
      </c>
      <c r="AE641" s="261">
        <v>2.6600428194312</v>
      </c>
    </row>
    <row r="642" ht="21.25" customHeight="1">
      <c r="A642" t="s" s="10">
        <v>160</v>
      </c>
      <c r="B642" t="s" s="256">
        <v>931</v>
      </c>
      <c r="C642" s="264">
        <v>28</v>
      </c>
      <c r="D642" t="s" s="256">
        <v>103</v>
      </c>
      <c r="E642" s="119"/>
      <c r="F642" s="258"/>
      <c r="G642" s="259"/>
      <c r="H642" s="259"/>
      <c r="I642" s="259"/>
      <c r="J642" s="259"/>
      <c r="K642" s="259"/>
      <c r="L642" s="259"/>
      <c r="M642" s="259"/>
      <c r="N642" s="259"/>
      <c r="O642" s="259"/>
      <c r="P642" s="259"/>
      <c r="Q642" s="259"/>
      <c r="R642" s="259"/>
      <c r="S642" s="259"/>
      <c r="T642" s="259"/>
      <c r="U642" s="259"/>
      <c r="V642" s="259"/>
      <c r="W642" s="259"/>
      <c r="X642" s="119">
        <v>60</v>
      </c>
      <c r="Y642" s="259">
        <v>0.616283339454483</v>
      </c>
      <c r="Z642" s="259">
        <v>0.258716660545517</v>
      </c>
      <c r="AA642" s="259">
        <v>0.125</v>
      </c>
      <c r="AB642" s="259">
        <v>0.0761651584832779</v>
      </c>
      <c r="AC642" s="258">
        <v>26.8660499293856</v>
      </c>
      <c r="AD642" s="260">
        <v>0.91337951134645</v>
      </c>
      <c r="AE642" s="261">
        <v>2.5478460422695</v>
      </c>
    </row>
    <row r="643" ht="21.25" customHeight="1">
      <c r="A643" t="s" s="10">
        <v>755</v>
      </c>
      <c r="B643" t="s" s="256">
        <v>931</v>
      </c>
      <c r="C643" s="264">
        <v>38</v>
      </c>
      <c r="D643" t="s" s="256">
        <v>103</v>
      </c>
      <c r="E643" s="119"/>
      <c r="F643" s="258"/>
      <c r="G643" s="259"/>
      <c r="H643" s="259"/>
      <c r="I643" s="259"/>
      <c r="J643" s="259"/>
      <c r="K643" s="259"/>
      <c r="L643" s="259"/>
      <c r="M643" s="259"/>
      <c r="N643" s="259"/>
      <c r="O643" s="259"/>
      <c r="P643" s="259"/>
      <c r="Q643" s="259"/>
      <c r="R643" s="259"/>
      <c r="S643" s="259"/>
      <c r="T643" s="259"/>
      <c r="U643" s="259"/>
      <c r="V643" s="259"/>
      <c r="W643" s="259"/>
      <c r="X643" s="119">
        <v>20</v>
      </c>
      <c r="Y643" s="259">
        <v>0.529582611592593</v>
      </c>
      <c r="Z643" s="259">
        <v>0.345417388407407</v>
      </c>
      <c r="AA643" s="259">
        <v>0.125</v>
      </c>
      <c r="AB643" s="259">
        <v>0.0437111983729449</v>
      </c>
      <c r="AC643" s="258">
        <v>26.4412149246212</v>
      </c>
      <c r="AD643" s="260">
        <v>0.898936167792987</v>
      </c>
      <c r="AE643" s="261">
        <v>2.9726810470339</v>
      </c>
    </row>
    <row r="644" ht="21.25" customHeight="1">
      <c r="A644" t="s" s="10">
        <v>245</v>
      </c>
      <c r="B644" t="s" s="256">
        <v>940</v>
      </c>
      <c r="C644" s="264">
        <v>30</v>
      </c>
      <c r="D644" t="s" s="256">
        <v>103</v>
      </c>
      <c r="E644" s="119"/>
      <c r="F644" s="258"/>
      <c r="G644" s="259"/>
      <c r="H644" s="259"/>
      <c r="I644" s="259"/>
      <c r="J644" s="259"/>
      <c r="K644" s="259"/>
      <c r="L644" s="259"/>
      <c r="M644" s="259"/>
      <c r="N644" s="259"/>
      <c r="O644" s="259"/>
      <c r="P644" s="259"/>
      <c r="Q644" s="259"/>
      <c r="R644" s="259"/>
      <c r="S644" s="259"/>
      <c r="T644" s="259"/>
      <c r="U644" s="259"/>
      <c r="V644" s="259"/>
      <c r="W644" s="259"/>
      <c r="X644" s="119">
        <v>48</v>
      </c>
      <c r="Y644" s="259">
        <v>0.54524112133879</v>
      </c>
      <c r="Z644" s="259">
        <v>0.32975887866121</v>
      </c>
      <c r="AA644" s="259">
        <v>0.125</v>
      </c>
      <c r="AB644" s="259">
        <v>0.06700114315461241</v>
      </c>
      <c r="AC644" s="258">
        <v>27.9451780374125</v>
      </c>
      <c r="AD644" s="260">
        <v>0.913</v>
      </c>
      <c r="AE644" s="261">
        <v>2.6629030550437</v>
      </c>
    </row>
    <row r="645" ht="21.25" customHeight="1">
      <c r="A645" t="s" s="10">
        <v>534</v>
      </c>
      <c r="B645" t="s" s="256">
        <v>940</v>
      </c>
      <c r="C645" s="264">
        <v>31</v>
      </c>
      <c r="D645" t="s" s="256">
        <v>103</v>
      </c>
      <c r="E645" s="119"/>
      <c r="F645" s="258"/>
      <c r="G645" s="259"/>
      <c r="H645" s="259"/>
      <c r="I645" s="259"/>
      <c r="J645" s="259"/>
      <c r="K645" s="259"/>
      <c r="L645" s="259"/>
      <c r="M645" s="259"/>
      <c r="N645" s="259"/>
      <c r="O645" s="259"/>
      <c r="P645" s="259"/>
      <c r="Q645" s="259"/>
      <c r="R645" s="259"/>
      <c r="S645" s="259"/>
      <c r="T645" s="259"/>
      <c r="U645" s="259"/>
      <c r="V645" s="259"/>
      <c r="W645" s="259"/>
      <c r="X645" s="119">
        <v>32</v>
      </c>
      <c r="Y645" s="259">
        <v>0.46691955891128</v>
      </c>
      <c r="Z645" s="259">
        <v>0.40808044108872</v>
      </c>
      <c r="AA645" s="259">
        <v>0.125</v>
      </c>
      <c r="AB645" s="259">
        <v>0.0373248803477627</v>
      </c>
      <c r="AC645" s="258">
        <v>27.5574182034572</v>
      </c>
      <c r="AD645" s="260">
        <v>0.90033145561187</v>
      </c>
      <c r="AE645" s="261">
        <v>3.050662888999</v>
      </c>
    </row>
    <row r="646" ht="21.25" customHeight="1">
      <c r="A646" t="s" s="10">
        <v>323</v>
      </c>
      <c r="B646" t="s" s="256">
        <v>956</v>
      </c>
      <c r="C646" s="264">
        <v>24</v>
      </c>
      <c r="D646" t="s" s="256">
        <v>103</v>
      </c>
      <c r="E646" s="119"/>
      <c r="F646" s="258"/>
      <c r="G646" s="259"/>
      <c r="H646" s="259"/>
      <c r="I646" s="259"/>
      <c r="J646" s="259"/>
      <c r="K646" s="259"/>
      <c r="L646" s="259"/>
      <c r="M646" s="259"/>
      <c r="N646" s="259"/>
      <c r="O646" s="259"/>
      <c r="P646" s="259"/>
      <c r="Q646" s="259"/>
      <c r="R646" s="259"/>
      <c r="S646" s="259"/>
      <c r="T646" s="259"/>
      <c r="U646" s="259"/>
      <c r="V646" s="259"/>
      <c r="W646" s="259"/>
      <c r="X646" s="119">
        <v>48</v>
      </c>
      <c r="Y646" s="259">
        <v>0.474263802169068</v>
      </c>
      <c r="Z646" s="259">
        <v>0.400736197830932</v>
      </c>
      <c r="AA646" s="259">
        <v>0.125</v>
      </c>
      <c r="AB646" s="259">
        <v>0.0504422982083815</v>
      </c>
      <c r="AC646" s="258">
        <v>26.0001317418566</v>
      </c>
      <c r="AD646" s="260">
        <v>0.900098937027724</v>
      </c>
      <c r="AE646" s="261">
        <v>2.8857281034103</v>
      </c>
    </row>
    <row r="647" ht="21.25" customHeight="1">
      <c r="A647" t="s" s="10">
        <v>623</v>
      </c>
      <c r="B647" t="s" s="256">
        <v>956</v>
      </c>
      <c r="C647" s="264">
        <v>27</v>
      </c>
      <c r="D647" t="s" s="256">
        <v>103</v>
      </c>
      <c r="E647" s="119"/>
      <c r="F647" s="258"/>
      <c r="G647" s="259"/>
      <c r="H647" s="259"/>
      <c r="I647" s="259"/>
      <c r="J647" s="259"/>
      <c r="K647" s="259"/>
      <c r="L647" s="259"/>
      <c r="M647" s="259"/>
      <c r="N647" s="259"/>
      <c r="O647" s="259"/>
      <c r="P647" s="259"/>
      <c r="Q647" s="259"/>
      <c r="R647" s="259"/>
      <c r="S647" s="259"/>
      <c r="T647" s="259"/>
      <c r="U647" s="259"/>
      <c r="V647" s="259"/>
      <c r="W647" s="259"/>
      <c r="X647" s="119">
        <v>30</v>
      </c>
      <c r="Y647" s="259">
        <v>0.448709590290247</v>
      </c>
      <c r="Z647" s="259">
        <v>0.426290409709753</v>
      </c>
      <c r="AA647" s="259">
        <v>0.125</v>
      </c>
      <c r="AB647" s="259">
        <v>0.0400368292902491</v>
      </c>
      <c r="AC647" s="258">
        <v>25.8638653266504</v>
      </c>
      <c r="AD647" s="260">
        <v>0.895381528027745</v>
      </c>
      <c r="AE647" s="261">
        <v>3.0219945186165</v>
      </c>
    </row>
    <row r="648" ht="21.25" customHeight="1">
      <c r="A648" t="s" s="10">
        <v>258</v>
      </c>
      <c r="B648" t="s" s="256">
        <v>939</v>
      </c>
      <c r="C648" s="264">
        <v>29</v>
      </c>
      <c r="D648" t="s" s="256">
        <v>103</v>
      </c>
      <c r="E648" s="119"/>
      <c r="F648" s="258"/>
      <c r="G648" s="259"/>
      <c r="H648" s="259"/>
      <c r="I648" s="259"/>
      <c r="J648" s="259"/>
      <c r="K648" s="259"/>
      <c r="L648" s="259"/>
      <c r="M648" s="259"/>
      <c r="N648" s="259"/>
      <c r="O648" s="259"/>
      <c r="P648" s="259"/>
      <c r="Q648" s="259"/>
      <c r="R648" s="259"/>
      <c r="S648" s="259"/>
      <c r="T648" s="259"/>
      <c r="U648" s="259"/>
      <c r="V648" s="259"/>
      <c r="W648" s="259"/>
      <c r="X648" s="119">
        <v>48</v>
      </c>
      <c r="Y648" s="259">
        <v>0.526041906140735</v>
      </c>
      <c r="Z648" s="259">
        <v>0.348958093859265</v>
      </c>
      <c r="AA648" s="259">
        <v>0.125</v>
      </c>
      <c r="AB648" s="259">
        <v>0.0540529719656493</v>
      </c>
      <c r="AC648" s="258">
        <v>28.1990271816696</v>
      </c>
      <c r="AD648" s="260">
        <v>0.907529699573274</v>
      </c>
      <c r="AE648" s="261">
        <v>2.8732641107575</v>
      </c>
    </row>
    <row r="649" ht="21.25" customHeight="1">
      <c r="A649" t="s" s="10">
        <v>547</v>
      </c>
      <c r="B649" t="s" s="256">
        <v>939</v>
      </c>
      <c r="C649" s="264">
        <v>28</v>
      </c>
      <c r="D649" t="s" s="256">
        <v>103</v>
      </c>
      <c r="E649" s="119"/>
      <c r="F649" s="258"/>
      <c r="G649" s="259"/>
      <c r="H649" s="259"/>
      <c r="I649" s="259"/>
      <c r="J649" s="259"/>
      <c r="K649" s="259"/>
      <c r="L649" s="259"/>
      <c r="M649" s="259"/>
      <c r="N649" s="259"/>
      <c r="O649" s="259"/>
      <c r="P649" s="259"/>
      <c r="Q649" s="259"/>
      <c r="R649" s="259"/>
      <c r="S649" s="259"/>
      <c r="T649" s="259"/>
      <c r="U649" s="259"/>
      <c r="V649" s="259"/>
      <c r="W649" s="259"/>
      <c r="X649" s="119">
        <v>30</v>
      </c>
      <c r="Y649" s="259">
        <v>0.493734586930794</v>
      </c>
      <c r="Z649" s="259">
        <v>0.381265413069206</v>
      </c>
      <c r="AA649" s="259">
        <v>0.125</v>
      </c>
      <c r="AB649" s="259">
        <v>0.0416108485830324</v>
      </c>
      <c r="AC649" s="258">
        <v>28.0340906337451</v>
      </c>
      <c r="AD649" s="260">
        <v>0.902221544266274</v>
      </c>
      <c r="AE649" s="261">
        <v>3.038200658682</v>
      </c>
    </row>
    <row r="650" ht="21.25" customHeight="1">
      <c r="A650" t="s" s="10">
        <v>320</v>
      </c>
      <c r="B650" t="s" s="256">
        <v>955</v>
      </c>
      <c r="C650" s="264">
        <v>27</v>
      </c>
      <c r="D650" t="s" s="256">
        <v>103</v>
      </c>
      <c r="E650" s="119"/>
      <c r="F650" s="258"/>
      <c r="G650" s="259"/>
      <c r="H650" s="259"/>
      <c r="I650" s="259"/>
      <c r="J650" s="259"/>
      <c r="K650" s="259"/>
      <c r="L650" s="259"/>
      <c r="M650" s="259"/>
      <c r="N650" s="259"/>
      <c r="O650" s="259"/>
      <c r="P650" s="259"/>
      <c r="Q650" s="259"/>
      <c r="R650" s="259"/>
      <c r="S650" s="259"/>
      <c r="T650" s="259"/>
      <c r="U650" s="259"/>
      <c r="V650" s="259"/>
      <c r="W650" s="259"/>
      <c r="X650" s="119">
        <v>45</v>
      </c>
      <c r="Y650" s="259">
        <v>0.507483128091663</v>
      </c>
      <c r="Z650" s="259">
        <v>0.367516871908337</v>
      </c>
      <c r="AA650" s="259">
        <v>0.125</v>
      </c>
      <c r="AB650" s="259">
        <v>0.06685965765372399</v>
      </c>
      <c r="AC650" s="258">
        <v>26.3553605943334</v>
      </c>
      <c r="AD650" s="260">
        <v>0.908</v>
      </c>
      <c r="AE650" s="261">
        <v>2.6703669324655</v>
      </c>
    </row>
    <row r="651" ht="21.25" customHeight="1">
      <c r="A651" t="s" s="10">
        <v>487</v>
      </c>
      <c r="B651" t="s" s="256">
        <v>955</v>
      </c>
      <c r="C651" s="264">
        <v>32</v>
      </c>
      <c r="D651" t="s" s="256">
        <v>103</v>
      </c>
      <c r="E651" s="119"/>
      <c r="F651" s="258"/>
      <c r="G651" s="259"/>
      <c r="H651" s="259"/>
      <c r="I651" s="259"/>
      <c r="J651" s="259"/>
      <c r="K651" s="259"/>
      <c r="L651" s="259"/>
      <c r="M651" s="259"/>
      <c r="N651" s="259"/>
      <c r="O651" s="259"/>
      <c r="P651" s="259"/>
      <c r="Q651" s="259"/>
      <c r="R651" s="259"/>
      <c r="S651" s="259"/>
      <c r="T651" s="259"/>
      <c r="U651" s="259"/>
      <c r="V651" s="259"/>
      <c r="W651" s="259"/>
      <c r="X651" s="119">
        <v>35</v>
      </c>
      <c r="Y651" s="259">
        <v>0.469962501406746</v>
      </c>
      <c r="Z651" s="259">
        <v>0.405037498593254</v>
      </c>
      <c r="AA651" s="259">
        <v>0.125</v>
      </c>
      <c r="AB651" s="259">
        <v>0.0524790915583647</v>
      </c>
      <c r="AC651" s="258">
        <v>26.1670634299304</v>
      </c>
      <c r="AD651" s="260">
        <v>0.901512749534731</v>
      </c>
      <c r="AE651" s="261">
        <v>2.8586640968685</v>
      </c>
    </row>
    <row r="652" ht="21.25" customHeight="1">
      <c r="A652" t="s" s="10">
        <v>571</v>
      </c>
      <c r="B652" t="s" s="256">
        <v>959</v>
      </c>
      <c r="C652" s="264">
        <v>27</v>
      </c>
      <c r="D652" t="s" s="256">
        <v>103</v>
      </c>
      <c r="E652" s="119"/>
      <c r="F652" s="258"/>
      <c r="G652" s="259"/>
      <c r="H652" s="259"/>
      <c r="I652" s="259"/>
      <c r="J652" s="259"/>
      <c r="K652" s="259"/>
      <c r="L652" s="259"/>
      <c r="M652" s="259"/>
      <c r="N652" s="259"/>
      <c r="O652" s="259"/>
      <c r="P652" s="259"/>
      <c r="Q652" s="259"/>
      <c r="R652" s="259"/>
      <c r="S652" s="259"/>
      <c r="T652" s="259"/>
      <c r="U652" s="259"/>
      <c r="V652" s="259"/>
      <c r="W652" s="259"/>
      <c r="X652" s="119">
        <v>30</v>
      </c>
      <c r="Y652" s="259">
        <v>0.338167540745651</v>
      </c>
      <c r="Z652" s="259">
        <v>0.536832459254349</v>
      </c>
      <c r="AA652" s="259">
        <v>0.125</v>
      </c>
      <c r="AB652" s="259">
        <v>0.0310502843760756</v>
      </c>
      <c r="AC652" s="258">
        <v>29.4827105317202</v>
      </c>
      <c r="AD652" s="260">
        <v>0.902994872268538</v>
      </c>
      <c r="AE652" s="261">
        <v>3.1672096806201</v>
      </c>
    </row>
    <row r="653" ht="21.25" customHeight="1">
      <c r="A653" t="s" s="10">
        <v>332</v>
      </c>
      <c r="B653" t="s" s="256">
        <v>959</v>
      </c>
      <c r="C653" s="264">
        <v>22</v>
      </c>
      <c r="D653" t="s" s="256">
        <v>103</v>
      </c>
      <c r="E653" s="119"/>
      <c r="F653" s="258"/>
      <c r="G653" s="259"/>
      <c r="H653" s="259"/>
      <c r="I653" s="259"/>
      <c r="J653" s="259"/>
      <c r="K653" s="259"/>
      <c r="L653" s="259"/>
      <c r="M653" s="259"/>
      <c r="N653" s="259"/>
      <c r="O653" s="259"/>
      <c r="P653" s="259"/>
      <c r="Q653" s="259"/>
      <c r="R653" s="259"/>
      <c r="S653" s="259"/>
      <c r="T653" s="259"/>
      <c r="U653" s="259"/>
      <c r="V653" s="259"/>
      <c r="W653" s="259"/>
      <c r="X653" s="119">
        <v>45</v>
      </c>
      <c r="Y653" s="259">
        <v>0.350622161187158</v>
      </c>
      <c r="Z653" s="259">
        <v>0.5243778388128419</v>
      </c>
      <c r="AA653" s="259">
        <v>0.125</v>
      </c>
      <c r="AB653" s="259">
        <v>0.023648409944245</v>
      </c>
      <c r="AC653" s="258">
        <v>29.5155278719556</v>
      </c>
      <c r="AD653" s="260">
        <v>0.904</v>
      </c>
      <c r="AE653" s="261">
        <v>3.1343923403847</v>
      </c>
    </row>
    <row r="654" ht="21.25" customHeight="1">
      <c r="A654" t="s" s="10">
        <v>217</v>
      </c>
      <c r="B654" t="s" s="256">
        <v>948</v>
      </c>
      <c r="C654" s="264">
        <v>31</v>
      </c>
      <c r="D654" t="s" s="256">
        <v>103</v>
      </c>
      <c r="E654" s="119"/>
      <c r="F654" s="258"/>
      <c r="G654" s="259"/>
      <c r="H654" s="259"/>
      <c r="I654" s="259"/>
      <c r="J654" s="259"/>
      <c r="K654" s="259"/>
      <c r="L654" s="259"/>
      <c r="M654" s="259"/>
      <c r="N654" s="259"/>
      <c r="O654" s="259"/>
      <c r="P654" s="259"/>
      <c r="Q654" s="259"/>
      <c r="R654" s="259"/>
      <c r="S654" s="259"/>
      <c r="T654" s="259"/>
      <c r="U654" s="259"/>
      <c r="V654" s="259"/>
      <c r="W654" s="259"/>
      <c r="X654" s="119">
        <v>54</v>
      </c>
      <c r="Y654" s="259">
        <v>0.458148293447287</v>
      </c>
      <c r="Z654" s="259">
        <v>0.416851706552713</v>
      </c>
      <c r="AA654" s="259">
        <v>0.125</v>
      </c>
      <c r="AB654" s="259">
        <v>0.0464087342054741</v>
      </c>
      <c r="AC654" s="258">
        <v>28.8428939930345</v>
      </c>
      <c r="AD654" s="260">
        <v>0.906510097344989</v>
      </c>
      <c r="AE654" s="261">
        <v>2.9746159028953</v>
      </c>
    </row>
    <row r="655" ht="21.25" customHeight="1">
      <c r="A655" t="s" s="10">
        <v>629</v>
      </c>
      <c r="B655" t="s" s="256">
        <v>948</v>
      </c>
      <c r="C655" s="264">
        <v>23</v>
      </c>
      <c r="D655" t="s" s="256">
        <v>103</v>
      </c>
      <c r="E655" s="119"/>
      <c r="F655" s="258"/>
      <c r="G655" s="259"/>
      <c r="H655" s="259"/>
      <c r="I655" s="259"/>
      <c r="J655" s="259"/>
      <c r="K655" s="259"/>
      <c r="L655" s="259"/>
      <c r="M655" s="259"/>
      <c r="N655" s="259"/>
      <c r="O655" s="259"/>
      <c r="P655" s="259"/>
      <c r="Q655" s="259"/>
      <c r="R655" s="259"/>
      <c r="S655" s="259"/>
      <c r="T655" s="259"/>
      <c r="U655" s="259"/>
      <c r="V655" s="259"/>
      <c r="W655" s="259"/>
      <c r="X655" s="119">
        <v>26</v>
      </c>
      <c r="Y655" s="259">
        <v>0.44391990978567</v>
      </c>
      <c r="Z655" s="259">
        <v>0.43108009021433</v>
      </c>
      <c r="AA655" s="259">
        <v>0.125</v>
      </c>
      <c r="AB655" s="259">
        <v>0.0425559545751694</v>
      </c>
      <c r="AC655" s="258">
        <v>28.7918200819441</v>
      </c>
      <c r="AD655" s="260">
        <v>0.904904883383951</v>
      </c>
      <c r="AE655" s="261">
        <v>3.0256898139857</v>
      </c>
    </row>
    <row r="656" ht="21.25" customHeight="1">
      <c r="A656" t="s" s="10">
        <v>180</v>
      </c>
      <c r="B656" t="s" s="256">
        <v>927</v>
      </c>
      <c r="C656" s="264">
        <v>30</v>
      </c>
      <c r="D656" t="s" s="256">
        <v>103</v>
      </c>
      <c r="E656" s="119"/>
      <c r="F656" s="258"/>
      <c r="G656" s="259"/>
      <c r="H656" s="259"/>
      <c r="I656" s="259"/>
      <c r="J656" s="259"/>
      <c r="K656" s="259"/>
      <c r="L656" s="259"/>
      <c r="M656" s="259"/>
      <c r="N656" s="259"/>
      <c r="O656" s="259"/>
      <c r="P656" s="259"/>
      <c r="Q656" s="259"/>
      <c r="R656" s="259"/>
      <c r="S656" s="259"/>
      <c r="T656" s="259"/>
      <c r="U656" s="259"/>
      <c r="V656" s="259"/>
      <c r="W656" s="259"/>
      <c r="X656" s="119">
        <v>60</v>
      </c>
      <c r="Y656" s="259">
        <v>0.5634606517902</v>
      </c>
      <c r="Z656" s="259">
        <v>0.3115393482098</v>
      </c>
      <c r="AA656" s="259">
        <v>0.125</v>
      </c>
      <c r="AB656" s="259">
        <v>0.0623807244809783</v>
      </c>
      <c r="AC656" s="258">
        <v>27.3838976720603</v>
      </c>
      <c r="AD656" s="260">
        <v>0.909337960419629</v>
      </c>
      <c r="AE656" s="261">
        <v>2.7302060649305</v>
      </c>
    </row>
    <row r="657" ht="21.25" customHeight="1">
      <c r="A657" t="s" s="10">
        <v>759</v>
      </c>
      <c r="B657" t="s" s="256">
        <v>927</v>
      </c>
      <c r="C657" s="264">
        <v>28</v>
      </c>
      <c r="D657" t="s" s="256">
        <v>103</v>
      </c>
      <c r="E657" s="119"/>
      <c r="F657" s="258"/>
      <c r="G657" s="259"/>
      <c r="H657" s="259"/>
      <c r="I657" s="259"/>
      <c r="J657" s="259"/>
      <c r="K657" s="259"/>
      <c r="L657" s="259"/>
      <c r="M657" s="259"/>
      <c r="N657" s="259"/>
      <c r="O657" s="259"/>
      <c r="P657" s="259"/>
      <c r="Q657" s="259"/>
      <c r="R657" s="259"/>
      <c r="S657" s="259"/>
      <c r="T657" s="259"/>
      <c r="U657" s="259"/>
      <c r="V657" s="259"/>
      <c r="W657" s="259"/>
      <c r="X657" s="119">
        <v>20</v>
      </c>
      <c r="Y657" s="259">
        <v>0.499317965775285</v>
      </c>
      <c r="Z657" s="259">
        <v>0.375682034224715</v>
      </c>
      <c r="AA657" s="259">
        <v>0.125</v>
      </c>
      <c r="AB657" s="259">
        <v>0.0358654559286898</v>
      </c>
      <c r="AC657" s="258">
        <v>27.0365586515478</v>
      </c>
      <c r="AD657" s="260">
        <v>0.897803862524963</v>
      </c>
      <c r="AE657" s="261">
        <v>3.077545085443</v>
      </c>
    </row>
    <row r="658" ht="21.25" customHeight="1">
      <c r="A658" t="s" s="10">
        <v>284</v>
      </c>
      <c r="B658" t="s" s="256">
        <v>926</v>
      </c>
      <c r="C658" s="264">
        <v>26</v>
      </c>
      <c r="D658" t="s" s="256">
        <v>103</v>
      </c>
      <c r="E658" s="119"/>
      <c r="F658" s="258"/>
      <c r="G658" s="259"/>
      <c r="H658" s="259"/>
      <c r="I658" s="259"/>
      <c r="J658" s="259"/>
      <c r="K658" s="259"/>
      <c r="L658" s="259"/>
      <c r="M658" s="259"/>
      <c r="N658" s="259"/>
      <c r="O658" s="259"/>
      <c r="P658" s="259"/>
      <c r="Q658" s="259"/>
      <c r="R658" s="259"/>
      <c r="S658" s="259"/>
      <c r="T658" s="259"/>
      <c r="U658" s="259"/>
      <c r="V658" s="259"/>
      <c r="W658" s="259"/>
      <c r="X658" s="119">
        <v>44</v>
      </c>
      <c r="Y658" s="259">
        <v>0.630326945123053</v>
      </c>
      <c r="Z658" s="259">
        <v>0.244673054876947</v>
      </c>
      <c r="AA658" s="259">
        <v>0.125</v>
      </c>
      <c r="AB658" s="259">
        <v>0.061557421839178</v>
      </c>
      <c r="AC658" s="258">
        <v>26.9377836739835</v>
      </c>
      <c r="AD658" s="260">
        <v>0.907683395062984</v>
      </c>
      <c r="AE658" s="261">
        <v>2.7397270312931</v>
      </c>
    </row>
    <row r="659" ht="21.25" customHeight="1">
      <c r="A659" t="s" s="10">
        <v>396</v>
      </c>
      <c r="B659" t="s" s="256">
        <v>926</v>
      </c>
      <c r="C659" s="264">
        <v>30</v>
      </c>
      <c r="D659" t="s" s="256">
        <v>103</v>
      </c>
      <c r="E659" s="119"/>
      <c r="F659" s="258"/>
      <c r="G659" s="259"/>
      <c r="H659" s="259"/>
      <c r="I659" s="259"/>
      <c r="J659" s="259"/>
      <c r="K659" s="259"/>
      <c r="L659" s="259"/>
      <c r="M659" s="259"/>
      <c r="N659" s="259"/>
      <c r="O659" s="259"/>
      <c r="P659" s="259"/>
      <c r="Q659" s="259"/>
      <c r="R659" s="259"/>
      <c r="S659" s="259"/>
      <c r="T659" s="259"/>
      <c r="U659" s="259"/>
      <c r="V659" s="259"/>
      <c r="W659" s="259"/>
      <c r="X659" s="119">
        <v>36</v>
      </c>
      <c r="Y659" s="259">
        <v>0.63621501835213</v>
      </c>
      <c r="Z659" s="259">
        <v>0.23878498164787</v>
      </c>
      <c r="AA659" s="259">
        <v>0.125</v>
      </c>
      <c r="AB659" s="259">
        <v>0.06364943190252639</v>
      </c>
      <c r="AC659" s="258">
        <v>26.9651755010709</v>
      </c>
      <c r="AD659" s="260">
        <v>0.9086063776998829</v>
      </c>
      <c r="AE659" s="261">
        <v>2.7123352042057</v>
      </c>
    </row>
    <row r="660" ht="21.25" customHeight="1">
      <c r="A660" t="s" s="10">
        <v>197</v>
      </c>
      <c r="B660" t="s" s="256">
        <v>935</v>
      </c>
      <c r="C660" s="264">
        <v>28</v>
      </c>
      <c r="D660" t="s" s="256">
        <v>103</v>
      </c>
      <c r="E660" s="119"/>
      <c r="F660" s="258"/>
      <c r="G660" s="259"/>
      <c r="H660" s="259"/>
      <c r="I660" s="259"/>
      <c r="J660" s="259"/>
      <c r="K660" s="259"/>
      <c r="L660" s="259"/>
      <c r="M660" s="259"/>
      <c r="N660" s="259"/>
      <c r="O660" s="259"/>
      <c r="P660" s="259"/>
      <c r="Q660" s="259"/>
      <c r="R660" s="259"/>
      <c r="S660" s="259"/>
      <c r="T660" s="259"/>
      <c r="U660" s="259"/>
      <c r="V660" s="259"/>
      <c r="W660" s="259"/>
      <c r="X660" s="119">
        <v>56</v>
      </c>
      <c r="Y660" s="259">
        <v>0.6242826889966741</v>
      </c>
      <c r="Z660" s="259">
        <v>0.250717311003326</v>
      </c>
      <c r="AA660" s="259">
        <v>0.125</v>
      </c>
      <c r="AB660" s="259">
        <v>0.0745197880798356</v>
      </c>
      <c r="AC660" s="258">
        <v>26.1902229363257</v>
      </c>
      <c r="AD660" s="260">
        <v>0.9106909616616869</v>
      </c>
      <c r="AE660" s="261">
        <v>2.5684054446323</v>
      </c>
    </row>
    <row r="661" ht="21.25" customHeight="1">
      <c r="A661" t="s" s="10">
        <v>712</v>
      </c>
      <c r="B661" t="s" s="256">
        <v>935</v>
      </c>
      <c r="C661" s="264">
        <v>23</v>
      </c>
      <c r="D661" t="s" s="256">
        <v>103</v>
      </c>
      <c r="E661" s="119"/>
      <c r="F661" s="258"/>
      <c r="G661" s="259"/>
      <c r="H661" s="259"/>
      <c r="I661" s="259"/>
      <c r="J661" s="259"/>
      <c r="K661" s="259"/>
      <c r="L661" s="259"/>
      <c r="M661" s="259"/>
      <c r="N661" s="259"/>
      <c r="O661" s="259"/>
      <c r="P661" s="259"/>
      <c r="Q661" s="259"/>
      <c r="R661" s="259"/>
      <c r="S661" s="259"/>
      <c r="T661" s="259"/>
      <c r="U661" s="259"/>
      <c r="V661" s="259"/>
      <c r="W661" s="259"/>
      <c r="X661" s="119">
        <v>22</v>
      </c>
      <c r="Y661" s="259">
        <v>0.563348069789635</v>
      </c>
      <c r="Z661" s="259">
        <v>0.311651930210365</v>
      </c>
      <c r="AA661" s="259">
        <v>0.125</v>
      </c>
      <c r="AB661" s="259">
        <v>0.050738027077435</v>
      </c>
      <c r="AC661" s="258">
        <v>25.8790290373383</v>
      </c>
      <c r="AD661" s="260">
        <v>0.899870073583678</v>
      </c>
      <c r="AE661" s="261">
        <v>2.8795993436197</v>
      </c>
    </row>
    <row r="662" ht="21.25" customHeight="1">
      <c r="A662" t="s" s="10">
        <v>265</v>
      </c>
      <c r="B662" t="s" s="256">
        <v>941</v>
      </c>
      <c r="C662" s="264">
        <v>28</v>
      </c>
      <c r="D662" t="s" s="256">
        <v>103</v>
      </c>
      <c r="E662" s="119"/>
      <c r="F662" s="258"/>
      <c r="G662" s="259"/>
      <c r="H662" s="259"/>
      <c r="I662" s="259"/>
      <c r="J662" s="259"/>
      <c r="K662" s="259"/>
      <c r="L662" s="259"/>
      <c r="M662" s="259"/>
      <c r="N662" s="259"/>
      <c r="O662" s="259"/>
      <c r="P662" s="259"/>
      <c r="Q662" s="259"/>
      <c r="R662" s="259"/>
      <c r="S662" s="259"/>
      <c r="T662" s="259"/>
      <c r="U662" s="259"/>
      <c r="V662" s="259"/>
      <c r="W662" s="259"/>
      <c r="X662" s="119">
        <v>48</v>
      </c>
      <c r="Y662" s="259">
        <v>0.557228148964986</v>
      </c>
      <c r="Z662" s="259">
        <v>0.317771851035014</v>
      </c>
      <c r="AA662" s="259">
        <v>0.125</v>
      </c>
      <c r="AB662" s="259">
        <v>0.0667003964178319</v>
      </c>
      <c r="AC662" s="258">
        <v>26.7250244732264</v>
      </c>
      <c r="AD662" s="260">
        <v>0.909064073990419</v>
      </c>
      <c r="AE662" s="261">
        <v>2.6733702470869</v>
      </c>
    </row>
    <row r="663" ht="21.25" customHeight="1">
      <c r="A663" t="s" s="10">
        <v>541</v>
      </c>
      <c r="B663" t="s" s="256">
        <v>941</v>
      </c>
      <c r="C663" s="264">
        <v>27</v>
      </c>
      <c r="D663" t="s" s="256">
        <v>103</v>
      </c>
      <c r="E663" s="119"/>
      <c r="F663" s="258"/>
      <c r="G663" s="259"/>
      <c r="H663" s="259"/>
      <c r="I663" s="259"/>
      <c r="J663" s="259"/>
      <c r="K663" s="259"/>
      <c r="L663" s="259"/>
      <c r="M663" s="259"/>
      <c r="N663" s="259"/>
      <c r="O663" s="259"/>
      <c r="P663" s="259"/>
      <c r="Q663" s="259"/>
      <c r="R663" s="259"/>
      <c r="S663" s="259"/>
      <c r="T663" s="259"/>
      <c r="U663" s="259"/>
      <c r="V663" s="259"/>
      <c r="W663" s="259"/>
      <c r="X663" s="119">
        <v>30</v>
      </c>
      <c r="Y663" s="259">
        <v>0.535324398377531</v>
      </c>
      <c r="Z663" s="259">
        <v>0.339675601622469</v>
      </c>
      <c r="AA663" s="259">
        <v>0.125</v>
      </c>
      <c r="AB663" s="259">
        <v>0.057578854176257</v>
      </c>
      <c r="AC663" s="258">
        <v>26.6055472218835</v>
      </c>
      <c r="AD663" s="260">
        <v>0.905</v>
      </c>
      <c r="AE663" s="261">
        <v>2.7928474984298</v>
      </c>
    </row>
    <row r="664" ht="21.25" customHeight="1">
      <c r="A664" t="s" s="10">
        <v>167</v>
      </c>
      <c r="B664" t="s" s="256">
        <v>938</v>
      </c>
      <c r="C664" s="264">
        <v>31</v>
      </c>
      <c r="D664" t="s" s="256">
        <v>103</v>
      </c>
      <c r="E664" s="119"/>
      <c r="F664" s="258"/>
      <c r="G664" s="259"/>
      <c r="H664" s="259"/>
      <c r="I664" s="259"/>
      <c r="J664" s="259"/>
      <c r="K664" s="259"/>
      <c r="L664" s="259"/>
      <c r="M664" s="259"/>
      <c r="N664" s="259"/>
      <c r="O664" s="259"/>
      <c r="P664" s="259"/>
      <c r="Q664" s="259"/>
      <c r="R664" s="259"/>
      <c r="S664" s="259"/>
      <c r="T664" s="259"/>
      <c r="U664" s="259"/>
      <c r="V664" s="259"/>
      <c r="W664" s="259"/>
      <c r="X664" s="119">
        <v>60</v>
      </c>
      <c r="Y664" s="259">
        <v>0.594689405082126</v>
      </c>
      <c r="Z664" s="259">
        <v>0.280310594917874</v>
      </c>
      <c r="AA664" s="259">
        <v>0.125</v>
      </c>
      <c r="AB664" s="259">
        <v>0.0839716788048223</v>
      </c>
      <c r="AC664" s="258">
        <v>26.9058405811106</v>
      </c>
      <c r="AD664" s="260">
        <v>0.916663624786376</v>
      </c>
      <c r="AE664" s="261">
        <v>2.4460829092328</v>
      </c>
    </row>
    <row r="665" ht="21.25" customHeight="1">
      <c r="A665" t="s" s="10">
        <v>768</v>
      </c>
      <c r="B665" t="s" s="256">
        <v>938</v>
      </c>
      <c r="C665" s="264">
        <v>27</v>
      </c>
      <c r="D665" t="s" s="256">
        <v>103</v>
      </c>
      <c r="E665" s="119"/>
      <c r="F665" s="258"/>
      <c r="G665" s="259"/>
      <c r="H665" s="259"/>
      <c r="I665" s="259"/>
      <c r="J665" s="259"/>
      <c r="K665" s="259"/>
      <c r="L665" s="259"/>
      <c r="M665" s="259"/>
      <c r="N665" s="259"/>
      <c r="O665" s="259"/>
      <c r="P665" s="259"/>
      <c r="Q665" s="259"/>
      <c r="R665" s="259"/>
      <c r="S665" s="259"/>
      <c r="T665" s="259"/>
      <c r="U665" s="259"/>
      <c r="V665" s="259"/>
      <c r="W665" s="259"/>
      <c r="X665" s="119">
        <v>20</v>
      </c>
      <c r="Y665" s="259">
        <v>0.470225342529695</v>
      </c>
      <c r="Z665" s="259">
        <v>0.404774657470305</v>
      </c>
      <c r="AA665" s="259">
        <v>0.125</v>
      </c>
      <c r="AB665" s="259">
        <v>0.0421304818807058</v>
      </c>
      <c r="AC665" s="258">
        <v>26.3580272943284</v>
      </c>
      <c r="AD665" s="260">
        <v>0.898</v>
      </c>
      <c r="AE665" s="261">
        <v>2.993896196015</v>
      </c>
    </row>
    <row r="666" ht="21.25" customHeight="1">
      <c r="A666" t="s" s="10">
        <v>311</v>
      </c>
      <c r="B666" t="s" s="256">
        <v>944</v>
      </c>
      <c r="C666" s="264">
        <v>30</v>
      </c>
      <c r="D666" t="s" s="256">
        <v>103</v>
      </c>
      <c r="E666" s="119"/>
      <c r="F666" s="258"/>
      <c r="G666" s="259"/>
      <c r="H666" s="259"/>
      <c r="I666" s="259"/>
      <c r="J666" s="259"/>
      <c r="K666" s="259"/>
      <c r="L666" s="259"/>
      <c r="M666" s="259"/>
      <c r="N666" s="259"/>
      <c r="O666" s="259"/>
      <c r="P666" s="259"/>
      <c r="Q666" s="259"/>
      <c r="R666" s="259"/>
      <c r="S666" s="259"/>
      <c r="T666" s="259"/>
      <c r="U666" s="259"/>
      <c r="V666" s="259"/>
      <c r="W666" s="259"/>
      <c r="X666" s="119">
        <v>45</v>
      </c>
      <c r="Y666" s="259">
        <v>0.485921351259647</v>
      </c>
      <c r="Z666" s="259">
        <v>0.389078648740353</v>
      </c>
      <c r="AA666" s="259">
        <v>0.125</v>
      </c>
      <c r="AB666" s="259">
        <v>0.0535331126471312</v>
      </c>
      <c r="AC666" s="258">
        <v>27.6683692936908</v>
      </c>
      <c r="AD666" s="260">
        <v>0.907000191823768</v>
      </c>
      <c r="AE666" s="261">
        <v>2.8369928254242</v>
      </c>
    </row>
    <row r="667" ht="21.25" customHeight="1">
      <c r="A667" t="s" s="10">
        <v>456</v>
      </c>
      <c r="B667" t="s" s="256">
        <v>944</v>
      </c>
      <c r="C667" s="264">
        <v>27</v>
      </c>
      <c r="D667" t="s" s="256">
        <v>103</v>
      </c>
      <c r="E667" s="119"/>
      <c r="F667" s="258"/>
      <c r="G667" s="259"/>
      <c r="H667" s="259"/>
      <c r="I667" s="259"/>
      <c r="J667" s="259"/>
      <c r="K667" s="259"/>
      <c r="L667" s="259"/>
      <c r="M667" s="259"/>
      <c r="N667" s="259"/>
      <c r="O667" s="259"/>
      <c r="P667" s="259"/>
      <c r="Q667" s="259"/>
      <c r="R667" s="259"/>
      <c r="S667" s="259"/>
      <c r="T667" s="259"/>
      <c r="U667" s="259"/>
      <c r="V667" s="259"/>
      <c r="W667" s="259"/>
      <c r="X667" s="119">
        <v>35</v>
      </c>
      <c r="Y667" s="259">
        <v>0.47102911292528</v>
      </c>
      <c r="Z667" s="259">
        <v>0.40397088707472</v>
      </c>
      <c r="AA667" s="259">
        <v>0.125</v>
      </c>
      <c r="AB667" s="259">
        <v>0.046524040781344</v>
      </c>
      <c r="AC667" s="258">
        <v>27.576847355680</v>
      </c>
      <c r="AD667" s="260">
        <v>0.904</v>
      </c>
      <c r="AE667" s="261">
        <v>2.928514763435</v>
      </c>
    </row>
  </sheetData>
  <mergeCells count="2">
    <mergeCell ref="F1:V1"/>
    <mergeCell ref="X1:A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E666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265" customWidth="1"/>
    <col min="2" max="3" width="8.35156" style="265" customWidth="1"/>
    <col min="4" max="21" width="7.17188" style="265" customWidth="1"/>
    <col min="22" max="22" width="2.35156" style="265" customWidth="1"/>
    <col min="23" max="30" width="7.17188" style="265" customWidth="1"/>
    <col min="31" max="31" width="2.35156" style="265" customWidth="1"/>
    <col min="32" max="16384" width="8" style="265" customWidth="1"/>
  </cols>
  <sheetData>
    <row r="1" ht="28.25" customHeight="1">
      <c r="A1" t="s" s="113">
        <v>89</v>
      </c>
      <c r="B1" t="s" s="60">
        <v>92</v>
      </c>
      <c r="C1" t="s" s="63">
        <v>95</v>
      </c>
      <c r="D1" t="s" s="66">
        <v>102</v>
      </c>
      <c r="E1" t="s" s="66">
        <v>55</v>
      </c>
      <c r="F1" t="s" s="66">
        <v>103</v>
      </c>
      <c r="G1" t="s" s="66">
        <v>104</v>
      </c>
      <c r="H1" t="s" s="66">
        <v>105</v>
      </c>
      <c r="I1" t="s" s="66">
        <v>106</v>
      </c>
      <c r="J1" t="s" s="66">
        <v>107</v>
      </c>
      <c r="K1" t="s" s="66">
        <v>63</v>
      </c>
      <c r="L1" t="s" s="66">
        <v>108</v>
      </c>
      <c r="M1" t="s" s="66">
        <v>109</v>
      </c>
      <c r="N1" t="s" s="66">
        <v>110</v>
      </c>
      <c r="O1" t="s" s="66">
        <v>111</v>
      </c>
      <c r="P1" t="s" s="66">
        <v>112</v>
      </c>
      <c r="Q1" t="s" s="66">
        <v>113</v>
      </c>
      <c r="R1" t="s" s="66">
        <v>114</v>
      </c>
      <c r="S1" t="s" s="66">
        <v>115</v>
      </c>
      <c r="T1" t="s" s="66">
        <v>116</v>
      </c>
      <c r="U1" t="s" s="66">
        <v>117</v>
      </c>
      <c r="V1" s="64"/>
      <c r="W1" t="s" s="66">
        <v>102</v>
      </c>
      <c r="X1" t="s" s="66">
        <v>118</v>
      </c>
      <c r="Y1" t="s" s="66">
        <v>119</v>
      </c>
      <c r="Z1" t="s" s="66">
        <v>120</v>
      </c>
      <c r="AA1" t="s" s="66">
        <v>121</v>
      </c>
      <c r="AB1" t="s" s="66">
        <v>122</v>
      </c>
      <c r="AC1" t="s" s="66">
        <v>124</v>
      </c>
      <c r="AD1" t="s" s="66">
        <v>125</v>
      </c>
      <c r="AE1" s="67"/>
    </row>
    <row r="2" ht="21.25" customHeight="1">
      <c r="A2" t="s" s="10">
        <v>126</v>
      </c>
      <c r="B2" t="s" s="86">
        <f>VLOOKUP(A2,'Player Data'!A1:B667,2,FALSE)</f>
        <v>129</v>
      </c>
      <c r="C2" s="74">
        <f>((E2)*'Settings'!$C$12)+(F2*'Settings'!$C$2)+(G2*'Settings'!$C$3)+(H2*'Settings'!$C$4)+(I2*'Settings'!$C$5)+(K2*'Settings'!$C$9)+(N2*'Settings'!$C$6)+(J2*'Settings'!$C$8)+(O2*'Settings'!$C$7)+(P2*'Settings'!$C$14)+(Q2*'Settings'!$C$15)+(R2*'Settings'!$C$16)+(S2*'Settings'!$C$17)+(T2*'Settings'!$C$18)+(U2*'Settings'!$C$19)+(L2*'Settings'!$C$10)+('Settings'!$C$11*M2)</f>
        <v>17.888068165153</v>
      </c>
      <c r="D2" s="79">
        <f>IF('Settings'!$E$12="YES",VLOOKUP(A2,'Player Data'!A1:E667,5,FALSE),82)</f>
        <v>80.765</v>
      </c>
      <c r="E2" s="77">
        <f>(VLOOKUP($A2,'The List'!$B1:$AH665,17,FALSE)-AVERAGE('The List'!R2:R665))/STDEV('The List'!R2:R665)</f>
        <v>1.29604414840249</v>
      </c>
      <c r="F2" s="77">
        <f>(VLOOKUP($A2,'The List'!$B1:$AH665,18,FALSE)-AVERAGE('The List'!S2:S665))/STDEV('The List'!S2:S665)</f>
        <v>3.12229104437808</v>
      </c>
      <c r="G2" s="77">
        <f>(VLOOKUP($A2,'The List'!$B1:$AH665,19,FALSE)-AVERAGE('The List'!T2:T665))/STDEV('The List'!T2:T665)</f>
        <v>5.01997218649467</v>
      </c>
      <c r="H2" s="77">
        <f>(VLOOKUP($A2,'The List'!$B1:$AH665,20,FALSE)-AVERAGE('The List'!U2:U665))/STDEV('The List'!U2:U665)</f>
        <v>4.53691468545817</v>
      </c>
      <c r="I2" s="77">
        <f>(VLOOKUP($A2,'The List'!$B1:$AH665,21,FALSE)-AVERAGE('The List'!V2:V665))/STDEV('The List'!V2:V665)</f>
        <v>2.77409182300998</v>
      </c>
      <c r="J2" s="77">
        <f>(VLOOKUP($A2,'The List'!$B1:$AH665,22,FALSE)-AVERAGE('The List'!W2:W665))/STDEV('The List'!W2:W665)</f>
        <v>2.46805381917648</v>
      </c>
      <c r="K2" s="77">
        <f>(VLOOKUP($A2,'The List'!$B1:$AH665,23,FALSE)-AVERAGE('The List'!X2:X665))/STDEV('The List'!X2:X665)</f>
        <v>4.48334053546856</v>
      </c>
      <c r="L2" s="77">
        <f>(VLOOKUP($A2,'The List'!$B1:$AH665,24,FALSE)-AVERAGE('The List'!Y2:Y665))/STDEV('The List'!Y2:Y665)</f>
        <v>1.0302393448639</v>
      </c>
      <c r="M2" s="77">
        <f>(VLOOKUP($A2,'The List'!$B1:$AH665,25,FALSE)-AVERAGE('The List'!Z2:Z665))/STDEV('The List'!Z2:Z665)</f>
        <v>0.967067231068079</v>
      </c>
      <c r="N2" s="77">
        <f>(VLOOKUP($A2,'The List'!$B1:$AH665,26,FALSE)-AVERAGE('The List'!AA2:AA665))/STDEV('The List'!AA2:AA665)</f>
        <v>-0.597167849343066</v>
      </c>
      <c r="O2" s="77">
        <f>(VLOOKUP($A2,'The List'!$B1:$AH665,27,FALSE)-AVERAGE('The List'!AB2:AB665))/STDEV('The List'!AB2:AB665)</f>
        <v>0.338832837795158</v>
      </c>
      <c r="P2" s="77">
        <f>(VLOOKUP($A2,'The List'!$B1:$AH665,28,FALSE)-AVERAGE('The List'!AC2:AC665))/STDEV('The List'!AC2:AC665)</f>
        <v>3.08554042514475</v>
      </c>
      <c r="Q2" s="77">
        <f>(VLOOKUP($A2,'The List'!$B1:$AH665,29,FALSE)-AVERAGE('The List'!AD2:AD665))/STDEV('The List'!AD2:AD665)</f>
        <v>0.192649211269732</v>
      </c>
      <c r="R2" s="77">
        <f>(VLOOKUP($A2,'The List'!$B1:$AH665,30,FALSE)-AVERAGE('The List'!AE2:AE665))/STDEV('The List'!AE2:AE665)</f>
        <v>3.34319725375542</v>
      </c>
      <c r="S2" s="77">
        <f>(VLOOKUP($A2,'The List'!$B1:$AH665,31,FALSE)-AVERAGE('The List'!AF2:AF665))/STDEV('The List'!AF2:AF665)</f>
        <v>1.80909247380116</v>
      </c>
      <c r="T2" s="77">
        <f>(VLOOKUP($A2,'The List'!$B1:$AH665,32,FALSE)-AVERAGE('The List'!AG2:AG665))/STDEV('The List'!AG2:AG665)</f>
        <v>1.7122933892163</v>
      </c>
      <c r="U2" s="77">
        <f>(VLOOKUP($A2,'The List'!$B1:$AH665,33,FALSE)-AVERAGE('The List'!AH2:AH665))/STDEV('The List'!AH2:AH665)</f>
        <v>1.12653614757622</v>
      </c>
      <c r="V2" s="77"/>
      <c r="W2" s="89"/>
      <c r="X2" s="79"/>
      <c r="Y2" s="79"/>
      <c r="Z2" s="79"/>
      <c r="AA2" s="79"/>
      <c r="AB2" s="79"/>
      <c r="AC2" s="82"/>
      <c r="AD2" s="83"/>
      <c r="AE2" s="84"/>
    </row>
    <row r="3" ht="21.25" customHeight="1">
      <c r="A3" t="s" s="10">
        <v>139</v>
      </c>
      <c r="B3" t="s" s="86">
        <f>VLOOKUP(A3,'Player Data'!A1:B667,2,FALSE)</f>
        <v>866</v>
      </c>
      <c r="C3" s="74">
        <f>((E3)*'Settings'!$C$12)+(F3*'Settings'!$C$2)+(G3*'Settings'!$C$3)+(H3*'Settings'!$C$4)+(I3*'Settings'!$C$5)+(K3*'Settings'!$C$9)+(N3*'Settings'!$C$6)+(J3*'Settings'!$C$8)+(O3*'Settings'!$C$7)+(P3*'Settings'!$C$14)+(Q3*'Settings'!$C$15)+(R3*'Settings'!$C$16)+(S3*'Settings'!$C$17)+(T3*'Settings'!$C$18)+(U3*'Settings'!$C$19)+(L3*'Settings'!$C$10)+('Settings'!$C$11*M3)</f>
        <v>13.2137748341471</v>
      </c>
      <c r="D3" s="79">
        <f>IF('Settings'!$E$12="YES",VLOOKUP(A3,'Player Data'!A1:E667,5,FALSE),82)</f>
        <v>78.35250000000001</v>
      </c>
      <c r="E3" s="77">
        <f>(VLOOKUP($A3,'The List'!$B1:$AH665,17,FALSE)-AVERAGE('The List'!R2:R665))/STDEV('The List'!R2:R665)</f>
        <v>1.31370755541129</v>
      </c>
      <c r="F3" s="77">
        <f>(VLOOKUP($A3,'The List'!$B1:$AH665,18,FALSE)-AVERAGE('The List'!S2:S665))/STDEV('The List'!S2:S665)</f>
        <v>2.31123231041048</v>
      </c>
      <c r="G3" s="77">
        <f>(VLOOKUP($A3,'The List'!$B1:$AH665,19,FALSE)-AVERAGE('The List'!T2:T665))/STDEV('The List'!T2:T665)</f>
        <v>4.37952256449777</v>
      </c>
      <c r="H3" s="77">
        <f>(VLOOKUP($A3,'The List'!$B1:$AH665,20,FALSE)-AVERAGE('The List'!U2:U665))/STDEV('The List'!U2:U665)</f>
        <v>3.77049471161917</v>
      </c>
      <c r="I3" s="77">
        <f>(VLOOKUP($A3,'The List'!$B1:$AH665,21,FALSE)-AVERAGE('The List'!V2:V665))/STDEV('The List'!V2:V665)</f>
        <v>2.51789004877348</v>
      </c>
      <c r="J3" s="77">
        <f>(VLOOKUP($A3,'The List'!$B1:$AH665,22,FALSE)-AVERAGE('The List'!W2:W665))/STDEV('The List'!W2:W665)</f>
        <v>2.03910981174875</v>
      </c>
      <c r="K3" s="77">
        <f>(VLOOKUP($A3,'The List'!$B1:$AH665,23,FALSE)-AVERAGE('The List'!X2:X665))/STDEV('The List'!X2:X665)</f>
        <v>3.85790878944554</v>
      </c>
      <c r="L3" s="77">
        <f>(VLOOKUP($A3,'The List'!$B1:$AH665,24,FALSE)-AVERAGE('The List'!Y2:Y665))/STDEV('The List'!Y2:Y665)</f>
        <v>-0.573812824847195</v>
      </c>
      <c r="M3" s="77">
        <f>(VLOOKUP($A3,'The List'!$B1:$AH665,25,FALSE)-AVERAGE('The List'!Z2:Z665))/STDEV('The List'!Z2:Z665)</f>
        <v>-0.7474334313512609</v>
      </c>
      <c r="N3" s="77">
        <f>(VLOOKUP($A3,'The List'!$B1:$AH665,26,FALSE)-AVERAGE('The List'!AA2:AA665))/STDEV('The List'!AA2:AA665)</f>
        <v>-0.774363006123325</v>
      </c>
      <c r="O3" s="77">
        <f>(VLOOKUP($A3,'The List'!$B1:$AH665,27,FALSE)-AVERAGE('The List'!AB2:AB665))/STDEV('The List'!AB2:AB665)</f>
        <v>-0.863232850407141</v>
      </c>
      <c r="P3" s="77">
        <f>(VLOOKUP($A3,'The List'!$B1:$AH665,28,FALSE)-AVERAGE('The List'!AC2:AC665))/STDEV('The List'!AC2:AC665)</f>
        <v>0.921584127143136</v>
      </c>
      <c r="Q3" s="77">
        <f>(VLOOKUP($A3,'The List'!$B1:$AH665,29,FALSE)-AVERAGE('The List'!AD2:AD665))/STDEV('The List'!AD2:AD665)</f>
        <v>-0.0506329179035136</v>
      </c>
      <c r="R3" s="77">
        <f>(VLOOKUP($A3,'The List'!$B1:$AH665,30,FALSE)-AVERAGE('The List'!AE2:AE665))/STDEV('The List'!AE2:AE665)</f>
        <v>2.41101614481765</v>
      </c>
      <c r="S3" s="77">
        <f>(VLOOKUP($A3,'The List'!$B1:$AH665,31,FALSE)-AVERAGE('The List'!AF2:AF665))/STDEV('The List'!AF2:AF665)</f>
        <v>-0.561318898709101</v>
      </c>
      <c r="T3" s="77">
        <f>(VLOOKUP($A3,'The List'!$B1:$AH665,32,FALSE)-AVERAGE('The List'!AG2:AG665))/STDEV('The List'!AG2:AG665)</f>
        <v>-0.62157956682215</v>
      </c>
      <c r="U3" s="77">
        <f>(VLOOKUP($A3,'The List'!$B1:$AH665,33,FALSE)-AVERAGE('The List'!AH2:AH665))/STDEV('The List'!AH2:AH665)</f>
        <v>2.22011027525565</v>
      </c>
      <c r="V3" s="77"/>
      <c r="W3" s="79"/>
      <c r="X3" s="79"/>
      <c r="Y3" s="79"/>
      <c r="Z3" s="79"/>
      <c r="AA3" s="79"/>
      <c r="AB3" s="79"/>
      <c r="AC3" s="82"/>
      <c r="AD3" s="83"/>
      <c r="AE3" s="84"/>
    </row>
    <row r="4" ht="21.25" customHeight="1">
      <c r="A4" t="s" s="10">
        <v>133</v>
      </c>
      <c r="B4" t="s" s="86">
        <f>VLOOKUP(A4,'Player Data'!A1:B667,2,FALSE)</f>
        <v>871</v>
      </c>
      <c r="C4" s="74">
        <f>((E4)*'Settings'!$C$12)+(F4*'Settings'!$C$2)+(G4*'Settings'!$C$3)+(H4*'Settings'!$C$4)+(I4*'Settings'!$C$5)+(K4*'Settings'!$C$9)+(N4*'Settings'!$C$6)+(J4*'Settings'!$C$8)+(O4*'Settings'!$C$7)+(P4*'Settings'!$C$14)+(Q4*'Settings'!$C$15)+(R4*'Settings'!$C$16)+(S4*'Settings'!$C$17)+(T4*'Settings'!$C$18)+(U4*'Settings'!$C$19)+(L4*'Settings'!$C$10)+('Settings'!$C$11*M4)</f>
        <v>16.2391061255574</v>
      </c>
      <c r="D4" s="79">
        <f>IF('Settings'!$E$12="YES",VLOOKUP(A4,'Player Data'!A1:E667,5,FALSE),82)</f>
        <v>78.8175</v>
      </c>
      <c r="E4" s="77">
        <f>(VLOOKUP($A4,'The List'!$B1:$AH665,17,FALSE)-AVERAGE('The List'!R2:R665))/STDEV('The List'!R2:R665)</f>
        <v>1.48828130404657</v>
      </c>
      <c r="F4" s="77">
        <f>(VLOOKUP($A4,'The List'!$B1:$AH665,18,FALSE)-AVERAGE('The List'!S2:S665))/STDEV('The List'!S2:S665)</f>
        <v>3.15582425324163</v>
      </c>
      <c r="G4" s="77">
        <f>(VLOOKUP($A4,'The List'!$B1:$AH665,19,FALSE)-AVERAGE('The List'!T2:T665))/STDEV('The List'!T2:T665)</f>
        <v>3.92802417162373</v>
      </c>
      <c r="H4" s="77">
        <f>(VLOOKUP($A4,'The List'!$B1:$AH665,20,FALSE)-AVERAGE('The List'!U2:U665))/STDEV('The List'!U2:U665)</f>
        <v>3.87399600743569</v>
      </c>
      <c r="I4" s="77">
        <f>(VLOOKUP($A4,'The List'!$B1:$AH665,21,FALSE)-AVERAGE('The List'!V2:V665))/STDEV('The List'!V2:V665)</f>
        <v>4.07323182504121</v>
      </c>
      <c r="J4" s="77">
        <f>(VLOOKUP($A4,'The List'!$B1:$AH665,22,FALSE)-AVERAGE('The List'!W2:W665))/STDEV('The List'!W2:W665)</f>
        <v>2.00184484900182</v>
      </c>
      <c r="K4" s="77">
        <f>(VLOOKUP($A4,'The List'!$B1:$AH665,23,FALSE)-AVERAGE('The List'!X2:X665))/STDEV('The List'!X2:X665)</f>
        <v>3.16650091040165</v>
      </c>
      <c r="L4" s="77">
        <f>(VLOOKUP($A4,'The List'!$B1:$AH665,24,FALSE)-AVERAGE('The List'!Y2:Y665))/STDEV('The List'!Y2:Y665)</f>
        <v>-0.540812491759507</v>
      </c>
      <c r="M4" s="77">
        <f>(VLOOKUP($A4,'The List'!$B1:$AH665,25,FALSE)-AVERAGE('The List'!Z2:Z665))/STDEV('The List'!Z2:Z665)</f>
        <v>-0.713681662771484</v>
      </c>
      <c r="N4" s="77">
        <f>(VLOOKUP($A4,'The List'!$B1:$AH665,26,FALSE)-AVERAGE('The List'!AA2:AA665))/STDEV('The List'!AA2:AA665)</f>
        <v>-0.169652026164241</v>
      </c>
      <c r="O4" s="77">
        <f>(VLOOKUP($A4,'The List'!$B1:$AH665,27,FALSE)-AVERAGE('The List'!AB2:AB665))/STDEV('The List'!AB2:AB665)</f>
        <v>-0.75524520317743</v>
      </c>
      <c r="P4" s="77">
        <f>(VLOOKUP($A4,'The List'!$B1:$AH665,28,FALSE)-AVERAGE('The List'!AC2:AC665))/STDEV('The List'!AC2:AC665)</f>
        <v>2.08517699141345</v>
      </c>
      <c r="Q4" s="77">
        <f>(VLOOKUP($A4,'The List'!$B1:$AH665,29,FALSE)-AVERAGE('The List'!AD2:AD665))/STDEV('The List'!AD2:AD665)</f>
        <v>0.398201292729516</v>
      </c>
      <c r="R4" s="77">
        <f>(VLOOKUP($A4,'The List'!$B1:$AH665,30,FALSE)-AVERAGE('The List'!AE2:AE665))/STDEV('The List'!AE2:AE665)</f>
        <v>3.03031272129797</v>
      </c>
      <c r="S4" s="77">
        <f>(VLOOKUP($A4,'The List'!$B1:$AH665,31,FALSE)-AVERAGE('The List'!AF2:AF665))/STDEV('The List'!AF2:AF665)</f>
        <v>2.11037959911766</v>
      </c>
      <c r="T4" s="77">
        <f>(VLOOKUP($A4,'The List'!$B1:$AH665,32,FALSE)-AVERAGE('The List'!AG2:AG665))/STDEV('The List'!AG2:AG665)</f>
        <v>2.80090454502164</v>
      </c>
      <c r="U4" s="77">
        <f>(VLOOKUP($A4,'The List'!$B1:$AH665,33,FALSE)-AVERAGE('The List'!AH2:AH665))/STDEV('The List'!AH2:AH665)</f>
        <v>0.828869365555394</v>
      </c>
      <c r="V4" s="77"/>
      <c r="W4" s="89"/>
      <c r="X4" s="79"/>
      <c r="Y4" s="79"/>
      <c r="Z4" s="79"/>
      <c r="AA4" s="79"/>
      <c r="AB4" s="79"/>
      <c r="AC4" s="82"/>
      <c r="AD4" s="83"/>
      <c r="AE4" s="84"/>
    </row>
    <row r="5" ht="21.25" customHeight="1">
      <c r="A5" t="s" s="10">
        <v>193</v>
      </c>
      <c r="B5" t="s" s="86">
        <f>VLOOKUP(A5,'Player Data'!A1:B667,2,FALSE)</f>
        <v>900</v>
      </c>
      <c r="C5" s="74">
        <f>((E5)*'Settings'!$C$12)+(F5*'Settings'!$C$2)+(G5*'Settings'!$C$3)+(H5*'Settings'!$C$4)+(I5*'Settings'!$C$5)+(K5*'Settings'!$C$9)+(N5*'Settings'!$C$6)+(J5*'Settings'!$C$8)+(O5*'Settings'!$C$7)+(P5*'Settings'!$C$14)+(Q5*'Settings'!$C$15)+(R5*'Settings'!$C$16)+(S5*'Settings'!$C$17)+(T5*'Settings'!$C$18)+(U5*'Settings'!$C$19)+(L5*'Settings'!$C$10)+('Settings'!$C$11*M5)</f>
        <v>11.2257035689631</v>
      </c>
      <c r="D5" s="79">
        <f>IF('Settings'!$E$12="YES",VLOOKUP(A5,'Player Data'!A1:E667,5,FALSE),82)</f>
        <v>74.63</v>
      </c>
      <c r="E5" s="77">
        <f>(VLOOKUP($A5,'The List'!$B1:$AH665,17,FALSE)-AVERAGE('The List'!R2:R665))/STDEV('The List'!R2:R665)</f>
        <v>1.15078175821029</v>
      </c>
      <c r="F5" s="77">
        <f>(VLOOKUP($A5,'The List'!$B1:$AH665,18,FALSE)-AVERAGE('The List'!S2:S665))/STDEV('The List'!S2:S665)</f>
        <v>2.64054685811816</v>
      </c>
      <c r="G5" s="77">
        <f>(VLOOKUP($A5,'The List'!$B1:$AH665,19,FALSE)-AVERAGE('The List'!T2:T665))/STDEV('The List'!T2:T665)</f>
        <v>2.5971272312719</v>
      </c>
      <c r="H5" s="77">
        <f>(VLOOKUP($A5,'The List'!$B1:$AH665,20,FALSE)-AVERAGE('The List'!U2:U665))/STDEV('The List'!U2:U665)</f>
        <v>2.81321610446798</v>
      </c>
      <c r="I5" s="77">
        <f>(VLOOKUP($A5,'The List'!$B1:$AH665,21,FALSE)-AVERAGE('The List'!V2:V665))/STDEV('The List'!V2:V665)</f>
        <v>3.04783456631869</v>
      </c>
      <c r="J5" s="77">
        <f>(VLOOKUP($A5,'The List'!$B1:$AH665,22,FALSE)-AVERAGE('The List'!W2:W665))/STDEV('The List'!W2:W665)</f>
        <v>2.48059610974067</v>
      </c>
      <c r="K5" s="77">
        <f>(VLOOKUP($A5,'The List'!$B1:$AH665,23,FALSE)-AVERAGE('The List'!X2:X665))/STDEV('The List'!X2:X665)</f>
        <v>2.99240275848851</v>
      </c>
      <c r="L5" s="77">
        <f>(VLOOKUP($A5,'The List'!$B1:$AH665,24,FALSE)-AVERAGE('The List'!Y2:Y665))/STDEV('The List'!Y2:Y665)</f>
        <v>-0.53260015943577</v>
      </c>
      <c r="M5" s="77">
        <f>(VLOOKUP($A5,'The List'!$B1:$AH665,25,FALSE)-AVERAGE('The List'!Z2:Z665))/STDEV('The List'!Z2:Z665)</f>
        <v>-0.705735708600618</v>
      </c>
      <c r="N5" s="77">
        <f>(VLOOKUP($A5,'The List'!$B1:$AH665,26,FALSE)-AVERAGE('The List'!AA2:AA665))/STDEV('The List'!AA2:AA665)</f>
        <v>-0.837714883406625</v>
      </c>
      <c r="O5" s="77">
        <f>(VLOOKUP($A5,'The List'!$B1:$AH665,27,FALSE)-AVERAGE('The List'!AB2:AB665))/STDEV('The List'!AB2:AB665)</f>
        <v>-1.58350652255204</v>
      </c>
      <c r="P5" s="77">
        <f>(VLOOKUP($A5,'The List'!$B1:$AH665,28,FALSE)-AVERAGE('The List'!AC2:AC665))/STDEV('The List'!AC2:AC665)</f>
        <v>0.7855070381725</v>
      </c>
      <c r="Q5" s="77">
        <f>(VLOOKUP($A5,'The List'!$B1:$AH665,29,FALSE)-AVERAGE('The List'!AD2:AD665))/STDEV('The List'!AD2:AD665)</f>
        <v>-1.3078197628159</v>
      </c>
      <c r="R5" s="77">
        <f>(VLOOKUP($A5,'The List'!$B1:$AH665,30,FALSE)-AVERAGE('The List'!AE2:AE665))/STDEV('The List'!AE2:AE665)</f>
        <v>2.57353753697533</v>
      </c>
      <c r="S5" s="77">
        <f>(VLOOKUP($A5,'The List'!$B1:$AH665,31,FALSE)-AVERAGE('The List'!AF2:AF665))/STDEV('The List'!AF2:AF665)</f>
        <v>0.15370308852072</v>
      </c>
      <c r="T5" s="77">
        <f>(VLOOKUP($A5,'The List'!$B1:$AH665,32,FALSE)-AVERAGE('The List'!AG2:AG665))/STDEV('The List'!AG2:AG665)</f>
        <v>0.751312005680067</v>
      </c>
      <c r="U5" s="77">
        <f>(VLOOKUP($A5,'The List'!$B1:$AH665,33,FALSE)-AVERAGE('The List'!AH2:AH665))/STDEV('The List'!AH2:AH665)</f>
        <v>0.399516678238675</v>
      </c>
      <c r="V5" s="77"/>
      <c r="W5" s="89"/>
      <c r="X5" s="79"/>
      <c r="Y5" s="79"/>
      <c r="Z5" s="79"/>
      <c r="AA5" s="79"/>
      <c r="AB5" s="79"/>
      <c r="AC5" s="82"/>
      <c r="AD5" s="83"/>
      <c r="AE5" s="84"/>
    </row>
    <row r="6" ht="21.25" customHeight="1">
      <c r="A6" t="s" s="10">
        <v>150</v>
      </c>
      <c r="B6" t="s" s="86">
        <f>VLOOKUP(A6,'Player Data'!A1:B667,2,FALSE)</f>
        <v>129</v>
      </c>
      <c r="C6" s="74">
        <f>((E6)*'Settings'!$C$12)+(F6*'Settings'!$C$2)+(G6*'Settings'!$C$3)+(H6*'Settings'!$C$4)+(I6*'Settings'!$C$5)+(K6*'Settings'!$C$9)+(N6*'Settings'!$C$6)+(J6*'Settings'!$C$8)+(O6*'Settings'!$C$7)+(P6*'Settings'!$C$14)+(Q6*'Settings'!$C$15)+(R6*'Settings'!$C$16)+(S6*'Settings'!$C$17)+(T6*'Settings'!$C$18)+(U6*'Settings'!$C$19)+(L6*'Settings'!$C$10)+('Settings'!$C$11*M6)</f>
        <v>13.2534884048484</v>
      </c>
      <c r="D6" s="79">
        <f>IF('Settings'!$E$12="YES",VLOOKUP(A6,'Player Data'!A1:E667,5,FALSE),82)</f>
        <v>81.3775</v>
      </c>
      <c r="E6" s="77">
        <f>(VLOOKUP($A6,'The List'!$B1:$AH665,17,FALSE)-AVERAGE('The List'!R2:R665))/STDEV('The List'!R2:R665)</f>
        <v>1.08269246863502</v>
      </c>
      <c r="F6" s="77">
        <f>(VLOOKUP($A6,'The List'!$B1:$AH665,18,FALSE)-AVERAGE('The List'!S2:S665))/STDEV('The List'!S2:S665)</f>
        <v>3.2432279653943</v>
      </c>
      <c r="G6" s="77">
        <f>(VLOOKUP($A6,'The List'!$B1:$AH665,19,FALSE)-AVERAGE('The List'!T2:T665))/STDEV('The List'!T2:T665)</f>
        <v>3.09522601116976</v>
      </c>
      <c r="H6" s="77">
        <f>(VLOOKUP($A6,'The List'!$B1:$AH665,20,FALSE)-AVERAGE('The List'!U2:U665))/STDEV('The List'!U2:U665)</f>
        <v>3.39651066492912</v>
      </c>
      <c r="I6" s="77">
        <f>(VLOOKUP($A6,'The List'!$B1:$AH665,21,FALSE)-AVERAGE('The List'!V2:V665))/STDEV('The List'!V2:V665)</f>
        <v>1.72915303593475</v>
      </c>
      <c r="J6" s="77">
        <f>(VLOOKUP($A6,'The List'!$B1:$AH665,22,FALSE)-AVERAGE('The List'!W2:W665))/STDEV('The List'!W2:W665)</f>
        <v>5.70239823052489</v>
      </c>
      <c r="K6" s="77">
        <f>(VLOOKUP($A6,'The List'!$B1:$AH665,23,FALSE)-AVERAGE('The List'!X2:X665))/STDEV('The List'!X2:X665)</f>
        <v>3.80709311835776</v>
      </c>
      <c r="L6" s="77">
        <f>(VLOOKUP($A6,'The List'!$B1:$AH665,24,FALSE)-AVERAGE('The List'!Y2:Y665))/STDEV('The List'!Y2:Y665)</f>
        <v>0.0494219925168957</v>
      </c>
      <c r="M6" s="77">
        <f>(VLOOKUP($A6,'The List'!$B1:$AH665,25,FALSE)-AVERAGE('The List'!Z2:Z665))/STDEV('The List'!Z2:Z665)</f>
        <v>0.207191287447199</v>
      </c>
      <c r="N6" s="77">
        <f>(VLOOKUP($A6,'The List'!$B1:$AH665,26,FALSE)-AVERAGE('The List'!AA2:AA665))/STDEV('The List'!AA2:AA665)</f>
        <v>-0.819104139484459</v>
      </c>
      <c r="O6" s="77">
        <f>(VLOOKUP($A6,'The List'!$B1:$AH665,27,FALSE)-AVERAGE('The List'!AB2:AB665))/STDEV('The List'!AB2:AB665)</f>
        <v>-0.687689268135337</v>
      </c>
      <c r="P6" s="77">
        <f>(VLOOKUP($A6,'The List'!$B1:$AH665,28,FALSE)-AVERAGE('The List'!AC2:AC665))/STDEV('The List'!AC2:AC665)</f>
        <v>2.19789241347625</v>
      </c>
      <c r="Q6" s="77">
        <f>(VLOOKUP($A6,'The List'!$B1:$AH665,29,FALSE)-AVERAGE('The List'!AD2:AD665))/STDEV('The List'!AD2:AD665)</f>
        <v>0.656557928609213</v>
      </c>
      <c r="R6" s="77">
        <f>(VLOOKUP($A6,'The List'!$B1:$AH665,30,FALSE)-AVERAGE('The List'!AE2:AE665))/STDEV('The List'!AE2:AE665)</f>
        <v>3.46854324359264</v>
      </c>
      <c r="S6" s="77">
        <f>(VLOOKUP($A6,'The List'!$B1:$AH665,31,FALSE)-AVERAGE('The List'!AF2:AF665))/STDEV('The List'!AF2:AF665)</f>
        <v>3.36789761111825</v>
      </c>
      <c r="T6" s="77">
        <f>(VLOOKUP($A6,'The List'!$B1:$AH665,32,FALSE)-AVERAGE('The List'!AG2:AG665))/STDEV('The List'!AG2:AG665)</f>
        <v>2.75831930165827</v>
      </c>
      <c r="U6" s="77">
        <f>(VLOOKUP($A6,'The List'!$B1:$AH665,33,FALSE)-AVERAGE('The List'!AH2:AH665))/STDEV('The List'!AH2:AH665)</f>
        <v>1.27697361306704</v>
      </c>
      <c r="V6" s="77"/>
      <c r="W6" s="89"/>
      <c r="X6" s="79"/>
      <c r="Y6" s="79"/>
      <c r="Z6" s="79"/>
      <c r="AA6" s="79"/>
      <c r="AB6" s="79"/>
      <c r="AC6" s="82"/>
      <c r="AD6" s="83"/>
      <c r="AE6" s="84"/>
    </row>
    <row r="7" ht="21.25" customHeight="1">
      <c r="A7" t="s" s="10">
        <v>131</v>
      </c>
      <c r="B7" t="s" s="86">
        <f>VLOOKUP(A7,'Player Data'!A1:B667,2,FALSE)</f>
        <v>132</v>
      </c>
      <c r="C7" s="74">
        <f>((E7)*'Settings'!$C$12)+(F7*'Settings'!$C$2)+(G7*'Settings'!$C$3)+(H7*'Settings'!$C$4)+(I7*'Settings'!$C$5)+(K7*'Settings'!$C$9)+(N7*'Settings'!$C$6)+(J7*'Settings'!$C$8)+(O7*'Settings'!$C$7)+(P7*'Settings'!$C$14)+(Q7*'Settings'!$C$15)+(R7*'Settings'!$C$16)+(S7*'Settings'!$C$17)+(T7*'Settings'!$C$18)+(U7*'Settings'!$C$19)+(L7*'Settings'!$C$10)+('Settings'!$C$11*M7)</f>
        <v>16.2778208961252</v>
      </c>
      <c r="D7" s="79">
        <f>IF('Settings'!$E$12="YES",VLOOKUP(A7,'Player Data'!A1:E667,5,FALSE),82)</f>
        <v>79.85250000000001</v>
      </c>
      <c r="E7" s="77">
        <f>(VLOOKUP($A7,'The List'!$B1:$AH665,17,FALSE)-AVERAGE('The List'!R2:R665))/STDEV('The List'!R2:R665)</f>
        <v>1.15189233411688</v>
      </c>
      <c r="F7" s="77">
        <f>(VLOOKUP($A7,'The List'!$B1:$AH665,18,FALSE)-AVERAGE('The List'!S2:S665))/STDEV('The List'!S2:S665)</f>
        <v>4.67717542303377</v>
      </c>
      <c r="G7" s="77">
        <f>(VLOOKUP($A7,'The List'!$B1:$AH665,19,FALSE)-AVERAGE('The List'!T2:T665))/STDEV('The List'!T2:T665)</f>
        <v>1.72788957283254</v>
      </c>
      <c r="H7" s="77">
        <f>(VLOOKUP($A7,'The List'!$B1:$AH665,20,FALSE)-AVERAGE('The List'!U2:U665))/STDEV('The List'!U2:U665)</f>
        <v>3.19911513446364</v>
      </c>
      <c r="I7" s="77">
        <f>(VLOOKUP($A7,'The List'!$B1:$AH665,21,FALSE)-AVERAGE('The List'!V2:V665))/STDEV('The List'!V2:V665)</f>
        <v>3.86342401203725</v>
      </c>
      <c r="J7" s="77">
        <f>(VLOOKUP($A7,'The List'!$B1:$AH665,22,FALSE)-AVERAGE('The List'!W2:W665))/STDEV('The List'!W2:W665)</f>
        <v>4.13724960345508</v>
      </c>
      <c r="K7" s="77">
        <f>(VLOOKUP($A7,'The List'!$B1:$AH665,23,FALSE)-AVERAGE('The List'!X2:X665))/STDEV('The List'!X2:X665)</f>
        <v>2.62276402889573</v>
      </c>
      <c r="L7" s="77">
        <f>(VLOOKUP($A7,'The List'!$B1:$AH665,24,FALSE)-AVERAGE('The List'!Y2:Y665))/STDEV('The List'!Y2:Y665)</f>
        <v>-0.410394237323918</v>
      </c>
      <c r="M7" s="77">
        <f>(VLOOKUP($A7,'The List'!$B1:$AH665,25,FALSE)-AVERAGE('The List'!Z2:Z665))/STDEV('The List'!Z2:Z665)</f>
        <v>-0.133499034456853</v>
      </c>
      <c r="N7" s="77">
        <f>(VLOOKUP($A7,'The List'!$B1:$AH665,26,FALSE)-AVERAGE('The List'!AA2:AA665))/STDEV('The List'!AA2:AA665)</f>
        <v>0.482371544211178</v>
      </c>
      <c r="O7" s="77">
        <f>(VLOOKUP($A7,'The List'!$B1:$AH665,27,FALSE)-AVERAGE('The List'!AB2:AB665))/STDEV('The List'!AB2:AB665)</f>
        <v>-0.122409594225358</v>
      </c>
      <c r="P7" s="77">
        <f>(VLOOKUP($A7,'The List'!$B1:$AH665,28,FALSE)-AVERAGE('The List'!AC2:AC665))/STDEV('The List'!AC2:AC665)</f>
        <v>2.90419631511469</v>
      </c>
      <c r="Q7" s="77">
        <f>(VLOOKUP($A7,'The List'!$B1:$AH665,29,FALSE)-AVERAGE('The List'!AD2:AD665))/STDEV('The List'!AD2:AD665)</f>
        <v>-0.872324295071732</v>
      </c>
      <c r="R7" s="77">
        <f>(VLOOKUP($A7,'The List'!$B1:$AH665,30,FALSE)-AVERAGE('The List'!AE2:AE665))/STDEV('The List'!AE2:AE665)</f>
        <v>4.89716552085248</v>
      </c>
      <c r="S7" s="77">
        <f>(VLOOKUP($A7,'The List'!$B1:$AH665,31,FALSE)-AVERAGE('The List'!AF2:AF665))/STDEV('The List'!AF2:AF665)</f>
        <v>2.79137048239053</v>
      </c>
      <c r="T7" s="77">
        <f>(VLOOKUP($A7,'The List'!$B1:$AH665,32,FALSE)-AVERAGE('The List'!AG2:AG665))/STDEV('The List'!AG2:AG665)</f>
        <v>2.4509767223829</v>
      </c>
      <c r="U7" s="77">
        <f>(VLOOKUP($A7,'The List'!$B1:$AH665,33,FALSE)-AVERAGE('The List'!AH2:AH665))/STDEV('The List'!AH2:AH665)</f>
        <v>1.20627028638851</v>
      </c>
      <c r="V7" s="77"/>
      <c r="W7" s="79"/>
      <c r="X7" s="77"/>
      <c r="Y7" s="77"/>
      <c r="Z7" s="77"/>
      <c r="AA7" s="77"/>
      <c r="AB7" s="77"/>
      <c r="AC7" s="77"/>
      <c r="AD7" s="77"/>
      <c r="AE7" s="84"/>
    </row>
    <row r="8" ht="21.25" customHeight="1">
      <c r="A8" t="s" s="10">
        <v>142</v>
      </c>
      <c r="B8" t="s" s="86">
        <f>VLOOKUP(A8,'Player Data'!A1:B667,2,FALSE)</f>
        <v>899</v>
      </c>
      <c r="C8" s="74">
        <f>((E8)*'Settings'!$C$12)+(F8*'Settings'!$C$2)+(G8*'Settings'!$C$3)+(H8*'Settings'!$C$4)+(I8*'Settings'!$C$5)+(K8*'Settings'!$C$9)+(N8*'Settings'!$C$6)+(J8*'Settings'!$C$8)+(O8*'Settings'!$C$7)+(P8*'Settings'!$C$14)+(Q8*'Settings'!$C$15)+(R8*'Settings'!$C$16)+(S8*'Settings'!$C$17)+(T8*'Settings'!$C$18)+(U8*'Settings'!$C$19)+(L8*'Settings'!$C$10)+('Settings'!$C$11*M8)</f>
        <v>12.7557164948618</v>
      </c>
      <c r="D8" s="79">
        <f>IF('Settings'!$E$12="YES",VLOOKUP(A8,'Player Data'!A1:E667,5,FALSE),82)</f>
        <v>81.03</v>
      </c>
      <c r="E8" s="77">
        <f>(VLOOKUP($A8,'The List'!$B1:$AH665,17,FALSE)-AVERAGE('The List'!R2:R665))/STDEV('The List'!R2:R665)</f>
        <v>0.860384770283485</v>
      </c>
      <c r="F8" s="77">
        <f>(VLOOKUP($A8,'The List'!$B1:$AH665,18,FALSE)-AVERAGE('The List'!S2:S665))/STDEV('The List'!S2:S665)</f>
        <v>3.49124438989086</v>
      </c>
      <c r="G8" s="77">
        <f>(VLOOKUP($A8,'The List'!$B1:$AH665,19,FALSE)-AVERAGE('The List'!T2:T665))/STDEV('The List'!T2:T665)</f>
        <v>2.32363326497216</v>
      </c>
      <c r="H8" s="77">
        <f>(VLOOKUP($A8,'The List'!$B1:$AH665,20,FALSE)-AVERAGE('The List'!U2:U665))/STDEV('The List'!U2:U665)</f>
        <v>3.03004343843617</v>
      </c>
      <c r="I8" s="77">
        <f>(VLOOKUP($A8,'The List'!$B1:$AH665,21,FALSE)-AVERAGE('The List'!V2:V665))/STDEV('The List'!V2:V665)</f>
        <v>3.93841049671392</v>
      </c>
      <c r="J8" s="77">
        <f>(VLOOKUP($A8,'The List'!$B1:$AH665,22,FALSE)-AVERAGE('The List'!W2:W665))/STDEV('The List'!W2:W665)</f>
        <v>3.15138304992363</v>
      </c>
      <c r="K8" s="77">
        <f>(VLOOKUP($A8,'The List'!$B1:$AH665,23,FALSE)-AVERAGE('The List'!X2:X665))/STDEV('The List'!X2:X665)</f>
        <v>2.69060363993744</v>
      </c>
      <c r="L8" s="77">
        <f>(VLOOKUP($A8,'The List'!$B1:$AH665,24,FALSE)-AVERAGE('The List'!Y2:Y665))/STDEV('The List'!Y2:Y665)</f>
        <v>-0.547396669469117</v>
      </c>
      <c r="M8" s="77">
        <f>(VLOOKUP($A8,'The List'!$B1:$AH665,25,FALSE)-AVERAGE('The List'!Z2:Z665))/STDEV('The List'!Z2:Z665)</f>
        <v>-0.720601404632576</v>
      </c>
      <c r="N8" s="77">
        <f>(VLOOKUP($A8,'The List'!$B1:$AH665,26,FALSE)-AVERAGE('The List'!AA2:AA665))/STDEV('The List'!AA2:AA665)</f>
        <v>-0.9697591322228289</v>
      </c>
      <c r="O8" s="77">
        <f>(VLOOKUP($A8,'The List'!$B1:$AH665,27,FALSE)-AVERAGE('The List'!AB2:AB665))/STDEV('The List'!AB2:AB665)</f>
        <v>-0.35998326676849</v>
      </c>
      <c r="P8" s="77">
        <f>(VLOOKUP($A8,'The List'!$B1:$AH665,28,FALSE)-AVERAGE('The List'!AC2:AC665))/STDEV('The List'!AC2:AC665)</f>
        <v>1.2815838355702</v>
      </c>
      <c r="Q8" s="77">
        <f>(VLOOKUP($A8,'The List'!$B1:$AH665,29,FALSE)-AVERAGE('The List'!AD2:AD665))/STDEV('The List'!AD2:AD665)</f>
        <v>0.23440409030465</v>
      </c>
      <c r="R8" s="77">
        <f>(VLOOKUP($A8,'The List'!$B1:$AH665,30,FALSE)-AVERAGE('The List'!AE2:AE665))/STDEV('The List'!AE2:AE665)</f>
        <v>3.54841969377217</v>
      </c>
      <c r="S8" s="77">
        <f>(VLOOKUP($A8,'The List'!$B1:$AH665,31,FALSE)-AVERAGE('The List'!AF2:AF665))/STDEV('The List'!AF2:AF665)</f>
        <v>-0.532913282471721</v>
      </c>
      <c r="T8" s="77">
        <f>(VLOOKUP($A8,'The List'!$B1:$AH665,32,FALSE)-AVERAGE('The List'!AG2:AG665))/STDEV('The List'!AG2:AG665)</f>
        <v>-0.549751566992596</v>
      </c>
      <c r="U8" s="77">
        <f>(VLOOKUP($A8,'The List'!$B1:$AH665,33,FALSE)-AVERAGE('The List'!AH2:AH665))/STDEV('The List'!AH2:AH665)</f>
        <v>0.420562795703641</v>
      </c>
      <c r="V8" s="77"/>
      <c r="W8" s="89"/>
      <c r="X8" s="79"/>
      <c r="Y8" s="79"/>
      <c r="Z8" s="79"/>
      <c r="AA8" s="79"/>
      <c r="AB8" s="79"/>
      <c r="AC8" s="82"/>
      <c r="AD8" s="83"/>
      <c r="AE8" s="84"/>
    </row>
    <row r="9" ht="21.25" customHeight="1">
      <c r="A9" t="s" s="10">
        <v>198</v>
      </c>
      <c r="B9" t="s" s="86">
        <f>VLOOKUP(A9,'Player Data'!A1:B667,2,FALSE)</f>
        <v>878</v>
      </c>
      <c r="C9" s="74">
        <f>((E9)*'Settings'!$C$12)+(F9*'Settings'!$C$2)+(G9*'Settings'!$C$3)+(H9*'Settings'!$C$4)+(I9*'Settings'!$C$5)+(K9*'Settings'!$C$9)+(N9*'Settings'!$C$6)+(J9*'Settings'!$C$8)+(O9*'Settings'!$C$7)+(P9*'Settings'!$C$14)+(Q9*'Settings'!$C$15)+(R9*'Settings'!$C$16)+(S9*'Settings'!$C$17)+(T9*'Settings'!$C$18)+(U9*'Settings'!$C$19)+(L9*'Settings'!$C$10)+('Settings'!$C$11*M9)</f>
        <v>11.0029371991589</v>
      </c>
      <c r="D9" s="79">
        <f>IF('Settings'!$E$12="YES",VLOOKUP(A9,'Player Data'!A1:E667,5,FALSE),82)</f>
        <v>81.33</v>
      </c>
      <c r="E9" s="77">
        <f>(VLOOKUP($A9,'The List'!$B1:$AH665,17,FALSE)-AVERAGE('The List'!R2:R665))/STDEV('The List'!R2:R665)</f>
        <v>0.927467077422337</v>
      </c>
      <c r="F9" s="77">
        <f>(VLOOKUP($A9,'The List'!$B1:$AH665,18,FALSE)-AVERAGE('The List'!S2:S665))/STDEV('The List'!S2:S665)</f>
        <v>2.29697090965025</v>
      </c>
      <c r="G9" s="77">
        <f>(VLOOKUP($A9,'The List'!$B1:$AH665,19,FALSE)-AVERAGE('The List'!T2:T665))/STDEV('The List'!T2:T665)</f>
        <v>3.16835331888665</v>
      </c>
      <c r="H9" s="77">
        <f>(VLOOKUP($A9,'The List'!$B1:$AH665,20,FALSE)-AVERAGE('The List'!U2:U665))/STDEV('The List'!U2:U665)</f>
        <v>3.0118080237879</v>
      </c>
      <c r="I9" s="77">
        <f>(VLOOKUP($A9,'The List'!$B1:$AH665,21,FALSE)-AVERAGE('The List'!V2:V665))/STDEV('The List'!V2:V665)</f>
        <v>2.19904935964095</v>
      </c>
      <c r="J9" s="77">
        <f>(VLOOKUP($A9,'The List'!$B1:$AH665,22,FALSE)-AVERAGE('The List'!W2:W665))/STDEV('The List'!W2:W665)</f>
        <v>1.79003552575712</v>
      </c>
      <c r="K9" s="77">
        <f>(VLOOKUP($A9,'The List'!$B1:$AH665,23,FALSE)-AVERAGE('The List'!X2:X665))/STDEV('The List'!X2:X665)</f>
        <v>3.10176351680064</v>
      </c>
      <c r="L9" s="77">
        <f>(VLOOKUP($A9,'The List'!$B1:$AH665,24,FALSE)-AVERAGE('The List'!Y2:Y665))/STDEV('The List'!Y2:Y665)</f>
        <v>-0.575520085131665</v>
      </c>
      <c r="M9" s="77">
        <f>(VLOOKUP($A9,'The List'!$B1:$AH665,25,FALSE)-AVERAGE('The List'!Z2:Z665))/STDEV('The List'!Z2:Z665)</f>
        <v>-0.749209179122294</v>
      </c>
      <c r="N9" s="77">
        <f>(VLOOKUP($A9,'The List'!$B1:$AH665,26,FALSE)-AVERAGE('The List'!AA2:AA665))/STDEV('The List'!AA2:AA665)</f>
        <v>-1.1505729480849</v>
      </c>
      <c r="O9" s="77">
        <f>(VLOOKUP($A9,'The List'!$B1:$AH665,27,FALSE)-AVERAGE('The List'!AB2:AB665))/STDEV('The List'!AB2:AB665)</f>
        <v>-1.40317877207066</v>
      </c>
      <c r="P9" s="77">
        <f>(VLOOKUP($A9,'The List'!$B1:$AH665,28,FALSE)-AVERAGE('The List'!AC2:AC665))/STDEV('The List'!AC2:AC665)</f>
        <v>1.38737304226532</v>
      </c>
      <c r="Q9" s="77">
        <f>(VLOOKUP($A9,'The List'!$B1:$AH665,29,FALSE)-AVERAGE('The List'!AD2:AD665))/STDEV('The List'!AD2:AD665)</f>
        <v>-0.324990268197883</v>
      </c>
      <c r="R9" s="77">
        <f>(VLOOKUP($A9,'The List'!$B1:$AH665,30,FALSE)-AVERAGE('The List'!AE2:AE665))/STDEV('The List'!AE2:AE665)</f>
        <v>2.53400006207317</v>
      </c>
      <c r="S9" s="77">
        <f>(VLOOKUP($A9,'The List'!$B1:$AH665,31,FALSE)-AVERAGE('The List'!AF2:AF665))/STDEV('The List'!AF2:AF665)</f>
        <v>-0.560729964332789</v>
      </c>
      <c r="T9" s="77">
        <f>(VLOOKUP($A9,'The List'!$B1:$AH665,32,FALSE)-AVERAGE('The List'!AG2:AG665))/STDEV('The List'!AG2:AG665)</f>
        <v>-0.586658998348165</v>
      </c>
      <c r="U9" s="77">
        <f>(VLOOKUP($A9,'The List'!$B1:$AH665,33,FALSE)-AVERAGE('The List'!AH2:AH665))/STDEV('The List'!AH2:AH665)</f>
        <v>-0.036399533315394</v>
      </c>
      <c r="V9" s="77"/>
      <c r="W9" s="79"/>
      <c r="X9" s="79"/>
      <c r="Y9" s="79"/>
      <c r="Z9" s="79"/>
      <c r="AA9" s="79"/>
      <c r="AB9" s="79"/>
      <c r="AC9" s="82"/>
      <c r="AD9" s="83"/>
      <c r="AE9" s="84"/>
    </row>
    <row r="10" ht="21.25" customHeight="1">
      <c r="A10" t="s" s="10">
        <v>166</v>
      </c>
      <c r="B10" t="s" s="86">
        <f>VLOOKUP(A10,'Player Data'!A1:B667,2,FALSE)</f>
        <v>132</v>
      </c>
      <c r="C10" s="74">
        <f>((E10)*'Settings'!$C$12)+(F10*'Settings'!$C$2)+(G10*'Settings'!$C$3)+(H10*'Settings'!$C$4)+(I10*'Settings'!$C$5)+(K10*'Settings'!$C$9)+(N10*'Settings'!$C$6)+(J10*'Settings'!$C$8)+(O10*'Settings'!$C$7)+(P10*'Settings'!$C$14)+(Q10*'Settings'!$C$15)+(R10*'Settings'!$C$16)+(S10*'Settings'!$C$17)+(T10*'Settings'!$C$18)+(U10*'Settings'!$C$19)+(L10*'Settings'!$C$10)+('Settings'!$C$11*M10)</f>
        <v>11.325545175332</v>
      </c>
      <c r="D10" s="79">
        <f>IF('Settings'!$E$12="YES",VLOOKUP(A10,'Player Data'!A1:E667,5,FALSE),82)</f>
        <v>78.44750000000001</v>
      </c>
      <c r="E10" s="77">
        <f>(VLOOKUP($A10,'The List'!$B1:$AH665,17,FALSE)-AVERAGE('The List'!R2:R665))/STDEV('The List'!R2:R665)</f>
        <v>1.35528852055416</v>
      </c>
      <c r="F10" s="77">
        <f>(VLOOKUP($A10,'The List'!$B1:$AH665,18,FALSE)-AVERAGE('The List'!S2:S665))/STDEV('The List'!S2:S665)</f>
        <v>2.01600192112335</v>
      </c>
      <c r="G10" s="77">
        <f>(VLOOKUP($A10,'The List'!$B1:$AH665,19,FALSE)-AVERAGE('The List'!T2:T665))/STDEV('The List'!T2:T665)</f>
        <v>3.41249188187236</v>
      </c>
      <c r="H10" s="77">
        <f>(VLOOKUP($A10,'The List'!$B1:$AH665,20,FALSE)-AVERAGE('The List'!U2:U665))/STDEV('The List'!U2:U665)</f>
        <v>3.03571803803943</v>
      </c>
      <c r="I10" s="77">
        <f>(VLOOKUP($A10,'The List'!$B1:$AH665,21,FALSE)-AVERAGE('The List'!V2:V665))/STDEV('The List'!V2:V665)</f>
        <v>1.24372562664852</v>
      </c>
      <c r="J10" s="77">
        <f>(VLOOKUP($A10,'The List'!$B1:$AH665,22,FALSE)-AVERAGE('The List'!W2:W665))/STDEV('The List'!W2:W665)</f>
        <v>2.03680930711861</v>
      </c>
      <c r="K10" s="77">
        <f>(VLOOKUP($A10,'The List'!$B1:$AH665,23,FALSE)-AVERAGE('The List'!X2:X665))/STDEV('The List'!X2:X665)</f>
        <v>2.83090148344238</v>
      </c>
      <c r="L10" s="77">
        <f>(VLOOKUP($A10,'The List'!$B1:$AH665,24,FALSE)-AVERAGE('The List'!Y2:Y665))/STDEV('The List'!Y2:Y665)</f>
        <v>3.03111361566186</v>
      </c>
      <c r="M10" s="77">
        <f>(VLOOKUP($A10,'The List'!$B1:$AH665,25,FALSE)-AVERAGE('The List'!Z2:Z665))/STDEV('The List'!Z2:Z665)</f>
        <v>2.05826106721953</v>
      </c>
      <c r="N10" s="77">
        <f>(VLOOKUP($A10,'The List'!$B1:$AH665,26,FALSE)-AVERAGE('The List'!AA2:AA665))/STDEV('The List'!AA2:AA665)</f>
        <v>-0.309230409507601</v>
      </c>
      <c r="O10" s="77">
        <f>(VLOOKUP($A10,'The List'!$B1:$AH665,27,FALSE)-AVERAGE('The List'!AB2:AB665))/STDEV('The List'!AB2:AB665)</f>
        <v>-0.5036994274423</v>
      </c>
      <c r="P10" s="77">
        <f>(VLOOKUP($A10,'The List'!$B1:$AH665,28,FALSE)-AVERAGE('The List'!AC2:AC665))/STDEV('The List'!AC2:AC665)</f>
        <v>2.13165467175302</v>
      </c>
      <c r="Q10" s="77">
        <f>(VLOOKUP($A10,'The List'!$B1:$AH665,29,FALSE)-AVERAGE('The List'!AD2:AD665))/STDEV('The List'!AD2:AD665)</f>
        <v>-0.488883402498823</v>
      </c>
      <c r="R10" s="77">
        <f>(VLOOKUP($A10,'The List'!$B1:$AH665,30,FALSE)-AVERAGE('The List'!AE2:AE665))/STDEV('The List'!AE2:AE665)</f>
        <v>2.16447573182735</v>
      </c>
      <c r="S10" s="77">
        <f>(VLOOKUP($A10,'The List'!$B1:$AH665,31,FALSE)-AVERAGE('The List'!AF2:AF665))/STDEV('The List'!AF2:AF665)</f>
        <v>-0.555749831803656</v>
      </c>
      <c r="T10" s="77">
        <f>(VLOOKUP($A10,'The List'!$B1:$AH665,32,FALSE)-AVERAGE('The List'!AG2:AG665))/STDEV('The List'!AG2:AG665)</f>
        <v>-0.560434808250877</v>
      </c>
      <c r="U10" s="77">
        <f>(VLOOKUP($A10,'The List'!$B1:$AH665,33,FALSE)-AVERAGE('The List'!AH2:AH665))/STDEV('The List'!AH2:AH665)</f>
        <v>-0.197762648993142</v>
      </c>
      <c r="V10" s="77"/>
      <c r="W10" s="89"/>
      <c r="X10" s="79"/>
      <c r="Y10" s="79"/>
      <c r="Z10" s="79"/>
      <c r="AA10" s="79"/>
      <c r="AB10" s="79"/>
      <c r="AC10" s="82"/>
      <c r="AD10" s="83"/>
      <c r="AE10" s="84"/>
    </row>
    <row r="11" ht="21.25" customHeight="1">
      <c r="A11" t="s" s="10">
        <v>159</v>
      </c>
      <c r="B11" t="s" s="86">
        <f>VLOOKUP(A11,'Player Data'!A1:B667,2,FALSE)</f>
        <v>871</v>
      </c>
      <c r="C11" s="74">
        <f>((E11)*'Settings'!$C$12)+(F11*'Settings'!$C$2)+(G11*'Settings'!$C$3)+(H11*'Settings'!$C$4)+(I11*'Settings'!$C$5)+(K11*'Settings'!$C$9)+(N11*'Settings'!$C$6)+(J11*'Settings'!$C$8)+(O11*'Settings'!$C$7)+(P11*'Settings'!$C$14)+(Q11*'Settings'!$C$15)+(R11*'Settings'!$C$16)+(S11*'Settings'!$C$17)+(T11*'Settings'!$C$18)+(U11*'Settings'!$C$19)+(L11*'Settings'!$C$10)+('Settings'!$C$11*M11)</f>
        <v>11.9730522774097</v>
      </c>
      <c r="D11" s="79">
        <f>IF('Settings'!$E$12="YES",VLOOKUP(A11,'Player Data'!A1:E667,5,FALSE),82)</f>
        <v>80.97499999999999</v>
      </c>
      <c r="E11" s="77">
        <f>(VLOOKUP($A11,'The List'!$B1:$AH665,17,FALSE)-AVERAGE('The List'!R2:R665))/STDEV('The List'!R2:R665)</f>
        <v>1.48890226465536</v>
      </c>
      <c r="F11" s="77">
        <f>(VLOOKUP($A11,'The List'!$B1:$AH665,18,FALSE)-AVERAGE('The List'!S2:S665))/STDEV('The List'!S2:S665)</f>
        <v>3.08812213924866</v>
      </c>
      <c r="G11" s="77">
        <f>(VLOOKUP($A11,'The List'!$B1:$AH665,19,FALSE)-AVERAGE('The List'!T2:T665))/STDEV('The List'!T2:T665)</f>
        <v>2.48581372656227</v>
      </c>
      <c r="H11" s="77">
        <f>(VLOOKUP($A11,'The List'!$B1:$AH665,20,FALSE)-AVERAGE('The List'!U2:U665))/STDEV('The List'!U2:U665)</f>
        <v>2.94752839932953</v>
      </c>
      <c r="I11" s="77">
        <f>(VLOOKUP($A11,'The List'!$B1:$AH665,21,FALSE)-AVERAGE('The List'!V2:V665))/STDEV('The List'!V2:V665)</f>
        <v>2.44132902320852</v>
      </c>
      <c r="J11" s="77">
        <f>(VLOOKUP($A11,'The List'!$B1:$AH665,22,FALSE)-AVERAGE('The List'!W2:W665))/STDEV('The List'!W2:W665)</f>
        <v>2.80581515950499</v>
      </c>
      <c r="K11" s="77">
        <f>(VLOOKUP($A11,'The List'!$B1:$AH665,23,FALSE)-AVERAGE('The List'!X2:X665))/STDEV('The List'!X2:X665)</f>
        <v>2.8432528251463</v>
      </c>
      <c r="L11" s="77">
        <f>(VLOOKUP($A11,'The List'!$B1:$AH665,24,FALSE)-AVERAGE('The List'!Y2:Y665))/STDEV('The List'!Y2:Y665)</f>
        <v>-0.556298690321913</v>
      </c>
      <c r="M11" s="77">
        <f>(VLOOKUP($A11,'The List'!$B1:$AH665,25,FALSE)-AVERAGE('The List'!Z2:Z665))/STDEV('The List'!Z2:Z665)</f>
        <v>-0.729635035924257</v>
      </c>
      <c r="N11" s="77">
        <f>(VLOOKUP($A11,'The List'!$B1:$AH665,26,FALSE)-AVERAGE('The List'!AA2:AA665))/STDEV('The List'!AA2:AA665)</f>
        <v>-0.443822320616849</v>
      </c>
      <c r="O11" s="77">
        <f>(VLOOKUP($A11,'The List'!$B1:$AH665,27,FALSE)-AVERAGE('The List'!AB2:AB665))/STDEV('The List'!AB2:AB665)</f>
        <v>-0.671210107282615</v>
      </c>
      <c r="P11" s="77">
        <f>(VLOOKUP($A11,'The List'!$B1:$AH665,28,FALSE)-AVERAGE('The List'!AC2:AC665))/STDEV('The List'!AC2:AC665)</f>
        <v>1.55835688386078</v>
      </c>
      <c r="Q11" s="77">
        <f>(VLOOKUP($A11,'The List'!$B1:$AH665,29,FALSE)-AVERAGE('The List'!AD2:AD665))/STDEV('The List'!AD2:AD665)</f>
        <v>1.62079988703193</v>
      </c>
      <c r="R11" s="77">
        <f>(VLOOKUP($A11,'The List'!$B1:$AH665,30,FALSE)-AVERAGE('The List'!AE2:AE665))/STDEV('The List'!AE2:AE665)</f>
        <v>2.96538508117711</v>
      </c>
      <c r="S11" s="77">
        <f>(VLOOKUP($A11,'The List'!$B1:$AH665,31,FALSE)-AVERAGE('The List'!AF2:AF665))/STDEV('The List'!AF2:AF665)</f>
        <v>0.602016230637235</v>
      </c>
      <c r="T11" s="77">
        <f>(VLOOKUP($A11,'The List'!$B1:$AH665,32,FALSE)-AVERAGE('The List'!AG2:AG665))/STDEV('The List'!AG2:AG665)</f>
        <v>0.598827822186164</v>
      </c>
      <c r="U11" s="77">
        <f>(VLOOKUP($A11,'The List'!$B1:$AH665,33,FALSE)-AVERAGE('The List'!AH2:AH665))/STDEV('The List'!AH2:AH665)</f>
        <v>1.05904048056535</v>
      </c>
      <c r="V11" s="77"/>
      <c r="W11" s="89"/>
      <c r="X11" s="79"/>
      <c r="Y11" s="79"/>
      <c r="Z11" s="79"/>
      <c r="AA11" s="79"/>
      <c r="AB11" s="79"/>
      <c r="AC11" s="82"/>
      <c r="AD11" s="83"/>
      <c r="AE11" s="84"/>
    </row>
    <row r="12" ht="21.25" customHeight="1">
      <c r="A12" t="s" s="10">
        <v>147</v>
      </c>
      <c r="B12" t="s" s="86">
        <f>VLOOKUP(A12,'Player Data'!A1:B667,2,FALSE)</f>
        <v>149</v>
      </c>
      <c r="C12" s="74">
        <f>((E12)*'Settings'!$C$12)+(F12*'Settings'!$C$2)+(G12*'Settings'!$C$3)+(H12*'Settings'!$C$4)+(I12*'Settings'!$C$5)+(K12*'Settings'!$C$9)+(N12*'Settings'!$C$6)+(J12*'Settings'!$C$8)+(O12*'Settings'!$C$7)+(P12*'Settings'!$C$14)+(Q12*'Settings'!$C$15)+(R12*'Settings'!$C$16)+(S12*'Settings'!$C$17)+(T12*'Settings'!$C$18)+(U12*'Settings'!$C$19)+(L12*'Settings'!$C$10)+('Settings'!$C$11*M12)</f>
        <v>11.9174081313296</v>
      </c>
      <c r="D12" s="79">
        <f>IF('Settings'!$E$12="YES",VLOOKUP(A12,'Player Data'!A1:E667,5,FALSE),82)</f>
        <v>81.2625</v>
      </c>
      <c r="E12" s="77">
        <f>(VLOOKUP($A12,'The List'!$B1:$AH665,17,FALSE)-AVERAGE('The List'!R2:R665))/STDEV('The List'!R2:R665)</f>
        <v>0.678277507493817</v>
      </c>
      <c r="F12" s="77">
        <f>(VLOOKUP($A12,'The List'!$B1:$AH665,18,FALSE)-AVERAGE('The List'!S2:S665))/STDEV('The List'!S2:S665)</f>
        <v>2.09325181460541</v>
      </c>
      <c r="G12" s="77">
        <f>(VLOOKUP($A12,'The List'!$B1:$AH665,19,FALSE)-AVERAGE('The List'!T2:T665))/STDEV('The List'!T2:T665)</f>
        <v>3.09702155966766</v>
      </c>
      <c r="H12" s="77">
        <f>(VLOOKUP($A12,'The List'!$B1:$AH665,20,FALSE)-AVERAGE('The List'!U2:U665))/STDEV('The List'!U2:U665)</f>
        <v>2.87490697821884</v>
      </c>
      <c r="I12" s="77">
        <f>(VLOOKUP($A12,'The List'!$B1:$AH665,21,FALSE)-AVERAGE('The List'!V2:V665))/STDEV('The List'!V2:V665)</f>
        <v>2.62938034371698</v>
      </c>
      <c r="J12" s="77">
        <f>(VLOOKUP($A12,'The List'!$B1:$AH665,22,FALSE)-AVERAGE('The List'!W2:W665))/STDEV('The List'!W2:W665)</f>
        <v>1.82596599305526</v>
      </c>
      <c r="K12" s="77">
        <f>(VLOOKUP($A12,'The List'!$B1:$AH665,23,FALSE)-AVERAGE('The List'!X2:X665))/STDEV('The List'!X2:X665)</f>
        <v>2.52785893704249</v>
      </c>
      <c r="L12" s="77">
        <f>(VLOOKUP($A12,'The List'!$B1:$AH665,24,FALSE)-AVERAGE('The List'!Y2:Y665))/STDEV('The List'!Y2:Y665)</f>
        <v>0.0519762024820951</v>
      </c>
      <c r="M12" s="77">
        <f>(VLOOKUP($A12,'The List'!$B1:$AH665,25,FALSE)-AVERAGE('The List'!Z2:Z665))/STDEV('The List'!Z2:Z665)</f>
        <v>-0.141785785452132</v>
      </c>
      <c r="N12" s="77">
        <f>(VLOOKUP($A12,'The List'!$B1:$AH665,26,FALSE)-AVERAGE('The List'!AA2:AA665))/STDEV('The List'!AA2:AA665)</f>
        <v>-0.808756486744051</v>
      </c>
      <c r="O12" s="77">
        <f>(VLOOKUP($A12,'The List'!$B1:$AH665,27,FALSE)-AVERAGE('The List'!AB2:AB665))/STDEV('The List'!AB2:AB665)</f>
        <v>0.672904390177976</v>
      </c>
      <c r="P12" s="77">
        <f>(VLOOKUP($A12,'The List'!$B1:$AH665,28,FALSE)-AVERAGE('The List'!AC2:AC665))/STDEV('The List'!AC2:AC665)</f>
        <v>2.37865196304115</v>
      </c>
      <c r="Q12" s="77">
        <f>(VLOOKUP($A12,'The List'!$B1:$AH665,29,FALSE)-AVERAGE('The List'!AD2:AD665))/STDEV('The List'!AD2:AD665)</f>
        <v>2.44373503202863</v>
      </c>
      <c r="R12" s="77">
        <f>(VLOOKUP($A12,'The List'!$B1:$AH665,30,FALSE)-AVERAGE('The List'!AE2:AE665))/STDEV('The List'!AE2:AE665)</f>
        <v>2.47210031780518</v>
      </c>
      <c r="S12" s="77">
        <f>(VLOOKUP($A12,'The List'!$B1:$AH665,31,FALSE)-AVERAGE('The List'!AF2:AF665))/STDEV('The List'!AF2:AF665)</f>
        <v>-0.539432039118125</v>
      </c>
      <c r="T12" s="77">
        <f>(VLOOKUP($A12,'The List'!$B1:$AH665,32,FALSE)-AVERAGE('The List'!AG2:AG665))/STDEV('The List'!AG2:AG665)</f>
        <v>-0.572098795392842</v>
      </c>
      <c r="U12" s="77">
        <f>(VLOOKUP($A12,'The List'!$B1:$AH665,33,FALSE)-AVERAGE('The List'!AH2:AH665))/STDEV('The List'!AH2:AH665)</f>
        <v>0.6081169087414749</v>
      </c>
      <c r="V12" s="77"/>
      <c r="W12" s="89"/>
      <c r="X12" s="79"/>
      <c r="Y12" s="79"/>
      <c r="Z12" s="79"/>
      <c r="AA12" s="79"/>
      <c r="AB12" s="79"/>
      <c r="AC12" s="82"/>
      <c r="AD12" s="83"/>
      <c r="AE12" s="84"/>
    </row>
    <row r="13" ht="21.25" customHeight="1">
      <c r="A13" t="s" s="10">
        <v>181</v>
      </c>
      <c r="B13" t="s" s="86">
        <f>VLOOKUP(A13,'Player Data'!A1:B667,2,FALSE)</f>
        <v>275</v>
      </c>
      <c r="C13" s="74">
        <f>((E13)*'Settings'!$C$12)+(F13*'Settings'!$C$2)+(G13*'Settings'!$C$3)+(H13*'Settings'!$C$4)+(I13*'Settings'!$C$5)+(K13*'Settings'!$C$9)+(N13*'Settings'!$C$6)+(J13*'Settings'!$C$8)+(O13*'Settings'!$C$7)+(P13*'Settings'!$C$14)+(Q13*'Settings'!$C$15)+(R13*'Settings'!$C$16)+(S13*'Settings'!$C$17)+(T13*'Settings'!$C$18)+(U13*'Settings'!$C$19)+(L13*'Settings'!$C$10)+('Settings'!$C$11*M13)</f>
        <v>9.83957659571405</v>
      </c>
      <c r="D13" s="79">
        <f>IF('Settings'!$E$12="YES",VLOOKUP(A13,'Player Data'!A1:E667,5,FALSE),82)</f>
        <v>78.625</v>
      </c>
      <c r="E13" s="77">
        <f>(VLOOKUP($A13,'The List'!$B1:$AH665,17,FALSE)-AVERAGE('The List'!R2:R665))/STDEV('The List'!R2:R665)</f>
        <v>1.08360919386418</v>
      </c>
      <c r="F13" s="77">
        <f>(VLOOKUP($A13,'The List'!$B1:$AH665,18,FALSE)-AVERAGE('The List'!S2:S665))/STDEV('The List'!S2:S665)</f>
        <v>2.99766636830911</v>
      </c>
      <c r="G13" s="77">
        <f>(VLOOKUP($A13,'The List'!$B1:$AH665,19,FALSE)-AVERAGE('The List'!T2:T665))/STDEV('The List'!T2:T665)</f>
        <v>1.84084425624367</v>
      </c>
      <c r="H13" s="77">
        <f>(VLOOKUP($A13,'The List'!$B1:$AH665,20,FALSE)-AVERAGE('The List'!U2:U665))/STDEV('The List'!U2:U665)</f>
        <v>2.50584964524479</v>
      </c>
      <c r="I13" s="77">
        <f>(VLOOKUP($A13,'The List'!$B1:$AH665,21,FALSE)-AVERAGE('The List'!V2:V665))/STDEV('The List'!V2:V665)</f>
        <v>2.39680578442223</v>
      </c>
      <c r="J13" s="77">
        <f>(VLOOKUP($A13,'The List'!$B1:$AH665,22,FALSE)-AVERAGE('The List'!W2:W665))/STDEV('The List'!W2:W665)</f>
        <v>3.47148736323022</v>
      </c>
      <c r="K13" s="77">
        <f>(VLOOKUP($A13,'The List'!$B1:$AH665,23,FALSE)-AVERAGE('The List'!X2:X665))/STDEV('The List'!X2:X665)</f>
        <v>2.56458232194495</v>
      </c>
      <c r="L13" s="77">
        <f>(VLOOKUP($A13,'The List'!$B1:$AH665,24,FALSE)-AVERAGE('The List'!Y2:Y665))/STDEV('The List'!Y2:Y665)</f>
        <v>-0.549403716599894</v>
      </c>
      <c r="M13" s="77">
        <f>(VLOOKUP($A13,'The List'!$B1:$AH665,25,FALSE)-AVERAGE('The List'!Z2:Z665))/STDEV('The List'!Z2:Z665)</f>
        <v>-0.722639884178041</v>
      </c>
      <c r="N13" s="77">
        <f>(VLOOKUP($A13,'The List'!$B1:$AH665,26,FALSE)-AVERAGE('The List'!AA2:AA665))/STDEV('The List'!AA2:AA665)</f>
        <v>-0.655077567400715</v>
      </c>
      <c r="O13" s="77">
        <f>(VLOOKUP($A13,'The List'!$B1:$AH665,27,FALSE)-AVERAGE('The List'!AB2:AB665))/STDEV('The List'!AB2:AB665)</f>
        <v>-0.637545960941572</v>
      </c>
      <c r="P13" s="77">
        <f>(VLOOKUP($A13,'The List'!$B1:$AH665,28,FALSE)-AVERAGE('The List'!AC2:AC665))/STDEV('The List'!AC2:AC665)</f>
        <v>0.694755432194804</v>
      </c>
      <c r="Q13" s="77">
        <f>(VLOOKUP($A13,'The List'!$B1:$AH665,29,FALSE)-AVERAGE('The List'!AD2:AD665))/STDEV('The List'!AD2:AD665)</f>
        <v>0.40724880858679</v>
      </c>
      <c r="R13" s="77">
        <f>(VLOOKUP($A13,'The List'!$B1:$AH665,30,FALSE)-AVERAGE('The List'!AE2:AE665))/STDEV('The List'!AE2:AE665)</f>
        <v>3.31421930759166</v>
      </c>
      <c r="S13" s="77">
        <f>(VLOOKUP($A13,'The List'!$B1:$AH665,31,FALSE)-AVERAGE('The List'!AF2:AF665))/STDEV('The List'!AF2:AF665)</f>
        <v>-0.570271804672374</v>
      </c>
      <c r="T13" s="77">
        <f>(VLOOKUP($A13,'The List'!$B1:$AH665,32,FALSE)-AVERAGE('The List'!AG2:AG665))/STDEV('The List'!AG2:AG665)</f>
        <v>-0.6149950025009699</v>
      </c>
      <c r="U13" s="77">
        <f>(VLOOKUP($A13,'The List'!$B1:$AH665,33,FALSE)-AVERAGE('The List'!AH2:AH665))/STDEV('The List'!AH2:AH665)</f>
        <v>-0.0374583964573994</v>
      </c>
      <c r="V13" s="77"/>
      <c r="W13" s="89"/>
      <c r="X13" s="79"/>
      <c r="Y13" s="79"/>
      <c r="Z13" s="79"/>
      <c r="AA13" s="79"/>
      <c r="AB13" s="79"/>
      <c r="AC13" s="82"/>
      <c r="AD13" s="83"/>
      <c r="AE13" s="84"/>
    </row>
    <row r="14" ht="21.25" customHeight="1">
      <c r="A14" t="s" s="10">
        <v>183</v>
      </c>
      <c r="B14" t="s" s="86">
        <f>VLOOKUP(A14,'Player Data'!A1:B667,2,FALSE)</f>
        <v>132</v>
      </c>
      <c r="C14" s="74">
        <f>((E14)*'Settings'!$C$12)+(F14*'Settings'!$C$2)+(G14*'Settings'!$C$3)+(H14*'Settings'!$C$4)+(I14*'Settings'!$C$5)+(K14*'Settings'!$C$9)+(N14*'Settings'!$C$6)+(J14*'Settings'!$C$8)+(O14*'Settings'!$C$7)+(P14*'Settings'!$C$14)+(Q14*'Settings'!$C$15)+(R14*'Settings'!$C$16)+(S14*'Settings'!$C$17)+(T14*'Settings'!$C$18)+(U14*'Settings'!$C$19)+(L14*'Settings'!$C$10)+('Settings'!$C$11*M14)</f>
        <v>11.1022446751777</v>
      </c>
      <c r="D14" s="79">
        <f>IF('Settings'!$E$12="YES",VLOOKUP(A14,'Player Data'!A1:E667,5,FALSE),82)</f>
        <v>81.93000000000001</v>
      </c>
      <c r="E14" s="77">
        <f>(VLOOKUP($A14,'The List'!$B1:$AH665,17,FALSE)-AVERAGE('The List'!R2:R665))/STDEV('The List'!R2:R665)</f>
        <v>1.01975646897548</v>
      </c>
      <c r="F14" s="77">
        <f>(VLOOKUP($A14,'The List'!$B1:$AH665,18,FALSE)-AVERAGE('The List'!S2:S665))/STDEV('The List'!S2:S665)</f>
        <v>2.62820383212281</v>
      </c>
      <c r="G14" s="77">
        <f>(VLOOKUP($A14,'The List'!$B1:$AH665,19,FALSE)-AVERAGE('The List'!T2:T665))/STDEV('The List'!T2:T665)</f>
        <v>2.30603084836405</v>
      </c>
      <c r="H14" s="77">
        <f>(VLOOKUP($A14,'The List'!$B1:$AH665,20,FALSE)-AVERAGE('The List'!U2:U665))/STDEV('The List'!U2:U665)</f>
        <v>2.62681839085558</v>
      </c>
      <c r="I14" s="77">
        <f>(VLOOKUP($A14,'The List'!$B1:$AH665,21,FALSE)-AVERAGE('The List'!V2:V665))/STDEV('The List'!V2:V665)</f>
        <v>2.98367261546079</v>
      </c>
      <c r="J14" s="77">
        <f>(VLOOKUP($A14,'The List'!$B1:$AH665,22,FALSE)-AVERAGE('The List'!W2:W665))/STDEV('The List'!W2:W665)</f>
        <v>2.36431954095364</v>
      </c>
      <c r="K14" s="77">
        <f>(VLOOKUP($A14,'The List'!$B1:$AH665,23,FALSE)-AVERAGE('The List'!X2:X665))/STDEV('The List'!X2:X665)</f>
        <v>2.65358444345505</v>
      </c>
      <c r="L14" s="77">
        <f>(VLOOKUP($A14,'The List'!$B1:$AH665,24,FALSE)-AVERAGE('The List'!Y2:Y665))/STDEV('The List'!Y2:Y665)</f>
        <v>1.99694754330794</v>
      </c>
      <c r="M14" s="77">
        <f>(VLOOKUP($A14,'The List'!$B1:$AH665,25,FALSE)-AVERAGE('The List'!Z2:Z665))/STDEV('The List'!Z2:Z665)</f>
        <v>1.37939063476908</v>
      </c>
      <c r="N14" s="77">
        <f>(VLOOKUP($A14,'The List'!$B1:$AH665,26,FALSE)-AVERAGE('The List'!AA2:AA665))/STDEV('The List'!AA2:AA665)</f>
        <v>-0.812105519356522</v>
      </c>
      <c r="O14" s="77">
        <f>(VLOOKUP($A14,'The List'!$B1:$AH665,27,FALSE)-AVERAGE('The List'!AB2:AB665))/STDEV('The List'!AB2:AB665)</f>
        <v>-1.2420188376788</v>
      </c>
      <c r="P14" s="77">
        <f>(VLOOKUP($A14,'The List'!$B1:$AH665,28,FALSE)-AVERAGE('The List'!AC2:AC665))/STDEV('The List'!AC2:AC665)</f>
        <v>1.34285845513151</v>
      </c>
      <c r="Q14" s="77">
        <f>(VLOOKUP($A14,'The List'!$B1:$AH665,29,FALSE)-AVERAGE('The List'!AD2:AD665))/STDEV('The List'!AD2:AD665)</f>
        <v>-0.395537079202098</v>
      </c>
      <c r="R14" s="77">
        <f>(VLOOKUP($A14,'The List'!$B1:$AH665,30,FALSE)-AVERAGE('The List'!AE2:AE665))/STDEV('The List'!AE2:AE665)</f>
        <v>2.79312993637617</v>
      </c>
      <c r="S14" s="77">
        <f>(VLOOKUP($A14,'The List'!$B1:$AH665,31,FALSE)-AVERAGE('The List'!AF2:AF665))/STDEV('The List'!AF2:AF665)</f>
        <v>-0.330025345322089</v>
      </c>
      <c r="T14" s="77">
        <f>(VLOOKUP($A14,'The List'!$B1:$AH665,32,FALSE)-AVERAGE('The List'!AG2:AG665))/STDEV('The List'!AG2:AG665)</f>
        <v>-0.329758333454587</v>
      </c>
      <c r="U14" s="77">
        <f>(VLOOKUP($A14,'The List'!$B1:$AH665,33,FALSE)-AVERAGE('The List'!AH2:AH665))/STDEV('The List'!AH2:AH665)</f>
        <v>0.885642622561352</v>
      </c>
      <c r="V14" s="77"/>
      <c r="W14" s="89"/>
      <c r="X14" s="79"/>
      <c r="Y14" s="79"/>
      <c r="Z14" s="79"/>
      <c r="AA14" s="79"/>
      <c r="AB14" s="79"/>
      <c r="AC14" s="82"/>
      <c r="AD14" s="83"/>
      <c r="AE14" s="84"/>
    </row>
    <row r="15" ht="21.25" customHeight="1">
      <c r="A15" t="s" s="10">
        <v>203</v>
      </c>
      <c r="B15" t="s" s="86">
        <f>VLOOKUP(A15,'Player Data'!A1:B667,2,FALSE)</f>
        <v>902</v>
      </c>
      <c r="C15" s="74">
        <f>((E15)*'Settings'!$C$12)+(F15*'Settings'!$C$2)+(G15*'Settings'!$C$3)+(H15*'Settings'!$C$4)+(I15*'Settings'!$C$5)+(K15*'Settings'!$C$9)+(N15*'Settings'!$C$6)+(J15*'Settings'!$C$8)+(O15*'Settings'!$C$7)+(P15*'Settings'!$C$14)+(Q15*'Settings'!$C$15)+(R15*'Settings'!$C$16)+(S15*'Settings'!$C$17)+(T15*'Settings'!$C$18)+(U15*'Settings'!$C$19)+(L15*'Settings'!$C$10)+('Settings'!$C$11*M15)</f>
        <v>10.3124484756616</v>
      </c>
      <c r="D15" s="79">
        <f>IF('Settings'!$E$12="YES",VLOOKUP(A15,'Player Data'!A1:E667,5,FALSE),82)</f>
        <v>81.23</v>
      </c>
      <c r="E15" s="77">
        <f>(VLOOKUP($A15,'The List'!$B1:$AH665,17,FALSE)-AVERAGE('The List'!R2:R665))/STDEV('The List'!R2:R665)</f>
        <v>0.501380714802636</v>
      </c>
      <c r="F15" s="77">
        <f>(VLOOKUP($A15,'The List'!$B1:$AH665,18,FALSE)-AVERAGE('The List'!S2:S665))/STDEV('The List'!S2:S665)</f>
        <v>2.31029335263931</v>
      </c>
      <c r="G15" s="77">
        <f>(VLOOKUP($A15,'The List'!$B1:$AH665,19,FALSE)-AVERAGE('The List'!T2:T665))/STDEV('The List'!T2:T665)</f>
        <v>2.17769907304496</v>
      </c>
      <c r="H15" s="77">
        <f>(VLOOKUP($A15,'The List'!$B1:$AH665,20,FALSE)-AVERAGE('The List'!U2:U665))/STDEV('The List'!U2:U665)</f>
        <v>2.40261171810539</v>
      </c>
      <c r="I15" s="77">
        <f>(VLOOKUP($A15,'The List'!$B1:$AH665,21,FALSE)-AVERAGE('The List'!V2:V665))/STDEV('The List'!V2:V665)</f>
        <v>1.9154631462791</v>
      </c>
      <c r="J15" s="77">
        <f>(VLOOKUP($A15,'The List'!$B1:$AH665,22,FALSE)-AVERAGE('The List'!W2:W665))/STDEV('The List'!W2:W665)</f>
        <v>2.4397624008842</v>
      </c>
      <c r="K15" s="77">
        <f>(VLOOKUP($A15,'The List'!$B1:$AH665,23,FALSE)-AVERAGE('The List'!X2:X665))/STDEV('The List'!X2:X665)</f>
        <v>2.5193956305123</v>
      </c>
      <c r="L15" s="77">
        <f>(VLOOKUP($A15,'The List'!$B1:$AH665,24,FALSE)-AVERAGE('The List'!Y2:Y665))/STDEV('The List'!Y2:Y665)</f>
        <v>-0.570017976151764</v>
      </c>
      <c r="M15" s="77">
        <f>(VLOOKUP($A15,'The List'!$B1:$AH665,25,FALSE)-AVERAGE('The List'!Z2:Z665))/STDEV('The List'!Z2:Z665)</f>
        <v>-0.743691067111157</v>
      </c>
      <c r="N15" s="77">
        <f>(VLOOKUP($A15,'The List'!$B1:$AH665,26,FALSE)-AVERAGE('The List'!AA2:AA665))/STDEV('The List'!AA2:AA665)</f>
        <v>-0.87091023124415</v>
      </c>
      <c r="O15" s="77">
        <f>(VLOOKUP($A15,'The List'!$B1:$AH665,27,FALSE)-AVERAGE('The List'!AB2:AB665))/STDEV('The List'!AB2:AB665)</f>
        <v>-0.496805743031165</v>
      </c>
      <c r="P15" s="77">
        <f>(VLOOKUP($A15,'The List'!$B1:$AH665,28,FALSE)-AVERAGE('The List'!AC2:AC665))/STDEV('The List'!AC2:AC665)</f>
        <v>2.26050750443012</v>
      </c>
      <c r="Q15" s="77">
        <f>(VLOOKUP($A15,'The List'!$B1:$AH665,29,FALSE)-AVERAGE('The List'!AD2:AD665))/STDEV('The List'!AD2:AD665)</f>
        <v>-0.560657080653466</v>
      </c>
      <c r="R15" s="77">
        <f>(VLOOKUP($A15,'The List'!$B1:$AH665,30,FALSE)-AVERAGE('The List'!AE2:AE665))/STDEV('The List'!AE2:AE665)</f>
        <v>2.46519406685759</v>
      </c>
      <c r="S15" s="77">
        <f>(VLOOKUP($A15,'The List'!$B1:$AH665,31,FALSE)-AVERAGE('The List'!AF2:AF665))/STDEV('The List'!AF2:AF665)</f>
        <v>-0.573894410668334</v>
      </c>
      <c r="T15" s="77">
        <f>(VLOOKUP($A15,'The List'!$B1:$AH665,32,FALSE)-AVERAGE('The List'!AG2:AG665))/STDEV('The List'!AG2:AG665)</f>
        <v>-0.625004875941083</v>
      </c>
      <c r="U15" s="77">
        <f>(VLOOKUP($A15,'The List'!$B1:$AH665,33,FALSE)-AVERAGE('The List'!AH2:AH665))/STDEV('The List'!AH2:AH665)</f>
        <v>-1.23143502104617</v>
      </c>
      <c r="V15" s="77"/>
      <c r="W15" s="89"/>
      <c r="X15" s="79"/>
      <c r="Y15" s="79"/>
      <c r="Z15" s="79"/>
      <c r="AA15" s="79"/>
      <c r="AB15" s="79"/>
      <c r="AC15" s="82"/>
      <c r="AD15" s="83"/>
      <c r="AE15" s="84"/>
    </row>
    <row r="16" ht="21.25" customHeight="1">
      <c r="A16" t="s" s="10">
        <v>163</v>
      </c>
      <c r="B16" t="s" s="86">
        <f>VLOOKUP(A16,'Player Data'!A1:B667,2,FALSE)</f>
        <v>871</v>
      </c>
      <c r="C16" s="74">
        <f>((E16)*'Settings'!$C$12)+(F16*'Settings'!$C$2)+(G16*'Settings'!$C$3)+(H16*'Settings'!$C$4)+(I16*'Settings'!$C$5)+(K16*'Settings'!$C$9)+(N16*'Settings'!$C$6)+(J16*'Settings'!$C$8)+(O16*'Settings'!$C$7)+(P16*'Settings'!$C$14)+(Q16*'Settings'!$C$15)+(R16*'Settings'!$C$16)+(S16*'Settings'!$C$17)+(T16*'Settings'!$C$18)+(U16*'Settings'!$C$19)+(L16*'Settings'!$C$10)+('Settings'!$C$11*M16)</f>
        <v>11.2580411560368</v>
      </c>
      <c r="D16" s="79">
        <f>IF('Settings'!$E$12="YES",VLOOKUP(A16,'Player Data'!A1:E667,5,FALSE),82)</f>
        <v>77.61750000000001</v>
      </c>
      <c r="E16" s="77">
        <f>(VLOOKUP($A16,'The List'!$B1:$AH665,17,FALSE)-AVERAGE('The List'!R2:R665))/STDEV('The List'!R2:R665)</f>
        <v>2.45443109796488</v>
      </c>
      <c r="F16" s="77">
        <f>(VLOOKUP($A16,'The List'!$B1:$AH665,18,FALSE)-AVERAGE('The List'!S2:S665))/STDEV('The List'!S2:S665)</f>
        <v>0.828517230840658</v>
      </c>
      <c r="G16" s="77">
        <f>(VLOOKUP($A16,'The List'!$B1:$AH665,19,FALSE)-AVERAGE('The List'!T2:T665))/STDEV('The List'!T2:T665)</f>
        <v>2.96986009948368</v>
      </c>
      <c r="H16" s="77">
        <f>(VLOOKUP($A16,'The List'!$B1:$AH665,20,FALSE)-AVERAGE('The List'!U2:U665))/STDEV('The List'!U2:U665)</f>
        <v>2.22105057541402</v>
      </c>
      <c r="I16" s="77">
        <f>(VLOOKUP($A16,'The List'!$B1:$AH665,21,FALSE)-AVERAGE('The List'!V2:V665))/STDEV('The List'!V2:V665)</f>
        <v>1.62912086989854</v>
      </c>
      <c r="J16" s="77">
        <f>(VLOOKUP($A16,'The List'!$B1:$AH665,22,FALSE)-AVERAGE('The List'!W2:W665))/STDEV('The List'!W2:W665)</f>
        <v>1.22879349583458</v>
      </c>
      <c r="K16" s="77">
        <f>(VLOOKUP($A16,'The List'!$B1:$AH665,23,FALSE)-AVERAGE('The List'!X2:X665))/STDEV('The List'!X2:X665)</f>
        <v>3.02940557565043</v>
      </c>
      <c r="L16" s="77">
        <f>(VLOOKUP($A16,'The List'!$B1:$AH665,24,FALSE)-AVERAGE('The List'!Y2:Y665))/STDEV('The List'!Y2:Y665)</f>
        <v>0.306151846522403</v>
      </c>
      <c r="M16" s="77">
        <f>(VLOOKUP($A16,'The List'!$B1:$AH665,25,FALSE)-AVERAGE('The List'!Z2:Z665))/STDEV('The List'!Z2:Z665)</f>
        <v>1.40729984333288</v>
      </c>
      <c r="N16" s="77">
        <f>(VLOOKUP($A16,'The List'!$B1:$AH665,26,FALSE)-AVERAGE('The List'!AA2:AA665))/STDEV('The List'!AA2:AA665)</f>
        <v>1.72814947251534</v>
      </c>
      <c r="O16" s="77">
        <f>(VLOOKUP($A16,'The List'!$B1:$AH665,27,FALSE)-AVERAGE('The List'!AB2:AB665))/STDEV('The List'!AB2:AB665)</f>
        <v>-0.67813248267697</v>
      </c>
      <c r="P16" s="77">
        <f>(VLOOKUP($A16,'The List'!$B1:$AH665,28,FALSE)-AVERAGE('The List'!AC2:AC665))/STDEV('The List'!AC2:AC665)</f>
        <v>1.07298790764813</v>
      </c>
      <c r="Q16" s="77">
        <f>(VLOOKUP($A16,'The List'!$B1:$AH665,29,FALSE)-AVERAGE('The List'!AD2:AD665))/STDEV('The List'!AD2:AD665)</f>
        <v>-0.275140370126623</v>
      </c>
      <c r="R16" s="77">
        <f>(VLOOKUP($A16,'The List'!$B1:$AH665,30,FALSE)-AVERAGE('The List'!AE2:AE665))/STDEV('The List'!AE2:AE665)</f>
        <v>0.798380158352231</v>
      </c>
      <c r="S16" s="77">
        <f>(VLOOKUP($A16,'The List'!$B1:$AH665,31,FALSE)-AVERAGE('The List'!AF2:AF665))/STDEV('The List'!AF2:AF665)</f>
        <v>-0.573894410680004</v>
      </c>
      <c r="T16" s="77">
        <f>(VLOOKUP($A16,'The List'!$B1:$AH665,32,FALSE)-AVERAGE('The List'!AG2:AG665))/STDEV('The List'!AG2:AG665)</f>
        <v>-0.625770787132651</v>
      </c>
      <c r="U16" s="77">
        <f>(VLOOKUP($A16,'The List'!$B1:$AH665,33,FALSE)-AVERAGE('The List'!AH2:AH665))/STDEV('The List'!AH2:AH665)</f>
        <v>-1.23143509451486</v>
      </c>
      <c r="V16" s="77"/>
      <c r="W16" s="79"/>
      <c r="X16" s="79"/>
      <c r="Y16" s="79"/>
      <c r="Z16" s="79"/>
      <c r="AA16" s="79"/>
      <c r="AB16" s="79"/>
      <c r="AC16" s="82"/>
      <c r="AD16" s="83"/>
      <c r="AE16" s="84"/>
    </row>
    <row r="17" ht="21.25" customHeight="1">
      <c r="A17" t="s" s="10">
        <v>151</v>
      </c>
      <c r="B17" t="s" s="86">
        <f>VLOOKUP(A17,'Player Data'!A1:B667,2,FALSE)</f>
        <v>901</v>
      </c>
      <c r="C17" s="74">
        <f>((E17)*'Settings'!$C$12)+(F17*'Settings'!$C$2)+(G17*'Settings'!$C$3)+(H17*'Settings'!$C$4)+(I17*'Settings'!$C$5)+(K17*'Settings'!$C$9)+(N17*'Settings'!$C$6)+(J17*'Settings'!$C$8)+(O17*'Settings'!$C$7)+(P17*'Settings'!$C$14)+(Q17*'Settings'!$C$15)+(R17*'Settings'!$C$16)+(S17*'Settings'!$C$17)+(T17*'Settings'!$C$18)+(U17*'Settings'!$C$19)+(L17*'Settings'!$C$10)+('Settings'!$C$11*M17)</f>
        <v>10.1105609461844</v>
      </c>
      <c r="D17" s="79">
        <f>IF('Settings'!$E$12="YES",VLOOKUP(A17,'Player Data'!A1:E667,5,FALSE),82)</f>
        <v>81.55500000000001</v>
      </c>
      <c r="E17" s="77">
        <f>(VLOOKUP($A17,'The List'!$B1:$AH665,17,FALSE)-AVERAGE('The List'!R2:R665))/STDEV('The List'!R2:R665)</f>
        <v>0.824829752280173</v>
      </c>
      <c r="F17" s="77">
        <f>(VLOOKUP($A17,'The List'!$B1:$AH665,18,FALSE)-AVERAGE('The List'!S2:S665))/STDEV('The List'!S2:S665)</f>
        <v>2.36113253042066</v>
      </c>
      <c r="G17" s="77">
        <f>(VLOOKUP($A17,'The List'!$B1:$AH665,19,FALSE)-AVERAGE('The List'!T2:T665))/STDEV('The List'!T2:T665)</f>
        <v>2.43405710402034</v>
      </c>
      <c r="H17" s="77">
        <f>(VLOOKUP($A17,'The List'!$B1:$AH665,20,FALSE)-AVERAGE('The List'!U2:U665))/STDEV('The List'!U2:U665)</f>
        <v>2.58493329275142</v>
      </c>
      <c r="I17" s="77">
        <f>(VLOOKUP($A17,'The List'!$B1:$AH665,21,FALSE)-AVERAGE('The List'!V2:V665))/STDEV('The List'!V2:V665)</f>
        <v>1.46538166262635</v>
      </c>
      <c r="J17" s="77">
        <f>(VLOOKUP($A17,'The List'!$B1:$AH665,22,FALSE)-AVERAGE('The List'!W2:W665))/STDEV('The List'!W2:W665)</f>
        <v>2.26235394498082</v>
      </c>
      <c r="K17" s="77">
        <f>(VLOOKUP($A17,'The List'!$B1:$AH665,23,FALSE)-AVERAGE('The List'!X2:X665))/STDEV('The List'!X2:X665)</f>
        <v>2.14099059122699</v>
      </c>
      <c r="L17" s="77">
        <f>(VLOOKUP($A17,'The List'!$B1:$AH665,24,FALSE)-AVERAGE('The List'!Y2:Y665))/STDEV('The List'!Y2:Y665)</f>
        <v>1.28389967098458</v>
      </c>
      <c r="M17" s="77">
        <f>(VLOOKUP($A17,'The List'!$B1:$AH665,25,FALSE)-AVERAGE('The List'!Z2:Z665))/STDEV('The List'!Z2:Z665)</f>
        <v>2.57361502245438</v>
      </c>
      <c r="N17" s="77">
        <f>(VLOOKUP($A17,'The List'!$B1:$AH665,26,FALSE)-AVERAGE('The List'!AA2:AA665))/STDEV('The List'!AA2:AA665)</f>
        <v>0.09135191380409011</v>
      </c>
      <c r="O17" s="77">
        <f>(VLOOKUP($A17,'The List'!$B1:$AH665,27,FALSE)-AVERAGE('The List'!AB2:AB665))/STDEV('The List'!AB2:AB665)</f>
        <v>0.230388675904374</v>
      </c>
      <c r="P17" s="77">
        <f>(VLOOKUP($A17,'The List'!$B1:$AH665,28,FALSE)-AVERAGE('The List'!AC2:AC665))/STDEV('The List'!AC2:AC665)</f>
        <v>1.61764714408598</v>
      </c>
      <c r="Q17" s="77">
        <f>(VLOOKUP($A17,'The List'!$B1:$AH665,29,FALSE)-AVERAGE('The List'!AD2:AD665))/STDEV('The List'!AD2:AD665)</f>
        <v>-1.12488562840817</v>
      </c>
      <c r="R17" s="77">
        <f>(VLOOKUP($A17,'The List'!$B1:$AH665,30,FALSE)-AVERAGE('The List'!AE2:AE665))/STDEV('The List'!AE2:AE665)</f>
        <v>2.77480874723176</v>
      </c>
      <c r="S17" s="77">
        <f>(VLOOKUP($A17,'The List'!$B1:$AH665,31,FALSE)-AVERAGE('The List'!AF2:AF665))/STDEV('The List'!AF2:AF665)</f>
        <v>1.24147573977274</v>
      </c>
      <c r="T17" s="77">
        <f>(VLOOKUP($A17,'The List'!$B1:$AH665,32,FALSE)-AVERAGE('The List'!AG2:AG665))/STDEV('The List'!AG2:AG665)</f>
        <v>1.55284258616086</v>
      </c>
      <c r="U17" s="77">
        <f>(VLOOKUP($A17,'The List'!$B1:$AH665,33,FALSE)-AVERAGE('The List'!AH2:AH665))/STDEV('The List'!AH2:AH665)</f>
        <v>0.89847744167022</v>
      </c>
      <c r="V17" s="77"/>
      <c r="W17" s="89"/>
      <c r="X17" s="79"/>
      <c r="Y17" s="79"/>
      <c r="Z17" s="79"/>
      <c r="AA17" s="79"/>
      <c r="AB17" s="79"/>
      <c r="AC17" s="82"/>
      <c r="AD17" s="83"/>
      <c r="AE17" s="84"/>
    </row>
    <row r="18" ht="21.25" customHeight="1">
      <c r="A18" t="s" s="10">
        <v>220</v>
      </c>
      <c r="B18" t="s" s="86">
        <f>VLOOKUP(A18,'Player Data'!A1:B667,2,FALSE)</f>
        <v>866</v>
      </c>
      <c r="C18" s="74">
        <f>((E18)*'Settings'!$C$12)+(F18*'Settings'!$C$2)+(G18*'Settings'!$C$3)+(H18*'Settings'!$C$4)+(I18*'Settings'!$C$5)+(K18*'Settings'!$C$9)+(N18*'Settings'!$C$6)+(J18*'Settings'!$C$8)+(O18*'Settings'!$C$7)+(P18*'Settings'!$C$14)+(Q18*'Settings'!$C$15)+(R18*'Settings'!$C$16)+(S18*'Settings'!$C$17)+(T18*'Settings'!$C$18)+(U18*'Settings'!$C$19)+(L18*'Settings'!$C$10)+('Settings'!$C$11*M18)</f>
        <v>8.029104277723251</v>
      </c>
      <c r="D18" s="79">
        <f>IF('Settings'!$E$12="YES",VLOOKUP(A18,'Player Data'!A1:E667,5,FALSE),82)</f>
        <v>80.2525</v>
      </c>
      <c r="E18" s="77">
        <f>(VLOOKUP($A18,'The List'!$B1:$AH665,17,FALSE)-AVERAGE('The List'!R2:R665))/STDEV('The List'!R2:R665)</f>
        <v>0.870505413153589</v>
      </c>
      <c r="F18" s="77">
        <f>(VLOOKUP($A18,'The List'!$B1:$AH665,18,FALSE)-AVERAGE('The List'!S2:S665))/STDEV('The List'!S2:S665)</f>
        <v>2.95095434788437</v>
      </c>
      <c r="G18" s="77">
        <f>(VLOOKUP($A18,'The List'!$B1:$AH665,19,FALSE)-AVERAGE('The List'!T2:T665))/STDEV('The List'!T2:T665)</f>
        <v>1.43041836547122</v>
      </c>
      <c r="H18" s="77">
        <f>(VLOOKUP($A18,'The List'!$B1:$AH665,20,FALSE)-AVERAGE('The List'!U2:U665))/STDEV('The List'!U2:U665)</f>
        <v>2.22971925591771</v>
      </c>
      <c r="I18" s="77">
        <f>(VLOOKUP($A18,'The List'!$B1:$AH665,21,FALSE)-AVERAGE('The List'!V2:V665))/STDEV('The List'!V2:V665)</f>
        <v>1.55974897217465</v>
      </c>
      <c r="J18" s="77">
        <f>(VLOOKUP($A18,'The List'!$B1:$AH665,22,FALSE)-AVERAGE('The List'!W2:W665))/STDEV('The List'!W2:W665)</f>
        <v>3.27666704506512</v>
      </c>
      <c r="K18" s="77">
        <f>(VLOOKUP($A18,'The List'!$B1:$AH665,23,FALSE)-AVERAGE('The List'!X2:X665))/STDEV('The List'!X2:X665)</f>
        <v>2.11066683891309</v>
      </c>
      <c r="L18" s="77">
        <f>(VLOOKUP($A18,'The List'!$B1:$AH665,24,FALSE)-AVERAGE('The List'!Y2:Y665))/STDEV('The List'!Y2:Y665)</f>
        <v>-0.550874168828645</v>
      </c>
      <c r="M18" s="77">
        <f>(VLOOKUP($A18,'The List'!$B1:$AH665,25,FALSE)-AVERAGE('The List'!Z2:Z665))/STDEV('The List'!Z2:Z665)</f>
        <v>-0.724150620262991</v>
      </c>
      <c r="N18" s="77">
        <f>(VLOOKUP($A18,'The List'!$B1:$AH665,26,FALSE)-AVERAGE('The List'!AA2:AA665))/STDEV('The List'!AA2:AA665)</f>
        <v>-0.575372121417066</v>
      </c>
      <c r="O18" s="77">
        <f>(VLOOKUP($A18,'The List'!$B1:$AH665,27,FALSE)-AVERAGE('The List'!AB2:AB665))/STDEV('The List'!AB2:AB665)</f>
        <v>-1.30961713274896</v>
      </c>
      <c r="P18" s="77">
        <f>(VLOOKUP($A18,'The List'!$B1:$AH665,28,FALSE)-AVERAGE('The List'!AC2:AC665))/STDEV('The List'!AC2:AC665)</f>
        <v>0.552687874696985</v>
      </c>
      <c r="Q18" s="77">
        <f>(VLOOKUP($A18,'The List'!$B1:$AH665,29,FALSE)-AVERAGE('The List'!AD2:AD665))/STDEV('The List'!AD2:AD665)</f>
        <v>-0.816668053467278</v>
      </c>
      <c r="R18" s="77">
        <f>(VLOOKUP($A18,'The List'!$B1:$AH665,30,FALSE)-AVERAGE('The List'!AE2:AE665))/STDEV('The List'!AE2:AE665)</f>
        <v>3.0579912569727</v>
      </c>
      <c r="S18" s="77">
        <f>(VLOOKUP($A18,'The List'!$B1:$AH665,31,FALSE)-AVERAGE('The List'!AF2:AF665))/STDEV('The List'!AF2:AF665)</f>
        <v>1.05610020546011</v>
      </c>
      <c r="T18" s="77">
        <f>(VLOOKUP($A18,'The List'!$B1:$AH665,32,FALSE)-AVERAGE('The List'!AG2:AG665))/STDEV('The List'!AG2:AG665)</f>
        <v>1.21272591826096</v>
      </c>
      <c r="U18" s="77">
        <f>(VLOOKUP($A18,'The List'!$B1:$AH665,33,FALSE)-AVERAGE('The List'!AH2:AH665))/STDEV('The List'!AH2:AH665)</f>
        <v>0.968624497206141</v>
      </c>
      <c r="V18" s="77"/>
      <c r="W18" s="89"/>
      <c r="X18" s="79"/>
      <c r="Y18" s="79"/>
      <c r="Z18" s="79"/>
      <c r="AA18" s="79"/>
      <c r="AB18" s="79"/>
      <c r="AC18" s="82"/>
      <c r="AD18" s="83"/>
      <c r="AE18" s="84"/>
    </row>
    <row r="19" ht="21.25" customHeight="1">
      <c r="A19" t="s" s="10">
        <v>186</v>
      </c>
      <c r="B19" t="s" s="86">
        <f>VLOOKUP(A19,'Player Data'!A1:B667,2,FALSE)</f>
        <v>149</v>
      </c>
      <c r="C19" s="74">
        <f>((E19)*'Settings'!$C$12)+(F19*'Settings'!$C$2)+(G19*'Settings'!$C$3)+(H19*'Settings'!$C$4)+(I19*'Settings'!$C$5)+(K19*'Settings'!$C$9)+(N19*'Settings'!$C$6)+(J19*'Settings'!$C$8)+(O19*'Settings'!$C$7)+(P19*'Settings'!$C$14)+(Q19*'Settings'!$C$15)+(R19*'Settings'!$C$16)+(S19*'Settings'!$C$17)+(T19*'Settings'!$C$18)+(U19*'Settings'!$C$19)+(L19*'Settings'!$C$10)+('Settings'!$C$11*M19)</f>
        <v>8.58617429910945</v>
      </c>
      <c r="D19" s="79">
        <f>IF('Settings'!$E$12="YES",VLOOKUP(A19,'Player Data'!A1:E667,5,FALSE),82)</f>
        <v>77.00749999999999</v>
      </c>
      <c r="E19" s="77">
        <f>(VLOOKUP($A19,'The List'!$B1:$AH665,17,FALSE)-AVERAGE('The List'!R2:R665))/STDEV('The List'!R2:R665)</f>
        <v>0.918902775289594</v>
      </c>
      <c r="F19" s="77">
        <f>(VLOOKUP($A19,'The List'!$B1:$AH665,18,FALSE)-AVERAGE('The List'!S2:S665))/STDEV('The List'!S2:S665)</f>
        <v>1.31279141213221</v>
      </c>
      <c r="G19" s="77">
        <f>(VLOOKUP($A19,'The List'!$B1:$AH665,19,FALSE)-AVERAGE('The List'!T2:T665))/STDEV('The List'!T2:T665)</f>
        <v>2.367367865431</v>
      </c>
      <c r="H19" s="77">
        <f>(VLOOKUP($A19,'The List'!$B1:$AH665,20,FALSE)-AVERAGE('The List'!U2:U665))/STDEV('The List'!U2:U665)</f>
        <v>2.06699465586188</v>
      </c>
      <c r="I19" s="77">
        <f>(VLOOKUP($A19,'The List'!$B1:$AH665,21,FALSE)-AVERAGE('The List'!V2:V665))/STDEV('The List'!V2:V665)</f>
        <v>1.36882608564327</v>
      </c>
      <c r="J19" s="77">
        <f>(VLOOKUP($A19,'The List'!$B1:$AH665,22,FALSE)-AVERAGE('The List'!W2:W665))/STDEV('The List'!W2:W665)</f>
        <v>1.05124593558006</v>
      </c>
      <c r="K19" s="77">
        <f>(VLOOKUP($A19,'The List'!$B1:$AH665,23,FALSE)-AVERAGE('The List'!X2:X665))/STDEV('The List'!X2:X665)</f>
        <v>1.90191162366895</v>
      </c>
      <c r="L19" s="77">
        <f>(VLOOKUP($A19,'The List'!$B1:$AH665,24,FALSE)-AVERAGE('The List'!Y2:Y665))/STDEV('The List'!Y2:Y665)</f>
        <v>1.08628040488596</v>
      </c>
      <c r="M19" s="77">
        <f>(VLOOKUP($A19,'The List'!$B1:$AH665,25,FALSE)-AVERAGE('The List'!Z2:Z665))/STDEV('The List'!Z2:Z665)</f>
        <v>1.7151686844586</v>
      </c>
      <c r="N19" s="77">
        <f>(VLOOKUP($A19,'The List'!$B1:$AH665,26,FALSE)-AVERAGE('The List'!AA2:AA665))/STDEV('The List'!AA2:AA665)</f>
        <v>-0.306373104290813</v>
      </c>
      <c r="O19" s="77">
        <f>(VLOOKUP($A19,'The List'!$B1:$AH665,27,FALSE)-AVERAGE('The List'!AB2:AB665))/STDEV('The List'!AB2:AB665)</f>
        <v>-0.0233792109297582</v>
      </c>
      <c r="P19" s="77">
        <f>(VLOOKUP($A19,'The List'!$B1:$AH665,28,FALSE)-AVERAGE('The List'!AC2:AC665))/STDEV('The List'!AC2:AC665)</f>
        <v>1.94165041652483</v>
      </c>
      <c r="Q19" s="77">
        <f>(VLOOKUP($A19,'The List'!$B1:$AH665,29,FALSE)-AVERAGE('The List'!AD2:AD665))/STDEV('The List'!AD2:AD665)</f>
        <v>-0.709602612474869</v>
      </c>
      <c r="R19" s="77">
        <f>(VLOOKUP($A19,'The List'!$B1:$AH665,30,FALSE)-AVERAGE('The List'!AE2:AE665))/STDEV('The List'!AE2:AE665)</f>
        <v>1.61866868439395</v>
      </c>
      <c r="S19" s="77">
        <f>(VLOOKUP($A19,'The List'!$B1:$AH665,31,FALSE)-AVERAGE('The List'!AF2:AF665))/STDEV('The List'!AF2:AF665)</f>
        <v>2.86000078908314</v>
      </c>
      <c r="T19" s="77">
        <f>(VLOOKUP($A19,'The List'!$B1:$AH665,32,FALSE)-AVERAGE('The List'!AG2:AG665))/STDEV('The List'!AG2:AG665)</f>
        <v>2.20208754308431</v>
      </c>
      <c r="U19" s="77">
        <f>(VLOOKUP($A19,'The List'!$B1:$AH665,33,FALSE)-AVERAGE('The List'!AH2:AH665))/STDEV('The List'!AH2:AH665)</f>
        <v>1.3234987023364</v>
      </c>
      <c r="V19" s="77"/>
      <c r="W19" s="79"/>
      <c r="X19" s="77"/>
      <c r="Y19" s="77"/>
      <c r="Z19" s="77"/>
      <c r="AA19" s="77"/>
      <c r="AB19" s="77"/>
      <c r="AC19" s="77"/>
      <c r="AD19" s="77"/>
      <c r="AE19" s="84"/>
    </row>
    <row r="20" ht="21.25" customHeight="1">
      <c r="A20" t="s" s="10">
        <v>243</v>
      </c>
      <c r="B20" t="s" s="86">
        <f>VLOOKUP(A20,'Player Data'!A1:B667,2,FALSE)</f>
        <v>905</v>
      </c>
      <c r="C20" s="74">
        <f>((E20)*'Settings'!$C$12)+(F20*'Settings'!$C$2)+(G20*'Settings'!$C$3)+(H20*'Settings'!$C$4)+(I20*'Settings'!$C$5)+(K20*'Settings'!$C$9)+(N20*'Settings'!$C$6)+(J20*'Settings'!$C$8)+(O20*'Settings'!$C$7)+(P20*'Settings'!$C$14)+(Q20*'Settings'!$C$15)+(R20*'Settings'!$C$16)+(S20*'Settings'!$C$17)+(T20*'Settings'!$C$18)+(U20*'Settings'!$C$19)+(L20*'Settings'!$C$10)+('Settings'!$C$11*M20)</f>
        <v>4.47465875585155</v>
      </c>
      <c r="D20" s="79">
        <f>IF('Settings'!$E$12="YES",VLOOKUP(A20,'Player Data'!A1:E667,5,FALSE),82)</f>
        <v>76.22</v>
      </c>
      <c r="E20" s="77">
        <f>(VLOOKUP($A20,'The List'!$B1:$AH665,17,FALSE)-AVERAGE('The List'!R2:R665))/STDEV('The List'!R2:R665)</f>
        <v>0.906903858935565</v>
      </c>
      <c r="F20" s="77">
        <f>(VLOOKUP($A20,'The List'!$B1:$AH665,18,FALSE)-AVERAGE('The List'!S2:S665))/STDEV('The List'!S2:S665)</f>
        <v>1.68056131004807</v>
      </c>
      <c r="G20" s="77">
        <f>(VLOOKUP($A20,'The List'!$B1:$AH665,19,FALSE)-AVERAGE('The List'!T2:T665))/STDEV('The List'!T2:T665)</f>
        <v>2.01929536533003</v>
      </c>
      <c r="H20" s="77">
        <f>(VLOOKUP($A20,'The List'!$B1:$AH665,20,FALSE)-AVERAGE('The List'!U2:U665))/STDEV('The List'!U2:U665)</f>
        <v>2.0179909619482</v>
      </c>
      <c r="I20" s="77">
        <f>(VLOOKUP($A20,'The List'!$B1:$AH665,21,FALSE)-AVERAGE('The List'!V2:V665))/STDEV('The List'!V2:V665)</f>
        <v>1.74714687304591</v>
      </c>
      <c r="J20" s="77">
        <f>(VLOOKUP($A20,'The List'!$B1:$AH665,22,FALSE)-AVERAGE('The List'!W2:W665))/STDEV('The List'!W2:W665)</f>
        <v>1.12563087379313</v>
      </c>
      <c r="K20" s="77">
        <f>(VLOOKUP($A20,'The List'!$B1:$AH665,23,FALSE)-AVERAGE('The List'!X2:X665))/STDEV('The List'!X2:X665)</f>
        <v>2.17607228884771</v>
      </c>
      <c r="L20" s="77">
        <f>(VLOOKUP($A20,'The List'!$B1:$AH665,24,FALSE)-AVERAGE('The List'!Y2:Y665))/STDEV('The List'!Y2:Y665)</f>
        <v>-0.5682619489590089</v>
      </c>
      <c r="M20" s="77">
        <f>(VLOOKUP($A20,'The List'!$B1:$AH665,25,FALSE)-AVERAGE('The List'!Z2:Z665))/STDEV('The List'!Z2:Z665)</f>
        <v>-0.7420316167309871</v>
      </c>
      <c r="N20" s="77">
        <f>(VLOOKUP($A20,'The List'!$B1:$AH665,26,FALSE)-AVERAGE('The List'!AA2:AA665))/STDEV('The List'!AA2:AA665)</f>
        <v>-0.806239870896595</v>
      </c>
      <c r="O20" s="77">
        <f>(VLOOKUP($A20,'The List'!$B1:$AH665,27,FALSE)-AVERAGE('The List'!AB2:AB665))/STDEV('The List'!AB2:AB665)</f>
        <v>-0.69780410884543</v>
      </c>
      <c r="P20" s="77">
        <f>(VLOOKUP($A20,'The List'!$B1:$AH665,28,FALSE)-AVERAGE('The List'!AC2:AC665))/STDEV('The List'!AC2:AC665)</f>
        <v>-2.34217721052358</v>
      </c>
      <c r="Q20" s="77">
        <f>(VLOOKUP($A20,'The List'!$B1:$AH665,29,FALSE)-AVERAGE('The List'!AD2:AD665))/STDEV('The List'!AD2:AD665)</f>
        <v>0.158066106648365</v>
      </c>
      <c r="R20" s="77">
        <f>(VLOOKUP($A20,'The List'!$B1:$AH665,30,FALSE)-AVERAGE('The List'!AE2:AE665))/STDEV('The List'!AE2:AE665)</f>
        <v>1.22519565533099</v>
      </c>
      <c r="S20" s="77">
        <f>(VLOOKUP($A20,'The List'!$B1:$AH665,31,FALSE)-AVERAGE('The List'!AF2:AF665))/STDEV('The List'!AF2:AF665)</f>
        <v>0.566838022281507</v>
      </c>
      <c r="T20" s="77">
        <f>(VLOOKUP($A20,'The List'!$B1:$AH665,32,FALSE)-AVERAGE('The List'!AG2:AG665))/STDEV('The List'!AG2:AG665)</f>
        <v>1.27922224307438</v>
      </c>
      <c r="U20" s="77">
        <f>(VLOOKUP($A20,'The List'!$B1:$AH665,33,FALSE)-AVERAGE('The List'!AH2:AH665))/STDEV('The List'!AH2:AH665)</f>
        <v>0.532367761319736</v>
      </c>
      <c r="V20" s="77"/>
      <c r="W20" s="89"/>
      <c r="X20" s="79"/>
      <c r="Y20" s="79"/>
      <c r="Z20" s="79"/>
      <c r="AA20" s="79"/>
      <c r="AB20" s="79"/>
      <c r="AC20" s="82"/>
      <c r="AD20" s="83"/>
      <c r="AE20" s="84"/>
    </row>
    <row r="21" ht="21.25" customHeight="1">
      <c r="A21" t="s" s="10">
        <v>177</v>
      </c>
      <c r="B21" t="s" s="86">
        <f>VLOOKUP(A21,'Player Data'!A1:B667,2,FALSE)</f>
        <v>165</v>
      </c>
      <c r="C21" s="74">
        <f>((E21)*'Settings'!$C$12)+(F21*'Settings'!$C$2)+(G21*'Settings'!$C$3)+(H21*'Settings'!$C$4)+(I21*'Settings'!$C$5)+(K21*'Settings'!$C$9)+(N21*'Settings'!$C$6)+(J21*'Settings'!$C$8)+(O21*'Settings'!$C$7)+(P21*'Settings'!$C$14)+(Q21*'Settings'!$C$15)+(R21*'Settings'!$C$16)+(S21*'Settings'!$C$17)+(T21*'Settings'!$C$18)+(U21*'Settings'!$C$19)+(L21*'Settings'!$C$10)+('Settings'!$C$11*M21)</f>
        <v>8.75925317331844</v>
      </c>
      <c r="D21" s="79">
        <f>IF('Settings'!$E$12="YES",VLOOKUP(A21,'Player Data'!A1:E667,5,FALSE),82)</f>
        <v>76.33</v>
      </c>
      <c r="E21" s="77">
        <f>(VLOOKUP($A21,'The List'!$B1:$AH665,17,FALSE)-AVERAGE('The List'!R2:R665))/STDEV('The List'!R2:R665)</f>
        <v>0.5367221045139829</v>
      </c>
      <c r="F21" s="77">
        <f>(VLOOKUP($A21,'The List'!$B1:$AH665,18,FALSE)-AVERAGE('The List'!S2:S665))/STDEV('The List'!S2:S665)</f>
        <v>2.5140798294157</v>
      </c>
      <c r="G21" s="77">
        <f>(VLOOKUP($A21,'The List'!$B1:$AH665,19,FALSE)-AVERAGE('The List'!T2:T665))/STDEV('The List'!T2:T665)</f>
        <v>1.32804552897467</v>
      </c>
      <c r="H21" s="77">
        <f>(VLOOKUP($A21,'The List'!$B1:$AH665,20,FALSE)-AVERAGE('The List'!U2:U665))/STDEV('The List'!U2:U665)</f>
        <v>1.96755973326504</v>
      </c>
      <c r="I21" s="77">
        <f>(VLOOKUP($A21,'The List'!$B1:$AH665,21,FALSE)-AVERAGE('The List'!V2:V665))/STDEV('The List'!V2:V665)</f>
        <v>2.6546497895368</v>
      </c>
      <c r="J21" s="77">
        <f>(VLOOKUP($A21,'The List'!$B1:$AH665,22,FALSE)-AVERAGE('The List'!W2:W665))/STDEV('The List'!W2:W665)</f>
        <v>2.04812756649471</v>
      </c>
      <c r="K21" s="77">
        <f>(VLOOKUP($A21,'The List'!$B1:$AH665,23,FALSE)-AVERAGE('The List'!X2:X665))/STDEV('The List'!X2:X665)</f>
        <v>1.90900760900634</v>
      </c>
      <c r="L21" s="77">
        <f>(VLOOKUP($A21,'The List'!$B1:$AH665,24,FALSE)-AVERAGE('The List'!Y2:Y665))/STDEV('The List'!Y2:Y665)</f>
        <v>-0.572219583786313</v>
      </c>
      <c r="M21" s="77">
        <f>(VLOOKUP($A21,'The List'!$B1:$AH665,25,FALSE)-AVERAGE('The List'!Z2:Z665))/STDEV('The List'!Z2:Z665)</f>
        <v>-0.745911102834431</v>
      </c>
      <c r="N21" s="77">
        <f>(VLOOKUP($A21,'The List'!$B1:$AH665,26,FALSE)-AVERAGE('The List'!AA2:AA665))/STDEV('The List'!AA2:AA665)</f>
        <v>-0.6069544203841249</v>
      </c>
      <c r="O21" s="77">
        <f>(VLOOKUP($A21,'The List'!$B1:$AH665,27,FALSE)-AVERAGE('The List'!AB2:AB665))/STDEV('The List'!AB2:AB665)</f>
        <v>0.666644865264034</v>
      </c>
      <c r="P21" s="77">
        <f>(VLOOKUP($A21,'The List'!$B1:$AH665,28,FALSE)-AVERAGE('The List'!AC2:AC665))/STDEV('The List'!AC2:AC665)</f>
        <v>0.960424836769053</v>
      </c>
      <c r="Q21" s="77">
        <f>(VLOOKUP($A21,'The List'!$B1:$AH665,29,FALSE)-AVERAGE('The List'!AD2:AD665))/STDEV('The List'!AD2:AD665)</f>
        <v>0.173004643548859</v>
      </c>
      <c r="R21" s="77">
        <f>(VLOOKUP($A21,'The List'!$B1:$AH665,30,FALSE)-AVERAGE('The List'!AE2:AE665))/STDEV('The List'!AE2:AE665)</f>
        <v>2.22179827063051</v>
      </c>
      <c r="S21" s="77">
        <f>(VLOOKUP($A21,'The List'!$B1:$AH665,31,FALSE)-AVERAGE('The List'!AF2:AF665))/STDEV('The List'!AF2:AF665)</f>
        <v>-0.534675670747874</v>
      </c>
      <c r="T21" s="77">
        <f>(VLOOKUP($A21,'The List'!$B1:$AH665,32,FALSE)-AVERAGE('The List'!AG2:AG665))/STDEV('The List'!AG2:AG665)</f>
        <v>-0.584347986700705</v>
      </c>
      <c r="U21" s="77">
        <f>(VLOOKUP($A21,'The List'!$B1:$AH665,33,FALSE)-AVERAGE('The List'!AH2:AH665))/STDEV('The List'!AH2:AH665)</f>
        <v>1.04305493093844</v>
      </c>
      <c r="V21" s="77"/>
      <c r="W21" s="89"/>
      <c r="X21" s="79"/>
      <c r="Y21" s="79"/>
      <c r="Z21" s="79"/>
      <c r="AA21" s="79"/>
      <c r="AB21" s="79"/>
      <c r="AC21" s="82"/>
      <c r="AD21" s="83"/>
      <c r="AE21" s="84"/>
    </row>
    <row r="22" ht="21.25" customHeight="1">
      <c r="A22" t="s" s="10">
        <v>144</v>
      </c>
      <c r="B22" t="s" s="86">
        <f>VLOOKUP(A22,'Player Data'!A1:B667,2,FALSE)</f>
        <v>901</v>
      </c>
      <c r="C22" s="74">
        <f>((E22)*'Settings'!$C$12)+(F22*'Settings'!$C$2)+(G22*'Settings'!$C$3)+(H22*'Settings'!$C$4)+(I22*'Settings'!$C$5)+(K22*'Settings'!$C$9)+(N22*'Settings'!$C$6)+(J22*'Settings'!$C$8)+(O22*'Settings'!$C$7)+(P22*'Settings'!$C$14)+(Q22*'Settings'!$C$15)+(R22*'Settings'!$C$16)+(S22*'Settings'!$C$17)+(T22*'Settings'!$C$18)+(U22*'Settings'!$C$19)+(L22*'Settings'!$C$10)+('Settings'!$C$11*M22)</f>
        <v>8.471995652896309</v>
      </c>
      <c r="D22" s="79">
        <f>IF('Settings'!$E$12="YES",VLOOKUP(A22,'Player Data'!A1:E667,5,FALSE),82)</f>
        <v>81.515</v>
      </c>
      <c r="E22" s="77">
        <f>(VLOOKUP($A22,'The List'!$B1:$AH665,17,FALSE)-AVERAGE('The List'!R2:R665))/STDEV('The List'!R2:R665)</f>
        <v>0.646584645962308</v>
      </c>
      <c r="F22" s="77">
        <f>(VLOOKUP($A22,'The List'!$B1:$AH665,18,FALSE)-AVERAGE('The List'!S2:S665))/STDEV('The List'!S2:S665)</f>
        <v>1.6692986036781</v>
      </c>
      <c r="G22" s="77">
        <f>(VLOOKUP($A22,'The List'!$B1:$AH665,19,FALSE)-AVERAGE('The List'!T2:T665))/STDEV('The List'!T2:T665)</f>
        <v>2.33279625464037</v>
      </c>
      <c r="H22" s="77">
        <f>(VLOOKUP($A22,'The List'!$B1:$AH665,20,FALSE)-AVERAGE('The List'!U2:U665))/STDEV('The List'!U2:U665)</f>
        <v>2.20757320636912</v>
      </c>
      <c r="I22" s="77">
        <f>(VLOOKUP($A22,'The List'!$B1:$AH665,21,FALSE)-AVERAGE('The List'!V2:V665))/STDEV('The List'!V2:V665)</f>
        <v>1.02251386837114</v>
      </c>
      <c r="J22" s="77">
        <f>(VLOOKUP($A22,'The List'!$B1:$AH665,22,FALSE)-AVERAGE('The List'!W2:W665))/STDEV('The List'!W2:W665)</f>
        <v>1.72749971660427</v>
      </c>
      <c r="K22" s="77">
        <f>(VLOOKUP($A22,'The List'!$B1:$AH665,23,FALSE)-AVERAGE('The List'!X2:X665))/STDEV('The List'!X2:X665)</f>
        <v>2.49831855128104</v>
      </c>
      <c r="L22" s="77">
        <f>(VLOOKUP($A22,'The List'!$B1:$AH665,24,FALSE)-AVERAGE('The List'!Y2:Y665))/STDEV('The List'!Y2:Y665)</f>
        <v>2.12737706961217</v>
      </c>
      <c r="M22" s="77">
        <f>(VLOOKUP($A22,'The List'!$B1:$AH665,25,FALSE)-AVERAGE('The List'!Z2:Z665))/STDEV('The List'!Z2:Z665)</f>
        <v>1.65496571625368</v>
      </c>
      <c r="N22" s="77">
        <f>(VLOOKUP($A22,'The List'!$B1:$AH665,26,FALSE)-AVERAGE('The List'!AA2:AA665))/STDEV('The List'!AA2:AA665)</f>
        <v>-0.2385414186118</v>
      </c>
      <c r="O22" s="77">
        <f>(VLOOKUP($A22,'The List'!$B1:$AH665,27,FALSE)-AVERAGE('The List'!AB2:AB665))/STDEV('The List'!AB2:AB665)</f>
        <v>2.12934909290635</v>
      </c>
      <c r="P22" s="77">
        <f>(VLOOKUP($A22,'The List'!$B1:$AH665,28,FALSE)-AVERAGE('The List'!AC2:AC665))/STDEV('The List'!AC2:AC665)</f>
        <v>1.18760979353746</v>
      </c>
      <c r="Q22" s="77">
        <f>(VLOOKUP($A22,'The List'!$B1:$AH665,29,FALSE)-AVERAGE('The List'!AD2:AD665))/STDEV('The List'!AD2:AD665)</f>
        <v>1.37108513247287</v>
      </c>
      <c r="R22" s="77">
        <f>(VLOOKUP($A22,'The List'!$B1:$AH665,30,FALSE)-AVERAGE('The List'!AE2:AE665))/STDEV('The List'!AE2:AE665)</f>
        <v>2.01645830623195</v>
      </c>
      <c r="S22" s="77">
        <f>(VLOOKUP($A22,'The List'!$B1:$AH665,31,FALSE)-AVERAGE('The List'!AF2:AF665))/STDEV('The List'!AF2:AF665)</f>
        <v>2.91324354494847</v>
      </c>
      <c r="T22" s="77">
        <f>(VLOOKUP($A22,'The List'!$B1:$AH665,32,FALSE)-AVERAGE('The List'!AG2:AG665))/STDEV('The List'!AG2:AG665)</f>
        <v>2.38022091248396</v>
      </c>
      <c r="U22" s="77">
        <f>(VLOOKUP($A22,'The List'!$B1:$AH665,33,FALSE)-AVERAGE('The List'!AH2:AH665))/STDEV('The List'!AH2:AH665)</f>
        <v>1.27240539062498</v>
      </c>
      <c r="V22" s="77"/>
      <c r="W22" s="79"/>
      <c r="X22" s="77"/>
      <c r="Y22" s="77"/>
      <c r="Z22" s="77"/>
      <c r="AA22" s="77"/>
      <c r="AB22" s="77"/>
      <c r="AC22" s="77"/>
      <c r="AD22" s="77"/>
      <c r="AE22" s="84"/>
    </row>
    <row r="23" ht="21.25" customHeight="1">
      <c r="A23" t="s" s="10">
        <v>171</v>
      </c>
      <c r="B23" t="s" s="86">
        <f>VLOOKUP(A23,'Player Data'!A1:B667,2,FALSE)</f>
        <v>259</v>
      </c>
      <c r="C23" s="74">
        <f>((E23)*'Settings'!$C$12)+(F23*'Settings'!$C$2)+(G23*'Settings'!$C$3)+(H23*'Settings'!$C$4)+(I23*'Settings'!$C$5)+(K23*'Settings'!$C$9)+(N23*'Settings'!$C$6)+(J23*'Settings'!$C$8)+(O23*'Settings'!$C$7)+(P23*'Settings'!$C$14)+(Q23*'Settings'!$C$15)+(R23*'Settings'!$C$16)+(S23*'Settings'!$C$17)+(T23*'Settings'!$C$18)+(U23*'Settings'!$C$19)+(L23*'Settings'!$C$10)+('Settings'!$C$11*M23)</f>
        <v>8.435911471143029</v>
      </c>
      <c r="D23" s="79">
        <f>IF('Settings'!$E$12="YES",VLOOKUP(A23,'Player Data'!A1:E667,5,FALSE),82)</f>
        <v>80.73</v>
      </c>
      <c r="E23" s="77">
        <f>(VLOOKUP($A23,'The List'!$B1:$AH665,17,FALSE)-AVERAGE('The List'!R2:R665))/STDEV('The List'!R2:R665)</f>
        <v>0.929524296119189</v>
      </c>
      <c r="F23" s="77">
        <f>(VLOOKUP($A23,'The List'!$B1:$AH665,18,FALSE)-AVERAGE('The List'!S2:S665))/STDEV('The List'!S2:S665)</f>
        <v>2.14813400943623</v>
      </c>
      <c r="G23" s="77">
        <f>(VLOOKUP($A23,'The List'!$B1:$AH665,19,FALSE)-AVERAGE('The List'!T2:T665))/STDEV('The List'!T2:T665)</f>
        <v>2.17388240156645</v>
      </c>
      <c r="H23" s="77">
        <f>(VLOOKUP($A23,'The List'!$B1:$AH665,20,FALSE)-AVERAGE('The List'!U2:U665))/STDEV('The List'!U2:U665)</f>
        <v>2.32653222097488</v>
      </c>
      <c r="I23" s="77">
        <f>(VLOOKUP($A23,'The List'!$B1:$AH665,21,FALSE)-AVERAGE('The List'!V2:V665))/STDEV('The List'!V2:V665)</f>
        <v>2.25521323696032</v>
      </c>
      <c r="J23" s="77">
        <f>(VLOOKUP($A23,'The List'!$B1:$AH665,22,FALSE)-AVERAGE('The List'!W2:W665))/STDEV('The List'!W2:W665)</f>
        <v>1.77997999330422</v>
      </c>
      <c r="K23" s="77">
        <f>(VLOOKUP($A23,'The List'!$B1:$AH665,23,FALSE)-AVERAGE('The List'!X2:X665))/STDEV('The List'!X2:X665)</f>
        <v>1.79541179832158</v>
      </c>
      <c r="L23" s="77">
        <f>(VLOOKUP($A23,'The List'!$B1:$AH665,24,FALSE)-AVERAGE('The List'!Y2:Y665))/STDEV('The List'!Y2:Y665)</f>
        <v>-0.523066733755813</v>
      </c>
      <c r="M23" s="77">
        <f>(VLOOKUP($A23,'The List'!$B1:$AH665,25,FALSE)-AVERAGE('The List'!Z2:Z665))/STDEV('The List'!Z2:Z665)</f>
        <v>-0.695013019852469</v>
      </c>
      <c r="N23" s="77">
        <f>(VLOOKUP($A23,'The List'!$B1:$AH665,26,FALSE)-AVERAGE('The List'!AA2:AA665))/STDEV('The List'!AA2:AA665)</f>
        <v>-0.609473972627806</v>
      </c>
      <c r="O23" s="77">
        <f>(VLOOKUP($A23,'The List'!$B1:$AH665,27,FALSE)-AVERAGE('The List'!AB2:AB665))/STDEV('The List'!AB2:AB665)</f>
        <v>-0.106073078431479</v>
      </c>
      <c r="P23" s="77">
        <f>(VLOOKUP($A23,'The List'!$B1:$AH665,28,FALSE)-AVERAGE('The List'!AC2:AC665))/STDEV('The List'!AC2:AC665)</f>
        <v>0.672743997486252</v>
      </c>
      <c r="Q23" s="77">
        <f>(VLOOKUP($A23,'The List'!$B1:$AH665,29,FALSE)-AVERAGE('The List'!AD2:AD665))/STDEV('The List'!AD2:AD665)</f>
        <v>0.371194287813502</v>
      </c>
      <c r="R23" s="77">
        <f>(VLOOKUP($A23,'The List'!$B1:$AH665,30,FALSE)-AVERAGE('The List'!AE2:AE665))/STDEV('The List'!AE2:AE665)</f>
        <v>2.03782236602817</v>
      </c>
      <c r="S23" s="77">
        <f>(VLOOKUP($A23,'The List'!$B1:$AH665,31,FALSE)-AVERAGE('The List'!AF2:AF665))/STDEV('The List'!AF2:AF665)</f>
        <v>4.30563181952469</v>
      </c>
      <c r="T23" s="77">
        <f>(VLOOKUP($A23,'The List'!$B1:$AH665,32,FALSE)-AVERAGE('The List'!AG2:AG665))/STDEV('The List'!AG2:AG665)</f>
        <v>3.60212410130543</v>
      </c>
      <c r="U23" s="77">
        <f>(VLOOKUP($A23,'The List'!$B1:$AH665,33,FALSE)-AVERAGE('The List'!AH2:AH665))/STDEV('The List'!AH2:AH665)</f>
        <v>1.2666540835026</v>
      </c>
      <c r="V23" s="77"/>
      <c r="W23" s="89"/>
      <c r="X23" s="79"/>
      <c r="Y23" s="79"/>
      <c r="Z23" s="79"/>
      <c r="AA23" s="79"/>
      <c r="AB23" s="79"/>
      <c r="AC23" s="82"/>
      <c r="AD23" s="83"/>
      <c r="AE23" s="84"/>
    </row>
    <row r="24" ht="21.25" customHeight="1">
      <c r="A24" t="s" s="10">
        <v>270</v>
      </c>
      <c r="B24" t="s" s="86">
        <f>VLOOKUP(A24,'Player Data'!A1:B667,2,FALSE)</f>
        <v>907</v>
      </c>
      <c r="C24" s="74">
        <f>((E24)*'Settings'!$C$12)+(F24*'Settings'!$C$2)+(G24*'Settings'!$C$3)+(H24*'Settings'!$C$4)+(I24*'Settings'!$C$5)+(K24*'Settings'!$C$9)+(N24*'Settings'!$C$6)+(J24*'Settings'!$C$8)+(O24*'Settings'!$C$7)+(P24*'Settings'!$C$14)+(Q24*'Settings'!$C$15)+(R24*'Settings'!$C$16)+(S24*'Settings'!$C$17)+(T24*'Settings'!$C$18)+(U24*'Settings'!$C$19)+(L24*'Settings'!$C$10)+('Settings'!$C$11*M24)</f>
        <v>5.20639963081062</v>
      </c>
      <c r="D24" s="79">
        <f>IF('Settings'!$E$12="YES",VLOOKUP(A24,'Player Data'!A1:E667,5,FALSE),82)</f>
        <v>79.7925</v>
      </c>
      <c r="E24" s="77">
        <f>(VLOOKUP($A24,'The List'!$B1:$AH665,17,FALSE)-AVERAGE('The List'!R2:R665))/STDEV('The List'!R2:R665)</f>
        <v>1.09822665883078</v>
      </c>
      <c r="F24" s="77">
        <f>(VLOOKUP($A24,'The List'!$B1:$AH665,18,FALSE)-AVERAGE('The List'!S2:S665))/STDEV('The List'!S2:S665)</f>
        <v>1.15528034127843</v>
      </c>
      <c r="G24" s="77">
        <f>(VLOOKUP($A24,'The List'!$B1:$AH665,19,FALSE)-AVERAGE('The List'!T2:T665))/STDEV('The List'!T2:T665)</f>
        <v>2.50360089539975</v>
      </c>
      <c r="H24" s="77">
        <f>(VLOOKUP($A24,'The List'!$B1:$AH665,20,FALSE)-AVERAGE('The List'!U2:U665))/STDEV('The List'!U2:U665)</f>
        <v>2.08000675879359</v>
      </c>
      <c r="I24" s="77">
        <f>(VLOOKUP($A24,'The List'!$B1:$AH665,21,FALSE)-AVERAGE('The List'!V2:V665))/STDEV('The List'!V2:V665)</f>
        <v>0.508436683307623</v>
      </c>
      <c r="J24" s="77">
        <f>(VLOOKUP($A24,'The List'!$B1:$AH665,22,FALSE)-AVERAGE('The List'!W2:W665))/STDEV('The List'!W2:W665)</f>
        <v>1.36728465790368</v>
      </c>
      <c r="K24" s="77">
        <f>(VLOOKUP($A24,'The List'!$B1:$AH665,23,FALSE)-AVERAGE('The List'!X2:X665))/STDEV('The List'!X2:X665)</f>
        <v>1.99797602225564</v>
      </c>
      <c r="L24" s="77">
        <f>(VLOOKUP($A24,'The List'!$B1:$AH665,24,FALSE)-AVERAGE('The List'!Y2:Y665))/STDEV('The List'!Y2:Y665)</f>
        <v>1.50092841802155</v>
      </c>
      <c r="M24" s="77">
        <f>(VLOOKUP($A24,'The List'!$B1:$AH665,25,FALSE)-AVERAGE('The List'!Z2:Z665))/STDEV('The List'!Z2:Z665)</f>
        <v>1.60952814344088</v>
      </c>
      <c r="N24" s="77">
        <f>(VLOOKUP($A24,'The List'!$B1:$AH665,26,FALSE)-AVERAGE('The List'!AA2:AA665))/STDEV('The List'!AA2:AA665)</f>
        <v>-0.556014100158746</v>
      </c>
      <c r="O24" s="77">
        <f>(VLOOKUP($A24,'The List'!$B1:$AH665,27,FALSE)-AVERAGE('The List'!AB2:AB665))/STDEV('The List'!AB2:AB665)</f>
        <v>-1.47752729743873</v>
      </c>
      <c r="P24" s="77">
        <f>(VLOOKUP($A24,'The List'!$B1:$AH665,28,FALSE)-AVERAGE('The List'!AC2:AC665))/STDEV('The List'!AC2:AC665)</f>
        <v>-0.402880211272078</v>
      </c>
      <c r="Q24" s="77">
        <f>(VLOOKUP($A24,'The List'!$B1:$AH665,29,FALSE)-AVERAGE('The List'!AD2:AD665))/STDEV('The List'!AD2:AD665)</f>
        <v>-0.069130246305242</v>
      </c>
      <c r="R24" s="77">
        <f>(VLOOKUP($A24,'The List'!$B1:$AH665,30,FALSE)-AVERAGE('The List'!AE2:AE665))/STDEV('The List'!AE2:AE665)</f>
        <v>0.648233608735488</v>
      </c>
      <c r="S24" s="77">
        <f>(VLOOKUP($A24,'The List'!$B1:$AH665,31,FALSE)-AVERAGE('The List'!AF2:AF665))/STDEV('The List'!AF2:AF665)</f>
        <v>3.34054093443854</v>
      </c>
      <c r="T24" s="77">
        <f>(VLOOKUP($A24,'The List'!$B1:$AH665,32,FALSE)-AVERAGE('The List'!AG2:AG665))/STDEV('The List'!AG2:AG665)</f>
        <v>3.16740389833808</v>
      </c>
      <c r="U24" s="77">
        <f>(VLOOKUP($A24,'The List'!$B1:$AH665,33,FALSE)-AVERAGE('The List'!AH2:AH665))/STDEV('The List'!AH2:AH665)</f>
        <v>1.14060322017693</v>
      </c>
      <c r="V24" s="77"/>
      <c r="W24" s="89"/>
      <c r="X24" s="79"/>
      <c r="Y24" s="79"/>
      <c r="Z24" s="79"/>
      <c r="AA24" s="79"/>
      <c r="AB24" s="79"/>
      <c r="AC24" s="82"/>
      <c r="AD24" s="83"/>
      <c r="AE24" s="84"/>
    </row>
    <row r="25" ht="21.25" customHeight="1">
      <c r="A25" t="s" s="10">
        <v>247</v>
      </c>
      <c r="B25" t="s" s="86">
        <f>VLOOKUP(A25,'Player Data'!A1:B667,2,FALSE)</f>
        <v>900</v>
      </c>
      <c r="C25" s="74">
        <f>((E25)*'Settings'!$C$12)+(F25*'Settings'!$C$2)+(G25*'Settings'!$C$3)+(H25*'Settings'!$C$4)+(I25*'Settings'!$C$5)+(K25*'Settings'!$C$9)+(N25*'Settings'!$C$6)+(J25*'Settings'!$C$8)+(O25*'Settings'!$C$7)+(P25*'Settings'!$C$14)+(Q25*'Settings'!$C$15)+(R25*'Settings'!$C$16)+(S25*'Settings'!$C$17)+(T25*'Settings'!$C$18)+(U25*'Settings'!$C$19)+(L25*'Settings'!$C$10)+('Settings'!$C$11*M25)</f>
        <v>7.81499894368299</v>
      </c>
      <c r="D25" s="79">
        <f>IF('Settings'!$E$12="YES",VLOOKUP(A25,'Player Data'!A1:E667,5,FALSE),82)</f>
        <v>81.43000000000001</v>
      </c>
      <c r="E25" s="77">
        <f>(VLOOKUP($A25,'The List'!$B1:$AH665,17,FALSE)-AVERAGE('The List'!R2:R665))/STDEV('The List'!R2:R665)</f>
        <v>0.763414342363316</v>
      </c>
      <c r="F25" s="77">
        <f>(VLOOKUP($A25,'The List'!$B1:$AH665,18,FALSE)-AVERAGE('The List'!S2:S665))/STDEV('The List'!S2:S665)</f>
        <v>1.54032628593282</v>
      </c>
      <c r="G25" s="77">
        <f>(VLOOKUP($A25,'The List'!$B1:$AH665,19,FALSE)-AVERAGE('The List'!T2:T665))/STDEV('The List'!T2:T665)</f>
        <v>2.02969353024367</v>
      </c>
      <c r="H25" s="77">
        <f>(VLOOKUP($A25,'The List'!$B1:$AH665,20,FALSE)-AVERAGE('The List'!U2:U665))/STDEV('The List'!U2:U665)</f>
        <v>1.96070532266262</v>
      </c>
      <c r="I25" s="77">
        <f>(VLOOKUP($A25,'The List'!$B1:$AH665,21,FALSE)-AVERAGE('The List'!V2:V665))/STDEV('The List'!V2:V665)</f>
        <v>1.68221162571468</v>
      </c>
      <c r="J25" s="77">
        <f>(VLOOKUP($A25,'The List'!$B1:$AH665,22,FALSE)-AVERAGE('The List'!W2:W665))/STDEV('The List'!W2:W665)</f>
        <v>1.24855938373225</v>
      </c>
      <c r="K25" s="77">
        <f>(VLOOKUP($A25,'The List'!$B1:$AH665,23,FALSE)-AVERAGE('The List'!X2:X665))/STDEV('The List'!X2:X665)</f>
        <v>1.92897829369591</v>
      </c>
      <c r="L25" s="77">
        <f>(VLOOKUP($A25,'The List'!$B1:$AH665,24,FALSE)-AVERAGE('The List'!Y2:Y665))/STDEV('The List'!Y2:Y665)</f>
        <v>-0.254599896167784</v>
      </c>
      <c r="M25" s="77">
        <f>(VLOOKUP($A25,'The List'!$B1:$AH665,25,FALSE)-AVERAGE('The List'!Z2:Z665))/STDEV('The List'!Z2:Z665)</f>
        <v>0.437065012595719</v>
      </c>
      <c r="N25" s="77">
        <f>(VLOOKUP($A25,'The List'!$B1:$AH665,26,FALSE)-AVERAGE('The List'!AA2:AA665))/STDEV('The List'!AA2:AA665)</f>
        <v>-0.767743633913636</v>
      </c>
      <c r="O25" s="77">
        <f>(VLOOKUP($A25,'The List'!$B1:$AH665,27,FALSE)-AVERAGE('The List'!AB2:AB665))/STDEV('The List'!AB2:AB665)</f>
        <v>-0.768741010248491</v>
      </c>
      <c r="P25" s="77">
        <f>(VLOOKUP($A25,'The List'!$B1:$AH665,28,FALSE)-AVERAGE('The List'!AC2:AC665))/STDEV('The List'!AC2:AC665)</f>
        <v>1.40153284200955</v>
      </c>
      <c r="Q25" s="77">
        <f>(VLOOKUP($A25,'The List'!$B1:$AH665,29,FALSE)-AVERAGE('The List'!AD2:AD665))/STDEV('The List'!AD2:AD665)</f>
        <v>-1.12972060130339</v>
      </c>
      <c r="R25" s="77">
        <f>(VLOOKUP($A25,'The List'!$B1:$AH665,30,FALSE)-AVERAGE('The List'!AE2:AE665))/STDEV('The List'!AE2:AE665)</f>
        <v>1.50805418846592</v>
      </c>
      <c r="S25" s="77">
        <f>(VLOOKUP($A25,'The List'!$B1:$AH665,31,FALSE)-AVERAGE('The List'!AF2:AF665))/STDEV('The List'!AF2:AF665)</f>
        <v>-0.560704052787678</v>
      </c>
      <c r="T25" s="77">
        <f>(VLOOKUP($A25,'The List'!$B1:$AH665,32,FALSE)-AVERAGE('The List'!AG2:AG665))/STDEV('The List'!AG2:AG665)</f>
        <v>-0.553442880137311</v>
      </c>
      <c r="U25" s="77">
        <f>(VLOOKUP($A25,'The List'!$B1:$AH665,33,FALSE)-AVERAGE('The List'!AH2:AH665))/STDEV('The List'!AH2:AH665)</f>
        <v>-0.494985346900115</v>
      </c>
      <c r="V25" s="77"/>
      <c r="W25" s="89"/>
      <c r="X25" s="79"/>
      <c r="Y25" s="79"/>
      <c r="Z25" s="79"/>
      <c r="AA25" s="79"/>
      <c r="AB25" s="79"/>
      <c r="AC25" s="82"/>
      <c r="AD25" s="83"/>
      <c r="AE25" s="84"/>
    </row>
    <row r="26" ht="21.25" customHeight="1">
      <c r="A26" t="s" s="10">
        <v>209</v>
      </c>
      <c r="B26" t="s" s="86">
        <f>VLOOKUP(A26,'Player Data'!A1:B667,2,FALSE)</f>
        <v>866</v>
      </c>
      <c r="C26" s="74">
        <f>((E26)*'Settings'!$C$12)+(F26*'Settings'!$C$2)+(G26*'Settings'!$C$3)+(H26*'Settings'!$C$4)+(I26*'Settings'!$C$5)+(K26*'Settings'!$C$9)+(N26*'Settings'!$C$6)+(J26*'Settings'!$C$8)+(O26*'Settings'!$C$7)+(P26*'Settings'!$C$14)+(Q26*'Settings'!$C$15)+(R26*'Settings'!$C$16)+(S26*'Settings'!$C$17)+(T26*'Settings'!$C$18)+(U26*'Settings'!$C$19)+(L26*'Settings'!$C$10)+('Settings'!$C$11*M26)</f>
        <v>7.82680490529015</v>
      </c>
      <c r="D26" s="79">
        <f>IF('Settings'!$E$12="YES",VLOOKUP(A26,'Player Data'!A1:E667,5,FALSE),82)</f>
        <v>78.2175</v>
      </c>
      <c r="E26" s="77">
        <f>(VLOOKUP($A26,'The List'!$B1:$AH665,17,FALSE)-AVERAGE('The List'!R2:R665))/STDEV('The List'!R2:R665)</f>
        <v>0.879917727799553</v>
      </c>
      <c r="F26" s="77">
        <f>(VLOOKUP($A26,'The List'!$B1:$AH665,18,FALSE)-AVERAGE('The List'!S2:S665))/STDEV('The List'!S2:S665)</f>
        <v>2.27320262635368</v>
      </c>
      <c r="G26" s="77">
        <f>(VLOOKUP($A26,'The List'!$B1:$AH665,19,FALSE)-AVERAGE('The List'!T2:T665))/STDEV('The List'!T2:T665)</f>
        <v>1.81536893843604</v>
      </c>
      <c r="H26" s="77">
        <f>(VLOOKUP($A26,'The List'!$B1:$AH665,20,FALSE)-AVERAGE('The List'!U2:U665))/STDEV('The List'!U2:U665)</f>
        <v>2.16072483321256</v>
      </c>
      <c r="I26" s="77">
        <f>(VLOOKUP($A26,'The List'!$B1:$AH665,21,FALSE)-AVERAGE('The List'!V2:V665))/STDEV('The List'!V2:V665)</f>
        <v>2.29155616462264</v>
      </c>
      <c r="J26" s="77">
        <f>(VLOOKUP($A26,'The List'!$B1:$AH665,22,FALSE)-AVERAGE('The List'!W2:W665))/STDEV('The List'!W2:W665)</f>
        <v>1.46749657596205</v>
      </c>
      <c r="K26" s="77">
        <f>(VLOOKUP($A26,'The List'!$B1:$AH665,23,FALSE)-AVERAGE('The List'!X2:X665))/STDEV('The List'!X2:X665)</f>
        <v>1.66174677440497</v>
      </c>
      <c r="L26" s="77">
        <f>(VLOOKUP($A26,'The List'!$B1:$AH665,24,FALSE)-AVERAGE('The List'!Y2:Y665))/STDEV('The List'!Y2:Y665)</f>
        <v>-0.543353366451878</v>
      </c>
      <c r="M26" s="77">
        <f>(VLOOKUP($A26,'The List'!$B1:$AH665,25,FALSE)-AVERAGE('The List'!Z2:Z665))/STDEV('The List'!Z2:Z665)</f>
        <v>-0.716295217799491</v>
      </c>
      <c r="N26" s="77">
        <f>(VLOOKUP($A26,'The List'!$B1:$AH665,26,FALSE)-AVERAGE('The List'!AA2:AA665))/STDEV('The List'!AA2:AA665)</f>
        <v>-0.66652875226302</v>
      </c>
      <c r="O26" s="77">
        <f>(VLOOKUP($A26,'The List'!$B1:$AH665,27,FALSE)-AVERAGE('The List'!AB2:AB665))/STDEV('The List'!AB2:AB665)</f>
        <v>-0.5604099960989219</v>
      </c>
      <c r="P26" s="77">
        <f>(VLOOKUP($A26,'The List'!$B1:$AH665,28,FALSE)-AVERAGE('The List'!AC2:AC665))/STDEV('The List'!AC2:AC665)</f>
        <v>0.451459153735836</v>
      </c>
      <c r="Q26" s="77">
        <f>(VLOOKUP($A26,'The List'!$B1:$AH665,29,FALSE)-AVERAGE('The List'!AD2:AD665))/STDEV('The List'!AD2:AD665)</f>
        <v>0.395349890078635</v>
      </c>
      <c r="R26" s="77">
        <f>(VLOOKUP($A26,'The List'!$B1:$AH665,30,FALSE)-AVERAGE('The List'!AE2:AE665))/STDEV('The List'!AE2:AE665)</f>
        <v>2.37255528577796</v>
      </c>
      <c r="S26" s="77">
        <f>(VLOOKUP($A26,'The List'!$B1:$AH665,31,FALSE)-AVERAGE('The List'!AF2:AF665))/STDEV('The List'!AF2:AF665)</f>
        <v>-0.524038135442415</v>
      </c>
      <c r="T26" s="77">
        <f>(VLOOKUP($A26,'The List'!$B1:$AH665,32,FALSE)-AVERAGE('The List'!AG2:AG665))/STDEV('The List'!AG2:AG665)</f>
        <v>-0.550863048207045</v>
      </c>
      <c r="U26" s="77">
        <f>(VLOOKUP($A26,'The List'!$B1:$AH665,33,FALSE)-AVERAGE('The List'!AH2:AH665))/STDEV('The List'!AH2:AH665)</f>
        <v>0.647497640517377</v>
      </c>
      <c r="V26" s="77"/>
      <c r="W26" s="79"/>
      <c r="X26" s="79"/>
      <c r="Y26" s="79"/>
      <c r="Z26" s="79"/>
      <c r="AA26" s="79"/>
      <c r="AB26" s="79"/>
      <c r="AC26" s="82"/>
      <c r="AD26" s="83"/>
      <c r="AE26" s="84"/>
    </row>
    <row r="27" ht="21.25" customHeight="1">
      <c r="A27" t="s" s="10">
        <v>226</v>
      </c>
      <c r="B27" t="s" s="86">
        <f>VLOOKUP(A27,'Player Data'!A1:B667,2,FALSE)</f>
        <v>342</v>
      </c>
      <c r="C27" s="74">
        <f>((E27)*'Settings'!$C$12)+(F27*'Settings'!$C$2)+(G27*'Settings'!$C$3)+(H27*'Settings'!$C$4)+(I27*'Settings'!$C$5)+(K27*'Settings'!$C$9)+(N27*'Settings'!$C$6)+(J27*'Settings'!$C$8)+(O27*'Settings'!$C$7)+(P27*'Settings'!$C$14)+(Q27*'Settings'!$C$15)+(R27*'Settings'!$C$16)+(S27*'Settings'!$C$17)+(T27*'Settings'!$C$18)+(U27*'Settings'!$C$19)+(L27*'Settings'!$C$10)+('Settings'!$C$11*M27)</f>
        <v>7.95316832539225</v>
      </c>
      <c r="D27" s="79">
        <f>IF('Settings'!$E$12="YES",VLOOKUP(A27,'Player Data'!A1:E667,5,FALSE),82)</f>
        <v>80.0575</v>
      </c>
      <c r="E27" s="77">
        <f>(VLOOKUP($A27,'The List'!$B1:$AH665,17,FALSE)-AVERAGE('The List'!R2:R665))/STDEV('The List'!R2:R665)</f>
        <v>0.78962459286567</v>
      </c>
      <c r="F27" s="77">
        <f>(VLOOKUP($A27,'The List'!$B1:$AH665,18,FALSE)-AVERAGE('The List'!S2:S665))/STDEV('The List'!S2:S665)</f>
        <v>2.26435767035927</v>
      </c>
      <c r="G27" s="77">
        <f>(VLOOKUP($A27,'The List'!$B1:$AH665,19,FALSE)-AVERAGE('The List'!T2:T665))/STDEV('The List'!T2:T665)</f>
        <v>1.66062317985942</v>
      </c>
      <c r="H27" s="77">
        <f>(VLOOKUP($A27,'The List'!$B1:$AH665,20,FALSE)-AVERAGE('The List'!U2:U665))/STDEV('The List'!U2:U665)</f>
        <v>2.06059856314035</v>
      </c>
      <c r="I27" s="77">
        <f>(VLOOKUP($A27,'The List'!$B1:$AH665,21,FALSE)-AVERAGE('The List'!V2:V665))/STDEV('The List'!V2:V665)</f>
        <v>1.53187295860424</v>
      </c>
      <c r="J27" s="77">
        <f>(VLOOKUP($A27,'The List'!$B1:$AH665,22,FALSE)-AVERAGE('The List'!W2:W665))/STDEV('The List'!W2:W665)</f>
        <v>1.98121299474783</v>
      </c>
      <c r="K27" s="77">
        <f>(VLOOKUP($A27,'The List'!$B1:$AH665,23,FALSE)-AVERAGE('The List'!X2:X665))/STDEV('The List'!X2:X665)</f>
        <v>1.79589849338573</v>
      </c>
      <c r="L27" s="77">
        <f>(VLOOKUP($A27,'The List'!$B1:$AH665,24,FALSE)-AVERAGE('The List'!Y2:Y665))/STDEV('The List'!Y2:Y665)</f>
        <v>2.14879394271072</v>
      </c>
      <c r="M27" s="77">
        <f>(VLOOKUP($A27,'The List'!$B1:$AH665,25,FALSE)-AVERAGE('The List'!Z2:Z665))/STDEV('The List'!Z2:Z665)</f>
        <v>2.14951038604436</v>
      </c>
      <c r="N27" s="77">
        <f>(VLOOKUP($A27,'The List'!$B1:$AH665,26,FALSE)-AVERAGE('The List'!AA2:AA665))/STDEV('The List'!AA2:AA665)</f>
        <v>-1.00555521806447</v>
      </c>
      <c r="O27" s="77">
        <f>(VLOOKUP($A27,'The List'!$B1:$AH665,27,FALSE)-AVERAGE('The List'!AB2:AB665))/STDEV('The List'!AB2:AB665)</f>
        <v>-0.76197883394628</v>
      </c>
      <c r="P27" s="77">
        <f>(VLOOKUP($A27,'The List'!$B1:$AH665,28,FALSE)-AVERAGE('The List'!AC2:AC665))/STDEV('The List'!AC2:AC665)</f>
        <v>1.70597124124806</v>
      </c>
      <c r="Q27" s="77">
        <f>(VLOOKUP($A27,'The List'!$B1:$AH665,29,FALSE)-AVERAGE('The List'!AD2:AD665))/STDEV('The List'!AD2:AD665)</f>
        <v>0.570225635532724</v>
      </c>
      <c r="R27" s="77">
        <f>(VLOOKUP($A27,'The List'!$B1:$AH665,30,FALSE)-AVERAGE('The List'!AE2:AE665))/STDEV('The List'!AE2:AE665)</f>
        <v>2.72672504887451</v>
      </c>
      <c r="S27" s="77">
        <f>(VLOOKUP($A27,'The List'!$B1:$AH665,31,FALSE)-AVERAGE('The List'!AF2:AF665))/STDEV('The List'!AF2:AF665)</f>
        <v>2.22181420410879</v>
      </c>
      <c r="T27" s="77">
        <f>(VLOOKUP($A27,'The List'!$B1:$AH665,32,FALSE)-AVERAGE('The List'!AG2:AG665))/STDEV('The List'!AG2:AG665)</f>
        <v>2.02952379638113</v>
      </c>
      <c r="U27" s="77">
        <f>(VLOOKUP($A27,'The List'!$B1:$AH665,33,FALSE)-AVERAGE('The List'!AH2:AH665))/STDEV('The List'!AH2:AH665)</f>
        <v>1.16327841543546</v>
      </c>
      <c r="V27" s="77"/>
      <c r="W27" s="79"/>
      <c r="X27" s="77"/>
      <c r="Y27" s="77"/>
      <c r="Z27" s="77"/>
      <c r="AA27" s="77"/>
      <c r="AB27" s="77"/>
      <c r="AC27" s="77"/>
      <c r="AD27" s="77"/>
      <c r="AE27" s="84"/>
    </row>
    <row r="28" ht="21.25" customHeight="1">
      <c r="A28" t="s" s="10">
        <v>215</v>
      </c>
      <c r="B28" t="s" s="86">
        <f>VLOOKUP(A28,'Player Data'!A1:B667,2,FALSE)</f>
        <v>903</v>
      </c>
      <c r="C28" s="74">
        <f>((E28)*'Settings'!$C$12)+(F28*'Settings'!$C$2)+(G28*'Settings'!$C$3)+(H28*'Settings'!$C$4)+(I28*'Settings'!$C$5)+(K28*'Settings'!$C$9)+(N28*'Settings'!$C$6)+(J28*'Settings'!$C$8)+(O28*'Settings'!$C$7)+(P28*'Settings'!$C$14)+(Q28*'Settings'!$C$15)+(R28*'Settings'!$C$16)+(S28*'Settings'!$C$17)+(T28*'Settings'!$C$18)+(U28*'Settings'!$C$19)+(L28*'Settings'!$C$10)+('Settings'!$C$11*M28)</f>
        <v>7.98142659320786</v>
      </c>
      <c r="D28" s="79">
        <f>IF('Settings'!$E$12="YES",VLOOKUP(A28,'Player Data'!A1:E667,5,FALSE),82)</f>
        <v>71.795</v>
      </c>
      <c r="E28" s="77">
        <f>(VLOOKUP($A28,'The List'!$B1:$AH665,17,FALSE)-AVERAGE('The List'!R2:R665))/STDEV('The List'!R2:R665)</f>
        <v>1.08365006068094</v>
      </c>
      <c r="F28" s="77">
        <f>(VLOOKUP($A28,'The List'!$B1:$AH665,18,FALSE)-AVERAGE('The List'!S2:S665))/STDEV('The List'!S2:S665)</f>
        <v>1.80685122449835</v>
      </c>
      <c r="G28" s="77">
        <f>(VLOOKUP($A28,'The List'!$B1:$AH665,19,FALSE)-AVERAGE('The List'!T2:T665))/STDEV('The List'!T2:T665)</f>
        <v>1.291447838032</v>
      </c>
      <c r="H28" s="77">
        <f>(VLOOKUP($A28,'The List'!$B1:$AH665,20,FALSE)-AVERAGE('The List'!U2:U665))/STDEV('The List'!U2:U665)</f>
        <v>1.62336149116151</v>
      </c>
      <c r="I28" s="77">
        <f>(VLOOKUP($A28,'The List'!$B1:$AH665,21,FALSE)-AVERAGE('The List'!V2:V665))/STDEV('The List'!V2:V665)</f>
        <v>2.63049682631471</v>
      </c>
      <c r="J28" s="77">
        <f>(VLOOKUP($A28,'The List'!$B1:$AH665,22,FALSE)-AVERAGE('The List'!W2:W665))/STDEV('The List'!W2:W665)</f>
        <v>1.68687750306611</v>
      </c>
      <c r="K28" s="77">
        <f>(VLOOKUP($A28,'The List'!$B1:$AH665,23,FALSE)-AVERAGE('The List'!X2:X665))/STDEV('The List'!X2:X665)</f>
        <v>1.47739461063148</v>
      </c>
      <c r="L28" s="77">
        <f>(VLOOKUP($A28,'The List'!$B1:$AH665,24,FALSE)-AVERAGE('The List'!Y2:Y665))/STDEV('The List'!Y2:Y665)</f>
        <v>-0.177802215276008</v>
      </c>
      <c r="M28" s="77">
        <f>(VLOOKUP($A28,'The List'!$B1:$AH665,25,FALSE)-AVERAGE('The List'!Z2:Z665))/STDEV('The List'!Z2:Z665)</f>
        <v>1.46220309542219</v>
      </c>
      <c r="N28" s="77">
        <f>(VLOOKUP($A28,'The List'!$B1:$AH665,26,FALSE)-AVERAGE('The List'!AA2:AA665))/STDEV('The List'!AA2:AA665)</f>
        <v>0.037894033490633</v>
      </c>
      <c r="O28" s="77">
        <f>(VLOOKUP($A28,'The List'!$B1:$AH665,27,FALSE)-AVERAGE('The List'!AB2:AB665))/STDEV('The List'!AB2:AB665)</f>
        <v>-0.981171509920551</v>
      </c>
      <c r="P28" s="77">
        <f>(VLOOKUP($A28,'The List'!$B1:$AH665,28,FALSE)-AVERAGE('The List'!AC2:AC665))/STDEV('The List'!AC2:AC665)</f>
        <v>0.737342060240687</v>
      </c>
      <c r="Q28" s="77">
        <f>(VLOOKUP($A28,'The List'!$B1:$AH665,29,FALSE)-AVERAGE('The List'!AD2:AD665))/STDEV('The List'!AD2:AD665)</f>
        <v>-0.879379496073301</v>
      </c>
      <c r="R28" s="77">
        <f>(VLOOKUP($A28,'The List'!$B1:$AH665,30,FALSE)-AVERAGE('The List'!AE2:AE665))/STDEV('The List'!AE2:AE665)</f>
        <v>1.79085521887292</v>
      </c>
      <c r="S28" s="77">
        <f>(VLOOKUP($A28,'The List'!$B1:$AH665,31,FALSE)-AVERAGE('The List'!AF2:AF665))/STDEV('The List'!AF2:AF665)</f>
        <v>1.67669663910423</v>
      </c>
      <c r="T28" s="77">
        <f>(VLOOKUP($A28,'The List'!$B1:$AH665,32,FALSE)-AVERAGE('The List'!AG2:AG665))/STDEV('The List'!AG2:AG665)</f>
        <v>2.20533939735795</v>
      </c>
      <c r="U28" s="77">
        <f>(VLOOKUP($A28,'The List'!$B1:$AH665,33,FALSE)-AVERAGE('The List'!AH2:AH665))/STDEV('The List'!AH2:AH665)</f>
        <v>0.845405859512842</v>
      </c>
      <c r="V28" s="77"/>
      <c r="W28" s="79"/>
      <c r="X28" s="77"/>
      <c r="Y28" s="77"/>
      <c r="Z28" s="77"/>
      <c r="AA28" s="77"/>
      <c r="AB28" s="77"/>
      <c r="AC28" s="77"/>
      <c r="AD28" s="77"/>
      <c r="AE28" s="84"/>
    </row>
    <row r="29" ht="21.25" customHeight="1">
      <c r="A29" t="s" s="10">
        <v>253</v>
      </c>
      <c r="B29" t="s" s="86">
        <f>VLOOKUP(A29,'Player Data'!A1:B667,2,FALSE)</f>
        <v>901</v>
      </c>
      <c r="C29" s="74">
        <f>((E29)*'Settings'!$C$12)+(F29*'Settings'!$C$2)+(G29*'Settings'!$C$3)+(H29*'Settings'!$C$4)+(I29*'Settings'!$C$5)+(K29*'Settings'!$C$9)+(N29*'Settings'!$C$6)+(J29*'Settings'!$C$8)+(O29*'Settings'!$C$7)+(P29*'Settings'!$C$14)+(Q29*'Settings'!$C$15)+(R29*'Settings'!$C$16)+(S29*'Settings'!$C$17)+(T29*'Settings'!$C$18)+(U29*'Settings'!$C$19)+(L29*'Settings'!$C$10)+('Settings'!$C$11*M29)</f>
        <v>9.48768153023755</v>
      </c>
      <c r="D29" s="79">
        <f>IF('Settings'!$E$12="YES",VLOOKUP(A29,'Player Data'!A1:E667,5,FALSE),82)</f>
        <v>80.88</v>
      </c>
      <c r="E29" s="77">
        <f>(VLOOKUP($A29,'The List'!$B1:$AH665,17,FALSE)-AVERAGE('The List'!R2:R665))/STDEV('The List'!R2:R665)</f>
        <v>2.06132275477359</v>
      </c>
      <c r="F29" s="77">
        <f>(VLOOKUP($A29,'The List'!$B1:$AH665,18,FALSE)-AVERAGE('The List'!S2:S665))/STDEV('The List'!S2:S665)</f>
        <v>-0.06402390790605079</v>
      </c>
      <c r="G29" s="77">
        <f>(VLOOKUP($A29,'The List'!$B1:$AH665,19,FALSE)-AVERAGE('The List'!T2:T665))/STDEV('The List'!T2:T665)</f>
        <v>3.55107324557556</v>
      </c>
      <c r="H29" s="77">
        <f>(VLOOKUP($A29,'The List'!$B1:$AH665,20,FALSE)-AVERAGE('The List'!U2:U665))/STDEV('The List'!U2:U665)</f>
        <v>2.1763142462099</v>
      </c>
      <c r="I29" s="77">
        <f>(VLOOKUP($A29,'The List'!$B1:$AH665,21,FALSE)-AVERAGE('The List'!V2:V665))/STDEV('The List'!V2:V665)</f>
        <v>0.828000095521916</v>
      </c>
      <c r="J29" s="77">
        <f>(VLOOKUP($A29,'The List'!$B1:$AH665,22,FALSE)-AVERAGE('The List'!W2:W665))/STDEV('The List'!W2:W665)</f>
        <v>0.115538809936869</v>
      </c>
      <c r="K29" s="77">
        <f>(VLOOKUP($A29,'The List'!$B1:$AH665,23,FALSE)-AVERAGE('The List'!X2:X665))/STDEV('The List'!X2:X665)</f>
        <v>2.88537144859687</v>
      </c>
      <c r="L29" s="77">
        <f>(VLOOKUP($A29,'The List'!$B1:$AH665,24,FALSE)-AVERAGE('The List'!Y2:Y665))/STDEV('The List'!Y2:Y665)</f>
        <v>-0.557048776703414</v>
      </c>
      <c r="M29" s="77">
        <f>(VLOOKUP($A29,'The List'!$B1:$AH665,25,FALSE)-AVERAGE('The List'!Z2:Z665))/STDEV('The List'!Z2:Z665)</f>
        <v>-0.450406934082282</v>
      </c>
      <c r="N29" s="77">
        <f>(VLOOKUP($A29,'The List'!$B1:$AH665,26,FALSE)-AVERAGE('The List'!AA2:AA665))/STDEV('The List'!AA2:AA665)</f>
        <v>0.142734216474003</v>
      </c>
      <c r="O29" s="77">
        <f>(VLOOKUP($A29,'The List'!$B1:$AH665,27,FALSE)-AVERAGE('The List'!AB2:AB665))/STDEV('The List'!AB2:AB665)</f>
        <v>-1.13233756569299</v>
      </c>
      <c r="P29" s="77">
        <f>(VLOOKUP($A29,'The List'!$B1:$AH665,28,FALSE)-AVERAGE('The List'!AC2:AC665))/STDEV('The List'!AC2:AC665)</f>
        <v>2.14452643197525</v>
      </c>
      <c r="Q29" s="77">
        <f>(VLOOKUP($A29,'The List'!$B1:$AH665,29,FALSE)-AVERAGE('The List'!AD2:AD665))/STDEV('The List'!AD2:AD665)</f>
        <v>0.295073959538323</v>
      </c>
      <c r="R29" s="77">
        <f>(VLOOKUP($A29,'The List'!$B1:$AH665,30,FALSE)-AVERAGE('The List'!AE2:AE665))/STDEV('The List'!AE2:AE665)</f>
        <v>0.116485147581338</v>
      </c>
      <c r="S29" s="77">
        <f>(VLOOKUP($A29,'The List'!$B1:$AH665,31,FALSE)-AVERAGE('The List'!AF2:AF665))/STDEV('The List'!AF2:AF665)</f>
        <v>-0.573655872694424</v>
      </c>
      <c r="T29" s="77">
        <f>(VLOOKUP($A29,'The List'!$B1:$AH665,32,FALSE)-AVERAGE('The List'!AG2:AG665))/STDEV('The List'!AG2:AG665)</f>
        <v>-0.625289059220562</v>
      </c>
      <c r="U29" s="77">
        <f>(VLOOKUP($A29,'The List'!$B1:$AH665,33,FALSE)-AVERAGE('The List'!AH2:AH665))/STDEV('The List'!AH2:AH665)</f>
        <v>0.332410023903463</v>
      </c>
      <c r="V29" s="77"/>
      <c r="W29" s="79"/>
      <c r="X29" s="77"/>
      <c r="Y29" s="77"/>
      <c r="Z29" s="77"/>
      <c r="AA29" s="77"/>
      <c r="AB29" s="77"/>
      <c r="AC29" s="77"/>
      <c r="AD29" s="77"/>
      <c r="AE29" s="84"/>
    </row>
    <row r="30" ht="21.25" customHeight="1">
      <c r="A30" t="s" s="10">
        <v>213</v>
      </c>
      <c r="B30" t="s" s="86">
        <f>VLOOKUP(A30,'Player Data'!A1:B667,2,FALSE)</f>
        <v>904</v>
      </c>
      <c r="C30" s="74">
        <f>((E30)*'Settings'!$C$12)+(F30*'Settings'!$C$2)+(G30*'Settings'!$C$3)+(H30*'Settings'!$C$4)+(I30*'Settings'!$C$5)+(K30*'Settings'!$C$9)+(N30*'Settings'!$C$6)+(J30*'Settings'!$C$8)+(O30*'Settings'!$C$7)+(P30*'Settings'!$C$14)+(Q30*'Settings'!$C$15)+(R30*'Settings'!$C$16)+(S30*'Settings'!$C$17)+(T30*'Settings'!$C$18)+(U30*'Settings'!$C$19)+(L30*'Settings'!$C$10)+('Settings'!$C$11*M30)</f>
        <v>5.25407288662652</v>
      </c>
      <c r="D30" s="79">
        <f>IF('Settings'!$E$12="YES",VLOOKUP(A30,'Player Data'!A1:E667,5,FALSE),82)</f>
        <v>79.9375</v>
      </c>
      <c r="E30" s="77">
        <f>(VLOOKUP($A30,'The List'!$B1:$AH665,17,FALSE)-AVERAGE('The List'!R2:R665))/STDEV('The List'!R2:R665)</f>
        <v>1.03181040894998</v>
      </c>
      <c r="F30" s="77">
        <f>(VLOOKUP($A30,'The List'!$B1:$AH665,18,FALSE)-AVERAGE('The List'!S2:S665))/STDEV('The List'!S2:S665)</f>
        <v>1.50635253034478</v>
      </c>
      <c r="G30" s="77">
        <f>(VLOOKUP($A30,'The List'!$B1:$AH665,19,FALSE)-AVERAGE('The List'!T2:T665))/STDEV('The List'!T2:T665)</f>
        <v>2.00361312083073</v>
      </c>
      <c r="H30" s="77">
        <f>(VLOOKUP($A30,'The List'!$B1:$AH665,20,FALSE)-AVERAGE('The List'!U2:U665))/STDEV('The List'!U2:U665)</f>
        <v>1.92906523514796</v>
      </c>
      <c r="I30" s="77">
        <f>(VLOOKUP($A30,'The List'!$B1:$AH665,21,FALSE)-AVERAGE('The List'!V2:V665))/STDEV('The List'!V2:V665)</f>
        <v>1.22950915301981</v>
      </c>
      <c r="J30" s="77">
        <f>(VLOOKUP($A30,'The List'!$B1:$AH665,22,FALSE)-AVERAGE('The List'!W2:W665))/STDEV('The List'!W2:W665)</f>
        <v>0.555854631434902</v>
      </c>
      <c r="K30" s="77">
        <f>(VLOOKUP($A30,'The List'!$B1:$AH665,23,FALSE)-AVERAGE('The List'!X2:X665))/STDEV('The List'!X2:X665)</f>
        <v>1.34988463336436</v>
      </c>
      <c r="L30" s="77">
        <f>(VLOOKUP($A30,'The List'!$B1:$AH665,24,FALSE)-AVERAGE('The List'!Y2:Y665))/STDEV('The List'!Y2:Y665)</f>
        <v>1.1213223927694</v>
      </c>
      <c r="M30" s="77">
        <f>(VLOOKUP($A30,'The List'!$B1:$AH665,25,FALSE)-AVERAGE('The List'!Z2:Z665))/STDEV('The List'!Z2:Z665)</f>
        <v>0.339866040115582</v>
      </c>
      <c r="N30" s="77">
        <f>(VLOOKUP($A30,'The List'!$B1:$AH665,26,FALSE)-AVERAGE('The List'!AA2:AA665))/STDEV('The List'!AA2:AA665)</f>
        <v>-0.454561856977001</v>
      </c>
      <c r="O30" s="77">
        <f>(VLOOKUP($A30,'The List'!$B1:$AH665,27,FALSE)-AVERAGE('The List'!AB2:AB665))/STDEV('The List'!AB2:AB665)</f>
        <v>0.318977074234133</v>
      </c>
      <c r="P30" s="77">
        <f>(VLOOKUP($A30,'The List'!$B1:$AH665,28,FALSE)-AVERAGE('The List'!AC2:AC665))/STDEV('The List'!AC2:AC665)</f>
        <v>-0.380724693956163</v>
      </c>
      <c r="Q30" s="77">
        <f>(VLOOKUP($A30,'The List'!$B1:$AH665,29,FALSE)-AVERAGE('The List'!AD2:AD665))/STDEV('The List'!AD2:AD665)</f>
        <v>0.57786193294356</v>
      </c>
      <c r="R30" s="77">
        <f>(VLOOKUP($A30,'The List'!$B1:$AH665,30,FALSE)-AVERAGE('The List'!AE2:AE665))/STDEV('The List'!AE2:AE665)</f>
        <v>1.55513474877604</v>
      </c>
      <c r="S30" s="77">
        <f>(VLOOKUP($A30,'The List'!$B1:$AH665,31,FALSE)-AVERAGE('The List'!AF2:AF665))/STDEV('The List'!AF2:AF665)</f>
        <v>0.513691867620037</v>
      </c>
      <c r="T30" s="77">
        <f>(VLOOKUP($A30,'The List'!$B1:$AH665,32,FALSE)-AVERAGE('The List'!AG2:AG665))/STDEV('The List'!AG2:AG665)</f>
        <v>0.913891407737493</v>
      </c>
      <c r="U30" s="77">
        <f>(VLOOKUP($A30,'The List'!$B1:$AH665,33,FALSE)-AVERAGE('The List'!AH2:AH665))/STDEV('The List'!AH2:AH665)</f>
        <v>0.713281988430299</v>
      </c>
      <c r="V30" s="77"/>
      <c r="W30" s="79"/>
      <c r="X30" s="77"/>
      <c r="Y30" s="77"/>
      <c r="Z30" s="77"/>
      <c r="AA30" s="77"/>
      <c r="AB30" s="77"/>
      <c r="AC30" s="77"/>
      <c r="AD30" s="77"/>
      <c r="AE30" s="84"/>
    </row>
    <row r="31" ht="21.25" customHeight="1">
      <c r="A31" t="s" s="10">
        <v>214</v>
      </c>
      <c r="B31" t="s" s="86">
        <f>VLOOKUP(A31,'Player Data'!A1:B667,2,FALSE)</f>
        <v>154</v>
      </c>
      <c r="C31" s="74">
        <f>((E31)*'Settings'!$C$12)+(F31*'Settings'!$C$2)+(G31*'Settings'!$C$3)+(H31*'Settings'!$C$4)+(I31*'Settings'!$C$5)+(K31*'Settings'!$C$9)+(N31*'Settings'!$C$6)+(J31*'Settings'!$C$8)+(O31*'Settings'!$C$7)+(P31*'Settings'!$C$14)+(Q31*'Settings'!$C$15)+(R31*'Settings'!$C$16)+(S31*'Settings'!$C$17)+(T31*'Settings'!$C$18)+(U31*'Settings'!$C$19)+(L31*'Settings'!$C$10)+('Settings'!$C$11*M31)</f>
        <v>7.50177593797388</v>
      </c>
      <c r="D31" s="79">
        <f>IF('Settings'!$E$12="YES",VLOOKUP(A31,'Player Data'!A1:E667,5,FALSE),82)</f>
        <v>79.1275</v>
      </c>
      <c r="E31" s="77">
        <f>(VLOOKUP($A31,'The List'!$B1:$AH665,17,FALSE)-AVERAGE('The List'!R2:R665))/STDEV('The List'!R2:R665)</f>
        <v>0.585600223215061</v>
      </c>
      <c r="F31" s="77">
        <f>(VLOOKUP($A31,'The List'!$B1:$AH665,18,FALSE)-AVERAGE('The List'!S2:S665))/STDEV('The List'!S2:S665)</f>
        <v>2.56383434549026</v>
      </c>
      <c r="G31" s="77">
        <f>(VLOOKUP($A31,'The List'!$B1:$AH665,19,FALSE)-AVERAGE('The List'!T2:T665))/STDEV('The List'!T2:T665)</f>
        <v>1.1605016568099</v>
      </c>
      <c r="H31" s="77">
        <f>(VLOOKUP($A31,'The List'!$B1:$AH665,20,FALSE)-AVERAGE('The List'!U2:U665))/STDEV('The List'!U2:U665)</f>
        <v>1.88612136055264</v>
      </c>
      <c r="I31" s="77">
        <f>(VLOOKUP($A31,'The List'!$B1:$AH665,21,FALSE)-AVERAGE('The List'!V2:V665))/STDEV('The List'!V2:V665)</f>
        <v>2.56524046789994</v>
      </c>
      <c r="J31" s="77">
        <f>(VLOOKUP($A31,'The List'!$B1:$AH665,22,FALSE)-AVERAGE('The List'!W2:W665))/STDEV('The List'!W2:W665)</f>
        <v>3.30897232146357</v>
      </c>
      <c r="K31" s="77">
        <f>(VLOOKUP($A31,'The List'!$B1:$AH665,23,FALSE)-AVERAGE('The List'!X2:X665))/STDEV('The List'!X2:X665)</f>
        <v>1.89434062860264</v>
      </c>
      <c r="L31" s="77">
        <f>(VLOOKUP($A31,'The List'!$B1:$AH665,24,FALSE)-AVERAGE('The List'!Y2:Y665))/STDEV('The List'!Y2:Y665)</f>
        <v>0.45665000873602</v>
      </c>
      <c r="M31" s="77">
        <f>(VLOOKUP($A31,'The List'!$B1:$AH665,25,FALSE)-AVERAGE('The List'!Z2:Z665))/STDEV('The List'!Z2:Z665)</f>
        <v>-0.0776673598725787</v>
      </c>
      <c r="N31" s="77">
        <f>(VLOOKUP($A31,'The List'!$B1:$AH665,26,FALSE)-AVERAGE('The List'!AA2:AA665))/STDEV('The List'!AA2:AA665)</f>
        <v>-0.795417734527413</v>
      </c>
      <c r="O31" s="77">
        <f>(VLOOKUP($A31,'The List'!$B1:$AH665,27,FALSE)-AVERAGE('The List'!AB2:AB665))/STDEV('The List'!AB2:AB665)</f>
        <v>-0.253449129226049</v>
      </c>
      <c r="P31" s="77">
        <f>(VLOOKUP($A31,'The List'!$B1:$AH665,28,FALSE)-AVERAGE('The List'!AC2:AC665))/STDEV('The List'!AC2:AC665)</f>
        <v>0.113276573698553</v>
      </c>
      <c r="Q31" s="77">
        <f>(VLOOKUP($A31,'The List'!$B1:$AH665,29,FALSE)-AVERAGE('The List'!AD2:AD665))/STDEV('The List'!AD2:AD665)</f>
        <v>0.326218652027492</v>
      </c>
      <c r="R31" s="77">
        <f>(VLOOKUP($A31,'The List'!$B1:$AH665,30,FALSE)-AVERAGE('The List'!AE2:AE665))/STDEV('The List'!AE2:AE665)</f>
        <v>2.26358041396172</v>
      </c>
      <c r="S31" s="77">
        <f>(VLOOKUP($A31,'The List'!$B1:$AH665,31,FALSE)-AVERAGE('The List'!AF2:AF665))/STDEV('The List'!AF2:AF665)</f>
        <v>1.4443437298587</v>
      </c>
      <c r="T31" s="77">
        <f>(VLOOKUP($A31,'The List'!$B1:$AH665,32,FALSE)-AVERAGE('The List'!AG2:AG665))/STDEV('The List'!AG2:AG665)</f>
        <v>2.28220276145134</v>
      </c>
      <c r="U31" s="77">
        <f>(VLOOKUP($A31,'The List'!$B1:$AH665,33,FALSE)-AVERAGE('The List'!AH2:AH665))/STDEV('The List'!AH2:AH665)</f>
        <v>0.693731042325291</v>
      </c>
      <c r="V31" s="77"/>
      <c r="W31" s="89"/>
      <c r="X31" s="79"/>
      <c r="Y31" s="79"/>
      <c r="Z31" s="79"/>
      <c r="AA31" s="79"/>
      <c r="AB31" s="79"/>
      <c r="AC31" s="82"/>
      <c r="AD31" s="83"/>
      <c r="AE31" s="84"/>
    </row>
    <row r="32" ht="21.25" customHeight="1">
      <c r="A32" t="s" s="10">
        <v>250</v>
      </c>
      <c r="B32" t="s" s="86">
        <f>VLOOKUP(A32,'Player Data'!A1:B667,2,FALSE)</f>
        <v>207</v>
      </c>
      <c r="C32" s="74">
        <f>((E32)*'Settings'!$C$12)+(F32*'Settings'!$C$2)+(G32*'Settings'!$C$3)+(H32*'Settings'!$C$4)+(I32*'Settings'!$C$5)+(K32*'Settings'!$C$9)+(N32*'Settings'!$C$6)+(J32*'Settings'!$C$8)+(O32*'Settings'!$C$7)+(P32*'Settings'!$C$14)+(Q32*'Settings'!$C$15)+(R32*'Settings'!$C$16)+(S32*'Settings'!$C$17)+(T32*'Settings'!$C$18)+(U32*'Settings'!$C$19)+(L32*'Settings'!$C$10)+('Settings'!$C$11*M32)</f>
        <v>7.3080163776891</v>
      </c>
      <c r="D32" s="79">
        <f>IF('Settings'!$E$12="YES",VLOOKUP(A32,'Player Data'!A1:E667,5,FALSE),82)</f>
        <v>77.47499999999999</v>
      </c>
      <c r="E32" s="77">
        <f>(VLOOKUP($A32,'The List'!$B1:$AH665,17,FALSE)-AVERAGE('The List'!R2:R665))/STDEV('The List'!R2:R665)</f>
        <v>0.974010874454447</v>
      </c>
      <c r="F32" s="77">
        <f>(VLOOKUP($A32,'The List'!$B1:$AH665,18,FALSE)-AVERAGE('The List'!S2:S665))/STDEV('The List'!S2:S665)</f>
        <v>1.02580888586774</v>
      </c>
      <c r="G32" s="77">
        <f>(VLOOKUP($A32,'The List'!$B1:$AH665,19,FALSE)-AVERAGE('The List'!T2:T665))/STDEV('The List'!T2:T665)</f>
        <v>2.43330898473339</v>
      </c>
      <c r="H32" s="77">
        <f>(VLOOKUP($A32,'The List'!$B1:$AH665,20,FALSE)-AVERAGE('The List'!U2:U665))/STDEV('The List'!U2:U665)</f>
        <v>1.97750059913177</v>
      </c>
      <c r="I32" s="77">
        <f>(VLOOKUP($A32,'The List'!$B1:$AH665,21,FALSE)-AVERAGE('The List'!V2:V665))/STDEV('The List'!V2:V665)</f>
        <v>1.61172597083227</v>
      </c>
      <c r="J32" s="77">
        <f>(VLOOKUP($A32,'The List'!$B1:$AH665,22,FALSE)-AVERAGE('The List'!W2:W665))/STDEV('The List'!W2:W665)</f>
        <v>0.644471983010423</v>
      </c>
      <c r="K32" s="77">
        <f>(VLOOKUP($A32,'The List'!$B1:$AH665,23,FALSE)-AVERAGE('The List'!X2:X665))/STDEV('The List'!X2:X665)</f>
        <v>1.8202910211728</v>
      </c>
      <c r="L32" s="77">
        <f>(VLOOKUP($A32,'The List'!$B1:$AH665,24,FALSE)-AVERAGE('The List'!Y2:Y665))/STDEV('The List'!Y2:Y665)</f>
        <v>-0.551823269029542</v>
      </c>
      <c r="M32" s="77">
        <f>(VLOOKUP($A32,'The List'!$B1:$AH665,25,FALSE)-AVERAGE('The List'!Z2:Z665))/STDEV('The List'!Z2:Z665)</f>
        <v>-0.724910932909986</v>
      </c>
      <c r="N32" s="77">
        <f>(VLOOKUP($A32,'The List'!$B1:$AH665,26,FALSE)-AVERAGE('The List'!AA2:AA665))/STDEV('The List'!AA2:AA665)</f>
        <v>-0.424737306731437</v>
      </c>
      <c r="O32" s="77">
        <f>(VLOOKUP($A32,'The List'!$B1:$AH665,27,FALSE)-AVERAGE('The List'!AB2:AB665))/STDEV('The List'!AB2:AB665)</f>
        <v>-0.887002542402917</v>
      </c>
      <c r="P32" s="77">
        <f>(VLOOKUP($A32,'The List'!$B1:$AH665,28,FALSE)-AVERAGE('The List'!AC2:AC665))/STDEV('The List'!AC2:AC665)</f>
        <v>0.841618821814341</v>
      </c>
      <c r="Q32" s="77">
        <f>(VLOOKUP($A32,'The List'!$B1:$AH665,29,FALSE)-AVERAGE('The List'!AD2:AD665))/STDEV('The List'!AD2:AD665)</f>
        <v>-0.0419169111048745</v>
      </c>
      <c r="R32" s="77">
        <f>(VLOOKUP($A32,'The List'!$B1:$AH665,30,FALSE)-AVERAGE('The List'!AE2:AE665))/STDEV('The List'!AE2:AE665)</f>
        <v>1.10492083955128</v>
      </c>
      <c r="S32" s="77">
        <f>(VLOOKUP($A32,'The List'!$B1:$AH665,31,FALSE)-AVERAGE('The List'!AF2:AF665))/STDEV('The List'!AF2:AF665)</f>
        <v>-0.153171260986669</v>
      </c>
      <c r="T32" s="77">
        <f>(VLOOKUP($A32,'The List'!$B1:$AH665,32,FALSE)-AVERAGE('The List'!AG2:AG665))/STDEV('The List'!AG2:AG665)</f>
        <v>-0.00149967995675497</v>
      </c>
      <c r="U32" s="77">
        <f>(VLOOKUP($A32,'The List'!$B1:$AH665,33,FALSE)-AVERAGE('The List'!AH2:AH665))/STDEV('The List'!AH2:AH665)</f>
        <v>0.661267148922563</v>
      </c>
      <c r="V32" s="77"/>
      <c r="W32" s="79"/>
      <c r="X32" s="77"/>
      <c r="Y32" s="77"/>
      <c r="Z32" s="77"/>
      <c r="AA32" s="77"/>
      <c r="AB32" s="77"/>
      <c r="AC32" s="77"/>
      <c r="AD32" s="77"/>
      <c r="AE32" s="84"/>
    </row>
    <row r="33" ht="21.25" customHeight="1">
      <c r="A33" t="s" s="10">
        <v>196</v>
      </c>
      <c r="B33" t="s" s="86">
        <f>VLOOKUP(A33,'Player Data'!A1:B667,2,FALSE)</f>
        <v>149</v>
      </c>
      <c r="C33" s="74">
        <f>((E33)*'Settings'!$C$12)+(F33*'Settings'!$C$2)+(G33*'Settings'!$C$3)+(H33*'Settings'!$C$4)+(I33*'Settings'!$C$5)+(K33*'Settings'!$C$9)+(N33*'Settings'!$C$6)+(J33*'Settings'!$C$8)+(O33*'Settings'!$C$7)+(P33*'Settings'!$C$14)+(Q33*'Settings'!$C$15)+(R33*'Settings'!$C$16)+(S33*'Settings'!$C$17)+(T33*'Settings'!$C$18)+(U33*'Settings'!$C$19)+(L33*'Settings'!$C$10)+('Settings'!$C$11*M33)</f>
        <v>7.74008223059075</v>
      </c>
      <c r="D33" s="79">
        <f>IF('Settings'!$E$12="YES",VLOOKUP(A33,'Player Data'!A1:E667,5,FALSE),82)</f>
        <v>81.63</v>
      </c>
      <c r="E33" s="77">
        <f>(VLOOKUP($A33,'The List'!$B1:$AH665,17,FALSE)-AVERAGE('The List'!R2:R665))/STDEV('The List'!R2:R665)</f>
        <v>0.89717080022316</v>
      </c>
      <c r="F33" s="77">
        <f>(VLOOKUP($A33,'The List'!$B1:$AH665,18,FALSE)-AVERAGE('The List'!S2:S665))/STDEV('The List'!S2:S665)</f>
        <v>2.79719411734326</v>
      </c>
      <c r="G33" s="77">
        <f>(VLOOKUP($A33,'The List'!$B1:$AH665,19,FALSE)-AVERAGE('The List'!T2:T665))/STDEV('The List'!T2:T665)</f>
        <v>1.15507354315763</v>
      </c>
      <c r="H33" s="77">
        <f>(VLOOKUP($A33,'The List'!$B1:$AH665,20,FALSE)-AVERAGE('The List'!U2:U665))/STDEV('The List'!U2:U665)</f>
        <v>1.98882330554952</v>
      </c>
      <c r="I33" s="77">
        <f>(VLOOKUP($A33,'The List'!$B1:$AH665,21,FALSE)-AVERAGE('The List'!V2:V665))/STDEV('The List'!V2:V665)</f>
        <v>1.50274570881235</v>
      </c>
      <c r="J33" s="77">
        <f>(VLOOKUP($A33,'The List'!$B1:$AH665,22,FALSE)-AVERAGE('The List'!W2:W665))/STDEV('The List'!W2:W665)</f>
        <v>4.16814805844346</v>
      </c>
      <c r="K33" s="77">
        <f>(VLOOKUP($A33,'The List'!$B1:$AH665,23,FALSE)-AVERAGE('The List'!X2:X665))/STDEV('The List'!X2:X665)</f>
        <v>1.99884278770073</v>
      </c>
      <c r="L33" s="77">
        <f>(VLOOKUP($A33,'The List'!$B1:$AH665,24,FALSE)-AVERAGE('The List'!Y2:Y665))/STDEV('The List'!Y2:Y665)</f>
        <v>3.31710053240005</v>
      </c>
      <c r="M33" s="77">
        <f>(VLOOKUP($A33,'The List'!$B1:$AH665,25,FALSE)-AVERAGE('The List'!Z2:Z665))/STDEV('The List'!Z2:Z665)</f>
        <v>3.07675383924527</v>
      </c>
      <c r="N33" s="77">
        <f>(VLOOKUP($A33,'The List'!$B1:$AH665,26,FALSE)-AVERAGE('The List'!AA2:AA665))/STDEV('The List'!AA2:AA665)</f>
        <v>-0.157441524378805</v>
      </c>
      <c r="O33" s="77">
        <f>(VLOOKUP($A33,'The List'!$B1:$AH665,27,FALSE)-AVERAGE('The List'!AB2:AB665))/STDEV('The List'!AB2:AB665)</f>
        <v>-0.493358184016671</v>
      </c>
      <c r="P33" s="77">
        <f>(VLOOKUP($A33,'The List'!$B1:$AH665,28,FALSE)-AVERAGE('The List'!AC2:AC665))/STDEV('The List'!AC2:AC665)</f>
        <v>0.44366759795558</v>
      </c>
      <c r="Q33" s="77">
        <f>(VLOOKUP($A33,'The List'!$B1:$AH665,29,FALSE)-AVERAGE('The List'!AD2:AD665))/STDEV('The List'!AD2:AD665)</f>
        <v>-0.521912163898787</v>
      </c>
      <c r="R33" s="77">
        <f>(VLOOKUP($A33,'The List'!$B1:$AH665,30,FALSE)-AVERAGE('The List'!AE2:AE665))/STDEV('The List'!AE2:AE665)</f>
        <v>3.24185958726851</v>
      </c>
      <c r="S33" s="77">
        <f>(VLOOKUP($A33,'The List'!$B1:$AH665,31,FALSE)-AVERAGE('The List'!AF2:AF665))/STDEV('The List'!AF2:AF665)</f>
        <v>0.5762593291466001</v>
      </c>
      <c r="T33" s="77">
        <f>(VLOOKUP($A33,'The List'!$B1:$AH665,32,FALSE)-AVERAGE('The List'!AG2:AG665))/STDEV('The List'!AG2:AG665)</f>
        <v>0.734269510098623</v>
      </c>
      <c r="U33" s="77">
        <f>(VLOOKUP($A33,'The List'!$B1:$AH665,33,FALSE)-AVERAGE('The List'!AH2:AH665))/STDEV('The List'!AH2:AH665)</f>
        <v>0.915173949496992</v>
      </c>
      <c r="V33" s="77"/>
      <c r="W33" s="79"/>
      <c r="X33" s="79"/>
      <c r="Y33" s="79"/>
      <c r="Z33" s="79"/>
      <c r="AA33" s="79"/>
      <c r="AB33" s="79"/>
      <c r="AC33" s="82"/>
      <c r="AD33" s="83"/>
      <c r="AE33" s="84"/>
    </row>
    <row r="34" ht="21.25" customHeight="1">
      <c r="A34" t="s" s="10">
        <v>293</v>
      </c>
      <c r="B34" t="s" s="86">
        <f>VLOOKUP(A34,'Player Data'!A1:B667,2,FALSE)</f>
        <v>908</v>
      </c>
      <c r="C34" s="74">
        <f>((E34)*'Settings'!$C$12)+(F34*'Settings'!$C$2)+(G34*'Settings'!$C$3)+(H34*'Settings'!$C$4)+(I34*'Settings'!$C$5)+(K34*'Settings'!$C$9)+(N34*'Settings'!$C$6)+(J34*'Settings'!$C$8)+(O34*'Settings'!$C$7)+(P34*'Settings'!$C$14)+(Q34*'Settings'!$C$15)+(R34*'Settings'!$C$16)+(S34*'Settings'!$C$17)+(T34*'Settings'!$C$18)+(U34*'Settings'!$C$19)+(L34*'Settings'!$C$10)+('Settings'!$C$11*M34)</f>
        <v>5.78948174178898</v>
      </c>
      <c r="D34" s="79">
        <f>IF('Settings'!$E$12="YES",VLOOKUP(A34,'Player Data'!A1:E667,5,FALSE),82)</f>
        <v>79.81999999999999</v>
      </c>
      <c r="E34" s="77">
        <f>(VLOOKUP($A34,'The List'!$B1:$AH665,17,FALSE)-AVERAGE('The List'!R2:R665))/STDEV('The List'!R2:R665)</f>
        <v>0.669757825380433</v>
      </c>
      <c r="F34" s="77">
        <f>(VLOOKUP($A34,'The List'!$B1:$AH665,18,FALSE)-AVERAGE('The List'!S2:S665))/STDEV('The List'!S2:S665)</f>
        <v>1.95535984162003</v>
      </c>
      <c r="G34" s="77">
        <f>(VLOOKUP($A34,'The List'!$B1:$AH665,19,FALSE)-AVERAGE('The List'!T2:T665))/STDEV('The List'!T2:T665)</f>
        <v>1.59662770269726</v>
      </c>
      <c r="H34" s="77">
        <f>(VLOOKUP($A34,'The List'!$B1:$AH665,20,FALSE)-AVERAGE('The List'!U2:U665))/STDEV('The List'!U2:U665)</f>
        <v>1.88039957246989</v>
      </c>
      <c r="I34" s="77">
        <f>(VLOOKUP($A34,'The List'!$B1:$AH665,21,FALSE)-AVERAGE('The List'!V2:V665))/STDEV('The List'!V2:V665)</f>
        <v>1.49737364017068</v>
      </c>
      <c r="J34" s="77">
        <f>(VLOOKUP($A34,'The List'!$B1:$AH665,22,FALSE)-AVERAGE('The List'!W2:W665))/STDEV('The List'!W2:W665)</f>
        <v>1.58582886381384</v>
      </c>
      <c r="K34" s="77">
        <f>(VLOOKUP($A34,'The List'!$B1:$AH665,23,FALSE)-AVERAGE('The List'!X2:X665))/STDEV('The List'!X2:X665)</f>
        <v>1.85453071436166</v>
      </c>
      <c r="L34" s="77">
        <f>(VLOOKUP($A34,'The List'!$B1:$AH665,24,FALSE)-AVERAGE('The List'!Y2:Y665))/STDEV('The List'!Y2:Y665)</f>
        <v>-0.5331315597947071</v>
      </c>
      <c r="M34" s="77">
        <f>(VLOOKUP($A34,'The List'!$B1:$AH665,25,FALSE)-AVERAGE('The List'!Z2:Z665))/STDEV('The List'!Z2:Z665)</f>
        <v>-0.712889210107435</v>
      </c>
      <c r="N34" s="77">
        <f>(VLOOKUP($A34,'The List'!$B1:$AH665,26,FALSE)-AVERAGE('The List'!AA2:AA665))/STDEV('The List'!AA2:AA665)</f>
        <v>-0.804321465001941</v>
      </c>
      <c r="O34" s="77">
        <f>(VLOOKUP($A34,'The List'!$B1:$AH665,27,FALSE)-AVERAGE('The List'!AB2:AB665))/STDEV('The List'!AB2:AB665)</f>
        <v>-1.42300370002716</v>
      </c>
      <c r="P34" s="77">
        <f>(VLOOKUP($A34,'The List'!$B1:$AH665,28,FALSE)-AVERAGE('The List'!AC2:AC665))/STDEV('The List'!AC2:AC665)</f>
        <v>-0.310088692058711</v>
      </c>
      <c r="Q34" s="77">
        <f>(VLOOKUP($A34,'The List'!$B1:$AH665,29,FALSE)-AVERAGE('The List'!AD2:AD665))/STDEV('The List'!AD2:AD665)</f>
        <v>0.190424077866624</v>
      </c>
      <c r="R34" s="77">
        <f>(VLOOKUP($A34,'The List'!$B1:$AH665,30,FALSE)-AVERAGE('The List'!AE2:AE665))/STDEV('The List'!AE2:AE665)</f>
        <v>1.81399944777079</v>
      </c>
      <c r="S34" s="77">
        <f>(VLOOKUP($A34,'The List'!$B1:$AH665,31,FALSE)-AVERAGE('The List'!AF2:AF665))/STDEV('The List'!AF2:AF665)</f>
        <v>-0.441893554961971</v>
      </c>
      <c r="T34" s="77">
        <f>(VLOOKUP($A34,'The List'!$B1:$AH665,32,FALSE)-AVERAGE('The List'!AG2:AG665))/STDEV('The List'!AG2:AG665)</f>
        <v>-0.42477184844513</v>
      </c>
      <c r="U34" s="77">
        <f>(VLOOKUP($A34,'The List'!$B1:$AH665,33,FALSE)-AVERAGE('The List'!AH2:AH665))/STDEV('The List'!AH2:AH665)</f>
        <v>0.632796801722409</v>
      </c>
      <c r="V34" s="77"/>
      <c r="W34" s="79"/>
      <c r="X34" s="77"/>
      <c r="Y34" s="77"/>
      <c r="Z34" s="77"/>
      <c r="AA34" s="77"/>
      <c r="AB34" s="77"/>
      <c r="AC34" s="77"/>
      <c r="AD34" s="77"/>
      <c r="AE34" s="84"/>
    </row>
    <row r="35" ht="21.25" customHeight="1">
      <c r="A35" t="s" s="10">
        <v>230</v>
      </c>
      <c r="B35" t="s" s="86">
        <f>VLOOKUP(A35,'Player Data'!A1:B667,2,FALSE)</f>
        <v>156</v>
      </c>
      <c r="C35" s="74">
        <f>((E35)*'Settings'!$C$12)+(F35*'Settings'!$C$2)+(G35*'Settings'!$C$3)+(H35*'Settings'!$C$4)+(I35*'Settings'!$C$5)+(K35*'Settings'!$C$9)+(N35*'Settings'!$C$6)+(J35*'Settings'!$C$8)+(O35*'Settings'!$C$7)+(P35*'Settings'!$C$14)+(Q35*'Settings'!$C$15)+(R35*'Settings'!$C$16)+(S35*'Settings'!$C$17)+(T35*'Settings'!$C$18)+(U35*'Settings'!$C$19)+(L35*'Settings'!$C$10)+('Settings'!$C$11*M35)</f>
        <v>5.61392004731672</v>
      </c>
      <c r="D35" s="79">
        <f>IF('Settings'!$E$12="YES",VLOOKUP(A35,'Player Data'!A1:E667,5,FALSE),82)</f>
        <v>78.17</v>
      </c>
      <c r="E35" s="77">
        <f>(VLOOKUP($A35,'The List'!$B1:$AH665,17,FALSE)-AVERAGE('The List'!R2:R665))/STDEV('The List'!R2:R665)</f>
        <v>0.889679690906841</v>
      </c>
      <c r="F35" s="77">
        <f>(VLOOKUP($A35,'The List'!$B1:$AH665,18,FALSE)-AVERAGE('The List'!S2:S665))/STDEV('The List'!S2:S665)</f>
        <v>1.98858167215793</v>
      </c>
      <c r="G35" s="77">
        <f>(VLOOKUP($A35,'The List'!$B1:$AH665,19,FALSE)-AVERAGE('The List'!T2:T665))/STDEV('The List'!T2:T665)</f>
        <v>1.44000934875809</v>
      </c>
      <c r="H35" s="77">
        <f>(VLOOKUP($A35,'The List'!$B1:$AH665,20,FALSE)-AVERAGE('The List'!U2:U665))/STDEV('The List'!U2:U665)</f>
        <v>1.79823166945884</v>
      </c>
      <c r="I35" s="77">
        <f>(VLOOKUP($A35,'The List'!$B1:$AH665,21,FALSE)-AVERAGE('The List'!V2:V665))/STDEV('The List'!V2:V665)</f>
        <v>1.82976713354386</v>
      </c>
      <c r="J35" s="77">
        <f>(VLOOKUP($A35,'The List'!$B1:$AH665,22,FALSE)-AVERAGE('The List'!W2:W665))/STDEV('The List'!W2:W665)</f>
        <v>2.72062793693121</v>
      </c>
      <c r="K35" s="77">
        <f>(VLOOKUP($A35,'The List'!$B1:$AH665,23,FALSE)-AVERAGE('The List'!X2:X665))/STDEV('The List'!X2:X665)</f>
        <v>1.67727285113052</v>
      </c>
      <c r="L35" s="77">
        <f>(VLOOKUP($A35,'The List'!$B1:$AH665,24,FALSE)-AVERAGE('The List'!Y2:Y665))/STDEV('The List'!Y2:Y665)</f>
        <v>0.739165751648301</v>
      </c>
      <c r="M35" s="77">
        <f>(VLOOKUP($A35,'The List'!$B1:$AH665,25,FALSE)-AVERAGE('The List'!Z2:Z665))/STDEV('The List'!Z2:Z665)</f>
        <v>0.274971424964664</v>
      </c>
      <c r="N35" s="77">
        <f>(VLOOKUP($A35,'The List'!$B1:$AH665,26,FALSE)-AVERAGE('The List'!AA2:AA665))/STDEV('The List'!AA2:AA665)</f>
        <v>-0.687736478421354</v>
      </c>
      <c r="O35" s="77">
        <f>(VLOOKUP($A35,'The List'!$B1:$AH665,27,FALSE)-AVERAGE('The List'!AB2:AB665))/STDEV('The List'!AB2:AB665)</f>
        <v>-0.797819530214616</v>
      </c>
      <c r="P35" s="77">
        <f>(VLOOKUP($A35,'The List'!$B1:$AH665,28,FALSE)-AVERAGE('The List'!AC2:AC665))/STDEV('The List'!AC2:AC665)</f>
        <v>-0.633974479852322</v>
      </c>
      <c r="Q35" s="77">
        <f>(VLOOKUP($A35,'The List'!$B1:$AH665,29,FALSE)-AVERAGE('The List'!AD2:AD665))/STDEV('The List'!AD2:AD665)</f>
        <v>0.366847485653086</v>
      </c>
      <c r="R35" s="77">
        <f>(VLOOKUP($A35,'The List'!$B1:$AH665,30,FALSE)-AVERAGE('The List'!AE2:AE665))/STDEV('The List'!AE2:AE665)</f>
        <v>1.65357899031556</v>
      </c>
      <c r="S35" s="77">
        <f>(VLOOKUP($A35,'The List'!$B1:$AH665,31,FALSE)-AVERAGE('The List'!AF2:AF665))/STDEV('The List'!AF2:AF665)</f>
        <v>3.20604796393695</v>
      </c>
      <c r="T35" s="77">
        <f>(VLOOKUP($A35,'The List'!$B1:$AH665,32,FALSE)-AVERAGE('The List'!AG2:AG665))/STDEV('The List'!AG2:AG665)</f>
        <v>2.75907037868246</v>
      </c>
      <c r="U35" s="77">
        <f>(VLOOKUP($A35,'The List'!$B1:$AH665,33,FALSE)-AVERAGE('The List'!AH2:AH665))/STDEV('The List'!AH2:AH665)</f>
        <v>1.22965266157102</v>
      </c>
      <c r="V35" s="77"/>
      <c r="W35" s="89"/>
      <c r="X35" s="79"/>
      <c r="Y35" s="79"/>
      <c r="Z35" s="79"/>
      <c r="AA35" s="79"/>
      <c r="AB35" s="79"/>
      <c r="AC35" s="82"/>
      <c r="AD35" s="83"/>
      <c r="AE35" s="84"/>
    </row>
    <row r="36" ht="21.25" customHeight="1">
      <c r="A36" t="s" s="10">
        <v>231</v>
      </c>
      <c r="B36" t="s" s="86">
        <f>VLOOKUP(A36,'Player Data'!A1:B667,2,FALSE)</f>
        <v>900</v>
      </c>
      <c r="C36" s="74">
        <f>((E36)*'Settings'!$C$12)+(F36*'Settings'!$C$2)+(G36*'Settings'!$C$3)+(H36*'Settings'!$C$4)+(I36*'Settings'!$C$5)+(K36*'Settings'!$C$9)+(N36*'Settings'!$C$6)+(J36*'Settings'!$C$8)+(O36*'Settings'!$C$7)+(P36*'Settings'!$C$14)+(Q36*'Settings'!$C$15)+(R36*'Settings'!$C$16)+(S36*'Settings'!$C$17)+(T36*'Settings'!$C$18)+(U36*'Settings'!$C$19)+(L36*'Settings'!$C$10)+('Settings'!$C$11*M36)</f>
        <v>6.70121862315256</v>
      </c>
      <c r="D36" s="79">
        <f>IF('Settings'!$E$12="YES",VLOOKUP(A36,'Player Data'!A1:E667,5,FALSE),82)</f>
        <v>78.73999999999999</v>
      </c>
      <c r="E36" s="77">
        <f>(VLOOKUP($A36,'The List'!$B1:$AH665,17,FALSE)-AVERAGE('The List'!R2:R665))/STDEV('The List'!R2:R665)</f>
        <v>0.822097807807198</v>
      </c>
      <c r="F36" s="77">
        <f>(VLOOKUP($A36,'The List'!$B1:$AH665,18,FALSE)-AVERAGE('The List'!S2:S665))/STDEV('The List'!S2:S665)</f>
        <v>1.62220991914211</v>
      </c>
      <c r="G36" s="77">
        <f>(VLOOKUP($A36,'The List'!$B1:$AH665,19,FALSE)-AVERAGE('The List'!T2:T665))/STDEV('The List'!T2:T665)</f>
        <v>1.71740545774713</v>
      </c>
      <c r="H36" s="77">
        <f>(VLOOKUP($A36,'The List'!$B1:$AH665,20,FALSE)-AVERAGE('The List'!U2:U665))/STDEV('The List'!U2:U665)</f>
        <v>1.80397687380806</v>
      </c>
      <c r="I36" s="77">
        <f>(VLOOKUP($A36,'The List'!$B1:$AH665,21,FALSE)-AVERAGE('The List'!V2:V665))/STDEV('The List'!V2:V665)</f>
        <v>1.35393424460456</v>
      </c>
      <c r="J36" s="77">
        <f>(VLOOKUP($A36,'The List'!$B1:$AH665,22,FALSE)-AVERAGE('The List'!W2:W665))/STDEV('The List'!W2:W665)</f>
        <v>1.34269333025037</v>
      </c>
      <c r="K36" s="77">
        <f>(VLOOKUP($A36,'The List'!$B1:$AH665,23,FALSE)-AVERAGE('The List'!X2:X665))/STDEV('The List'!X2:X665)</f>
        <v>1.3033554850223</v>
      </c>
      <c r="L36" s="77">
        <f>(VLOOKUP($A36,'The List'!$B1:$AH665,24,FALSE)-AVERAGE('The List'!Y2:Y665))/STDEV('The List'!Y2:Y665)</f>
        <v>1.86719941442355</v>
      </c>
      <c r="M36" s="77">
        <f>(VLOOKUP($A36,'The List'!$B1:$AH665,25,FALSE)-AVERAGE('The List'!Z2:Z665))/STDEV('The List'!Z2:Z665)</f>
        <v>1.4771416780928</v>
      </c>
      <c r="N36" s="77">
        <f>(VLOOKUP($A36,'The List'!$B1:$AH665,26,FALSE)-AVERAGE('The List'!AA2:AA665))/STDEV('The List'!AA2:AA665)</f>
        <v>-0.3706921985619</v>
      </c>
      <c r="O36" s="77">
        <f>(VLOOKUP($A36,'The List'!$B1:$AH665,27,FALSE)-AVERAGE('The List'!AB2:AB665))/STDEV('The List'!AB2:AB665)</f>
        <v>-0.952907596693721</v>
      </c>
      <c r="P36" s="77">
        <f>(VLOOKUP($A36,'The List'!$B1:$AH665,28,FALSE)-AVERAGE('The List'!AC2:AC665))/STDEV('The List'!AC2:AC665)</f>
        <v>1.07500571519836</v>
      </c>
      <c r="Q36" s="77">
        <f>(VLOOKUP($A36,'The List'!$B1:$AH665,29,FALSE)-AVERAGE('The List'!AD2:AD665))/STDEV('The List'!AD2:AD665)</f>
        <v>-1.03350723679417</v>
      </c>
      <c r="R36" s="77">
        <f>(VLOOKUP($A36,'The List'!$B1:$AH665,30,FALSE)-AVERAGE('The List'!AE2:AE665))/STDEV('The List'!AE2:AE665)</f>
        <v>1.58735251273435</v>
      </c>
      <c r="S36" s="77">
        <f>(VLOOKUP($A36,'The List'!$B1:$AH665,31,FALSE)-AVERAGE('The List'!AF2:AF665))/STDEV('The List'!AF2:AF665)</f>
        <v>3.60687809285535</v>
      </c>
      <c r="T36" s="77">
        <f>(VLOOKUP($A36,'The List'!$B1:$AH665,32,FALSE)-AVERAGE('The List'!AG2:AG665))/STDEV('The List'!AG2:AG665)</f>
        <v>3.08041749056368</v>
      </c>
      <c r="U36" s="77">
        <f>(VLOOKUP($A36,'The List'!$B1:$AH665,33,FALSE)-AVERAGE('The List'!AH2:AH665))/STDEV('The List'!AH2:AH665)</f>
        <v>1.24099840331067</v>
      </c>
      <c r="V36" s="77"/>
      <c r="W36" s="89"/>
      <c r="X36" s="79"/>
      <c r="Y36" s="79"/>
      <c r="Z36" s="79"/>
      <c r="AA36" s="79"/>
      <c r="AB36" s="79"/>
      <c r="AC36" s="82"/>
      <c r="AD36" s="83"/>
      <c r="AE36" s="84"/>
    </row>
    <row r="37" ht="21.25" customHeight="1">
      <c r="A37" t="s" s="10">
        <v>285</v>
      </c>
      <c r="B37" t="s" s="86">
        <f>VLOOKUP(A37,'Player Data'!A1:B667,2,FALSE)</f>
        <v>906</v>
      </c>
      <c r="C37" s="74">
        <f>((E37)*'Settings'!$C$12)+(F37*'Settings'!$C$2)+(G37*'Settings'!$C$3)+(H37*'Settings'!$C$4)+(I37*'Settings'!$C$5)+(K37*'Settings'!$C$9)+(N37*'Settings'!$C$6)+(J37*'Settings'!$C$8)+(O37*'Settings'!$C$7)+(P37*'Settings'!$C$14)+(Q37*'Settings'!$C$15)+(R37*'Settings'!$C$16)+(S37*'Settings'!$C$17)+(T37*'Settings'!$C$18)+(U37*'Settings'!$C$19)+(L37*'Settings'!$C$10)+('Settings'!$C$11*M37)</f>
        <v>6.22038828736208</v>
      </c>
      <c r="D37" s="79">
        <f>IF('Settings'!$E$12="YES",VLOOKUP(A37,'Player Data'!A1:E667,5,FALSE),82)</f>
        <v>78.71250000000001</v>
      </c>
      <c r="E37" s="77">
        <f>(VLOOKUP($A37,'The List'!$B1:$AH665,17,FALSE)-AVERAGE('The List'!R2:R665))/STDEV('The List'!R2:R665)</f>
        <v>0.764054518077989</v>
      </c>
      <c r="F37" s="77">
        <f>(VLOOKUP($A37,'The List'!$B1:$AH665,18,FALSE)-AVERAGE('The List'!S2:S665))/STDEV('The List'!S2:S665)</f>
        <v>2.25252991039443</v>
      </c>
      <c r="G37" s="77">
        <f>(VLOOKUP($A37,'The List'!$B1:$AH665,19,FALSE)-AVERAGE('The List'!T2:T665))/STDEV('The List'!T2:T665)</f>
        <v>1.21208545883798</v>
      </c>
      <c r="H37" s="77">
        <f>(VLOOKUP($A37,'The List'!$B1:$AH665,20,FALSE)-AVERAGE('The List'!U2:U665))/STDEV('The List'!U2:U665)</f>
        <v>1.77665513883333</v>
      </c>
      <c r="I37" s="77">
        <f>(VLOOKUP($A37,'The List'!$B1:$AH665,21,FALSE)-AVERAGE('The List'!V2:V665))/STDEV('The List'!V2:V665)</f>
        <v>2.14684829427638</v>
      </c>
      <c r="J37" s="77">
        <f>(VLOOKUP($A37,'The List'!$B1:$AH665,22,FALSE)-AVERAGE('The List'!W2:W665))/STDEV('The List'!W2:W665)</f>
        <v>0.985718891188433</v>
      </c>
      <c r="K37" s="77">
        <f>(VLOOKUP($A37,'The List'!$B1:$AH665,23,FALSE)-AVERAGE('The List'!X2:X665))/STDEV('The List'!X2:X665)</f>
        <v>1.53464816706501</v>
      </c>
      <c r="L37" s="77">
        <f>(VLOOKUP($A37,'The List'!$B1:$AH665,24,FALSE)-AVERAGE('The List'!Y2:Y665))/STDEV('The List'!Y2:Y665)</f>
        <v>-0.364637421611231</v>
      </c>
      <c r="M37" s="77">
        <f>(VLOOKUP($A37,'The List'!$B1:$AH665,25,FALSE)-AVERAGE('The List'!Z2:Z665))/STDEV('The List'!Z2:Z665)</f>
        <v>-0.600672552285037</v>
      </c>
      <c r="N37" s="77">
        <f>(VLOOKUP($A37,'The List'!$B1:$AH665,26,FALSE)-AVERAGE('The List'!AA2:AA665))/STDEV('The List'!AA2:AA665)</f>
        <v>-0.9751820790624</v>
      </c>
      <c r="O37" s="77">
        <f>(VLOOKUP($A37,'The List'!$B1:$AH665,27,FALSE)-AVERAGE('The List'!AB2:AB665))/STDEV('The List'!AB2:AB665)</f>
        <v>-1.33324019626408</v>
      </c>
      <c r="P37" s="77">
        <f>(VLOOKUP($A37,'The List'!$B1:$AH665,28,FALSE)-AVERAGE('The List'!AC2:AC665))/STDEV('The List'!AC2:AC665)</f>
        <v>0.0494585358506831</v>
      </c>
      <c r="Q37" s="77">
        <f>(VLOOKUP($A37,'The List'!$B1:$AH665,29,FALSE)-AVERAGE('The List'!AD2:AD665))/STDEV('The List'!AD2:AD665)</f>
        <v>-1.2804858627429</v>
      </c>
      <c r="R37" s="77">
        <f>(VLOOKUP($A37,'The List'!$B1:$AH665,30,FALSE)-AVERAGE('The List'!AE2:AE665))/STDEV('The List'!AE2:AE665)</f>
        <v>2.5510905449036</v>
      </c>
      <c r="S37" s="77">
        <f>(VLOOKUP($A37,'The List'!$B1:$AH665,31,FALSE)-AVERAGE('The List'!AF2:AF665))/STDEV('The List'!AF2:AF665)</f>
        <v>-0.5650517077041251</v>
      </c>
      <c r="T37" s="77">
        <f>(VLOOKUP($A37,'The List'!$B1:$AH665,32,FALSE)-AVERAGE('The List'!AG2:AG665))/STDEV('The List'!AG2:AG665)</f>
        <v>-0.594814338697518</v>
      </c>
      <c r="U37" s="77">
        <f>(VLOOKUP($A37,'The List'!$B1:$AH665,33,FALSE)-AVERAGE('The List'!AH2:AH665))/STDEV('The List'!AH2:AH665)</f>
        <v>-0.175101990610346</v>
      </c>
      <c r="V37" s="77"/>
      <c r="W37" s="79"/>
      <c r="X37" s="77"/>
      <c r="Y37" s="77"/>
      <c r="Z37" s="77"/>
      <c r="AA37" s="77"/>
      <c r="AB37" s="77"/>
      <c r="AC37" s="77"/>
      <c r="AD37" s="77"/>
      <c r="AE37" s="84"/>
    </row>
    <row r="38" ht="21.25" customHeight="1">
      <c r="A38" t="s" s="10">
        <v>179</v>
      </c>
      <c r="B38" t="s" s="86">
        <f>VLOOKUP(A38,'Player Data'!A1:B667,2,FALSE)</f>
        <v>165</v>
      </c>
      <c r="C38" s="74">
        <f>((E38)*'Settings'!$C$12)+(F38*'Settings'!$C$2)+(G38*'Settings'!$C$3)+(H38*'Settings'!$C$4)+(I38*'Settings'!$C$5)+(K38*'Settings'!$C$9)+(N38*'Settings'!$C$6)+(J38*'Settings'!$C$8)+(O38*'Settings'!$C$7)+(P38*'Settings'!$C$14)+(Q38*'Settings'!$C$15)+(R38*'Settings'!$C$16)+(S38*'Settings'!$C$17)+(T38*'Settings'!$C$18)+(U38*'Settings'!$C$19)+(L38*'Settings'!$C$10)+('Settings'!$C$11*M38)</f>
        <v>10.5147446952339</v>
      </c>
      <c r="D38" s="79">
        <f>IF('Settings'!$E$12="YES",VLOOKUP(A38,'Player Data'!A1:E667,5,FALSE),82)</f>
        <v>79.7675</v>
      </c>
      <c r="E38" s="77">
        <f>(VLOOKUP($A38,'The List'!$B1:$AH665,17,FALSE)-AVERAGE('The List'!R2:R665))/STDEV('The List'!R2:R665)</f>
        <v>2.07108365377628</v>
      </c>
      <c r="F38" s="77">
        <f>(VLOOKUP($A38,'The List'!$B1:$AH665,18,FALSE)-AVERAGE('The List'!S2:S665))/STDEV('The List'!S2:S665)</f>
        <v>0.654698220024083</v>
      </c>
      <c r="G38" s="77">
        <f>(VLOOKUP($A38,'The List'!$B1:$AH665,19,FALSE)-AVERAGE('The List'!T2:T665))/STDEV('The List'!T2:T665)</f>
        <v>2.4013631445989</v>
      </c>
      <c r="H38" s="77">
        <f>(VLOOKUP($A38,'The List'!$B1:$AH665,20,FALSE)-AVERAGE('The List'!U2:U665))/STDEV('The List'!U2:U665)</f>
        <v>1.78897299822203</v>
      </c>
      <c r="I38" s="77">
        <f>(VLOOKUP($A38,'The List'!$B1:$AH665,21,FALSE)-AVERAGE('The List'!V2:V665))/STDEV('The List'!V2:V665)</f>
        <v>2.12771148969644</v>
      </c>
      <c r="J38" s="77">
        <f>(VLOOKUP($A38,'The List'!$B1:$AH665,22,FALSE)-AVERAGE('The List'!W2:W665))/STDEV('The List'!W2:W665)</f>
        <v>1.69052584976701</v>
      </c>
      <c r="K38" s="77">
        <f>(VLOOKUP($A38,'The List'!$B1:$AH665,23,FALSE)-AVERAGE('The List'!X2:X665))/STDEV('The List'!X2:X665)</f>
        <v>2.34634157069512</v>
      </c>
      <c r="L38" s="77">
        <f>(VLOOKUP($A38,'The List'!$B1:$AH665,24,FALSE)-AVERAGE('The List'!Y2:Y665))/STDEV('The List'!Y2:Y665)</f>
        <v>-0.556497182522627</v>
      </c>
      <c r="M38" s="77">
        <f>(VLOOKUP($A38,'The List'!$B1:$AH665,25,FALSE)-AVERAGE('The List'!Z2:Z665))/STDEV('The List'!Z2:Z665)</f>
        <v>-0.417400032929968</v>
      </c>
      <c r="N38" s="77">
        <f>(VLOOKUP($A38,'The List'!$B1:$AH665,26,FALSE)-AVERAGE('The List'!AA2:AA665))/STDEV('The List'!AA2:AA665)</f>
        <v>1.8595188554337</v>
      </c>
      <c r="O38" s="77">
        <f>(VLOOKUP($A38,'The List'!$B1:$AH665,27,FALSE)-AVERAGE('The List'!AB2:AB665))/STDEV('The List'!AB2:AB665)</f>
        <v>-0.76397299253814</v>
      </c>
      <c r="P38" s="77">
        <f>(VLOOKUP($A38,'The List'!$B1:$AH665,28,FALSE)-AVERAGE('The List'!AC2:AC665))/STDEV('The List'!AC2:AC665)</f>
        <v>1.12511141478569</v>
      </c>
      <c r="Q38" s="77">
        <f>(VLOOKUP($A38,'The List'!$B1:$AH665,29,FALSE)-AVERAGE('The List'!AD2:AD665))/STDEV('The List'!AD2:AD665)</f>
        <v>0.826066637174837</v>
      </c>
      <c r="R38" s="77">
        <f>(VLOOKUP($A38,'The List'!$B1:$AH665,30,FALSE)-AVERAGE('The List'!AE2:AE665))/STDEV('The List'!AE2:AE665)</f>
        <v>0.531919374026829</v>
      </c>
      <c r="S38" s="77">
        <f>(VLOOKUP($A38,'The List'!$B1:$AH665,31,FALSE)-AVERAGE('The List'!AF2:AF665))/STDEV('The List'!AF2:AF665)</f>
        <v>-0.573894410680004</v>
      </c>
      <c r="T38" s="77">
        <f>(VLOOKUP($A38,'The List'!$B1:$AH665,32,FALSE)-AVERAGE('The List'!AG2:AG665))/STDEV('The List'!AG2:AG665)</f>
        <v>-0.625770787132651</v>
      </c>
      <c r="U38" s="77">
        <f>(VLOOKUP($A38,'The List'!$B1:$AH665,33,FALSE)-AVERAGE('The List'!AH2:AH665))/STDEV('The List'!AH2:AH665)</f>
        <v>-1.23143509451486</v>
      </c>
      <c r="V38" s="77"/>
      <c r="W38" s="89"/>
      <c r="X38" s="79"/>
      <c r="Y38" s="79"/>
      <c r="Z38" s="79"/>
      <c r="AA38" s="79"/>
      <c r="AB38" s="79"/>
      <c r="AC38" s="82"/>
      <c r="AD38" s="83"/>
      <c r="AE38" s="84"/>
    </row>
    <row r="39" ht="21.25" customHeight="1">
      <c r="A39" t="s" s="10">
        <v>283</v>
      </c>
      <c r="B39" t="s" s="86">
        <f>VLOOKUP(A39,'Player Data'!A1:B667,2,FALSE)</f>
        <v>267</v>
      </c>
      <c r="C39" s="74">
        <f>((E39)*'Settings'!$C$12)+(F39*'Settings'!$C$2)+(G39*'Settings'!$C$3)+(H39*'Settings'!$C$4)+(I39*'Settings'!$C$5)+(K39*'Settings'!$C$9)+(N39*'Settings'!$C$6)+(J39*'Settings'!$C$8)+(O39*'Settings'!$C$7)+(P39*'Settings'!$C$14)+(Q39*'Settings'!$C$15)+(R39*'Settings'!$C$16)+(S39*'Settings'!$C$17)+(T39*'Settings'!$C$18)+(U39*'Settings'!$C$19)+(L39*'Settings'!$C$10)+('Settings'!$C$11*M39)</f>
        <v>6.7125754492529</v>
      </c>
      <c r="D39" s="79">
        <f>IF('Settings'!$E$12="YES",VLOOKUP(A39,'Player Data'!A1:E667,5,FALSE),82)</f>
        <v>80.24250000000001</v>
      </c>
      <c r="E39" s="77">
        <f>(VLOOKUP($A39,'The List'!$B1:$AH665,17,FALSE)-AVERAGE('The List'!R2:R665))/STDEV('The List'!R2:R665)</f>
        <v>0.29299393150661</v>
      </c>
      <c r="F39" s="77">
        <f>(VLOOKUP($A39,'The List'!$B1:$AH665,18,FALSE)-AVERAGE('The List'!S2:S665))/STDEV('The List'!S2:S665)</f>
        <v>1.44874015442684</v>
      </c>
      <c r="G39" s="77">
        <f>(VLOOKUP($A39,'The List'!$B1:$AH665,19,FALSE)-AVERAGE('The List'!T2:T665))/STDEV('The List'!T2:T665)</f>
        <v>1.75580667320036</v>
      </c>
      <c r="H39" s="77">
        <f>(VLOOKUP($A39,'The List'!$B1:$AH665,20,FALSE)-AVERAGE('The List'!U2:U665))/STDEV('The List'!U2:U665)</f>
        <v>1.74897593408955</v>
      </c>
      <c r="I39" s="77">
        <f>(VLOOKUP($A39,'The List'!$B1:$AH665,21,FALSE)-AVERAGE('The List'!V2:V665))/STDEV('The List'!V2:V665)</f>
        <v>1.568764281257</v>
      </c>
      <c r="J39" s="77">
        <f>(VLOOKUP($A39,'The List'!$B1:$AH665,22,FALSE)-AVERAGE('The List'!W2:W665))/STDEV('The List'!W2:W665)</f>
        <v>1.75104098708788</v>
      </c>
      <c r="K39" s="77">
        <f>(VLOOKUP($A39,'The List'!$B1:$AH665,23,FALSE)-AVERAGE('The List'!X2:X665))/STDEV('The List'!X2:X665)</f>
        <v>1.85235471112872</v>
      </c>
      <c r="L39" s="77">
        <f>(VLOOKUP($A39,'The List'!$B1:$AH665,24,FALSE)-AVERAGE('The List'!Y2:Y665))/STDEV('The List'!Y2:Y665)</f>
        <v>-0.551101574598636</v>
      </c>
      <c r="M39" s="77">
        <f>(VLOOKUP($A39,'The List'!$B1:$AH665,25,FALSE)-AVERAGE('The List'!Z2:Z665))/STDEV('The List'!Z2:Z665)</f>
        <v>-0.731454695936578</v>
      </c>
      <c r="N39" s="77">
        <f>(VLOOKUP($A39,'The List'!$B1:$AH665,26,FALSE)-AVERAGE('The List'!AA2:AA665))/STDEV('The List'!AA2:AA665)</f>
        <v>-0.909891807856957</v>
      </c>
      <c r="O39" s="77">
        <f>(VLOOKUP($A39,'The List'!$B1:$AH665,27,FALSE)-AVERAGE('The List'!AB2:AB665))/STDEV('The List'!AB2:AB665)</f>
        <v>-0.667827614863432</v>
      </c>
      <c r="P39" s="77">
        <f>(VLOOKUP($A39,'The List'!$B1:$AH665,28,FALSE)-AVERAGE('The List'!AC2:AC665))/STDEV('The List'!AC2:AC665)</f>
        <v>0.996801437096938</v>
      </c>
      <c r="Q39" s="77">
        <f>(VLOOKUP($A39,'The List'!$B1:$AH665,29,FALSE)-AVERAGE('The List'!AD2:AD665))/STDEV('The List'!AD2:AD665)</f>
        <v>1.17285636847083</v>
      </c>
      <c r="R39" s="77">
        <f>(VLOOKUP($A39,'The List'!$B1:$AH665,30,FALSE)-AVERAGE('The List'!AE2:AE665))/STDEV('The List'!AE2:AE665)</f>
        <v>1.90751180661365</v>
      </c>
      <c r="S39" s="77">
        <f>(VLOOKUP($A39,'The List'!$B1:$AH665,31,FALSE)-AVERAGE('The List'!AF2:AF665))/STDEV('The List'!AF2:AF665)</f>
        <v>-0.5216231120224259</v>
      </c>
      <c r="T39" s="77">
        <f>(VLOOKUP($A39,'The List'!$B1:$AH665,32,FALSE)-AVERAGE('The List'!AG2:AG665))/STDEV('The List'!AG2:AG665)</f>
        <v>-0.520484397691135</v>
      </c>
      <c r="U39" s="77">
        <f>(VLOOKUP($A39,'The List'!$B1:$AH665,33,FALSE)-AVERAGE('The List'!AH2:AH665))/STDEV('The List'!AH2:AH665)</f>
        <v>0.335088907489666</v>
      </c>
      <c r="V39" s="77"/>
      <c r="W39" s="89"/>
      <c r="X39" s="79"/>
      <c r="Y39" s="79"/>
      <c r="Z39" s="79"/>
      <c r="AA39" s="79"/>
      <c r="AB39" s="79"/>
      <c r="AC39" s="82"/>
      <c r="AD39" s="83"/>
      <c r="AE39" s="84"/>
    </row>
    <row r="40" ht="21.25" customHeight="1">
      <c r="A40" t="s" s="10">
        <v>238</v>
      </c>
      <c r="B40" t="s" s="86">
        <f>VLOOKUP(A40,'Player Data'!A1:B667,2,FALSE)</f>
        <v>909</v>
      </c>
      <c r="C40" s="74">
        <f>((E40)*'Settings'!$C$12)+(F40*'Settings'!$C$2)+(G40*'Settings'!$C$3)+(H40*'Settings'!$C$4)+(I40*'Settings'!$C$5)+(K40*'Settings'!$C$9)+(N40*'Settings'!$C$6)+(J40*'Settings'!$C$8)+(O40*'Settings'!$C$7)+(P40*'Settings'!$C$14)+(Q40*'Settings'!$C$15)+(R40*'Settings'!$C$16)+(S40*'Settings'!$C$17)+(T40*'Settings'!$C$18)+(U40*'Settings'!$C$19)+(L40*'Settings'!$C$10)+('Settings'!$C$11*M40)</f>
        <v>4.8931156643819</v>
      </c>
      <c r="D40" s="79">
        <f>IF('Settings'!$E$12="YES",VLOOKUP(A40,'Player Data'!A1:E667,5,FALSE),82)</f>
        <v>82.03</v>
      </c>
      <c r="E40" s="77">
        <f>(VLOOKUP($A40,'The List'!$B1:$AH665,17,FALSE)-AVERAGE('The List'!R2:R665))/STDEV('The List'!R2:R665)</f>
        <v>1.24305274545389</v>
      </c>
      <c r="F40" s="77">
        <f>(VLOOKUP($A40,'The List'!$B1:$AH665,18,FALSE)-AVERAGE('The List'!S2:S665))/STDEV('The List'!S2:S665)</f>
        <v>1.73468725013801</v>
      </c>
      <c r="G40" s="77">
        <f>(VLOOKUP($A40,'The List'!$B1:$AH665,19,FALSE)-AVERAGE('The List'!T2:T665))/STDEV('The List'!T2:T665)</f>
        <v>1.61345010437252</v>
      </c>
      <c r="H40" s="77">
        <f>(VLOOKUP($A40,'The List'!$B1:$AH665,20,FALSE)-AVERAGE('The List'!U2:U665))/STDEV('The List'!U2:U665)</f>
        <v>1.7905410475633</v>
      </c>
      <c r="I40" s="77">
        <f>(VLOOKUP($A40,'The List'!$B1:$AH665,21,FALSE)-AVERAGE('The List'!V2:V665))/STDEV('The List'!V2:V665)</f>
        <v>0.937453249618341</v>
      </c>
      <c r="J40" s="77">
        <f>(VLOOKUP($A40,'The List'!$B1:$AH665,22,FALSE)-AVERAGE('The List'!W2:W665))/STDEV('The List'!W2:W665)</f>
        <v>2.15763694445908</v>
      </c>
      <c r="K40" s="77">
        <f>(VLOOKUP($A40,'The List'!$B1:$AH665,23,FALSE)-AVERAGE('The List'!X2:X665))/STDEV('The List'!X2:X665)</f>
        <v>1.96197374317541</v>
      </c>
      <c r="L40" s="77">
        <f>(VLOOKUP($A40,'The List'!$B1:$AH665,24,FALSE)-AVERAGE('The List'!Y2:Y665))/STDEV('The List'!Y2:Y665)</f>
        <v>0.590648450740256</v>
      </c>
      <c r="M40" s="77">
        <f>(VLOOKUP($A40,'The List'!$B1:$AH665,25,FALSE)-AVERAGE('The List'!Z2:Z665))/STDEV('The List'!Z2:Z665)</f>
        <v>0.308639713024291</v>
      </c>
      <c r="N40" s="77">
        <f>(VLOOKUP($A40,'The List'!$B1:$AH665,26,FALSE)-AVERAGE('The List'!AA2:AA665))/STDEV('The List'!AA2:AA665)</f>
        <v>-0.363774561852573</v>
      </c>
      <c r="O40" s="77">
        <f>(VLOOKUP($A40,'The List'!$B1:$AH665,27,FALSE)-AVERAGE('The List'!AB2:AB665))/STDEV('The List'!AB2:AB665)</f>
        <v>-0.574642606247599</v>
      </c>
      <c r="P40" s="77">
        <f>(VLOOKUP($A40,'The List'!$B1:$AH665,28,FALSE)-AVERAGE('The List'!AC2:AC665))/STDEV('The List'!AC2:AC665)</f>
        <v>-0.990674121069807</v>
      </c>
      <c r="Q40" s="77">
        <f>(VLOOKUP($A40,'The List'!$B1:$AH665,29,FALSE)-AVERAGE('The List'!AD2:AD665))/STDEV('The List'!AD2:AD665)</f>
        <v>0.0542326952280177</v>
      </c>
      <c r="R40" s="77">
        <f>(VLOOKUP($A40,'The List'!$B1:$AH665,30,FALSE)-AVERAGE('The List'!AE2:AE665))/STDEV('The List'!AE2:AE665)</f>
        <v>1.00750414709934</v>
      </c>
      <c r="S40" s="77">
        <f>(VLOOKUP($A40,'The List'!$B1:$AH665,31,FALSE)-AVERAGE('The List'!AF2:AF665))/STDEV('The List'!AF2:AF665)</f>
        <v>2.69815942565961</v>
      </c>
      <c r="T40" s="77">
        <f>(VLOOKUP($A40,'The List'!$B1:$AH665,32,FALSE)-AVERAGE('The List'!AG2:AG665))/STDEV('The List'!AG2:AG665)</f>
        <v>2.84805391385648</v>
      </c>
      <c r="U40" s="77">
        <f>(VLOOKUP($A40,'The List'!$B1:$AH665,33,FALSE)-AVERAGE('The List'!AH2:AH665))/STDEV('The List'!AH2:AH665)</f>
        <v>1.03720554764529</v>
      </c>
      <c r="V40" s="77"/>
      <c r="W40" s="89"/>
      <c r="X40" s="79"/>
      <c r="Y40" s="79"/>
      <c r="Z40" s="79"/>
      <c r="AA40" s="79"/>
      <c r="AB40" s="79"/>
      <c r="AC40" s="82"/>
      <c r="AD40" s="83"/>
      <c r="AE40" s="84"/>
    </row>
    <row r="41" ht="21.25" customHeight="1">
      <c r="A41" t="s" s="10">
        <v>291</v>
      </c>
      <c r="B41" t="s" s="86">
        <f>VLOOKUP(A41,'Player Data'!A1:B667,2,FALSE)</f>
        <v>907</v>
      </c>
      <c r="C41" s="74">
        <f>((E41)*'Settings'!$C$12)+(F41*'Settings'!$C$2)+(G41*'Settings'!$C$3)+(H41*'Settings'!$C$4)+(I41*'Settings'!$C$5)+(K41*'Settings'!$C$9)+(N41*'Settings'!$C$6)+(J41*'Settings'!$C$8)+(O41*'Settings'!$C$7)+(P41*'Settings'!$C$14)+(Q41*'Settings'!$C$15)+(R41*'Settings'!$C$16)+(S41*'Settings'!$C$17)+(T41*'Settings'!$C$18)+(U41*'Settings'!$C$19)+(L41*'Settings'!$C$10)+('Settings'!$C$11*M41)</f>
        <v>5.44903367425587</v>
      </c>
      <c r="D41" s="79">
        <f>IF('Settings'!$E$12="YES",VLOOKUP(A41,'Player Data'!A1:E667,5,FALSE),82)</f>
        <v>80.8175</v>
      </c>
      <c r="E41" s="77">
        <f>(VLOOKUP($A41,'The List'!$B1:$AH665,17,FALSE)-AVERAGE('The List'!R2:R665))/STDEV('The List'!R2:R665)</f>
        <v>0.504058704534606</v>
      </c>
      <c r="F41" s="77">
        <f>(VLOOKUP($A41,'The List'!$B1:$AH665,18,FALSE)-AVERAGE('The List'!S2:S665))/STDEV('The List'!S2:S665)</f>
        <v>1.96362094684881</v>
      </c>
      <c r="G41" s="77">
        <f>(VLOOKUP($A41,'The List'!$B1:$AH665,19,FALSE)-AVERAGE('The List'!T2:T665))/STDEV('The List'!T2:T665)</f>
        <v>1.32218723233844</v>
      </c>
      <c r="H41" s="77">
        <f>(VLOOKUP($A41,'The List'!$B1:$AH665,20,FALSE)-AVERAGE('The List'!U2:U665))/STDEV('The List'!U2:U665)</f>
        <v>1.71371167411533</v>
      </c>
      <c r="I41" s="77">
        <f>(VLOOKUP($A41,'The List'!$B1:$AH665,21,FALSE)-AVERAGE('The List'!V2:V665))/STDEV('The List'!V2:V665)</f>
        <v>1.98268273701108</v>
      </c>
      <c r="J41" s="77">
        <f>(VLOOKUP($A41,'The List'!$B1:$AH665,22,FALSE)-AVERAGE('The List'!W2:W665))/STDEV('The List'!W2:W665)</f>
        <v>1.84268271648887</v>
      </c>
      <c r="K41" s="77">
        <f>(VLOOKUP($A41,'The List'!$B1:$AH665,23,FALSE)-AVERAGE('The List'!X2:X665))/STDEV('The List'!X2:X665)</f>
        <v>1.73592031448693</v>
      </c>
      <c r="L41" s="77">
        <f>(VLOOKUP($A41,'The List'!$B1:$AH665,24,FALSE)-AVERAGE('The List'!Y2:Y665))/STDEV('The List'!Y2:Y665)</f>
        <v>-0.578210213865311</v>
      </c>
      <c r="M41" s="77">
        <f>(VLOOKUP($A41,'The List'!$B1:$AH665,25,FALSE)-AVERAGE('The List'!Z2:Z665))/STDEV('The List'!Z2:Z665)</f>
        <v>-0.752023340674756</v>
      </c>
      <c r="N41" s="77">
        <f>(VLOOKUP($A41,'The List'!$B1:$AH665,26,FALSE)-AVERAGE('The List'!AA2:AA665))/STDEV('The List'!AA2:AA665)</f>
        <v>-0.762969133592545</v>
      </c>
      <c r="O41" s="77">
        <f>(VLOOKUP($A41,'The List'!$B1:$AH665,27,FALSE)-AVERAGE('The List'!AB2:AB665))/STDEV('The List'!AB2:AB665)</f>
        <v>-1.36546565976068</v>
      </c>
      <c r="P41" s="77">
        <f>(VLOOKUP($A41,'The List'!$B1:$AH665,28,FALSE)-AVERAGE('The List'!AC2:AC665))/STDEV('The List'!AC2:AC665)</f>
        <v>-0.792408422836843</v>
      </c>
      <c r="Q41" s="77">
        <f>(VLOOKUP($A41,'The List'!$B1:$AH665,29,FALSE)-AVERAGE('The List'!AD2:AD665))/STDEV('The List'!AD2:AD665)</f>
        <v>-0.464851347427087</v>
      </c>
      <c r="R41" s="77">
        <f>(VLOOKUP($A41,'The List'!$B1:$AH665,30,FALSE)-AVERAGE('The List'!AE2:AE665))/STDEV('The List'!AE2:AE665)</f>
        <v>1.27289605231779</v>
      </c>
      <c r="S41" s="77">
        <f>(VLOOKUP($A41,'The List'!$B1:$AH665,31,FALSE)-AVERAGE('The List'!AF2:AF665))/STDEV('The List'!AF2:AF665)</f>
        <v>-0.554946457647686</v>
      </c>
      <c r="T41" s="77">
        <f>(VLOOKUP($A41,'The List'!$B1:$AH665,32,FALSE)-AVERAGE('The List'!AG2:AG665))/STDEV('The List'!AG2:AG665)</f>
        <v>-0.589266975320957</v>
      </c>
      <c r="U41" s="77">
        <f>(VLOOKUP($A41,'The List'!$B1:$AH665,33,FALSE)-AVERAGE('The List'!AH2:AH665))/STDEV('The List'!AH2:AH665)</f>
        <v>0.381033478098173</v>
      </c>
      <c r="V41" s="77"/>
      <c r="W41" s="79"/>
      <c r="X41" s="77"/>
      <c r="Y41" s="77"/>
      <c r="Z41" s="77"/>
      <c r="AA41" s="77"/>
      <c r="AB41" s="77"/>
      <c r="AC41" s="77"/>
      <c r="AD41" s="77"/>
      <c r="AE41" s="84"/>
    </row>
    <row r="42" ht="21.25" customHeight="1">
      <c r="A42" t="s" s="10">
        <v>289</v>
      </c>
      <c r="B42" t="s" s="86">
        <f>VLOOKUP(A42,'Player Data'!A1:B667,2,FALSE)</f>
        <v>129</v>
      </c>
      <c r="C42" s="74">
        <f>((E42)*'Settings'!$C$12)+(F42*'Settings'!$C$2)+(G42*'Settings'!$C$3)+(H42*'Settings'!$C$4)+(I42*'Settings'!$C$5)+(K42*'Settings'!$C$9)+(N42*'Settings'!$C$6)+(J42*'Settings'!$C$8)+(O42*'Settings'!$C$7)+(P42*'Settings'!$C$14)+(Q42*'Settings'!$C$15)+(R42*'Settings'!$C$16)+(S42*'Settings'!$C$17)+(T42*'Settings'!$C$18)+(U42*'Settings'!$C$19)+(L42*'Settings'!$C$10)+('Settings'!$C$11*M42)</f>
        <v>7.52906892026699</v>
      </c>
      <c r="D42" s="79">
        <f>IF('Settings'!$E$12="YES",VLOOKUP(A42,'Player Data'!A1:E667,5,FALSE),82)</f>
        <v>79.77500000000001</v>
      </c>
      <c r="E42" s="77">
        <f>(VLOOKUP($A42,'The List'!$B1:$AH665,17,FALSE)-AVERAGE('The List'!R2:R665))/STDEV('The List'!R2:R665)</f>
        <v>0.8062475572859</v>
      </c>
      <c r="F42" s="77">
        <f>(VLOOKUP($A42,'The List'!$B1:$AH665,18,FALSE)-AVERAGE('The List'!S2:S665))/STDEV('The List'!S2:S665)</f>
        <v>0.865970645410813</v>
      </c>
      <c r="G42" s="77">
        <f>(VLOOKUP($A42,'The List'!$B1:$AH665,19,FALSE)-AVERAGE('The List'!T2:T665))/STDEV('The List'!T2:T665)</f>
        <v>2.05176996147833</v>
      </c>
      <c r="H42" s="77">
        <f>(VLOOKUP($A42,'The List'!$B1:$AH665,20,FALSE)-AVERAGE('The List'!U2:U665))/STDEV('The List'!U2:U665)</f>
        <v>1.66788933446156</v>
      </c>
      <c r="I42" s="77">
        <f>(VLOOKUP($A42,'The List'!$B1:$AH665,21,FALSE)-AVERAGE('The List'!V2:V665))/STDEV('The List'!V2:V665)</f>
        <v>0.894559609850301</v>
      </c>
      <c r="J42" s="77">
        <f>(VLOOKUP($A42,'The List'!$B1:$AH665,22,FALSE)-AVERAGE('The List'!W2:W665))/STDEV('The List'!W2:W665)</f>
        <v>1.10674859057368</v>
      </c>
      <c r="K42" s="77">
        <f>(VLOOKUP($A42,'The List'!$B1:$AH665,23,FALSE)-AVERAGE('The List'!X2:X665))/STDEV('The List'!X2:X665)</f>
        <v>2.50971832204373</v>
      </c>
      <c r="L42" s="77">
        <f>(VLOOKUP($A42,'The List'!$B1:$AH665,24,FALSE)-AVERAGE('The List'!Y2:Y665))/STDEV('The List'!Y2:Y665)</f>
        <v>0.942719068425946</v>
      </c>
      <c r="M42" s="77">
        <f>(VLOOKUP($A42,'The List'!$B1:$AH665,25,FALSE)-AVERAGE('The List'!Z2:Z665))/STDEV('The List'!Z2:Z665)</f>
        <v>3.04339928268075</v>
      </c>
      <c r="N42" s="77">
        <f>(VLOOKUP($A42,'The List'!$B1:$AH665,26,FALSE)-AVERAGE('The List'!AA2:AA665))/STDEV('The List'!AA2:AA665)</f>
        <v>-0.744309934141515</v>
      </c>
      <c r="O42" s="77">
        <f>(VLOOKUP($A42,'The List'!$B1:$AH665,27,FALSE)-AVERAGE('The List'!AB2:AB665))/STDEV('The List'!AB2:AB665)</f>
        <v>-0.645613415988711</v>
      </c>
      <c r="P42" s="77">
        <f>(VLOOKUP($A42,'The List'!$B1:$AH665,28,FALSE)-AVERAGE('The List'!AC2:AC665))/STDEV('The List'!AC2:AC665)</f>
        <v>1.95136031562533</v>
      </c>
      <c r="Q42" s="77">
        <f>(VLOOKUP($A42,'The List'!$B1:$AH665,29,FALSE)-AVERAGE('The List'!AD2:AD665))/STDEV('The List'!AD2:AD665)</f>
        <v>0.131806907314495</v>
      </c>
      <c r="R42" s="77">
        <f>(VLOOKUP($A42,'The List'!$B1:$AH665,30,FALSE)-AVERAGE('The List'!AE2:AE665))/STDEV('The List'!AE2:AE665)</f>
        <v>1.00461684818547</v>
      </c>
      <c r="S42" s="77">
        <f>(VLOOKUP($A42,'The List'!$B1:$AH665,31,FALSE)-AVERAGE('The List'!AF2:AF665))/STDEV('The List'!AF2:AF665)</f>
        <v>0.589590173852706</v>
      </c>
      <c r="T42" s="77">
        <f>(VLOOKUP($A42,'The List'!$B1:$AH665,32,FALSE)-AVERAGE('The List'!AG2:AG665))/STDEV('The List'!AG2:AG665)</f>
        <v>0.853232911366451</v>
      </c>
      <c r="U42" s="77">
        <f>(VLOOKUP($A42,'The List'!$B1:$AH665,33,FALSE)-AVERAGE('The List'!AH2:AH665))/STDEV('The List'!AH2:AH665)</f>
        <v>0.833625383871343</v>
      </c>
      <c r="V42" s="77"/>
      <c r="W42" s="89"/>
      <c r="X42" s="79"/>
      <c r="Y42" s="79"/>
      <c r="Z42" s="79"/>
      <c r="AA42" s="79"/>
      <c r="AB42" s="79"/>
      <c r="AC42" s="82"/>
      <c r="AD42" s="83"/>
      <c r="AE42" s="84"/>
    </row>
    <row r="43" ht="21.25" customHeight="1">
      <c r="A43" t="s" s="10">
        <v>223</v>
      </c>
      <c r="B43" t="s" s="86">
        <f>VLOOKUP(A43,'Player Data'!A1:B667,2,FALSE)</f>
        <v>878</v>
      </c>
      <c r="C43" s="74">
        <f>((E43)*'Settings'!$C$12)+(F43*'Settings'!$C$2)+(G43*'Settings'!$C$3)+(H43*'Settings'!$C$4)+(I43*'Settings'!$C$5)+(K43*'Settings'!$C$9)+(N43*'Settings'!$C$6)+(J43*'Settings'!$C$8)+(O43*'Settings'!$C$7)+(P43*'Settings'!$C$14)+(Q43*'Settings'!$C$15)+(R43*'Settings'!$C$16)+(S43*'Settings'!$C$17)+(T43*'Settings'!$C$18)+(U43*'Settings'!$C$19)+(L43*'Settings'!$C$10)+('Settings'!$C$11*M43)</f>
        <v>8.43025795708775</v>
      </c>
      <c r="D43" s="79">
        <f>IF('Settings'!$E$12="YES",VLOOKUP(A43,'Player Data'!A1:E667,5,FALSE),82)</f>
        <v>79.855</v>
      </c>
      <c r="E43" s="77">
        <f>(VLOOKUP($A43,'The List'!$B1:$AH665,17,FALSE)-AVERAGE('The List'!R2:R665))/STDEV('The List'!R2:R665)</f>
        <v>1.84618541406608</v>
      </c>
      <c r="F43" s="77">
        <f>(VLOOKUP($A43,'The List'!$B1:$AH665,18,FALSE)-AVERAGE('The List'!S2:S665))/STDEV('The List'!S2:S665)</f>
        <v>0.0276763370234655</v>
      </c>
      <c r="G43" s="77">
        <f>(VLOOKUP($A43,'The List'!$B1:$AH665,19,FALSE)-AVERAGE('The List'!T2:T665))/STDEV('The List'!T2:T665)</f>
        <v>2.64257707502662</v>
      </c>
      <c r="H43" s="77">
        <f>(VLOOKUP($A43,'The List'!$B1:$AH665,20,FALSE)-AVERAGE('The List'!U2:U665))/STDEV('The List'!U2:U665)</f>
        <v>1.65376916145572</v>
      </c>
      <c r="I43" s="77">
        <f>(VLOOKUP($A43,'The List'!$B1:$AH665,21,FALSE)-AVERAGE('The List'!V2:V665))/STDEV('The List'!V2:V665)</f>
        <v>0.323933105861555</v>
      </c>
      <c r="J43" s="77">
        <f>(VLOOKUP($A43,'The List'!$B1:$AH665,22,FALSE)-AVERAGE('The List'!W2:W665))/STDEV('The List'!W2:W665)</f>
        <v>0.188802062079602</v>
      </c>
      <c r="K43" s="77">
        <f>(VLOOKUP($A43,'The List'!$B1:$AH665,23,FALSE)-AVERAGE('The List'!X2:X665))/STDEV('The List'!X2:X665)</f>
        <v>2.53342069564609</v>
      </c>
      <c r="L43" s="77">
        <f>(VLOOKUP($A43,'The List'!$B1:$AH665,24,FALSE)-AVERAGE('The List'!Y2:Y665))/STDEV('The List'!Y2:Y665)</f>
        <v>0.431020649014718</v>
      </c>
      <c r="M43" s="77">
        <f>(VLOOKUP($A43,'The List'!$B1:$AH665,25,FALSE)-AVERAGE('The List'!Z2:Z665))/STDEV('The List'!Z2:Z665)</f>
        <v>0.856971461064307</v>
      </c>
      <c r="N43" s="77">
        <f>(VLOOKUP($A43,'The List'!$B1:$AH665,26,FALSE)-AVERAGE('The List'!AA2:AA665))/STDEV('The List'!AA2:AA665)</f>
        <v>1.55283926973078</v>
      </c>
      <c r="O43" s="77">
        <f>(VLOOKUP($A43,'The List'!$B1:$AH665,27,FALSE)-AVERAGE('The List'!AB2:AB665))/STDEV('The List'!AB2:AB665)</f>
        <v>-0.790295509930416</v>
      </c>
      <c r="P43" s="77">
        <f>(VLOOKUP($A43,'The List'!$B1:$AH665,28,FALSE)-AVERAGE('The List'!AC2:AC665))/STDEV('The List'!AC2:AC665)</f>
        <v>1.34981147379924</v>
      </c>
      <c r="Q43" s="77">
        <f>(VLOOKUP($A43,'The List'!$B1:$AH665,29,FALSE)-AVERAGE('The List'!AD2:AD665))/STDEV('The List'!AD2:AD665)</f>
        <v>0.266885440617332</v>
      </c>
      <c r="R43" s="77">
        <f>(VLOOKUP($A43,'The List'!$B1:$AH665,30,FALSE)-AVERAGE('The List'!AE2:AE665))/STDEV('The List'!AE2:AE665)</f>
        <v>0.153086206394437</v>
      </c>
      <c r="S43" s="77">
        <f>(VLOOKUP($A43,'The List'!$B1:$AH665,31,FALSE)-AVERAGE('The List'!AF2:AF665))/STDEV('The List'!AF2:AF665)</f>
        <v>-0.573894410680004</v>
      </c>
      <c r="T43" s="77">
        <f>(VLOOKUP($A43,'The List'!$B1:$AH665,32,FALSE)-AVERAGE('The List'!AG2:AG665))/STDEV('The List'!AG2:AG665)</f>
        <v>-0.625770787132651</v>
      </c>
      <c r="U43" s="77">
        <f>(VLOOKUP($A43,'The List'!$B1:$AH665,33,FALSE)-AVERAGE('The List'!AH2:AH665))/STDEV('The List'!AH2:AH665)</f>
        <v>-1.23143509451486</v>
      </c>
      <c r="V43" s="77"/>
      <c r="W43" s="89"/>
      <c r="X43" s="79"/>
      <c r="Y43" s="79"/>
      <c r="Z43" s="79"/>
      <c r="AA43" s="79"/>
      <c r="AB43" s="79"/>
      <c r="AC43" s="82"/>
      <c r="AD43" s="83"/>
      <c r="AE43" s="84"/>
    </row>
    <row r="44" ht="21.25" customHeight="1">
      <c r="A44" t="s" s="10">
        <v>219</v>
      </c>
      <c r="B44" t="s" s="86">
        <f>VLOOKUP(A44,'Player Data'!A1:B667,2,FALSE)</f>
        <v>129</v>
      </c>
      <c r="C44" s="74">
        <f>((E44)*'Settings'!$C$12)+(F44*'Settings'!$C$2)+(G44*'Settings'!$C$3)+(H44*'Settings'!$C$4)+(I44*'Settings'!$C$5)+(K44*'Settings'!$C$9)+(N44*'Settings'!$C$6)+(J44*'Settings'!$C$8)+(O44*'Settings'!$C$7)+(P44*'Settings'!$C$14)+(Q44*'Settings'!$C$15)+(R44*'Settings'!$C$16)+(S44*'Settings'!$C$17)+(T44*'Settings'!$C$18)+(U44*'Settings'!$C$19)+(L44*'Settings'!$C$10)+('Settings'!$C$11*M44)</f>
        <v>9.13526212915516</v>
      </c>
      <c r="D44" s="79">
        <f>IF('Settings'!$E$12="YES",VLOOKUP(A44,'Player Data'!A1:E667,5,FALSE),82)</f>
        <v>80.66249999999999</v>
      </c>
      <c r="E44" s="77">
        <f>(VLOOKUP($A44,'The List'!$B1:$AH665,17,FALSE)-AVERAGE('The List'!R2:R665))/STDEV('The List'!R2:R665)</f>
        <v>0.760749176654653</v>
      </c>
      <c r="F44" s="77">
        <f>(VLOOKUP($A44,'The List'!$B1:$AH665,18,FALSE)-AVERAGE('The List'!S2:S665))/STDEV('The List'!S2:S665)</f>
        <v>2.79058747068626</v>
      </c>
      <c r="G44" s="77">
        <f>(VLOOKUP($A44,'The List'!$B1:$AH665,19,FALSE)-AVERAGE('The List'!T2:T665))/STDEV('The List'!T2:T665)</f>
        <v>0.669745076275081</v>
      </c>
      <c r="H44" s="77">
        <f>(VLOOKUP($A44,'The List'!$B1:$AH665,20,FALSE)-AVERAGE('The List'!U2:U665))/STDEV('The List'!U2:U665)</f>
        <v>1.68440400356635</v>
      </c>
      <c r="I44" s="77">
        <f>(VLOOKUP($A44,'The List'!$B1:$AH665,21,FALSE)-AVERAGE('The List'!V2:V665))/STDEV('The List'!V2:V665)</f>
        <v>2.39351202658125</v>
      </c>
      <c r="J44" s="77">
        <f>(VLOOKUP($A44,'The List'!$B1:$AH665,22,FALSE)-AVERAGE('The List'!W2:W665))/STDEV('The List'!W2:W665)</f>
        <v>2.84679655275851</v>
      </c>
      <c r="K44" s="77">
        <f>(VLOOKUP($A44,'The List'!$B1:$AH665,23,FALSE)-AVERAGE('The List'!X2:X665))/STDEV('The List'!X2:X665)</f>
        <v>1.33398627910343</v>
      </c>
      <c r="L44" s="77">
        <f>(VLOOKUP($A44,'The List'!$B1:$AH665,24,FALSE)-AVERAGE('The List'!Y2:Y665))/STDEV('The List'!Y2:Y665)</f>
        <v>-0.545589103388017</v>
      </c>
      <c r="M44" s="77">
        <f>(VLOOKUP($A44,'The List'!$B1:$AH665,25,FALSE)-AVERAGE('The List'!Z2:Z665))/STDEV('The List'!Z2:Z665)</f>
        <v>-0.689747096243552</v>
      </c>
      <c r="N44" s="77">
        <f>(VLOOKUP($A44,'The List'!$B1:$AH665,26,FALSE)-AVERAGE('The List'!AA2:AA665))/STDEV('The List'!AA2:AA665)</f>
        <v>-0.78820444850994</v>
      </c>
      <c r="O44" s="77">
        <f>(VLOOKUP($A44,'The List'!$B1:$AH665,27,FALSE)-AVERAGE('The List'!AB2:AB665))/STDEV('The List'!AB2:AB665)</f>
        <v>-0.173883452773957</v>
      </c>
      <c r="P44" s="77">
        <f>(VLOOKUP($A44,'The List'!$B1:$AH665,28,FALSE)-AVERAGE('The List'!AC2:AC665))/STDEV('The List'!AC2:AC665)</f>
        <v>2.73563572501908</v>
      </c>
      <c r="Q44" s="77">
        <f>(VLOOKUP($A44,'The List'!$B1:$AH665,29,FALSE)-AVERAGE('The List'!AD2:AD665))/STDEV('The List'!AD2:AD665)</f>
        <v>0.739701046951712</v>
      </c>
      <c r="R44" s="77">
        <f>(VLOOKUP($A44,'The List'!$B1:$AH665,30,FALSE)-AVERAGE('The List'!AE2:AE665))/STDEV('The List'!AE2:AE665)</f>
        <v>2.99940056679186</v>
      </c>
      <c r="S44" s="77">
        <f>(VLOOKUP($A44,'The List'!$B1:$AH665,31,FALSE)-AVERAGE('The List'!AF2:AF665))/STDEV('The List'!AF2:AF665)</f>
        <v>-0.514999236410676</v>
      </c>
      <c r="T44" s="77">
        <f>(VLOOKUP($A44,'The List'!$B1:$AH665,32,FALSE)-AVERAGE('The List'!AG2:AG665))/STDEV('The List'!AG2:AG665)</f>
        <v>-0.555104330612721</v>
      </c>
      <c r="U44" s="77">
        <f>(VLOOKUP($A44,'The List'!$B1:$AH665,33,FALSE)-AVERAGE('The List'!AH2:AH665))/STDEV('The List'!AH2:AH665)</f>
        <v>0.898689005237851</v>
      </c>
      <c r="V44" s="77"/>
      <c r="W44" s="79"/>
      <c r="X44" s="77"/>
      <c r="Y44" s="77"/>
      <c r="Z44" s="77"/>
      <c r="AA44" s="77"/>
      <c r="AB44" s="77"/>
      <c r="AC44" s="77"/>
      <c r="AD44" s="77"/>
      <c r="AE44" s="84"/>
    </row>
    <row r="45" ht="21.25" customHeight="1">
      <c r="A45" t="s" s="10">
        <v>195</v>
      </c>
      <c r="B45" t="s" s="86">
        <f>VLOOKUP(A45,'Player Data'!A1:B667,2,FALSE)</f>
        <v>900</v>
      </c>
      <c r="C45" s="74">
        <f>((E45)*'Settings'!$C$12)+(F45*'Settings'!$C$2)+(G45*'Settings'!$C$3)+(H45*'Settings'!$C$4)+(I45*'Settings'!$C$5)+(K45*'Settings'!$C$9)+(N45*'Settings'!$C$6)+(J45*'Settings'!$C$8)+(O45*'Settings'!$C$7)+(P45*'Settings'!$C$14)+(Q45*'Settings'!$C$15)+(R45*'Settings'!$C$16)+(S45*'Settings'!$C$17)+(T45*'Settings'!$C$18)+(U45*'Settings'!$C$19)+(L45*'Settings'!$C$10)+('Settings'!$C$11*M45)</f>
        <v>7.79040001645913</v>
      </c>
      <c r="D45" s="79">
        <f>IF('Settings'!$E$12="YES",VLOOKUP(A45,'Player Data'!A1:E667,5,FALSE),82)</f>
        <v>78.6725</v>
      </c>
      <c r="E45" s="77">
        <f>(VLOOKUP($A45,'The List'!$B1:$AH665,17,FALSE)-AVERAGE('The List'!R2:R665))/STDEV('The List'!R2:R665)</f>
        <v>0.524956624908426</v>
      </c>
      <c r="F45" s="77">
        <f>(VLOOKUP($A45,'The List'!$B1:$AH665,18,FALSE)-AVERAGE('The List'!S2:S665))/STDEV('The List'!S2:S665)</f>
        <v>2.46224473795561</v>
      </c>
      <c r="G45" s="77">
        <f>(VLOOKUP($A45,'The List'!$B1:$AH665,19,FALSE)-AVERAGE('The List'!T2:T665))/STDEV('The List'!T2:T665)</f>
        <v>0.774758877269127</v>
      </c>
      <c r="H45" s="77">
        <f>(VLOOKUP($A45,'The List'!$B1:$AH665,20,FALSE)-AVERAGE('The List'!U2:U665))/STDEV('The List'!U2:U665)</f>
        <v>1.60037609930266</v>
      </c>
      <c r="I45" s="77">
        <f>(VLOOKUP($A45,'The List'!$B1:$AH665,21,FALSE)-AVERAGE('The List'!V2:V665))/STDEV('The List'!V2:V665)</f>
        <v>2.37709912922182</v>
      </c>
      <c r="J45" s="77">
        <f>(VLOOKUP($A45,'The List'!$B1:$AH665,22,FALSE)-AVERAGE('The List'!W2:W665))/STDEV('The List'!W2:W665)</f>
        <v>3.91996210975958</v>
      </c>
      <c r="K45" s="77">
        <f>(VLOOKUP($A45,'The List'!$B1:$AH665,23,FALSE)-AVERAGE('The List'!X2:X665))/STDEV('The List'!X2:X665)</f>
        <v>2.04219645509108</v>
      </c>
      <c r="L45" s="77">
        <f>(VLOOKUP($A45,'The List'!$B1:$AH665,24,FALSE)-AVERAGE('The List'!Y2:Y665))/STDEV('The List'!Y2:Y665)</f>
        <v>-0.570825449622716</v>
      </c>
      <c r="M45" s="77">
        <f>(VLOOKUP($A45,'The List'!$B1:$AH665,25,FALSE)-AVERAGE('The List'!Z2:Z665))/STDEV('The List'!Z2:Z665)</f>
        <v>-0.744496572894397</v>
      </c>
      <c r="N45" s="77">
        <f>(VLOOKUP($A45,'The List'!$B1:$AH665,26,FALSE)-AVERAGE('The List'!AA2:AA665))/STDEV('The List'!AA2:AA665)</f>
        <v>-0.513088330272005</v>
      </c>
      <c r="O45" s="77">
        <f>(VLOOKUP($A45,'The List'!$B1:$AH665,27,FALSE)-AVERAGE('The List'!AB2:AB665))/STDEV('The List'!AB2:AB665)</f>
        <v>0.697087403571661</v>
      </c>
      <c r="P45" s="77">
        <f>(VLOOKUP($A45,'The List'!$B1:$AH665,28,FALSE)-AVERAGE('The List'!AC2:AC665))/STDEV('The List'!AC2:AC665)</f>
        <v>0.647189147193498</v>
      </c>
      <c r="Q45" s="77">
        <f>(VLOOKUP($A45,'The List'!$B1:$AH665,29,FALSE)-AVERAGE('The List'!AD2:AD665))/STDEV('The List'!AD2:AD665)</f>
        <v>0.877034079698276</v>
      </c>
      <c r="R45" s="77">
        <f>(VLOOKUP($A45,'The List'!$B1:$AH665,30,FALSE)-AVERAGE('The List'!AE2:AE665))/STDEV('The List'!AE2:AE665)</f>
        <v>2.40086494309738</v>
      </c>
      <c r="S45" s="77">
        <f>(VLOOKUP($A45,'The List'!$B1:$AH665,31,FALSE)-AVERAGE('The List'!AF2:AF665))/STDEV('The List'!AF2:AF665)</f>
        <v>-0.388697927022661</v>
      </c>
      <c r="T45" s="77">
        <f>(VLOOKUP($A45,'The List'!$B1:$AH665,32,FALSE)-AVERAGE('The List'!AG2:AG665))/STDEV('The List'!AG2:AG665)</f>
        <v>-0.368985907134685</v>
      </c>
      <c r="U45" s="77">
        <f>(VLOOKUP($A45,'The List'!$B1:$AH665,33,FALSE)-AVERAGE('The List'!AH2:AH665))/STDEV('The List'!AH2:AH665)</f>
        <v>0.736390704555849</v>
      </c>
      <c r="V45" s="77"/>
      <c r="W45" s="79"/>
      <c r="X45" s="77"/>
      <c r="Y45" s="77"/>
      <c r="Z45" s="77"/>
      <c r="AA45" s="77"/>
      <c r="AB45" s="77"/>
      <c r="AC45" s="77"/>
      <c r="AD45" s="77"/>
      <c r="AE45" s="84"/>
    </row>
    <row r="46" ht="21.25" customHeight="1">
      <c r="A46" t="s" s="10">
        <v>292</v>
      </c>
      <c r="B46" t="s" s="86">
        <f>VLOOKUP(A46,'Player Data'!A1:B667,2,FALSE)</f>
        <v>149</v>
      </c>
      <c r="C46" s="74">
        <f>((E46)*'Settings'!$C$12)+(F46*'Settings'!$C$2)+(G46*'Settings'!$C$3)+(H46*'Settings'!$C$4)+(I46*'Settings'!$C$5)+(K46*'Settings'!$C$9)+(N46*'Settings'!$C$6)+(J46*'Settings'!$C$8)+(O46*'Settings'!$C$7)+(P46*'Settings'!$C$14)+(Q46*'Settings'!$C$15)+(R46*'Settings'!$C$16)+(S46*'Settings'!$C$17)+(T46*'Settings'!$C$18)+(U46*'Settings'!$C$19)+(L46*'Settings'!$C$10)+('Settings'!$C$11*M46)</f>
        <v>6.67771973517782</v>
      </c>
      <c r="D46" s="79">
        <f>IF('Settings'!$E$12="YES",VLOOKUP(A46,'Player Data'!A1:E667,5,FALSE),82)</f>
        <v>80.42749999999999</v>
      </c>
      <c r="E46" s="77">
        <f>(VLOOKUP($A46,'The List'!$B1:$AH665,17,FALSE)-AVERAGE('The List'!R2:R665))/STDEV('The List'!R2:R665)</f>
        <v>0.424806581902433</v>
      </c>
      <c r="F46" s="77">
        <f>(VLOOKUP($A46,'The List'!$B1:$AH665,18,FALSE)-AVERAGE('The List'!S2:S665))/STDEV('The List'!S2:S665)</f>
        <v>2.05286943258012</v>
      </c>
      <c r="G46" s="77">
        <f>(VLOOKUP($A46,'The List'!$B1:$AH665,19,FALSE)-AVERAGE('The List'!T2:T665))/STDEV('The List'!T2:T665)</f>
        <v>0.900324259104712</v>
      </c>
      <c r="H46" s="77">
        <f>(VLOOKUP($A46,'The List'!$B1:$AH665,20,FALSE)-AVERAGE('The List'!U2:U665))/STDEV('The List'!U2:U665)</f>
        <v>1.49227872626375</v>
      </c>
      <c r="I46" s="77">
        <f>(VLOOKUP($A46,'The List'!$B1:$AH665,21,FALSE)-AVERAGE('The List'!V2:V665))/STDEV('The List'!V2:V665)</f>
        <v>1.95361924004062</v>
      </c>
      <c r="J46" s="77">
        <f>(VLOOKUP($A46,'The List'!$B1:$AH665,22,FALSE)-AVERAGE('The List'!W2:W665))/STDEV('The List'!W2:W665)</f>
        <v>1.43580661760028</v>
      </c>
      <c r="K46" s="77">
        <f>(VLOOKUP($A46,'The List'!$B1:$AH665,23,FALSE)-AVERAGE('The List'!X2:X665))/STDEV('The List'!X2:X665)</f>
        <v>1.04962608789203</v>
      </c>
      <c r="L46" s="77">
        <f>(VLOOKUP($A46,'The List'!$B1:$AH665,24,FALSE)-AVERAGE('The List'!Y2:Y665))/STDEV('The List'!Y2:Y665)</f>
        <v>-0.570365031936258</v>
      </c>
      <c r="M46" s="77">
        <f>(VLOOKUP($A46,'The List'!$B1:$AH665,25,FALSE)-AVERAGE('The List'!Z2:Z665))/STDEV('The List'!Z2:Z665)</f>
        <v>-0.744016005034715</v>
      </c>
      <c r="N46" s="77">
        <f>(VLOOKUP($A46,'The List'!$B1:$AH665,26,FALSE)-AVERAGE('The List'!AA2:AA665))/STDEV('The List'!AA2:AA665)</f>
        <v>-0.931360022592102</v>
      </c>
      <c r="O46" s="77">
        <f>(VLOOKUP($A46,'The List'!$B1:$AH665,27,FALSE)-AVERAGE('The List'!AB2:AB665))/STDEV('The List'!AB2:AB665)</f>
        <v>-0.761698359071033</v>
      </c>
      <c r="P46" s="77">
        <f>(VLOOKUP($A46,'The List'!$B1:$AH665,28,FALSE)-AVERAGE('The List'!AC2:AC665))/STDEV('The List'!AC2:AC665)</f>
        <v>1.65264073815244</v>
      </c>
      <c r="Q46" s="77">
        <f>(VLOOKUP($A46,'The List'!$B1:$AH665,29,FALSE)-AVERAGE('The List'!AD2:AD665))/STDEV('The List'!AD2:AD665)</f>
        <v>0.879552198135223</v>
      </c>
      <c r="R46" s="77">
        <f>(VLOOKUP($A46,'The List'!$B1:$AH665,30,FALSE)-AVERAGE('The List'!AE2:AE665))/STDEV('The List'!AE2:AE665)</f>
        <v>2.4279422770594</v>
      </c>
      <c r="S46" s="77">
        <f>(VLOOKUP($A46,'The List'!$B1:$AH665,31,FALSE)-AVERAGE('The List'!AF2:AF665))/STDEV('The List'!AF2:AF665)</f>
        <v>-0.388271927460096</v>
      </c>
      <c r="T46" s="77">
        <f>(VLOOKUP($A46,'The List'!$B1:$AH665,32,FALSE)-AVERAGE('The List'!AG2:AG665))/STDEV('The List'!AG2:AG665)</f>
        <v>-0.432788959766426</v>
      </c>
      <c r="U46" s="77">
        <f>(VLOOKUP($A46,'The List'!$B1:$AH665,33,FALSE)-AVERAGE('The List'!AH2:AH665))/STDEV('The List'!AH2:AH665)</f>
        <v>1.06095454686514</v>
      </c>
      <c r="V46" s="77"/>
      <c r="W46" s="89"/>
      <c r="X46" s="79"/>
      <c r="Y46" s="79"/>
      <c r="Z46" s="79"/>
      <c r="AA46" s="79"/>
      <c r="AB46" s="79"/>
      <c r="AC46" s="82"/>
      <c r="AD46" s="83"/>
      <c r="AE46" s="84"/>
    </row>
    <row r="47" ht="21.25" customHeight="1">
      <c r="A47" t="s" s="10">
        <v>315</v>
      </c>
      <c r="B47" t="s" s="86">
        <f>VLOOKUP(A47,'Player Data'!A1:B667,2,FALSE)</f>
        <v>907</v>
      </c>
      <c r="C47" s="74">
        <f>((E47)*'Settings'!$C$12)+(F47*'Settings'!$C$2)+(G47*'Settings'!$C$3)+(H47*'Settings'!$C$4)+(I47*'Settings'!$C$5)+(K47*'Settings'!$C$9)+(N47*'Settings'!$C$6)+(J47*'Settings'!$C$8)+(O47*'Settings'!$C$7)+(P47*'Settings'!$C$14)+(Q47*'Settings'!$C$15)+(R47*'Settings'!$C$16)+(S47*'Settings'!$C$17)+(T47*'Settings'!$C$18)+(U47*'Settings'!$C$19)+(L47*'Settings'!$C$10)+('Settings'!$C$11*M47)</f>
        <v>4.38687363798802</v>
      </c>
      <c r="D47" s="79">
        <f>IF('Settings'!$E$12="YES",VLOOKUP(A47,'Player Data'!A1:E667,5,FALSE),82)</f>
        <v>78.16249999999999</v>
      </c>
      <c r="E47" s="77">
        <f>(VLOOKUP($A47,'The List'!$B1:$AH665,17,FALSE)-AVERAGE('The List'!R2:R665))/STDEV('The List'!R2:R665)</f>
        <v>0.818395780992338</v>
      </c>
      <c r="F47" s="77">
        <f>(VLOOKUP($A47,'The List'!$B1:$AH665,18,FALSE)-AVERAGE('The List'!S2:S665))/STDEV('The List'!S2:S665)</f>
        <v>1.52858773733939</v>
      </c>
      <c r="G47" s="77">
        <f>(VLOOKUP($A47,'The List'!$B1:$AH665,19,FALSE)-AVERAGE('The List'!T2:T665))/STDEV('The List'!T2:T665)</f>
        <v>1.38887457238425</v>
      </c>
      <c r="H47" s="77">
        <f>(VLOOKUP($A47,'The List'!$B1:$AH665,20,FALSE)-AVERAGE('The List'!U2:U665))/STDEV('The List'!U2:U665)</f>
        <v>1.55738498947677</v>
      </c>
      <c r="I47" s="77">
        <f>(VLOOKUP($A47,'The List'!$B1:$AH665,21,FALSE)-AVERAGE('The List'!V2:V665))/STDEV('The List'!V2:V665)</f>
        <v>1.13001859828991</v>
      </c>
      <c r="J47" s="77">
        <f>(VLOOKUP($A47,'The List'!$B1:$AH665,22,FALSE)-AVERAGE('The List'!W2:W665))/STDEV('The List'!W2:W665)</f>
        <v>1.81610148368097</v>
      </c>
      <c r="K47" s="77">
        <f>(VLOOKUP($A47,'The List'!$B1:$AH665,23,FALSE)-AVERAGE('The List'!X2:X665))/STDEV('The List'!X2:X665)</f>
        <v>1.46753400515344</v>
      </c>
      <c r="L47" s="77">
        <f>(VLOOKUP($A47,'The List'!$B1:$AH665,24,FALSE)-AVERAGE('The List'!Y2:Y665))/STDEV('The List'!Y2:Y665)</f>
        <v>1.43146097252976</v>
      </c>
      <c r="M47" s="77">
        <f>(VLOOKUP($A47,'The List'!$B1:$AH665,25,FALSE)-AVERAGE('The List'!Z2:Z665))/STDEV('The List'!Z2:Z665)</f>
        <v>1.91861182836348</v>
      </c>
      <c r="N47" s="77">
        <f>(VLOOKUP($A47,'The List'!$B1:$AH665,26,FALSE)-AVERAGE('The List'!AA2:AA665))/STDEV('The List'!AA2:AA665)</f>
        <v>-0.8767196358808</v>
      </c>
      <c r="O47" s="77">
        <f>(VLOOKUP($A47,'The List'!$B1:$AH665,27,FALSE)-AVERAGE('The List'!AB2:AB665))/STDEV('The List'!AB2:AB665)</f>
        <v>-0.884852403360129</v>
      </c>
      <c r="P47" s="77">
        <f>(VLOOKUP($A47,'The List'!$B1:$AH665,28,FALSE)-AVERAGE('The List'!AC2:AC665))/STDEV('The List'!AC2:AC665)</f>
        <v>-0.251421639298174</v>
      </c>
      <c r="Q47" s="77">
        <f>(VLOOKUP($A47,'The List'!$B1:$AH665,29,FALSE)-AVERAGE('The List'!AD2:AD665))/STDEV('The List'!AD2:AD665)</f>
        <v>0.13799219554747</v>
      </c>
      <c r="R47" s="77">
        <f>(VLOOKUP($A47,'The List'!$B1:$AH665,30,FALSE)-AVERAGE('The List'!AE2:AE665))/STDEV('The List'!AE2:AE665)</f>
        <v>0.936714861098459</v>
      </c>
      <c r="S47" s="77">
        <f>(VLOOKUP($A47,'The List'!$B1:$AH665,31,FALSE)-AVERAGE('The List'!AF2:AF665))/STDEV('The List'!AF2:AF665)</f>
        <v>-0.26145244149526</v>
      </c>
      <c r="T47" s="77">
        <f>(VLOOKUP($A47,'The List'!$B1:$AH665,32,FALSE)-AVERAGE('The List'!AG2:AG665))/STDEV('The List'!AG2:AG665)</f>
        <v>0.0136551586790077</v>
      </c>
      <c r="U47" s="77">
        <f>(VLOOKUP($A47,'The List'!$B1:$AH665,33,FALSE)-AVERAGE('The List'!AH2:AH665))/STDEV('The List'!AH2:AH665)</f>
        <v>0.318813347615812</v>
      </c>
      <c r="V47" s="77"/>
      <c r="W47" s="79"/>
      <c r="X47" s="77"/>
      <c r="Y47" s="77"/>
      <c r="Z47" s="77"/>
      <c r="AA47" s="77"/>
      <c r="AB47" s="77"/>
      <c r="AC47" s="77"/>
      <c r="AD47" s="77"/>
      <c r="AE47" s="84"/>
    </row>
    <row r="48" ht="21.25" customHeight="1">
      <c r="A48" t="s" s="10">
        <v>229</v>
      </c>
      <c r="B48" t="s" s="86">
        <f>VLOOKUP(A48,'Player Data'!A1:B667,2,FALSE)</f>
        <v>878</v>
      </c>
      <c r="C48" s="74">
        <f>((E48)*'Settings'!$C$12)+(F48*'Settings'!$C$2)+(G48*'Settings'!$C$3)+(H48*'Settings'!$C$4)+(I48*'Settings'!$C$5)+(K48*'Settings'!$C$9)+(N48*'Settings'!$C$6)+(J48*'Settings'!$C$8)+(O48*'Settings'!$C$7)+(P48*'Settings'!$C$14)+(Q48*'Settings'!$C$15)+(R48*'Settings'!$C$16)+(S48*'Settings'!$C$17)+(T48*'Settings'!$C$18)+(U48*'Settings'!$C$19)+(L48*'Settings'!$C$10)+('Settings'!$C$11*M48)</f>
        <v>7.48638233957139</v>
      </c>
      <c r="D48" s="79">
        <f>IF('Settings'!$E$12="YES",VLOOKUP(A48,'Player Data'!A1:E667,5,FALSE),82)</f>
        <v>81.7525</v>
      </c>
      <c r="E48" s="77">
        <f>(VLOOKUP($A48,'The List'!$B1:$AH665,17,FALSE)-AVERAGE('The List'!R2:R665))/STDEV('The List'!R2:R665)</f>
        <v>0.787383361168589</v>
      </c>
      <c r="F48" s="77">
        <f>(VLOOKUP($A48,'The List'!$B1:$AH665,18,FALSE)-AVERAGE('The List'!S2:S665))/STDEV('The List'!S2:S665)</f>
        <v>1.4622512194588</v>
      </c>
      <c r="G48" s="77">
        <f>(VLOOKUP($A48,'The List'!$B1:$AH665,19,FALSE)-AVERAGE('The List'!T2:T665))/STDEV('The List'!T2:T665)</f>
        <v>1.6731908101191</v>
      </c>
      <c r="H48" s="77">
        <f>(VLOOKUP($A48,'The List'!$B1:$AH665,20,FALSE)-AVERAGE('The List'!U2:U665))/STDEV('The List'!U2:U665)</f>
        <v>1.70380825907141</v>
      </c>
      <c r="I48" s="77">
        <f>(VLOOKUP($A48,'The List'!$B1:$AH665,21,FALSE)-AVERAGE('The List'!V2:V665))/STDEV('The List'!V2:V665)</f>
        <v>1.49197618449209</v>
      </c>
      <c r="J48" s="77">
        <f>(VLOOKUP($A48,'The List'!$B1:$AH665,22,FALSE)-AVERAGE('The List'!W2:W665))/STDEV('The List'!W2:W665)</f>
        <v>2.66302724722991</v>
      </c>
      <c r="K48" s="77">
        <f>(VLOOKUP($A48,'The List'!$B1:$AH665,23,FALSE)-AVERAGE('The List'!X2:X665))/STDEV('The List'!X2:X665)</f>
        <v>2.21681231170824</v>
      </c>
      <c r="L48" s="77">
        <f>(VLOOKUP($A48,'The List'!$B1:$AH665,24,FALSE)-AVERAGE('The List'!Y2:Y665))/STDEV('The List'!Y2:Y665)</f>
        <v>1.20339694235149</v>
      </c>
      <c r="M48" s="77">
        <f>(VLOOKUP($A48,'The List'!$B1:$AH665,25,FALSE)-AVERAGE('The List'!Z2:Z665))/STDEV('The List'!Z2:Z665)</f>
        <v>3.44778126368016</v>
      </c>
      <c r="N48" s="77">
        <f>(VLOOKUP($A48,'The List'!$B1:$AH665,26,FALSE)-AVERAGE('The List'!AA2:AA665))/STDEV('The List'!AA2:AA665)</f>
        <v>-0.310290767739383</v>
      </c>
      <c r="O48" s="77">
        <f>(VLOOKUP($A48,'The List'!$B1:$AH665,27,FALSE)-AVERAGE('The List'!AB2:AB665))/STDEV('The List'!AB2:AB665)</f>
        <v>-0.685805619281983</v>
      </c>
      <c r="P48" s="77">
        <f>(VLOOKUP($A48,'The List'!$B1:$AH665,28,FALSE)-AVERAGE('The List'!AC2:AC665))/STDEV('The List'!AC2:AC665)</f>
        <v>0.952442581532546</v>
      </c>
      <c r="Q48" s="77">
        <f>(VLOOKUP($A48,'The List'!$B1:$AH665,29,FALSE)-AVERAGE('The List'!AD2:AD665))/STDEV('The List'!AD2:AD665)</f>
        <v>-0.792569041826612</v>
      </c>
      <c r="R48" s="77">
        <f>(VLOOKUP($A48,'The List'!$B1:$AH665,30,FALSE)-AVERAGE('The List'!AE2:AE665))/STDEV('The List'!AE2:AE665)</f>
        <v>1.65822320174066</v>
      </c>
      <c r="S48" s="77">
        <f>(VLOOKUP($A48,'The List'!$B1:$AH665,31,FALSE)-AVERAGE('The List'!AF2:AF665))/STDEV('The List'!AF2:AF665)</f>
        <v>2.30990595914173</v>
      </c>
      <c r="T48" s="77">
        <f>(VLOOKUP($A48,'The List'!$B1:$AH665,32,FALSE)-AVERAGE('The List'!AG2:AG665))/STDEV('The List'!AG2:AG665)</f>
        <v>2.43094747409521</v>
      </c>
      <c r="U48" s="77">
        <f>(VLOOKUP($A48,'The List'!$B1:$AH665,33,FALSE)-AVERAGE('The List'!AH2:AH665))/STDEV('The List'!AH2:AH665)</f>
        <v>1.03902494893457</v>
      </c>
      <c r="V48" s="77"/>
      <c r="W48" s="89"/>
      <c r="X48" s="79"/>
      <c r="Y48" s="79"/>
      <c r="Z48" s="79"/>
      <c r="AA48" s="79"/>
      <c r="AB48" s="79"/>
      <c r="AC48" s="82"/>
      <c r="AD48" s="83"/>
      <c r="AE48" s="84"/>
    </row>
    <row r="49" ht="21.25" customHeight="1">
      <c r="A49" t="s" s="10">
        <v>228</v>
      </c>
      <c r="B49" t="s" s="86">
        <f>VLOOKUP(A49,'Player Data'!A1:B667,2,FALSE)</f>
        <v>342</v>
      </c>
      <c r="C49" s="74">
        <f>((E49)*'Settings'!$C$12)+(F49*'Settings'!$C$2)+(G49*'Settings'!$C$3)+(H49*'Settings'!$C$4)+(I49*'Settings'!$C$5)+(K49*'Settings'!$C$9)+(N49*'Settings'!$C$6)+(J49*'Settings'!$C$8)+(O49*'Settings'!$C$7)+(P49*'Settings'!$C$14)+(Q49*'Settings'!$C$15)+(R49*'Settings'!$C$16)+(S49*'Settings'!$C$17)+(T49*'Settings'!$C$18)+(U49*'Settings'!$C$19)+(L49*'Settings'!$C$10)+('Settings'!$C$11*M49)</f>
        <v>5.8995100982243</v>
      </c>
      <c r="D49" s="79">
        <f>IF('Settings'!$E$12="YES",VLOOKUP(A49,'Player Data'!A1:E667,5,FALSE),82)</f>
        <v>75.07250000000001</v>
      </c>
      <c r="E49" s="77">
        <f>(VLOOKUP($A49,'The List'!$B1:$AH665,17,FALSE)-AVERAGE('The List'!R2:R665))/STDEV('The List'!R2:R665)</f>
        <v>0.296136576417554</v>
      </c>
      <c r="F49" s="77">
        <f>(VLOOKUP($A49,'The List'!$B1:$AH665,18,FALSE)-AVERAGE('The List'!S2:S665))/STDEV('The List'!S2:S665)</f>
        <v>1.34841279689639</v>
      </c>
      <c r="G49" s="77">
        <f>(VLOOKUP($A49,'The List'!$B1:$AH665,19,FALSE)-AVERAGE('The List'!T2:T665))/STDEV('The List'!T2:T665)</f>
        <v>1.31084583202036</v>
      </c>
      <c r="H49" s="77">
        <f>(VLOOKUP($A49,'The List'!$B1:$AH665,20,FALSE)-AVERAGE('The List'!U2:U665))/STDEV('The List'!U2:U665)</f>
        <v>1.42702667946815</v>
      </c>
      <c r="I49" s="77">
        <f>(VLOOKUP($A49,'The List'!$B1:$AH665,21,FALSE)-AVERAGE('The List'!V2:V665))/STDEV('The List'!V2:V665)</f>
        <v>1.32075387434518</v>
      </c>
      <c r="J49" s="77">
        <f>(VLOOKUP($A49,'The List'!$B1:$AH665,22,FALSE)-AVERAGE('The List'!W2:W665))/STDEV('The List'!W2:W665)</f>
        <v>1.03862140862368</v>
      </c>
      <c r="K49" s="77">
        <f>(VLOOKUP($A49,'The List'!$B1:$AH665,23,FALSE)-AVERAGE('The List'!X2:X665))/STDEV('The List'!X2:X665)</f>
        <v>1.38306902347324</v>
      </c>
      <c r="L49" s="77">
        <f>(VLOOKUP($A49,'The List'!$B1:$AH665,24,FALSE)-AVERAGE('The List'!Y2:Y665))/STDEV('The List'!Y2:Y665)</f>
        <v>-0.560967793102195</v>
      </c>
      <c r="M49" s="77">
        <f>(VLOOKUP($A49,'The List'!$B1:$AH665,25,FALSE)-AVERAGE('The List'!Z2:Z665))/STDEV('The List'!Z2:Z665)</f>
        <v>-0.734500464063979</v>
      </c>
      <c r="N49" s="77">
        <f>(VLOOKUP($A49,'The List'!$B1:$AH665,26,FALSE)-AVERAGE('The List'!AA2:AA665))/STDEV('The List'!AA2:AA665)</f>
        <v>-0.9147814525293489</v>
      </c>
      <c r="O49" s="77">
        <f>(VLOOKUP($A49,'The List'!$B1:$AH665,27,FALSE)-AVERAGE('The List'!AB2:AB665))/STDEV('The List'!AB2:AB665)</f>
        <v>1.49365640223761</v>
      </c>
      <c r="P49" s="77">
        <f>(VLOOKUP($A49,'The List'!$B1:$AH665,28,FALSE)-AVERAGE('The List'!AC2:AC665))/STDEV('The List'!AC2:AC665)</f>
        <v>1.45121002401848</v>
      </c>
      <c r="Q49" s="77">
        <f>(VLOOKUP($A49,'The List'!$B1:$AH665,29,FALSE)-AVERAGE('The List'!AD2:AD665))/STDEV('The List'!AD2:AD665)</f>
        <v>2.4054947048842</v>
      </c>
      <c r="R49" s="77">
        <f>(VLOOKUP($A49,'The List'!$B1:$AH665,30,FALSE)-AVERAGE('The List'!AE2:AE665))/STDEV('The List'!AE2:AE665)</f>
        <v>1.7079516517132</v>
      </c>
      <c r="S49" s="77">
        <f>(VLOOKUP($A49,'The List'!$B1:$AH665,31,FALSE)-AVERAGE('The List'!AF2:AF665))/STDEV('The List'!AF2:AF665)</f>
        <v>-0.557894634640184</v>
      </c>
      <c r="T49" s="77">
        <f>(VLOOKUP($A49,'The List'!$B1:$AH665,32,FALSE)-AVERAGE('The List'!AG2:AG665))/STDEV('The List'!AG2:AG665)</f>
        <v>-0.592249781252747</v>
      </c>
      <c r="U49" s="77">
        <f>(VLOOKUP($A49,'The List'!$B1:$AH665,33,FALSE)-AVERAGE('The List'!AH2:AH665))/STDEV('The List'!AH2:AH665)</f>
        <v>0.294986352728116</v>
      </c>
      <c r="V49" s="77"/>
      <c r="W49" s="89"/>
      <c r="X49" s="79"/>
      <c r="Y49" s="79"/>
      <c r="Z49" s="79"/>
      <c r="AA49" s="79"/>
      <c r="AB49" s="79"/>
      <c r="AC49" s="82"/>
      <c r="AD49" s="83"/>
      <c r="AE49" s="84"/>
    </row>
    <row r="50" ht="21.25" customHeight="1">
      <c r="A50" t="s" s="10">
        <v>252</v>
      </c>
      <c r="B50" t="s" s="86">
        <f>VLOOKUP(A50,'Player Data'!A1:B667,2,FALSE)</f>
        <v>154</v>
      </c>
      <c r="C50" s="74">
        <f>((E50)*'Settings'!$C$12)+(F50*'Settings'!$C$2)+(G50*'Settings'!$C$3)+(H50*'Settings'!$C$4)+(I50*'Settings'!$C$5)+(K50*'Settings'!$C$9)+(N50*'Settings'!$C$6)+(J50*'Settings'!$C$8)+(O50*'Settings'!$C$7)+(P50*'Settings'!$C$14)+(Q50*'Settings'!$C$15)+(R50*'Settings'!$C$16)+(S50*'Settings'!$C$17)+(T50*'Settings'!$C$18)+(U50*'Settings'!$C$19)+(L50*'Settings'!$C$10)+('Settings'!$C$11*M50)</f>
        <v>5.11741566362531</v>
      </c>
      <c r="D50" s="79">
        <f>IF('Settings'!$E$12="YES",VLOOKUP(A50,'Player Data'!A1:E667,5,FALSE),82)</f>
        <v>76.4875</v>
      </c>
      <c r="E50" s="77">
        <f>(VLOOKUP($A50,'The List'!$B1:$AH665,17,FALSE)-AVERAGE('The List'!R2:R665))/STDEV('The List'!R2:R665)</f>
        <v>0.822498055953313</v>
      </c>
      <c r="F50" s="77">
        <f>(VLOOKUP($A50,'The List'!$B1:$AH665,18,FALSE)-AVERAGE('The List'!S2:S665))/STDEV('The List'!S2:S665)</f>
        <v>1.38002921993748</v>
      </c>
      <c r="G50" s="77">
        <f>(VLOOKUP($A50,'The List'!$B1:$AH665,19,FALSE)-AVERAGE('The List'!T2:T665))/STDEV('The List'!T2:T665)</f>
        <v>1.36047572070183</v>
      </c>
      <c r="H50" s="77">
        <f>(VLOOKUP($A50,'The List'!$B1:$AH665,20,FALSE)-AVERAGE('The List'!U2:U665))/STDEV('The List'!U2:U665)</f>
        <v>1.47222079805578</v>
      </c>
      <c r="I50" s="77">
        <f>(VLOOKUP($A50,'The List'!$B1:$AH665,21,FALSE)-AVERAGE('The List'!V2:V665))/STDEV('The List'!V2:V665)</f>
        <v>1.24768705289618</v>
      </c>
      <c r="J50" s="77">
        <f>(VLOOKUP($A50,'The List'!$B1:$AH665,22,FALSE)-AVERAGE('The List'!W2:W665))/STDEV('The List'!W2:W665)</f>
        <v>0.635954817827049</v>
      </c>
      <c r="K50" s="77">
        <f>(VLOOKUP($A50,'The List'!$B1:$AH665,23,FALSE)-AVERAGE('The List'!X2:X665))/STDEV('The List'!X2:X665)</f>
        <v>0.885982766303468</v>
      </c>
      <c r="L50" s="77">
        <f>(VLOOKUP($A50,'The List'!$B1:$AH665,24,FALSE)-AVERAGE('The List'!Y2:Y665))/STDEV('The List'!Y2:Y665)</f>
        <v>1.28892984545771</v>
      </c>
      <c r="M50" s="77">
        <f>(VLOOKUP($A50,'The List'!$B1:$AH665,25,FALSE)-AVERAGE('The List'!Z2:Z665))/STDEV('The List'!Z2:Z665)</f>
        <v>0.472383220426254</v>
      </c>
      <c r="N50" s="77">
        <f>(VLOOKUP($A50,'The List'!$B1:$AH665,26,FALSE)-AVERAGE('The List'!AA2:AA665))/STDEV('The List'!AA2:AA665)</f>
        <v>0.111006615645533</v>
      </c>
      <c r="O50" s="77">
        <f>(VLOOKUP($A50,'The List'!$B1:$AH665,27,FALSE)-AVERAGE('The List'!AB2:AB665))/STDEV('The List'!AB2:AB665)</f>
        <v>-0.490249571912093</v>
      </c>
      <c r="P50" s="77">
        <f>(VLOOKUP($A50,'The List'!$B1:$AH665,28,FALSE)-AVERAGE('The List'!AC2:AC665))/STDEV('The List'!AC2:AC665)</f>
        <v>0.13223428814082</v>
      </c>
      <c r="Q50" s="77">
        <f>(VLOOKUP($A50,'The List'!$B1:$AH665,29,FALSE)-AVERAGE('The List'!AD2:AD665))/STDEV('The List'!AD2:AD665)</f>
        <v>0.140859295589985</v>
      </c>
      <c r="R50" s="77">
        <f>(VLOOKUP($A50,'The List'!$B1:$AH665,30,FALSE)-AVERAGE('The List'!AE2:AE665))/STDEV('The List'!AE2:AE665)</f>
        <v>1.18873581834324</v>
      </c>
      <c r="S50" s="77">
        <f>(VLOOKUP($A50,'The List'!$B1:$AH665,31,FALSE)-AVERAGE('The List'!AF2:AF665))/STDEV('The List'!AF2:AF665)</f>
        <v>-0.381205578500358</v>
      </c>
      <c r="T50" s="77">
        <f>(VLOOKUP($A50,'The List'!$B1:$AH665,32,FALSE)-AVERAGE('The List'!AG2:AG665))/STDEV('The List'!AG2:AG665)</f>
        <v>-0.328863199748203</v>
      </c>
      <c r="U50" s="77">
        <f>(VLOOKUP($A50,'The List'!$B1:$AH665,33,FALSE)-AVERAGE('The List'!AH2:AH665))/STDEV('The List'!AH2:AH665)</f>
        <v>0.619801120625913</v>
      </c>
      <c r="V50" s="77"/>
      <c r="W50" s="89"/>
      <c r="X50" s="79"/>
      <c r="Y50" s="79"/>
      <c r="Z50" s="79"/>
      <c r="AA50" s="79"/>
      <c r="AB50" s="79"/>
      <c r="AC50" s="82"/>
      <c r="AD50" s="83"/>
      <c r="AE50" s="84"/>
    </row>
    <row r="51" ht="21.25" customHeight="1">
      <c r="A51" t="s" s="10">
        <v>135</v>
      </c>
      <c r="B51" t="s" s="86">
        <f>VLOOKUP(A51,'Player Data'!A1:B667,2,FALSE)</f>
        <v>904</v>
      </c>
      <c r="C51" s="74">
        <f>((E51)*'Settings'!$C$12)+(F51*'Settings'!$C$2)+(G51*'Settings'!$C$3)+(H51*'Settings'!$C$4)+(I51*'Settings'!$C$5)+(K51*'Settings'!$C$9)+(N51*'Settings'!$C$6)+(J51*'Settings'!$C$8)+(O51*'Settings'!$C$7)+(P51*'Settings'!$C$14)+(Q51*'Settings'!$C$15)+(R51*'Settings'!$C$16)+(S51*'Settings'!$C$17)+(T51*'Settings'!$C$18)+(U51*'Settings'!$C$19)+(L51*'Settings'!$C$10)+('Settings'!$C$11*M51)</f>
        <v>7.01141582322105</v>
      </c>
      <c r="D51" s="79">
        <f>IF('Settings'!$E$12="YES",VLOOKUP(A51,'Player Data'!A1:E667,5,FALSE),82)</f>
        <v>81.55249999999999</v>
      </c>
      <c r="E51" s="77">
        <f>(VLOOKUP($A51,'The List'!$B1:$AH665,17,FALSE)-AVERAGE('The List'!R2:R665))/STDEV('The List'!R2:R665)</f>
        <v>0.481643005121204</v>
      </c>
      <c r="F51" s="77">
        <f>(VLOOKUP($A51,'The List'!$B1:$AH665,18,FALSE)-AVERAGE('The List'!S2:S665))/STDEV('The List'!S2:S665)</f>
        <v>2.0037387750298</v>
      </c>
      <c r="G51" s="77">
        <f>(VLOOKUP($A51,'The List'!$B1:$AH665,19,FALSE)-AVERAGE('The List'!T2:T665))/STDEV('The List'!T2:T665)</f>
        <v>1.22425779628949</v>
      </c>
      <c r="H51" s="77">
        <f>(VLOOKUP($A51,'The List'!$B1:$AH665,20,FALSE)-AVERAGE('The List'!U2:U665))/STDEV('The List'!U2:U665)</f>
        <v>1.67112744780314</v>
      </c>
      <c r="I51" s="77">
        <f>(VLOOKUP($A51,'The List'!$B1:$AH665,21,FALSE)-AVERAGE('The List'!V2:V665))/STDEV('The List'!V2:V665)</f>
        <v>3.16246447972797</v>
      </c>
      <c r="J51" s="77">
        <f>(VLOOKUP($A51,'The List'!$B1:$AH665,22,FALSE)-AVERAGE('The List'!W2:W665))/STDEV('The List'!W2:W665)</f>
        <v>1.71064043464534</v>
      </c>
      <c r="K51" s="77">
        <f>(VLOOKUP($A51,'The List'!$B1:$AH665,23,FALSE)-AVERAGE('The List'!X2:X665))/STDEV('The List'!X2:X665)</f>
        <v>1.14826155455253</v>
      </c>
      <c r="L51" s="77">
        <f>(VLOOKUP($A51,'The List'!$B1:$AH665,24,FALSE)-AVERAGE('The List'!Y2:Y665))/STDEV('The List'!Y2:Y665)</f>
        <v>-0.547963528229248</v>
      </c>
      <c r="M51" s="77">
        <f>(VLOOKUP($A51,'The List'!$B1:$AH665,25,FALSE)-AVERAGE('The List'!Z2:Z665))/STDEV('The List'!Z2:Z665)</f>
        <v>-0.721179349347352</v>
      </c>
      <c r="N51" s="77">
        <f>(VLOOKUP($A51,'The List'!$B1:$AH665,26,FALSE)-AVERAGE('The List'!AA2:AA665))/STDEV('The List'!AA2:AA665)</f>
        <v>-0.872279288196921</v>
      </c>
      <c r="O51" s="77">
        <f>(VLOOKUP($A51,'The List'!$B1:$AH665,27,FALSE)-AVERAGE('The List'!AB2:AB665))/STDEV('The List'!AB2:AB665)</f>
        <v>3.56008861905363</v>
      </c>
      <c r="P51" s="77">
        <f>(VLOOKUP($A51,'The List'!$B1:$AH665,28,FALSE)-AVERAGE('The List'!AC2:AC665))/STDEV('The List'!AC2:AC665)</f>
        <v>0.344972505818185</v>
      </c>
      <c r="Q51" s="77">
        <f>(VLOOKUP($A51,'The List'!$B1:$AH665,29,FALSE)-AVERAGE('The List'!AD2:AD665))/STDEV('The List'!AD2:AD665)</f>
        <v>3.59169017903827</v>
      </c>
      <c r="R51" s="77">
        <f>(VLOOKUP($A51,'The List'!$B1:$AH665,30,FALSE)-AVERAGE('The List'!AE2:AE665))/STDEV('The List'!AE2:AE665)</f>
        <v>2.0508257447726</v>
      </c>
      <c r="S51" s="77">
        <f>(VLOOKUP($A51,'The List'!$B1:$AH665,31,FALSE)-AVERAGE('The List'!AF2:AF665))/STDEV('The List'!AF2:AF665)</f>
        <v>0.495871257682949</v>
      </c>
      <c r="T51" s="77">
        <f>(VLOOKUP($A51,'The List'!$B1:$AH665,32,FALSE)-AVERAGE('The List'!AG2:AG665))/STDEV('The List'!AG2:AG665)</f>
        <v>0.486355895597852</v>
      </c>
      <c r="U51" s="77">
        <f>(VLOOKUP($A51,'The List'!$B1:$AH665,33,FALSE)-AVERAGE('The List'!AH2:AH665))/STDEV('The List'!AH2:AH665)</f>
        <v>1.06100733310564</v>
      </c>
      <c r="V51" s="77"/>
      <c r="W51" s="89"/>
      <c r="X51" s="79"/>
      <c r="Y51" s="79"/>
      <c r="Z51" s="79"/>
      <c r="AA51" s="79"/>
      <c r="AB51" s="79"/>
      <c r="AC51" s="82"/>
      <c r="AD51" s="83"/>
      <c r="AE51" s="84"/>
    </row>
    <row r="52" ht="21.25" customHeight="1">
      <c r="A52" t="s" s="10">
        <v>295</v>
      </c>
      <c r="B52" t="s" s="86">
        <f>VLOOKUP(A52,'Player Data'!A1:B667,2,FALSE)</f>
        <v>906</v>
      </c>
      <c r="C52" s="74">
        <f>((E52)*'Settings'!$C$12)+(F52*'Settings'!$C$2)+(G52*'Settings'!$C$3)+(H52*'Settings'!$C$4)+(I52*'Settings'!$C$5)+(K52*'Settings'!$C$9)+(N52*'Settings'!$C$6)+(J52*'Settings'!$C$8)+(O52*'Settings'!$C$7)+(P52*'Settings'!$C$14)+(Q52*'Settings'!$C$15)+(R52*'Settings'!$C$16)+(S52*'Settings'!$C$17)+(T52*'Settings'!$C$18)+(U52*'Settings'!$C$19)+(L52*'Settings'!$C$10)+('Settings'!$C$11*M52)</f>
        <v>4.5901314305595</v>
      </c>
      <c r="D52" s="79">
        <f>IF('Settings'!$E$12="YES",VLOOKUP(A52,'Player Data'!A1:E667,5,FALSE),82)</f>
        <v>78.9725</v>
      </c>
      <c r="E52" s="77">
        <f>(VLOOKUP($A52,'The List'!$B1:$AH665,17,FALSE)-AVERAGE('The List'!R2:R665))/STDEV('The List'!R2:R665)</f>
        <v>0.93598691397347</v>
      </c>
      <c r="F52" s="77">
        <f>(VLOOKUP($A52,'The List'!$B1:$AH665,18,FALSE)-AVERAGE('The List'!S2:S665))/STDEV('The List'!S2:S665)</f>
        <v>1.72576556756092</v>
      </c>
      <c r="G52" s="77">
        <f>(VLOOKUP($A52,'The List'!$B1:$AH665,19,FALSE)-AVERAGE('The List'!T2:T665))/STDEV('The List'!T2:T665)</f>
        <v>1.24837795443457</v>
      </c>
      <c r="H52" s="77">
        <f>(VLOOKUP($A52,'The List'!$B1:$AH665,20,FALSE)-AVERAGE('The List'!U2:U665))/STDEV('The List'!U2:U665)</f>
        <v>1.55975538632046</v>
      </c>
      <c r="I52" s="77">
        <f>(VLOOKUP($A52,'The List'!$B1:$AH665,21,FALSE)-AVERAGE('The List'!V2:V665))/STDEV('The List'!V2:V665)</f>
        <v>0.749468182324215</v>
      </c>
      <c r="J52" s="77">
        <f>(VLOOKUP($A52,'The List'!$B1:$AH665,22,FALSE)-AVERAGE('The List'!W2:W665))/STDEV('The List'!W2:W665)</f>
        <v>1.40076565222907</v>
      </c>
      <c r="K52" s="77">
        <f>(VLOOKUP($A52,'The List'!$B1:$AH665,23,FALSE)-AVERAGE('The List'!X2:X665))/STDEV('The List'!X2:X665)</f>
        <v>1.17619918633353</v>
      </c>
      <c r="L52" s="77">
        <f>(VLOOKUP($A52,'The List'!$B1:$AH665,24,FALSE)-AVERAGE('The List'!Y2:Y665))/STDEV('The List'!Y2:Y665)</f>
        <v>-0.541742034037339</v>
      </c>
      <c r="M52" s="77">
        <f>(VLOOKUP($A52,'The List'!$B1:$AH665,25,FALSE)-AVERAGE('The List'!Z2:Z665))/STDEV('The List'!Z2:Z665)</f>
        <v>-0.714529765120667</v>
      </c>
      <c r="N52" s="77">
        <f>(VLOOKUP($A52,'The List'!$B1:$AH665,26,FALSE)-AVERAGE('The List'!AA2:AA665))/STDEV('The List'!AA2:AA665)</f>
        <v>-0.562913005963124</v>
      </c>
      <c r="O52" s="77">
        <f>(VLOOKUP($A52,'The List'!$B1:$AH665,27,FALSE)-AVERAGE('The List'!AB2:AB665))/STDEV('The List'!AB2:AB665)</f>
        <v>-0.653792321505553</v>
      </c>
      <c r="P52" s="77">
        <f>(VLOOKUP($A52,'The List'!$B1:$AH665,28,FALSE)-AVERAGE('The List'!AC2:AC665))/STDEV('The List'!AC2:AC665)</f>
        <v>0.253233545869384</v>
      </c>
      <c r="Q52" s="77">
        <f>(VLOOKUP($A52,'The List'!$B1:$AH665,29,FALSE)-AVERAGE('The List'!AD2:AD665))/STDEV('The List'!AD2:AD665)</f>
        <v>0.25263206805883</v>
      </c>
      <c r="R52" s="77">
        <f>(VLOOKUP($A52,'The List'!$B1:$AH665,30,FALSE)-AVERAGE('The List'!AE2:AE665))/STDEV('The List'!AE2:AE665)</f>
        <v>1.98905652890521</v>
      </c>
      <c r="S52" s="77">
        <f>(VLOOKUP($A52,'The List'!$B1:$AH665,31,FALSE)-AVERAGE('The List'!AF2:AF665))/STDEV('The List'!AF2:AF665)</f>
        <v>2.38810178775498</v>
      </c>
      <c r="T52" s="77">
        <f>(VLOOKUP($A52,'The List'!$B1:$AH665,32,FALSE)-AVERAGE('The List'!AG2:AG665))/STDEV('The List'!AG2:AG665)</f>
        <v>2.69574035022417</v>
      </c>
      <c r="U52" s="77">
        <f>(VLOOKUP($A52,'The List'!$B1:$AH665,33,FALSE)-AVERAGE('The List'!AH2:AH665))/STDEV('The List'!AH2:AH665)</f>
        <v>0.975209429839917</v>
      </c>
      <c r="V52" s="77"/>
      <c r="W52" s="89"/>
      <c r="X52" s="79"/>
      <c r="Y52" s="79"/>
      <c r="Z52" s="79"/>
      <c r="AA52" s="79"/>
      <c r="AB52" s="79"/>
      <c r="AC52" s="82"/>
      <c r="AD52" s="83"/>
      <c r="AE52" s="84"/>
    </row>
    <row r="53" ht="21.25" customHeight="1">
      <c r="A53" t="s" s="10">
        <v>255</v>
      </c>
      <c r="B53" t="s" s="86">
        <f>VLOOKUP(A53,'Player Data'!A1:B667,2,FALSE)</f>
        <v>902</v>
      </c>
      <c r="C53" s="74">
        <f>((E53)*'Settings'!$C$12)+(F53*'Settings'!$C$2)+(G53*'Settings'!$C$3)+(H53*'Settings'!$C$4)+(I53*'Settings'!$C$5)+(K53*'Settings'!$C$9)+(N53*'Settings'!$C$6)+(J53*'Settings'!$C$8)+(O53*'Settings'!$C$7)+(P53*'Settings'!$C$14)+(Q53*'Settings'!$C$15)+(R53*'Settings'!$C$16)+(S53*'Settings'!$C$17)+(T53*'Settings'!$C$18)+(U53*'Settings'!$C$19)+(L53*'Settings'!$C$10)+('Settings'!$C$11*M53)</f>
        <v>7.11568444046407</v>
      </c>
      <c r="D53" s="79">
        <f>IF('Settings'!$E$12="YES",VLOOKUP(A53,'Player Data'!A1:E667,5,FALSE),82)</f>
        <v>80.2375</v>
      </c>
      <c r="E53" s="77">
        <f>(VLOOKUP($A53,'The List'!$B1:$AH665,17,FALSE)-AVERAGE('The List'!R2:R665))/STDEV('The List'!R2:R665)</f>
        <v>0.417796370665856</v>
      </c>
      <c r="F53" s="77">
        <f>(VLOOKUP($A53,'The List'!$B1:$AH665,18,FALSE)-AVERAGE('The List'!S2:S665))/STDEV('The List'!S2:S665)</f>
        <v>2.02570992758687</v>
      </c>
      <c r="G53" s="77">
        <f>(VLOOKUP($A53,'The List'!$B1:$AH665,19,FALSE)-AVERAGE('The List'!T2:T665))/STDEV('The List'!T2:T665)</f>
        <v>1.08466135296133</v>
      </c>
      <c r="H53" s="77">
        <f>(VLOOKUP($A53,'The List'!$B1:$AH665,20,FALSE)-AVERAGE('The List'!U2:U665))/STDEV('The List'!U2:U665)</f>
        <v>1.59441714046151</v>
      </c>
      <c r="I53" s="77">
        <f>(VLOOKUP($A53,'The List'!$B1:$AH665,21,FALSE)-AVERAGE('The List'!V2:V665))/STDEV('The List'!V2:V665)</f>
        <v>1.10505995783633</v>
      </c>
      <c r="J53" s="77">
        <f>(VLOOKUP($A53,'The List'!$B1:$AH665,22,FALSE)-AVERAGE('The List'!W2:W665))/STDEV('The List'!W2:W665)</f>
        <v>1.76221538211139</v>
      </c>
      <c r="K53" s="77">
        <f>(VLOOKUP($A53,'The List'!$B1:$AH665,23,FALSE)-AVERAGE('The List'!X2:X665))/STDEV('The List'!X2:X665)</f>
        <v>1.46914077676804</v>
      </c>
      <c r="L53" s="77">
        <f>(VLOOKUP($A53,'The List'!$B1:$AH665,24,FALSE)-AVERAGE('The List'!Y2:Y665))/STDEV('The List'!Y2:Y665)</f>
        <v>3.83298961237271</v>
      </c>
      <c r="M53" s="77">
        <f>(VLOOKUP($A53,'The List'!$B1:$AH665,25,FALSE)-AVERAGE('The List'!Z2:Z665))/STDEV('The List'!Z2:Z665)</f>
        <v>2.74315801193384</v>
      </c>
      <c r="N53" s="77">
        <f>(VLOOKUP($A53,'The List'!$B1:$AH665,26,FALSE)-AVERAGE('The List'!AA2:AA665))/STDEV('The List'!AA2:AA665)</f>
        <v>-0.504786496085051</v>
      </c>
      <c r="O53" s="77">
        <f>(VLOOKUP($A53,'The List'!$B1:$AH665,27,FALSE)-AVERAGE('The List'!AB2:AB665))/STDEV('The List'!AB2:AB665)</f>
        <v>-0.905153828007407</v>
      </c>
      <c r="P53" s="77">
        <f>(VLOOKUP($A53,'The List'!$B1:$AH665,28,FALSE)-AVERAGE('The List'!AC2:AC665))/STDEV('The List'!AC2:AC665)</f>
        <v>1.93589892139655</v>
      </c>
      <c r="Q53" s="77">
        <f>(VLOOKUP($A53,'The List'!$B1:$AH665,29,FALSE)-AVERAGE('The List'!AD2:AD665))/STDEV('The List'!AD2:AD665)</f>
        <v>-0.195557990990223</v>
      </c>
      <c r="R53" s="77">
        <f>(VLOOKUP($A53,'The List'!$B1:$AH665,30,FALSE)-AVERAGE('The List'!AE2:AE665))/STDEV('The List'!AE2:AE665)</f>
        <v>2.17307849411921</v>
      </c>
      <c r="S53" s="77">
        <f>(VLOOKUP($A53,'The List'!$B1:$AH665,31,FALSE)-AVERAGE('The List'!AF2:AF665))/STDEV('The List'!AF2:AF665)</f>
        <v>1.01699122573959</v>
      </c>
      <c r="T53" s="77">
        <f>(VLOOKUP($A53,'The List'!$B1:$AH665,32,FALSE)-AVERAGE('The List'!AG2:AG665))/STDEV('The List'!AG2:AG665)</f>
        <v>0.815831938733916</v>
      </c>
      <c r="U53" s="77">
        <f>(VLOOKUP($A53,'The List'!$B1:$AH665,33,FALSE)-AVERAGE('The List'!AH2:AH665))/STDEV('The List'!AH2:AH665)</f>
        <v>1.21629731651834</v>
      </c>
      <c r="V53" s="77"/>
      <c r="W53" s="79"/>
      <c r="X53" s="77"/>
      <c r="Y53" s="77"/>
      <c r="Z53" s="77"/>
      <c r="AA53" s="77"/>
      <c r="AB53" s="77"/>
      <c r="AC53" s="77"/>
      <c r="AD53" s="77"/>
      <c r="AE53" s="84"/>
    </row>
    <row r="54" ht="21.25" customHeight="1">
      <c r="A54" t="s" s="10">
        <v>249</v>
      </c>
      <c r="B54" t="s" s="86">
        <f>VLOOKUP(A54,'Player Data'!A1:B667,2,FALSE)</f>
        <v>902</v>
      </c>
      <c r="C54" s="74">
        <f>((E54)*'Settings'!$C$12)+(F54*'Settings'!$C$2)+(G54*'Settings'!$C$3)+(H54*'Settings'!$C$4)+(I54*'Settings'!$C$5)+(K54*'Settings'!$C$9)+(N54*'Settings'!$C$6)+(J54*'Settings'!$C$8)+(O54*'Settings'!$C$7)+(P54*'Settings'!$C$14)+(Q54*'Settings'!$C$15)+(R54*'Settings'!$C$16)+(S54*'Settings'!$C$17)+(T54*'Settings'!$C$18)+(U54*'Settings'!$C$19)+(L54*'Settings'!$C$10)+('Settings'!$C$11*M54)</f>
        <v>7.18070049133762</v>
      </c>
      <c r="D54" s="79">
        <f>IF('Settings'!$E$12="YES",VLOOKUP(A54,'Player Data'!A1:E667,5,FALSE),82)</f>
        <v>82.03</v>
      </c>
      <c r="E54" s="77">
        <f>(VLOOKUP($A54,'The List'!$B1:$AH665,17,FALSE)-AVERAGE('The List'!R2:R665))/STDEV('The List'!R2:R665)</f>
        <v>0.839008537422317</v>
      </c>
      <c r="F54" s="77">
        <f>(VLOOKUP($A54,'The List'!$B1:$AH665,18,FALSE)-AVERAGE('The List'!S2:S665))/STDEV('The List'!S2:S665)</f>
        <v>2.19956348153234</v>
      </c>
      <c r="G54" s="77">
        <f>(VLOOKUP($A54,'The List'!$B1:$AH665,19,FALSE)-AVERAGE('The List'!T2:T665))/STDEV('The List'!T2:T665)</f>
        <v>1.02510208528639</v>
      </c>
      <c r="H54" s="77">
        <f>(VLOOKUP($A54,'The List'!$B1:$AH665,20,FALSE)-AVERAGE('The List'!U2:U665))/STDEV('The List'!U2:U665)</f>
        <v>1.63645219052106</v>
      </c>
      <c r="I54" s="77">
        <f>(VLOOKUP($A54,'The List'!$B1:$AH665,21,FALSE)-AVERAGE('The List'!V2:V665))/STDEV('The List'!V2:V665)</f>
        <v>1.85418096527841</v>
      </c>
      <c r="J54" s="77">
        <f>(VLOOKUP($A54,'The List'!$B1:$AH665,22,FALSE)-AVERAGE('The List'!W2:W665))/STDEV('The List'!W2:W665)</f>
        <v>1.05694137876681</v>
      </c>
      <c r="K54" s="77">
        <f>(VLOOKUP($A54,'The List'!$B1:$AH665,23,FALSE)-AVERAGE('The List'!X2:X665))/STDEV('The List'!X2:X665)</f>
        <v>1.11467731863486</v>
      </c>
      <c r="L54" s="77">
        <f>(VLOOKUP($A54,'The List'!$B1:$AH665,24,FALSE)-AVERAGE('The List'!Y2:Y665))/STDEV('The List'!Y2:Y665)</f>
        <v>3.96501503668406</v>
      </c>
      <c r="M54" s="77">
        <f>(VLOOKUP($A54,'The List'!$B1:$AH665,25,FALSE)-AVERAGE('The List'!Z2:Z665))/STDEV('The List'!Z2:Z665)</f>
        <v>2.15102824697737</v>
      </c>
      <c r="N54" s="77">
        <f>(VLOOKUP($A54,'The List'!$B1:$AH665,26,FALSE)-AVERAGE('The List'!AA2:AA665))/STDEV('The List'!AA2:AA665)</f>
        <v>-0.501199432802334</v>
      </c>
      <c r="O54" s="77">
        <f>(VLOOKUP($A54,'The List'!$B1:$AH665,27,FALSE)-AVERAGE('The List'!AB2:AB665))/STDEV('The List'!AB2:AB665)</f>
        <v>-0.856296871884084</v>
      </c>
      <c r="P54" s="77">
        <f>(VLOOKUP($A54,'The List'!$B1:$AH665,28,FALSE)-AVERAGE('The List'!AC2:AC665))/STDEV('The List'!AC2:AC665)</f>
        <v>1.48837607340795</v>
      </c>
      <c r="Q54" s="77">
        <f>(VLOOKUP($A54,'The List'!$B1:$AH665,29,FALSE)-AVERAGE('The List'!AD2:AD665))/STDEV('The List'!AD2:AD665)</f>
        <v>0.330674087033664</v>
      </c>
      <c r="R54" s="77">
        <f>(VLOOKUP($A54,'The List'!$B1:$AH665,30,FALSE)-AVERAGE('The List'!AE2:AE665))/STDEV('The List'!AE2:AE665)</f>
        <v>2.35153347783453</v>
      </c>
      <c r="S54" s="77">
        <f>(VLOOKUP($A54,'The List'!$B1:$AH665,31,FALSE)-AVERAGE('The List'!AF2:AF665))/STDEV('The List'!AF2:AF665)</f>
        <v>1.00554079347332</v>
      </c>
      <c r="T54" s="77">
        <f>(VLOOKUP($A54,'The List'!$B1:$AH665,32,FALSE)-AVERAGE('The List'!AG2:AG665))/STDEV('The List'!AG2:AG665)</f>
        <v>1.25351553124831</v>
      </c>
      <c r="U54" s="77">
        <f>(VLOOKUP($A54,'The List'!$B1:$AH665,33,FALSE)-AVERAGE('The List'!AH2:AH665))/STDEV('The List'!AH2:AH665)</f>
        <v>0.908161703182132</v>
      </c>
      <c r="V54" s="77"/>
      <c r="W54" s="79"/>
      <c r="X54" s="77"/>
      <c r="Y54" s="77"/>
      <c r="Z54" s="77"/>
      <c r="AA54" s="77"/>
      <c r="AB54" s="77"/>
      <c r="AC54" s="77"/>
      <c r="AD54" s="77"/>
      <c r="AE54" s="84"/>
    </row>
    <row r="55" ht="21.25" customHeight="1">
      <c r="A55" t="s" s="10">
        <v>233</v>
      </c>
      <c r="B55" t="s" s="86">
        <f>VLOOKUP(A55,'Player Data'!A1:B667,2,FALSE)</f>
        <v>165</v>
      </c>
      <c r="C55" s="74">
        <f>((E55)*'Settings'!$C$12)+(F55*'Settings'!$C$2)+(G55*'Settings'!$C$3)+(H55*'Settings'!$C$4)+(I55*'Settings'!$C$5)+(K55*'Settings'!$C$9)+(N55*'Settings'!$C$6)+(J55*'Settings'!$C$8)+(O55*'Settings'!$C$7)+(P55*'Settings'!$C$14)+(Q55*'Settings'!$C$15)+(R55*'Settings'!$C$16)+(S55*'Settings'!$C$17)+(T55*'Settings'!$C$18)+(U55*'Settings'!$C$19)+(L55*'Settings'!$C$10)+('Settings'!$C$11*M55)</f>
        <v>6.45880956885536</v>
      </c>
      <c r="D55" s="79">
        <f>IF('Settings'!$E$12="YES",VLOOKUP(A55,'Player Data'!A1:E667,5,FALSE),82)</f>
        <v>81.26000000000001</v>
      </c>
      <c r="E55" s="77">
        <f>(VLOOKUP($A55,'The List'!$B1:$AH665,17,FALSE)-AVERAGE('The List'!R2:R665))/STDEV('The List'!R2:R665)</f>
        <v>0.30973775506174</v>
      </c>
      <c r="F55" s="77">
        <f>(VLOOKUP($A55,'The List'!$B1:$AH665,18,FALSE)-AVERAGE('The List'!S2:S665))/STDEV('The List'!S2:S665)</f>
        <v>1.77716040532167</v>
      </c>
      <c r="G55" s="77">
        <f>(VLOOKUP($A55,'The List'!$B1:$AH665,19,FALSE)-AVERAGE('The List'!T2:T665))/STDEV('The List'!T2:T665)</f>
        <v>1.25464488282453</v>
      </c>
      <c r="H55" s="77">
        <f>(VLOOKUP($A55,'The List'!$B1:$AH665,20,FALSE)-AVERAGE('The List'!U2:U665))/STDEV('The List'!U2:U665)</f>
        <v>1.58700889798318</v>
      </c>
      <c r="I55" s="77">
        <f>(VLOOKUP($A55,'The List'!$B1:$AH665,21,FALSE)-AVERAGE('The List'!V2:V665))/STDEV('The List'!V2:V665)</f>
        <v>1.82205434077832</v>
      </c>
      <c r="J55" s="77">
        <f>(VLOOKUP($A55,'The List'!$B1:$AH665,22,FALSE)-AVERAGE('The List'!W2:W665))/STDEV('The List'!W2:W665)</f>
        <v>2.85703772211952</v>
      </c>
      <c r="K55" s="77">
        <f>(VLOOKUP($A55,'The List'!$B1:$AH665,23,FALSE)-AVERAGE('The List'!X2:X665))/STDEV('The List'!X2:X665)</f>
        <v>2.26266081618911</v>
      </c>
      <c r="L55" s="77">
        <f>(VLOOKUP($A55,'The List'!$B1:$AH665,24,FALSE)-AVERAGE('The List'!Y2:Y665))/STDEV('The List'!Y2:Y665)</f>
        <v>-0.5649753937695</v>
      </c>
      <c r="M55" s="77">
        <f>(VLOOKUP($A55,'The List'!$B1:$AH665,25,FALSE)-AVERAGE('The List'!Z2:Z665))/STDEV('The List'!Z2:Z665)</f>
        <v>-0.738411285706179</v>
      </c>
      <c r="N55" s="77">
        <f>(VLOOKUP($A55,'The List'!$B1:$AH665,26,FALSE)-AVERAGE('The List'!AA2:AA665))/STDEV('The List'!AA2:AA665)</f>
        <v>-0.51345825794195</v>
      </c>
      <c r="O55" s="77">
        <f>(VLOOKUP($A55,'The List'!$B1:$AH665,27,FALSE)-AVERAGE('The List'!AB2:AB665))/STDEV('The List'!AB2:AB665)</f>
        <v>-0.237101099744284</v>
      </c>
      <c r="P55" s="77">
        <f>(VLOOKUP($A55,'The List'!$B1:$AH665,28,FALSE)-AVERAGE('The List'!AC2:AC665))/STDEV('The List'!AC2:AC665)</f>
        <v>-0.144252618316317</v>
      </c>
      <c r="Q55" s="77">
        <f>(VLOOKUP($A55,'The List'!$B1:$AH665,29,FALSE)-AVERAGE('The List'!AD2:AD665))/STDEV('The List'!AD2:AD665)</f>
        <v>0.390366676219206</v>
      </c>
      <c r="R55" s="77">
        <f>(VLOOKUP($A55,'The List'!$B1:$AH665,30,FALSE)-AVERAGE('The List'!AE2:AE665))/STDEV('The List'!AE2:AE665)</f>
        <v>1.55205700988883</v>
      </c>
      <c r="S55" s="77">
        <f>(VLOOKUP($A55,'The List'!$B1:$AH665,31,FALSE)-AVERAGE('The List'!AF2:AF665))/STDEV('The List'!AF2:AF665)</f>
        <v>1.3573913156841</v>
      </c>
      <c r="T55" s="77">
        <f>(VLOOKUP($A55,'The List'!$B1:$AH665,32,FALSE)-AVERAGE('The List'!AG2:AG665))/STDEV('The List'!AG2:AG665)</f>
        <v>1.12677382604437</v>
      </c>
      <c r="U55" s="77">
        <f>(VLOOKUP($A55,'The List'!$B1:$AH665,33,FALSE)-AVERAGE('The List'!AH2:AH665))/STDEV('The List'!AH2:AH665)</f>
        <v>1.21470030021044</v>
      </c>
      <c r="V55" s="77"/>
      <c r="W55" s="89"/>
      <c r="X55" s="79"/>
      <c r="Y55" s="79"/>
      <c r="Z55" s="79"/>
      <c r="AA55" s="79"/>
      <c r="AB55" s="79"/>
      <c r="AC55" s="82"/>
      <c r="AD55" s="83"/>
      <c r="AE55" s="84"/>
    </row>
    <row r="56" ht="21.25" customHeight="1">
      <c r="A56" t="s" s="10">
        <v>184</v>
      </c>
      <c r="B56" t="s" s="86">
        <f>VLOOKUP(A56,'Player Data'!A1:B667,2,FALSE)</f>
        <v>129</v>
      </c>
      <c r="C56" s="74">
        <f>((E56)*'Settings'!$C$12)+(F56*'Settings'!$C$2)+(G56*'Settings'!$C$3)+(H56*'Settings'!$C$4)+(I56*'Settings'!$C$5)+(K56*'Settings'!$C$9)+(N56*'Settings'!$C$6)+(J56*'Settings'!$C$8)+(O56*'Settings'!$C$7)+(P56*'Settings'!$C$14)+(Q56*'Settings'!$C$15)+(R56*'Settings'!$C$16)+(S56*'Settings'!$C$17)+(T56*'Settings'!$C$18)+(U56*'Settings'!$C$19)+(L56*'Settings'!$C$10)+('Settings'!$C$11*M56)</f>
        <v>11.380681054295</v>
      </c>
      <c r="D56" s="79">
        <f>IF('Settings'!$E$12="YES",VLOOKUP(A56,'Player Data'!A1:E667,5,FALSE),82)</f>
        <v>81.7525</v>
      </c>
      <c r="E56" s="77">
        <f>(VLOOKUP($A56,'The List'!$B1:$AH665,17,FALSE)-AVERAGE('The List'!R2:R665))/STDEV('The List'!R2:R665)</f>
        <v>1.81345919759742</v>
      </c>
      <c r="F56" s="77">
        <f>(VLOOKUP($A56,'The List'!$B1:$AH665,18,FALSE)-AVERAGE('The List'!S2:S665))/STDEV('The List'!S2:S665)</f>
        <v>0.398545323956007</v>
      </c>
      <c r="G56" s="77">
        <f>(VLOOKUP($A56,'The List'!$B1:$AH665,19,FALSE)-AVERAGE('The List'!T2:T665))/STDEV('The List'!T2:T665)</f>
        <v>2.76058052812659</v>
      </c>
      <c r="H56" s="77">
        <f>(VLOOKUP($A56,'The List'!$B1:$AH665,20,FALSE)-AVERAGE('The List'!U2:U665))/STDEV('The List'!U2:U665)</f>
        <v>1.89563352432128</v>
      </c>
      <c r="I56" s="77">
        <f>(VLOOKUP($A56,'The List'!$B1:$AH665,21,FALSE)-AVERAGE('The List'!V2:V665))/STDEV('The List'!V2:V665)</f>
        <v>1.5869630584516</v>
      </c>
      <c r="J56" s="77">
        <f>(VLOOKUP($A56,'The List'!$B1:$AH665,22,FALSE)-AVERAGE('The List'!W2:W665))/STDEV('The List'!W2:W665)</f>
        <v>1.20736051200262</v>
      </c>
      <c r="K56" s="77">
        <f>(VLOOKUP($A56,'The List'!$B1:$AH665,23,FALSE)-AVERAGE('The List'!X2:X665))/STDEV('The List'!X2:X665)</f>
        <v>2.61388327491214</v>
      </c>
      <c r="L56" s="77">
        <f>(VLOOKUP($A56,'The List'!$B1:$AH665,24,FALSE)-AVERAGE('The List'!Y2:Y665))/STDEV('The List'!Y2:Y665)</f>
        <v>-0.544439965850832</v>
      </c>
      <c r="M56" s="77">
        <f>(VLOOKUP($A56,'The List'!$B1:$AH665,25,FALSE)-AVERAGE('The List'!Z2:Z665))/STDEV('The List'!Z2:Z665)</f>
        <v>-0.282663518913398</v>
      </c>
      <c r="N56" s="77">
        <f>(VLOOKUP($A56,'The List'!$B1:$AH665,26,FALSE)-AVERAGE('The List'!AA2:AA665))/STDEV('The List'!AA2:AA665)</f>
        <v>1.04775414906788</v>
      </c>
      <c r="O56" s="77">
        <f>(VLOOKUP($A56,'The List'!$B1:$AH665,27,FALSE)-AVERAGE('The List'!AB2:AB665))/STDEV('The List'!AB2:AB665)</f>
        <v>-0.09742010489177309</v>
      </c>
      <c r="P56" s="77">
        <f>(VLOOKUP($A56,'The List'!$B1:$AH665,28,FALSE)-AVERAGE('The List'!AC2:AC665))/STDEV('The List'!AC2:AC665)</f>
        <v>2.97295471978081</v>
      </c>
      <c r="Q56" s="77">
        <f>(VLOOKUP($A56,'The List'!$B1:$AH665,29,FALSE)-AVERAGE('The List'!AD2:AD665))/STDEV('The List'!AD2:AD665)</f>
        <v>0.199562531253641</v>
      </c>
      <c r="R56" s="77">
        <f>(VLOOKUP($A56,'The List'!$B1:$AH665,30,FALSE)-AVERAGE('The List'!AE2:AE665))/STDEV('The List'!AE2:AE665)</f>
        <v>0.520150325469202</v>
      </c>
      <c r="S56" s="77">
        <f>(VLOOKUP($A56,'The List'!$B1:$AH665,31,FALSE)-AVERAGE('The List'!AF2:AF665))/STDEV('The List'!AF2:AF665)</f>
        <v>-0.573894410680004</v>
      </c>
      <c r="T56" s="77">
        <f>(VLOOKUP($A56,'The List'!$B1:$AH665,32,FALSE)-AVERAGE('The List'!AG2:AG665))/STDEV('The List'!AG2:AG665)</f>
        <v>-0.625770787132651</v>
      </c>
      <c r="U56" s="77">
        <f>(VLOOKUP($A56,'The List'!$B1:$AH665,33,FALSE)-AVERAGE('The List'!AH2:AH665))/STDEV('The List'!AH2:AH665)</f>
        <v>-1.23143509451486</v>
      </c>
      <c r="V56" s="77"/>
      <c r="W56" s="89"/>
      <c r="X56" s="79"/>
      <c r="Y56" s="79"/>
      <c r="Z56" s="79"/>
      <c r="AA56" s="79"/>
      <c r="AB56" s="79"/>
      <c r="AC56" s="82"/>
      <c r="AD56" s="83"/>
      <c r="AE56" s="84"/>
    </row>
    <row r="57" ht="21.25" customHeight="1">
      <c r="A57" t="s" s="10">
        <v>191</v>
      </c>
      <c r="B57" t="s" s="86">
        <f>VLOOKUP(A57,'Player Data'!A1:B667,2,FALSE)</f>
        <v>192</v>
      </c>
      <c r="C57" s="74">
        <f>((E57)*'Settings'!$C$12)+(F57*'Settings'!$C$2)+(G57*'Settings'!$C$3)+(H57*'Settings'!$C$4)+(I57*'Settings'!$C$5)+(K57*'Settings'!$C$9)+(N57*'Settings'!$C$6)+(J57*'Settings'!$C$8)+(O57*'Settings'!$C$7)+(P57*'Settings'!$C$14)+(Q57*'Settings'!$C$15)+(R57*'Settings'!$C$16)+(S57*'Settings'!$C$17)+(T57*'Settings'!$C$18)+(U57*'Settings'!$C$19)+(L57*'Settings'!$C$10)+('Settings'!$C$11*M57)</f>
        <v>5.69396032788783</v>
      </c>
      <c r="D57" s="79">
        <f>IF('Settings'!$E$12="YES",VLOOKUP(A57,'Player Data'!A1:E667,5,FALSE),82)</f>
        <v>79.76000000000001</v>
      </c>
      <c r="E57" s="77">
        <f>(VLOOKUP($A57,'The List'!$B1:$AH665,17,FALSE)-AVERAGE('The List'!R2:R665))/STDEV('The List'!R2:R665)</f>
        <v>0.704219894498567</v>
      </c>
      <c r="F57" s="77">
        <f>(VLOOKUP($A57,'The List'!$B1:$AH665,18,FALSE)-AVERAGE('The List'!S2:S665))/STDEV('The List'!S2:S665)</f>
        <v>2.1667331867849</v>
      </c>
      <c r="G57" s="77">
        <f>(VLOOKUP($A57,'The List'!$B1:$AH665,19,FALSE)-AVERAGE('The List'!T2:T665))/STDEV('The List'!T2:T665)</f>
        <v>0.8186575174331649</v>
      </c>
      <c r="H57" s="77">
        <f>(VLOOKUP($A57,'The List'!$B1:$AH665,20,FALSE)-AVERAGE('The List'!U2:U665))/STDEV('The List'!U2:U665)</f>
        <v>1.49331557638362</v>
      </c>
      <c r="I57" s="77">
        <f>(VLOOKUP($A57,'The List'!$B1:$AH665,21,FALSE)-AVERAGE('The List'!V2:V665))/STDEV('The List'!V2:V665)</f>
        <v>2.50770894019819</v>
      </c>
      <c r="J57" s="77">
        <f>(VLOOKUP($A57,'The List'!$B1:$AH665,22,FALSE)-AVERAGE('The List'!W2:W665))/STDEV('The List'!W2:W665)</f>
        <v>2.97310904125096</v>
      </c>
      <c r="K57" s="77">
        <f>(VLOOKUP($A57,'The List'!$B1:$AH665,23,FALSE)-AVERAGE('The List'!X2:X665))/STDEV('The List'!X2:X665)</f>
        <v>1.98557293352105</v>
      </c>
      <c r="L57" s="77">
        <f>(VLOOKUP($A57,'The List'!$B1:$AH665,24,FALSE)-AVERAGE('The List'!Y2:Y665))/STDEV('The List'!Y2:Y665)</f>
        <v>-0.568265271327054</v>
      </c>
      <c r="M57" s="77">
        <f>(VLOOKUP($A57,'The List'!$B1:$AH665,25,FALSE)-AVERAGE('The List'!Z2:Z665))/STDEV('The List'!Z2:Z665)</f>
        <v>-0.744895516154975</v>
      </c>
      <c r="N57" s="77">
        <f>(VLOOKUP($A57,'The List'!$B1:$AH665,26,FALSE)-AVERAGE('The List'!AA2:AA665))/STDEV('The List'!AA2:AA665)</f>
        <v>-0.889153803449324</v>
      </c>
      <c r="O57" s="77">
        <f>(VLOOKUP($A57,'The List'!$B1:$AH665,27,FALSE)-AVERAGE('The List'!AB2:AB665))/STDEV('The List'!AB2:AB665)</f>
        <v>1.46009546481213</v>
      </c>
      <c r="P57" s="77">
        <f>(VLOOKUP($A57,'The List'!$B1:$AH665,28,FALSE)-AVERAGE('The List'!AC2:AC665))/STDEV('The List'!AC2:AC665)</f>
        <v>-0.8955584466001481</v>
      </c>
      <c r="Q57" s="77">
        <f>(VLOOKUP($A57,'The List'!$B1:$AH665,29,FALSE)-AVERAGE('The List'!AD2:AD665))/STDEV('The List'!AD2:AD665)</f>
        <v>-0.342191862544782</v>
      </c>
      <c r="R57" s="77">
        <f>(VLOOKUP($A57,'The List'!$B1:$AH665,30,FALSE)-AVERAGE('The List'!AE2:AE665))/STDEV('The List'!AE2:AE665)</f>
        <v>1.91329889461945</v>
      </c>
      <c r="S57" s="77">
        <f>(VLOOKUP($A57,'The List'!$B1:$AH665,31,FALSE)-AVERAGE('The List'!AF2:AF665))/STDEV('The List'!AF2:AF665)</f>
        <v>-0.568759374940458</v>
      </c>
      <c r="T57" s="77">
        <f>(VLOOKUP($A57,'The List'!$B1:$AH665,32,FALSE)-AVERAGE('The List'!AG2:AG665))/STDEV('The List'!AG2:AG665)</f>
        <v>-0.607070306089077</v>
      </c>
      <c r="U57" s="77">
        <f>(VLOOKUP($A57,'The List'!$B1:$AH665,33,FALSE)-AVERAGE('The List'!AH2:AH665))/STDEV('The List'!AH2:AH665)</f>
        <v>-0.20674511393686</v>
      </c>
      <c r="V57" s="77"/>
      <c r="W57" s="79"/>
      <c r="X57" s="79"/>
      <c r="Y57" s="79"/>
      <c r="Z57" s="79"/>
      <c r="AA57" s="79"/>
      <c r="AB57" s="79"/>
      <c r="AC57" s="82"/>
      <c r="AD57" s="83"/>
      <c r="AE57" s="84"/>
    </row>
    <row r="58" ht="21.25" customHeight="1">
      <c r="A58" t="s" s="10">
        <v>221</v>
      </c>
      <c r="B58" t="s" s="86">
        <f>VLOOKUP(A58,'Player Data'!A1:B667,2,FALSE)</f>
        <v>866</v>
      </c>
      <c r="C58" s="74">
        <f>((E58)*'Settings'!$C$12)+(F58*'Settings'!$C$2)+(G58*'Settings'!$C$3)+(H58*'Settings'!$C$4)+(I58*'Settings'!$C$5)+(K58*'Settings'!$C$9)+(N58*'Settings'!$C$6)+(J58*'Settings'!$C$8)+(O58*'Settings'!$C$7)+(P58*'Settings'!$C$14)+(Q58*'Settings'!$C$15)+(R58*'Settings'!$C$16)+(S58*'Settings'!$C$17)+(T58*'Settings'!$C$18)+(U58*'Settings'!$C$19)+(L58*'Settings'!$C$10)+('Settings'!$C$11*M58)</f>
        <v>7.26903830810076</v>
      </c>
      <c r="D58" s="79">
        <f>IF('Settings'!$E$12="YES",VLOOKUP(A58,'Player Data'!A1:E667,5,FALSE),82)</f>
        <v>80.495</v>
      </c>
      <c r="E58" s="77">
        <f>(VLOOKUP($A58,'The List'!$B1:$AH665,17,FALSE)-AVERAGE('The List'!R2:R665))/STDEV('The List'!R2:R665)</f>
        <v>2.07559698337032</v>
      </c>
      <c r="F58" s="77">
        <f>(VLOOKUP($A58,'The List'!$B1:$AH665,18,FALSE)-AVERAGE('The List'!S2:S665))/STDEV('The List'!S2:S665)</f>
        <v>-0.0594632610030306</v>
      </c>
      <c r="G58" s="77">
        <f>(VLOOKUP($A58,'The List'!$B1:$AH665,19,FALSE)-AVERAGE('The List'!T2:T665))/STDEV('The List'!T2:T665)</f>
        <v>2.48664802488331</v>
      </c>
      <c r="H58" s="77">
        <f>(VLOOKUP($A58,'The List'!$B1:$AH665,20,FALSE)-AVERAGE('The List'!U2:U665))/STDEV('The List'!U2:U665)</f>
        <v>1.51731936433969</v>
      </c>
      <c r="I58" s="77">
        <f>(VLOOKUP($A58,'The List'!$B1:$AH665,21,FALSE)-AVERAGE('The List'!V2:V665))/STDEV('The List'!V2:V665)</f>
        <v>0.8343037944964889</v>
      </c>
      <c r="J58" s="77">
        <f>(VLOOKUP($A58,'The List'!$B1:$AH665,22,FALSE)-AVERAGE('The List'!W2:W665))/STDEV('The List'!W2:W665)</f>
        <v>0.361836589758471</v>
      </c>
      <c r="K58" s="77">
        <f>(VLOOKUP($A58,'The List'!$B1:$AH665,23,FALSE)-AVERAGE('The List'!X2:X665))/STDEV('The List'!X2:X665)</f>
        <v>2.31940890957438</v>
      </c>
      <c r="L58" s="77">
        <f>(VLOOKUP($A58,'The List'!$B1:$AH665,24,FALSE)-AVERAGE('The List'!Y2:Y665))/STDEV('The List'!Y2:Y665)</f>
        <v>-0.200141016219211</v>
      </c>
      <c r="M58" s="77">
        <f>(VLOOKUP($A58,'The List'!$B1:$AH665,25,FALSE)-AVERAGE('The List'!Z2:Z665))/STDEV('The List'!Z2:Z665)</f>
        <v>-0.218381232455845</v>
      </c>
      <c r="N58" s="77">
        <f>(VLOOKUP($A58,'The List'!$B1:$AH665,26,FALSE)-AVERAGE('The List'!AA2:AA665))/STDEV('The List'!AA2:AA665)</f>
        <v>1.20475699423273</v>
      </c>
      <c r="O58" s="77">
        <f>(VLOOKUP($A58,'The List'!$B1:$AH665,27,FALSE)-AVERAGE('The List'!AB2:AB665))/STDEV('The List'!AB2:AB665)</f>
        <v>-0.209192078762544</v>
      </c>
      <c r="P58" s="77">
        <f>(VLOOKUP($A58,'The List'!$B1:$AH665,28,FALSE)-AVERAGE('The List'!AC2:AC665))/STDEV('The List'!AC2:AC665)</f>
        <v>0.483383845916878</v>
      </c>
      <c r="Q58" s="77">
        <f>(VLOOKUP($A58,'The List'!$B1:$AH665,29,FALSE)-AVERAGE('The List'!AD2:AD665))/STDEV('The List'!AD2:AD665)</f>
        <v>0.61363051882004</v>
      </c>
      <c r="R58" s="77">
        <f>(VLOOKUP($A58,'The List'!$B1:$AH665,30,FALSE)-AVERAGE('The List'!AE2:AE665))/STDEV('The List'!AE2:AE665)</f>
        <v>0.0134419745463407</v>
      </c>
      <c r="S58" s="77">
        <f>(VLOOKUP($A58,'The List'!$B1:$AH665,31,FALSE)-AVERAGE('The List'!AF2:AF665))/STDEV('The List'!AF2:AF665)</f>
        <v>-0.573894410680004</v>
      </c>
      <c r="T58" s="77">
        <f>(VLOOKUP($A58,'The List'!$B1:$AH665,32,FALSE)-AVERAGE('The List'!AG2:AG665))/STDEV('The List'!AG2:AG665)</f>
        <v>-0.625770787132651</v>
      </c>
      <c r="U58" s="77">
        <f>(VLOOKUP($A58,'The List'!$B1:$AH665,33,FALSE)-AVERAGE('The List'!AH2:AH665))/STDEV('The List'!AH2:AH665)</f>
        <v>-1.23143509451486</v>
      </c>
      <c r="V58" s="77"/>
      <c r="W58" s="79"/>
      <c r="X58" s="77"/>
      <c r="Y58" s="77"/>
      <c r="Z58" s="77"/>
      <c r="AA58" s="77"/>
      <c r="AB58" s="77"/>
      <c r="AC58" s="77"/>
      <c r="AD58" s="77"/>
      <c r="AE58" s="84"/>
    </row>
    <row r="59" ht="21.25" customHeight="1">
      <c r="A59" t="s" s="10">
        <v>306</v>
      </c>
      <c r="B59" t="s" s="86">
        <f>VLOOKUP(A59,'Player Data'!A1:B667,2,FALSE)</f>
        <v>156</v>
      </c>
      <c r="C59" s="74">
        <f>((E59)*'Settings'!$C$12)+(F59*'Settings'!$C$2)+(G59*'Settings'!$C$3)+(H59*'Settings'!$C$4)+(I59*'Settings'!$C$5)+(K59*'Settings'!$C$9)+(N59*'Settings'!$C$6)+(J59*'Settings'!$C$8)+(O59*'Settings'!$C$7)+(P59*'Settings'!$C$14)+(Q59*'Settings'!$C$15)+(R59*'Settings'!$C$16)+(S59*'Settings'!$C$17)+(T59*'Settings'!$C$18)+(U59*'Settings'!$C$19)+(L59*'Settings'!$C$10)+('Settings'!$C$11*M59)</f>
        <v>3.18788634863182</v>
      </c>
      <c r="D59" s="79">
        <f>IF('Settings'!$E$12="YES",VLOOKUP(A59,'Player Data'!A1:E667,5,FALSE),82)</f>
        <v>80.93000000000001</v>
      </c>
      <c r="E59" s="77">
        <f>(VLOOKUP($A59,'The List'!$B1:$AH665,17,FALSE)-AVERAGE('The List'!R2:R665))/STDEV('The List'!R2:R665)</f>
        <v>0.506442754038491</v>
      </c>
      <c r="F59" s="77">
        <f>(VLOOKUP($A59,'The List'!$B1:$AH665,18,FALSE)-AVERAGE('The List'!S2:S665))/STDEV('The List'!S2:S665)</f>
        <v>1.6797759447091</v>
      </c>
      <c r="G59" s="77">
        <f>(VLOOKUP($A59,'The List'!$B1:$AH665,19,FALSE)-AVERAGE('The List'!T2:T665))/STDEV('The List'!T2:T665)</f>
        <v>1.46656200799992</v>
      </c>
      <c r="H59" s="77">
        <f>(VLOOKUP($A59,'The List'!$B1:$AH665,20,FALSE)-AVERAGE('The List'!U2:U665))/STDEV('The List'!U2:U665)</f>
        <v>1.67435548201398</v>
      </c>
      <c r="I59" s="77">
        <f>(VLOOKUP($A59,'The List'!$B1:$AH665,21,FALSE)-AVERAGE('The List'!V2:V665))/STDEV('The List'!V2:V665)</f>
        <v>0.774483525134761</v>
      </c>
      <c r="J59" s="77">
        <f>(VLOOKUP($A59,'The List'!$B1:$AH665,22,FALSE)-AVERAGE('The List'!W2:W665))/STDEV('The List'!W2:W665)</f>
        <v>1.08379662089616</v>
      </c>
      <c r="K59" s="77">
        <f>(VLOOKUP($A59,'The List'!$B1:$AH665,23,FALSE)-AVERAGE('The List'!X2:X665))/STDEV('The List'!X2:X665)</f>
        <v>1.34441211795648</v>
      </c>
      <c r="L59" s="77">
        <f>(VLOOKUP($A59,'The List'!$B1:$AH665,24,FALSE)-AVERAGE('The List'!Y2:Y665))/STDEV('The List'!Y2:Y665)</f>
        <v>-0.477503814366708</v>
      </c>
      <c r="M59" s="77">
        <f>(VLOOKUP($A59,'The List'!$B1:$AH665,25,FALSE)-AVERAGE('The List'!Z2:Z665))/STDEV('The List'!Z2:Z665)</f>
        <v>-0.649811653512731</v>
      </c>
      <c r="N59" s="77">
        <f>(VLOOKUP($A59,'The List'!$B1:$AH665,26,FALSE)-AVERAGE('The List'!AA2:AA665))/STDEV('The List'!AA2:AA665)</f>
        <v>-0.876938463122244</v>
      </c>
      <c r="O59" s="77">
        <f>(VLOOKUP($A59,'The List'!$B1:$AH665,27,FALSE)-AVERAGE('The List'!AB2:AB665))/STDEV('The List'!AB2:AB665)</f>
        <v>-0.555216185578696</v>
      </c>
      <c r="P59" s="77">
        <f>(VLOOKUP($A59,'The List'!$B1:$AH665,28,FALSE)-AVERAGE('The List'!AC2:AC665))/STDEV('The List'!AC2:AC665)</f>
        <v>-1.2004087840462</v>
      </c>
      <c r="Q59" s="77">
        <f>(VLOOKUP($A59,'The List'!$B1:$AH665,29,FALSE)-AVERAGE('The List'!AD2:AD665))/STDEV('The List'!AD2:AD665)</f>
        <v>-0.276274026924701</v>
      </c>
      <c r="R59" s="77">
        <f>(VLOOKUP($A59,'The List'!$B1:$AH665,30,FALSE)-AVERAGE('The List'!AE2:AE665))/STDEV('The List'!AE2:AE665)</f>
        <v>1.38134858040105</v>
      </c>
      <c r="S59" s="77">
        <f>(VLOOKUP($A59,'The List'!$B1:$AH665,31,FALSE)-AVERAGE('The List'!AF2:AF665))/STDEV('The List'!AF2:AF665)</f>
        <v>-0.547860725972384</v>
      </c>
      <c r="T59" s="77">
        <f>(VLOOKUP($A59,'The List'!$B1:$AH665,32,FALSE)-AVERAGE('The List'!AG2:AG665))/STDEV('The List'!AG2:AG665)</f>
        <v>-0.577271445367024</v>
      </c>
      <c r="U59" s="77">
        <f>(VLOOKUP($A59,'The List'!$B1:$AH665,33,FALSE)-AVERAGE('The List'!AH2:AH665))/STDEV('The List'!AH2:AH665)</f>
        <v>0.416066957435455</v>
      </c>
      <c r="V59" s="77"/>
      <c r="W59" s="79"/>
      <c r="X59" s="79"/>
      <c r="Y59" s="79"/>
      <c r="Z59" s="79"/>
      <c r="AA59" s="79"/>
      <c r="AB59" s="79"/>
      <c r="AC59" s="82"/>
      <c r="AD59" s="83"/>
      <c r="AE59" s="84"/>
    </row>
    <row r="60" ht="21.25" customHeight="1">
      <c r="A60" t="s" s="10">
        <v>241</v>
      </c>
      <c r="B60" t="s" s="86">
        <f>VLOOKUP(A60,'Player Data'!A1:B667,2,FALSE)</f>
        <v>910</v>
      </c>
      <c r="C60" s="74">
        <f>((E60)*'Settings'!$C$12)+(F60*'Settings'!$C$2)+(G60*'Settings'!$C$3)+(H60*'Settings'!$C$4)+(I60*'Settings'!$C$5)+(K60*'Settings'!$C$9)+(N60*'Settings'!$C$6)+(J60*'Settings'!$C$8)+(O60*'Settings'!$C$7)+(P60*'Settings'!$C$14)+(Q60*'Settings'!$C$15)+(R60*'Settings'!$C$16)+(S60*'Settings'!$C$17)+(T60*'Settings'!$C$18)+(U60*'Settings'!$C$19)+(L60*'Settings'!$C$10)+('Settings'!$C$11*M60)</f>
        <v>3.683394045759</v>
      </c>
      <c r="D60" s="79">
        <f>IF('Settings'!$E$12="YES",VLOOKUP(A60,'Player Data'!A1:E667,5,FALSE),82)</f>
        <v>77.64</v>
      </c>
      <c r="E60" s="77">
        <f>(VLOOKUP($A60,'The List'!$B1:$AH665,17,FALSE)-AVERAGE('The List'!R2:R665))/STDEV('The List'!R2:R665)</f>
        <v>0.750237252241005</v>
      </c>
      <c r="F60" s="77">
        <f>(VLOOKUP($A60,'The List'!$B1:$AH665,18,FALSE)-AVERAGE('The List'!S2:S665))/STDEV('The List'!S2:S665)</f>
        <v>1.73365902359888</v>
      </c>
      <c r="G60" s="77">
        <f>(VLOOKUP($A60,'The List'!$B1:$AH665,19,FALSE)-AVERAGE('The List'!T2:T665))/STDEV('The List'!T2:T665)</f>
        <v>0.954090261946584</v>
      </c>
      <c r="H60" s="77">
        <f>(VLOOKUP($A60,'The List'!$B1:$AH665,20,FALSE)-AVERAGE('The List'!U2:U665))/STDEV('The List'!U2:U665)</f>
        <v>1.38057413301882</v>
      </c>
      <c r="I60" s="77">
        <f>(VLOOKUP($A60,'The List'!$B1:$AH665,21,FALSE)-AVERAGE('The List'!V2:V665))/STDEV('The List'!V2:V665)</f>
        <v>1.7608801314781</v>
      </c>
      <c r="J60" s="77">
        <f>(VLOOKUP($A60,'The List'!$B1:$AH665,22,FALSE)-AVERAGE('The List'!W2:W665))/STDEV('The List'!W2:W665)</f>
        <v>0.39450429921259</v>
      </c>
      <c r="K60" s="77">
        <f>(VLOOKUP($A60,'The List'!$B1:$AH665,23,FALSE)-AVERAGE('The List'!X2:X665))/STDEV('The List'!X2:X665)</f>
        <v>0.385293910130888</v>
      </c>
      <c r="L60" s="77">
        <f>(VLOOKUP($A60,'The List'!$B1:$AH665,24,FALSE)-AVERAGE('The List'!Y2:Y665))/STDEV('The List'!Y2:Y665)</f>
        <v>7.48253720322056</v>
      </c>
      <c r="M60" s="77">
        <f>(VLOOKUP($A60,'The List'!$B1:$AH665,25,FALSE)-AVERAGE('The List'!Z2:Z665))/STDEV('The List'!Z2:Z665)</f>
        <v>5.97045563882972</v>
      </c>
      <c r="N60" s="77">
        <f>(VLOOKUP($A60,'The List'!$B1:$AH665,26,FALSE)-AVERAGE('The List'!AA2:AA665))/STDEV('The List'!AA2:AA665)</f>
        <v>-0.659675468321799</v>
      </c>
      <c r="O60" s="77">
        <f>(VLOOKUP($A60,'The List'!$B1:$AH665,27,FALSE)-AVERAGE('The List'!AB2:AB665))/STDEV('The List'!AB2:AB665)</f>
        <v>-0.181304553794785</v>
      </c>
      <c r="P60" s="77">
        <f>(VLOOKUP($A60,'The List'!$B1:$AH665,28,FALSE)-AVERAGE('The List'!AC2:AC665))/STDEV('The List'!AC2:AC665)</f>
        <v>-0.49085381307365</v>
      </c>
      <c r="Q60" s="77">
        <f>(VLOOKUP($A60,'The List'!$B1:$AH665,29,FALSE)-AVERAGE('The List'!AD2:AD665))/STDEV('The List'!AD2:AD665)</f>
        <v>1.42487265800729</v>
      </c>
      <c r="R60" s="77">
        <f>(VLOOKUP($A60,'The List'!$B1:$AH665,30,FALSE)-AVERAGE('The List'!AE2:AE665))/STDEV('The List'!AE2:AE665)</f>
        <v>1.5786037646731</v>
      </c>
      <c r="S60" s="77">
        <f>(VLOOKUP($A60,'The List'!$B1:$AH665,31,FALSE)-AVERAGE('The List'!AF2:AF665))/STDEV('The List'!AF2:AF665)</f>
        <v>-0.396895985206819</v>
      </c>
      <c r="T60" s="77">
        <f>(VLOOKUP($A60,'The List'!$B1:$AH665,32,FALSE)-AVERAGE('The List'!AG2:AG665))/STDEV('The List'!AG2:AG665)</f>
        <v>-0.371839550445038</v>
      </c>
      <c r="U60" s="77">
        <f>(VLOOKUP($A60,'The List'!$B1:$AH665,33,FALSE)-AVERAGE('The List'!AH2:AH665))/STDEV('The List'!AH2:AH665)</f>
        <v>0.698504906728008</v>
      </c>
      <c r="V60" s="77"/>
      <c r="W60" s="79"/>
      <c r="X60" s="77"/>
      <c r="Y60" s="77"/>
      <c r="Z60" s="77"/>
      <c r="AA60" s="77"/>
      <c r="AB60" s="77"/>
      <c r="AC60" s="77"/>
      <c r="AD60" s="77"/>
      <c r="AE60" s="84"/>
    </row>
    <row r="61" ht="21.25" customHeight="1">
      <c r="A61" t="s" s="10">
        <v>169</v>
      </c>
      <c r="B61" t="s" s="86">
        <f>VLOOKUP(A61,'Player Data'!A1:B667,2,FALSE)</f>
        <v>878</v>
      </c>
      <c r="C61" s="74">
        <f>((E61)*'Settings'!$C$12)+(F61*'Settings'!$C$2)+(G61*'Settings'!$C$3)+(H61*'Settings'!$C$4)+(I61*'Settings'!$C$5)+(K61*'Settings'!$C$9)+(N61*'Settings'!$C$6)+(J61*'Settings'!$C$8)+(O61*'Settings'!$C$7)+(P61*'Settings'!$C$14)+(Q61*'Settings'!$C$15)+(R61*'Settings'!$C$16)+(S61*'Settings'!$C$17)+(T61*'Settings'!$C$18)+(U61*'Settings'!$C$19)+(L61*'Settings'!$C$10)+('Settings'!$C$11*M61)</f>
        <v>6.68420195425249</v>
      </c>
      <c r="D61" s="79">
        <f>IF('Settings'!$E$12="YES",VLOOKUP(A61,'Player Data'!A1:E667,5,FALSE),82)</f>
        <v>81.93000000000001</v>
      </c>
      <c r="E61" s="77">
        <f>(VLOOKUP($A61,'The List'!$B1:$AH665,17,FALSE)-AVERAGE('The List'!R2:R665))/STDEV('The List'!R2:R665)</f>
        <v>1.29376980443402</v>
      </c>
      <c r="F61" s="77">
        <f>(VLOOKUP($A61,'The List'!$B1:$AH665,18,FALSE)-AVERAGE('The List'!S2:S665))/STDEV('The List'!S2:S665)</f>
        <v>1.10647024208564</v>
      </c>
      <c r="G61" s="77">
        <f>(VLOOKUP($A61,'The List'!$B1:$AH665,19,FALSE)-AVERAGE('The List'!T2:T665))/STDEV('The List'!T2:T665)</f>
        <v>1.65310445334404</v>
      </c>
      <c r="H61" s="77">
        <f>(VLOOKUP($A61,'The List'!$B1:$AH665,20,FALSE)-AVERAGE('The List'!U2:U665))/STDEV('The List'!U2:U665)</f>
        <v>1.52961413625268</v>
      </c>
      <c r="I61" s="77">
        <f>(VLOOKUP($A61,'The List'!$B1:$AH665,21,FALSE)-AVERAGE('The List'!V2:V665))/STDEV('The List'!V2:V665)</f>
        <v>1.43393437238798</v>
      </c>
      <c r="J61" s="77">
        <f>(VLOOKUP($A61,'The List'!$B1:$AH665,22,FALSE)-AVERAGE('The List'!W2:W665))/STDEV('The List'!W2:W665)</f>
        <v>1.66664074468047</v>
      </c>
      <c r="K61" s="77">
        <f>(VLOOKUP($A61,'The List'!$B1:$AH665,23,FALSE)-AVERAGE('The List'!X2:X665))/STDEV('The List'!X2:X665)</f>
        <v>1.1755769231079</v>
      </c>
      <c r="L61" s="77">
        <f>(VLOOKUP($A61,'The List'!$B1:$AH665,24,FALSE)-AVERAGE('The List'!Y2:Y665))/STDEV('The List'!Y2:Y665)</f>
        <v>0.691020965578802</v>
      </c>
      <c r="M61" s="77">
        <f>(VLOOKUP($A61,'The List'!$B1:$AH665,25,FALSE)-AVERAGE('The List'!Z2:Z665))/STDEV('The List'!Z2:Z665)</f>
        <v>0.179492495998854</v>
      </c>
      <c r="N61" s="77">
        <f>(VLOOKUP($A61,'The List'!$B1:$AH665,26,FALSE)-AVERAGE('The List'!AA2:AA665))/STDEV('The List'!AA2:AA665)</f>
        <v>0.179764676042635</v>
      </c>
      <c r="O61" s="77">
        <f>(VLOOKUP($A61,'The List'!$B1:$AH665,27,FALSE)-AVERAGE('The List'!AB2:AB665))/STDEV('The List'!AB2:AB665)</f>
        <v>1.66033185013855</v>
      </c>
      <c r="P61" s="77">
        <f>(VLOOKUP($A61,'The List'!$B1:$AH665,28,FALSE)-AVERAGE('The List'!AC2:AC665))/STDEV('The List'!AC2:AC665)</f>
        <v>1.13535128728429</v>
      </c>
      <c r="Q61" s="77">
        <f>(VLOOKUP($A61,'The List'!$B1:$AH665,29,FALSE)-AVERAGE('The List'!AD2:AD665))/STDEV('The List'!AD2:AD665)</f>
        <v>2.09197371089877</v>
      </c>
      <c r="R61" s="77">
        <f>(VLOOKUP($A61,'The List'!$B1:$AH665,30,FALSE)-AVERAGE('The List'!AE2:AE665))/STDEV('The List'!AE2:AE665)</f>
        <v>1.2849425052491</v>
      </c>
      <c r="S61" s="77">
        <f>(VLOOKUP($A61,'The List'!$B1:$AH665,31,FALSE)-AVERAGE('The List'!AF2:AF665))/STDEV('The List'!AF2:AF665)</f>
        <v>3.54303396554051</v>
      </c>
      <c r="T61" s="77">
        <f>(VLOOKUP($A61,'The List'!$B1:$AH665,32,FALSE)-AVERAGE('The List'!AG2:AG665))/STDEV('The List'!AG2:AG665)</f>
        <v>2.68474505134658</v>
      </c>
      <c r="U61" s="77">
        <f>(VLOOKUP($A61,'The List'!$B1:$AH665,33,FALSE)-AVERAGE('The List'!AH2:AH665))/STDEV('The List'!AH2:AH665)</f>
        <v>1.35002314929023</v>
      </c>
      <c r="V61" s="77"/>
      <c r="W61" s="89"/>
      <c r="X61" s="79"/>
      <c r="Y61" s="79"/>
      <c r="Z61" s="79"/>
      <c r="AA61" s="79"/>
      <c r="AB61" s="79"/>
      <c r="AC61" s="82"/>
      <c r="AD61" s="83"/>
      <c r="AE61" s="84"/>
    </row>
    <row r="62" ht="21.25" customHeight="1">
      <c r="A62" t="s" s="10">
        <v>310</v>
      </c>
      <c r="B62" t="s" s="86">
        <f>VLOOKUP(A62,'Player Data'!A1:B667,2,FALSE)</f>
        <v>275</v>
      </c>
      <c r="C62" s="74">
        <f>((E62)*'Settings'!$C$12)+(F62*'Settings'!$C$2)+(G62*'Settings'!$C$3)+(H62*'Settings'!$C$4)+(I62*'Settings'!$C$5)+(K62*'Settings'!$C$9)+(N62*'Settings'!$C$6)+(J62*'Settings'!$C$8)+(O62*'Settings'!$C$7)+(P62*'Settings'!$C$14)+(Q62*'Settings'!$C$15)+(R62*'Settings'!$C$16)+(S62*'Settings'!$C$17)+(T62*'Settings'!$C$18)+(U62*'Settings'!$C$19)+(L62*'Settings'!$C$10)+('Settings'!$C$11*M62)</f>
        <v>6.01506888006094</v>
      </c>
      <c r="D62" s="79">
        <f>IF('Settings'!$E$12="YES",VLOOKUP(A62,'Player Data'!A1:E667,5,FALSE),82)</f>
        <v>77.15000000000001</v>
      </c>
      <c r="E62" s="77">
        <f>(VLOOKUP($A62,'The List'!$B1:$AH665,17,FALSE)-AVERAGE('The List'!R2:R665))/STDEV('The List'!R2:R665)</f>
        <v>0.407045003386589</v>
      </c>
      <c r="F62" s="77">
        <f>(VLOOKUP($A62,'The List'!$B1:$AH665,18,FALSE)-AVERAGE('The List'!S2:S665))/STDEV('The List'!S2:S665)</f>
        <v>1.71533552263078</v>
      </c>
      <c r="G62" s="77">
        <f>(VLOOKUP($A62,'The List'!$B1:$AH665,19,FALSE)-AVERAGE('The List'!T2:T665))/STDEV('The List'!T2:T665)</f>
        <v>1.14790274760123</v>
      </c>
      <c r="H62" s="77">
        <f>(VLOOKUP($A62,'The List'!$B1:$AH665,20,FALSE)-AVERAGE('The List'!U2:U665))/STDEV('The List'!U2:U665)</f>
        <v>1.49261368214498</v>
      </c>
      <c r="I62" s="77">
        <f>(VLOOKUP($A62,'The List'!$B1:$AH665,21,FALSE)-AVERAGE('The List'!V2:V665))/STDEV('The List'!V2:V665)</f>
        <v>1.59594521349927</v>
      </c>
      <c r="J62" s="77">
        <f>(VLOOKUP($A62,'The List'!$B1:$AH665,22,FALSE)-AVERAGE('The List'!W2:W665))/STDEV('The List'!W2:W665)</f>
        <v>1.66413623418744</v>
      </c>
      <c r="K62" s="77">
        <f>(VLOOKUP($A62,'The List'!$B1:$AH665,23,FALSE)-AVERAGE('The List'!X2:X665))/STDEV('The List'!X2:X665)</f>
        <v>1.67579898653595</v>
      </c>
      <c r="L62" s="77">
        <f>(VLOOKUP($A62,'The List'!$B1:$AH665,24,FALSE)-AVERAGE('The List'!Y2:Y665))/STDEV('The List'!Y2:Y665)</f>
        <v>-0.510205038190616</v>
      </c>
      <c r="M62" s="77">
        <f>(VLOOKUP($A62,'The List'!$B1:$AH665,25,FALSE)-AVERAGE('The List'!Z2:Z665))/STDEV('The List'!Z2:Z665)</f>
        <v>-0.68278276501942</v>
      </c>
      <c r="N62" s="77">
        <f>(VLOOKUP($A62,'The List'!$B1:$AH665,26,FALSE)-AVERAGE('The List'!AA2:AA665))/STDEV('The List'!AA2:AA665)</f>
        <v>-0.795290320596608</v>
      </c>
      <c r="O62" s="77">
        <f>(VLOOKUP($A62,'The List'!$B1:$AH665,27,FALSE)-AVERAGE('The List'!AB2:AB665))/STDEV('The List'!AB2:AB665)</f>
        <v>-0.989429985877277</v>
      </c>
      <c r="P62" s="77">
        <f>(VLOOKUP($A62,'The List'!$B1:$AH665,28,FALSE)-AVERAGE('The List'!AC2:AC665))/STDEV('The List'!AC2:AC665)</f>
        <v>0.675376730390314</v>
      </c>
      <c r="Q62" s="77">
        <f>(VLOOKUP($A62,'The List'!$B1:$AH665,29,FALSE)-AVERAGE('The List'!AD2:AD665))/STDEV('The List'!AD2:AD665)</f>
        <v>0.472091045374679</v>
      </c>
      <c r="R62" s="77">
        <f>(VLOOKUP($A62,'The List'!$B1:$AH665,30,FALSE)-AVERAGE('The List'!AE2:AE665))/STDEV('The List'!AE2:AE665)</f>
        <v>1.95547395211169</v>
      </c>
      <c r="S62" s="77">
        <f>(VLOOKUP($A62,'The List'!$B1:$AH665,31,FALSE)-AVERAGE('The List'!AF2:AF665))/STDEV('The List'!AF2:AF665)</f>
        <v>-0.367567026134612</v>
      </c>
      <c r="T62" s="77">
        <f>(VLOOKUP($A62,'The List'!$B1:$AH665,32,FALSE)-AVERAGE('The List'!AG2:AG665))/STDEV('The List'!AG2:AG665)</f>
        <v>-0.373057792552787</v>
      </c>
      <c r="U62" s="77">
        <f>(VLOOKUP($A62,'The List'!$B1:$AH665,33,FALSE)-AVERAGE('The List'!AH2:AH665))/STDEV('The List'!AH2:AH665)</f>
        <v>0.8754678658059</v>
      </c>
      <c r="V62" s="77"/>
      <c r="W62" s="79"/>
      <c r="X62" s="79"/>
      <c r="Y62" s="79"/>
      <c r="Z62" s="79"/>
      <c r="AA62" s="79"/>
      <c r="AB62" s="79"/>
      <c r="AC62" s="82"/>
      <c r="AD62" s="83"/>
      <c r="AE62" s="84"/>
    </row>
    <row r="63" ht="21.25" customHeight="1">
      <c r="A63" t="s" s="10">
        <v>262</v>
      </c>
      <c r="B63" t="s" s="86">
        <f>VLOOKUP(A63,'Player Data'!A1:B667,2,FALSE)</f>
        <v>866</v>
      </c>
      <c r="C63" s="74">
        <f>((E63)*'Settings'!$C$12)+(F63*'Settings'!$C$2)+(G63*'Settings'!$C$3)+(H63*'Settings'!$C$4)+(I63*'Settings'!$C$5)+(K63*'Settings'!$C$9)+(N63*'Settings'!$C$6)+(J63*'Settings'!$C$8)+(O63*'Settings'!$C$7)+(P63*'Settings'!$C$14)+(Q63*'Settings'!$C$15)+(R63*'Settings'!$C$16)+(S63*'Settings'!$C$17)+(T63*'Settings'!$C$18)+(U63*'Settings'!$C$19)+(L63*'Settings'!$C$10)+('Settings'!$C$11*M63)</f>
        <v>5.35801486708004</v>
      </c>
      <c r="D63" s="79">
        <f>IF('Settings'!$E$12="YES",VLOOKUP(A63,'Player Data'!A1:E667,5,FALSE),82)</f>
        <v>81.3925</v>
      </c>
      <c r="E63" s="77">
        <f>(VLOOKUP($A63,'The List'!$B1:$AH665,17,FALSE)-AVERAGE('The List'!R2:R665))/STDEV('The List'!R2:R665)</f>
        <v>0.831343030897543</v>
      </c>
      <c r="F63" s="77">
        <f>(VLOOKUP($A63,'The List'!$B1:$AH665,18,FALSE)-AVERAGE('The List'!S2:S665))/STDEV('The List'!S2:S665)</f>
        <v>1.63841400177879</v>
      </c>
      <c r="G63" s="77">
        <f>(VLOOKUP($A63,'The List'!$B1:$AH665,19,FALSE)-AVERAGE('The List'!T2:T665))/STDEV('The List'!T2:T665)</f>
        <v>1.45898949822492</v>
      </c>
      <c r="H63" s="77">
        <f>(VLOOKUP($A63,'The List'!$B1:$AH665,20,FALSE)-AVERAGE('The List'!U2:U665))/STDEV('The List'!U2:U665)</f>
        <v>1.65085155850297</v>
      </c>
      <c r="I63" s="77">
        <f>(VLOOKUP($A63,'The List'!$B1:$AH665,21,FALSE)-AVERAGE('The List'!V2:V665))/STDEV('The List'!V2:V665)</f>
        <v>1.01236155933348</v>
      </c>
      <c r="J63" s="77">
        <f>(VLOOKUP($A63,'The List'!$B1:$AH665,22,FALSE)-AVERAGE('The List'!W2:W665))/STDEV('The List'!W2:W665)</f>
        <v>1.26636493996132</v>
      </c>
      <c r="K63" s="77">
        <f>(VLOOKUP($A63,'The List'!$B1:$AH665,23,FALSE)-AVERAGE('The List'!X2:X665))/STDEV('The List'!X2:X665)</f>
        <v>0.995814759947293</v>
      </c>
      <c r="L63" s="77">
        <f>(VLOOKUP($A63,'The List'!$B1:$AH665,24,FALSE)-AVERAGE('The List'!Y2:Y665))/STDEV('The List'!Y2:Y665)</f>
        <v>0.448522790763613</v>
      </c>
      <c r="M63" s="77">
        <f>(VLOOKUP($A63,'The List'!$B1:$AH665,25,FALSE)-AVERAGE('The List'!Z2:Z665))/STDEV('The List'!Z2:Z665)</f>
        <v>2.00119523008973</v>
      </c>
      <c r="N63" s="77">
        <f>(VLOOKUP($A63,'The List'!$B1:$AH665,26,FALSE)-AVERAGE('The List'!AA2:AA665))/STDEV('The List'!AA2:AA665)</f>
        <v>-0.452010913709237</v>
      </c>
      <c r="O63" s="77">
        <f>(VLOOKUP($A63,'The List'!$B1:$AH665,27,FALSE)-AVERAGE('The List'!AB2:AB665))/STDEV('The List'!AB2:AB665)</f>
        <v>-0.600938198930061</v>
      </c>
      <c r="P63" s="77">
        <f>(VLOOKUP($A63,'The List'!$B1:$AH665,28,FALSE)-AVERAGE('The List'!AC2:AC665))/STDEV('The List'!AC2:AC665)</f>
        <v>0.704445961504796</v>
      </c>
      <c r="Q63" s="77">
        <f>(VLOOKUP($A63,'The List'!$B1:$AH665,29,FALSE)-AVERAGE('The List'!AD2:AD665))/STDEV('The List'!AD2:AD665)</f>
        <v>1.14195522862823</v>
      </c>
      <c r="R63" s="77">
        <f>(VLOOKUP($A63,'The List'!$B1:$AH665,30,FALSE)-AVERAGE('The List'!AE2:AE665))/STDEV('The List'!AE2:AE665)</f>
        <v>1.73056952083414</v>
      </c>
      <c r="S63" s="77">
        <f>(VLOOKUP($A63,'The List'!$B1:$AH665,31,FALSE)-AVERAGE('The List'!AF2:AF665))/STDEV('The List'!AF2:AF665)</f>
        <v>-0.454342372665585</v>
      </c>
      <c r="T63" s="77">
        <f>(VLOOKUP($A63,'The List'!$B1:$AH665,32,FALSE)-AVERAGE('The List'!AG2:AG665))/STDEV('The List'!AG2:AG665)</f>
        <v>-0.407406111196273</v>
      </c>
      <c r="U63" s="77">
        <f>(VLOOKUP($A63,'The List'!$B1:$AH665,33,FALSE)-AVERAGE('The List'!AH2:AH665))/STDEV('The List'!AH2:AH665)</f>
        <v>0.436828633285692</v>
      </c>
      <c r="V63" s="77"/>
      <c r="W63" s="89"/>
      <c r="X63" s="79"/>
      <c r="Y63" s="79"/>
      <c r="Z63" s="79"/>
      <c r="AA63" s="79"/>
      <c r="AB63" s="79"/>
      <c r="AC63" s="82"/>
      <c r="AD63" s="83"/>
      <c r="AE63" s="84"/>
    </row>
    <row r="64" ht="21.25" customHeight="1">
      <c r="A64" t="s" s="10">
        <v>334</v>
      </c>
      <c r="B64" t="s" s="86">
        <f>VLOOKUP(A64,'Player Data'!A1:B667,2,FALSE)</f>
        <v>192</v>
      </c>
      <c r="C64" s="74">
        <f>((E64)*'Settings'!$C$12)+(F64*'Settings'!$C$2)+(G64*'Settings'!$C$3)+(H64*'Settings'!$C$4)+(I64*'Settings'!$C$5)+(K64*'Settings'!$C$9)+(N64*'Settings'!$C$6)+(J64*'Settings'!$C$8)+(O64*'Settings'!$C$7)+(P64*'Settings'!$C$14)+(Q64*'Settings'!$C$15)+(R64*'Settings'!$C$16)+(S64*'Settings'!$C$17)+(T64*'Settings'!$C$18)+(U64*'Settings'!$C$19)+(L64*'Settings'!$C$10)+('Settings'!$C$11*M64)</f>
        <v>4.49611444519018</v>
      </c>
      <c r="D64" s="79">
        <f>IF('Settings'!$E$12="YES",VLOOKUP(A64,'Player Data'!A1:E667,5,FALSE),82)</f>
        <v>80.5925</v>
      </c>
      <c r="E64" s="77">
        <f>(VLOOKUP($A64,'The List'!$B1:$AH665,17,FALSE)-AVERAGE('The List'!R2:R665))/STDEV('The List'!R2:R665)</f>
        <v>0.364613594362059</v>
      </c>
      <c r="F64" s="77">
        <f>(VLOOKUP($A64,'The List'!$B1:$AH665,18,FALSE)-AVERAGE('The List'!S2:S665))/STDEV('The List'!S2:S665)</f>
        <v>1.33451286963574</v>
      </c>
      <c r="G64" s="77">
        <f>(VLOOKUP($A64,'The List'!$B1:$AH665,19,FALSE)-AVERAGE('The List'!T2:T665))/STDEV('The List'!T2:T665)</f>
        <v>1.36535220257273</v>
      </c>
      <c r="H64" s="77">
        <f>(VLOOKUP($A64,'The List'!$B1:$AH665,20,FALSE)-AVERAGE('The List'!U2:U665))/STDEV('The List'!U2:U665)</f>
        <v>1.45456002271504</v>
      </c>
      <c r="I64" s="77">
        <f>(VLOOKUP($A64,'The List'!$B1:$AH665,21,FALSE)-AVERAGE('The List'!V2:V665))/STDEV('The List'!V2:V665)</f>
        <v>0.610269428912291</v>
      </c>
      <c r="J64" s="77">
        <f>(VLOOKUP($A64,'The List'!$B1:$AH665,22,FALSE)-AVERAGE('The List'!W2:W665))/STDEV('The List'!W2:W665)</f>
        <v>0.906868909139128</v>
      </c>
      <c r="K64" s="77">
        <f>(VLOOKUP($A64,'The List'!$B1:$AH665,23,FALSE)-AVERAGE('The List'!X2:X665))/STDEV('The List'!X2:X665)</f>
        <v>1.5465696773645</v>
      </c>
      <c r="L64" s="77">
        <f>(VLOOKUP($A64,'The List'!$B1:$AH665,24,FALSE)-AVERAGE('The List'!Y2:Y665))/STDEV('The List'!Y2:Y665)</f>
        <v>-0.557446793671484</v>
      </c>
      <c r="M64" s="77">
        <f>(VLOOKUP($A64,'The List'!$B1:$AH665,25,FALSE)-AVERAGE('The List'!Z2:Z665))/STDEV('The List'!Z2:Z665)</f>
        <v>-0.730756236068794</v>
      </c>
      <c r="N64" s="77">
        <f>(VLOOKUP($A64,'The List'!$B1:$AH665,26,FALSE)-AVERAGE('The List'!AA2:AA665))/STDEV('The List'!AA2:AA665)</f>
        <v>-0.284803459147823</v>
      </c>
      <c r="O64" s="77">
        <f>(VLOOKUP($A64,'The List'!$B1:$AH665,27,FALSE)-AVERAGE('The List'!AB2:AB665))/STDEV('The List'!AB2:AB665)</f>
        <v>-1.51742872940401</v>
      </c>
      <c r="P64" s="77">
        <f>(VLOOKUP($A64,'The List'!$B1:$AH665,28,FALSE)-AVERAGE('The List'!AC2:AC665))/STDEV('The List'!AC2:AC665)</f>
        <v>-0.07578627414725859</v>
      </c>
      <c r="Q64" s="77">
        <f>(VLOOKUP($A64,'The List'!$B1:$AH665,29,FALSE)-AVERAGE('The List'!AD2:AD665))/STDEV('The List'!AD2:AD665)</f>
        <v>-0.334427069110497</v>
      </c>
      <c r="R64" s="77">
        <f>(VLOOKUP($A64,'The List'!$B1:$AH665,30,FALSE)-AVERAGE('The List'!AE2:AE665))/STDEV('The List'!AE2:AE665)</f>
        <v>1.15523660643872</v>
      </c>
      <c r="S64" s="77">
        <f>(VLOOKUP($A64,'The List'!$B1:$AH665,31,FALSE)-AVERAGE('The List'!AF2:AF665))/STDEV('The List'!AF2:AF665)</f>
        <v>2.55830698908321</v>
      </c>
      <c r="T64" s="77">
        <f>(VLOOKUP($A64,'The List'!$B1:$AH665,32,FALSE)-AVERAGE('The List'!AG2:AG665))/STDEV('The List'!AG2:AG665)</f>
        <v>2.53161922177671</v>
      </c>
      <c r="U64" s="77">
        <f>(VLOOKUP($A64,'The List'!$B1:$AH665,33,FALSE)-AVERAGE('The List'!AH2:AH665))/STDEV('The List'!AH2:AH665)</f>
        <v>1.09592653860286</v>
      </c>
      <c r="V64" s="77"/>
      <c r="W64" s="79"/>
      <c r="X64" s="77"/>
      <c r="Y64" s="77"/>
      <c r="Z64" s="77"/>
      <c r="AA64" s="77"/>
      <c r="AB64" s="77"/>
      <c r="AC64" s="77"/>
      <c r="AD64" s="77"/>
      <c r="AE64" s="84"/>
    </row>
    <row r="65" ht="21.25" customHeight="1">
      <c r="A65" t="s" s="10">
        <v>294</v>
      </c>
      <c r="B65" t="s" s="86">
        <f>VLOOKUP(A65,'Player Data'!A1:B667,2,FALSE)</f>
        <v>259</v>
      </c>
      <c r="C65" s="74">
        <f>((E65)*'Settings'!$C$12)+(F65*'Settings'!$C$2)+(G65*'Settings'!$C$3)+(H65*'Settings'!$C$4)+(I65*'Settings'!$C$5)+(K65*'Settings'!$C$9)+(N65*'Settings'!$C$6)+(J65*'Settings'!$C$8)+(O65*'Settings'!$C$7)+(P65*'Settings'!$C$14)+(Q65*'Settings'!$C$15)+(R65*'Settings'!$C$16)+(S65*'Settings'!$C$17)+(T65*'Settings'!$C$18)+(U65*'Settings'!$C$19)+(L65*'Settings'!$C$10)+('Settings'!$C$11*M65)</f>
        <v>5.70346280348838</v>
      </c>
      <c r="D65" s="79">
        <f>IF('Settings'!$E$12="YES",VLOOKUP(A65,'Player Data'!A1:E667,5,FALSE),82)</f>
        <v>78.83</v>
      </c>
      <c r="E65" s="77">
        <f>(VLOOKUP($A65,'The List'!$B1:$AH665,17,FALSE)-AVERAGE('The List'!R2:R665))/STDEV('The List'!R2:R665)</f>
        <v>2.05681562642648</v>
      </c>
      <c r="F65" s="77">
        <f>(VLOOKUP($A65,'The List'!$B1:$AH665,18,FALSE)-AVERAGE('The List'!S2:S665))/STDEV('The List'!S2:S665)</f>
        <v>0.152662886427059</v>
      </c>
      <c r="G65" s="77">
        <f>(VLOOKUP($A65,'The List'!$B1:$AH665,19,FALSE)-AVERAGE('The List'!T2:T665))/STDEV('The List'!T2:T665)</f>
        <v>2.08492535385461</v>
      </c>
      <c r="H65" s="77">
        <f>(VLOOKUP($A65,'The List'!$B1:$AH665,20,FALSE)-AVERAGE('The List'!U2:U665))/STDEV('The List'!U2:U665)</f>
        <v>1.36424841469485</v>
      </c>
      <c r="I65" s="77">
        <f>(VLOOKUP($A65,'The List'!$B1:$AH665,21,FALSE)-AVERAGE('The List'!V2:V665))/STDEV('The List'!V2:V665)</f>
        <v>1.07245981552737</v>
      </c>
      <c r="J65" s="77">
        <f>(VLOOKUP($A65,'The List'!$B1:$AH665,22,FALSE)-AVERAGE('The List'!W2:W665))/STDEV('The List'!W2:W665)</f>
        <v>0.00174968412867901</v>
      </c>
      <c r="K65" s="77">
        <f>(VLOOKUP($A65,'The List'!$B1:$AH665,23,FALSE)-AVERAGE('The List'!X2:X665))/STDEV('The List'!X2:X665)</f>
        <v>1.28039116116562</v>
      </c>
      <c r="L65" s="77">
        <f>(VLOOKUP($A65,'The List'!$B1:$AH665,24,FALSE)-AVERAGE('The List'!Y2:Y665))/STDEV('The List'!Y2:Y665)</f>
        <v>-0.570951899356261</v>
      </c>
      <c r="M65" s="77">
        <f>(VLOOKUP($A65,'The List'!$B1:$AH665,25,FALSE)-AVERAGE('The List'!Z2:Z665))/STDEV('The List'!Z2:Z665)</f>
        <v>-0.726247308028366</v>
      </c>
      <c r="N65" s="77">
        <f>(VLOOKUP($A65,'The List'!$B1:$AH665,26,FALSE)-AVERAGE('The List'!AA2:AA665))/STDEV('The List'!AA2:AA665)</f>
        <v>0.699124164148011</v>
      </c>
      <c r="O65" s="77">
        <f>(VLOOKUP($A65,'The List'!$B1:$AH665,27,FALSE)-AVERAGE('The List'!AB2:AB665))/STDEV('The List'!AB2:AB665)</f>
        <v>-0.996632094920875</v>
      </c>
      <c r="P65" s="77">
        <f>(VLOOKUP($A65,'The List'!$B1:$AH665,28,FALSE)-AVERAGE('The List'!AC2:AC665))/STDEV('The List'!AC2:AC665)</f>
        <v>0.413899422365713</v>
      </c>
      <c r="Q65" s="77">
        <f>(VLOOKUP($A65,'The List'!$B1:$AH665,29,FALSE)-AVERAGE('The List'!AD2:AD665))/STDEV('The List'!AD2:AD665)</f>
        <v>0.137328987077313</v>
      </c>
      <c r="R65" s="77">
        <f>(VLOOKUP($A65,'The List'!$B1:$AH665,30,FALSE)-AVERAGE('The List'!AE2:AE665))/STDEV('The List'!AE2:AE665)</f>
        <v>0.139083780833158</v>
      </c>
      <c r="S65" s="77">
        <f>(VLOOKUP($A65,'The List'!$B1:$AH665,31,FALSE)-AVERAGE('The List'!AF2:AF665))/STDEV('The List'!AF2:AF665)</f>
        <v>-0.573894410680004</v>
      </c>
      <c r="T65" s="77">
        <f>(VLOOKUP($A65,'The List'!$B1:$AH665,32,FALSE)-AVERAGE('The List'!AG2:AG665))/STDEV('The List'!AG2:AG665)</f>
        <v>-0.625009611706157</v>
      </c>
      <c r="U65" s="77">
        <f>(VLOOKUP($A65,'The List'!$B1:$AH665,33,FALSE)-AVERAGE('The List'!AH2:AH665))/STDEV('The List'!AH2:AH665)</f>
        <v>-1.23143509451486</v>
      </c>
      <c r="V65" s="77"/>
      <c r="W65" s="79"/>
      <c r="X65" s="79"/>
      <c r="Y65" s="79"/>
      <c r="Z65" s="79"/>
      <c r="AA65" s="79"/>
      <c r="AB65" s="79"/>
      <c r="AC65" s="82"/>
      <c r="AD65" s="83"/>
      <c r="AE65" s="84"/>
    </row>
    <row r="66" ht="21.25" customHeight="1">
      <c r="A66" t="s" s="10">
        <v>308</v>
      </c>
      <c r="B66" t="s" s="86">
        <f>VLOOKUP(A66,'Player Data'!A1:B667,2,FALSE)</f>
        <v>909</v>
      </c>
      <c r="C66" s="74">
        <f>((E66)*'Settings'!$C$12)+(F66*'Settings'!$C$2)+(G66*'Settings'!$C$3)+(H66*'Settings'!$C$4)+(I66*'Settings'!$C$5)+(K66*'Settings'!$C$9)+(N66*'Settings'!$C$6)+(J66*'Settings'!$C$8)+(O66*'Settings'!$C$7)+(P66*'Settings'!$C$14)+(Q66*'Settings'!$C$15)+(R66*'Settings'!$C$16)+(S66*'Settings'!$C$17)+(T66*'Settings'!$C$18)+(U66*'Settings'!$C$19)+(L66*'Settings'!$C$10)+('Settings'!$C$11*M66)</f>
        <v>4.90694078225459</v>
      </c>
      <c r="D66" s="79">
        <f>IF('Settings'!$E$12="YES",VLOOKUP(A66,'Player Data'!A1:E667,5,FALSE),82)</f>
        <v>75.58</v>
      </c>
      <c r="E66" s="77">
        <f>(VLOOKUP($A66,'The List'!$B1:$AH665,17,FALSE)-AVERAGE('The List'!R2:R665))/STDEV('The List'!R2:R665)</f>
        <v>0.729962383239628</v>
      </c>
      <c r="F66" s="77">
        <f>(VLOOKUP($A66,'The List'!$B1:$AH665,18,FALSE)-AVERAGE('The List'!S2:S665))/STDEV('The List'!S2:S665)</f>
        <v>1.95066544623769</v>
      </c>
      <c r="G66" s="77">
        <f>(VLOOKUP($A66,'The List'!$B1:$AH665,19,FALSE)-AVERAGE('The List'!T2:T665))/STDEV('The List'!T2:T665)</f>
        <v>0.798231281082977</v>
      </c>
      <c r="H66" s="77">
        <f>(VLOOKUP($A66,'The List'!$B1:$AH665,20,FALSE)-AVERAGE('The List'!U2:U665))/STDEV('The List'!U2:U665)</f>
        <v>1.38241667647857</v>
      </c>
      <c r="I66" s="77">
        <f>(VLOOKUP($A66,'The List'!$B1:$AH665,21,FALSE)-AVERAGE('The List'!V2:V665))/STDEV('The List'!V2:V665)</f>
        <v>2.50055381939623</v>
      </c>
      <c r="J66" s="77">
        <f>(VLOOKUP($A66,'The List'!$B1:$AH665,22,FALSE)-AVERAGE('The List'!W2:W665))/STDEV('The List'!W2:W665)</f>
        <v>1.98652304857683</v>
      </c>
      <c r="K66" s="77">
        <f>(VLOOKUP($A66,'The List'!$B1:$AH665,23,FALSE)-AVERAGE('The List'!X2:X665))/STDEV('The List'!X2:X665)</f>
        <v>1.36656509051937</v>
      </c>
      <c r="L66" s="77">
        <f>(VLOOKUP($A66,'The List'!$B1:$AH665,24,FALSE)-AVERAGE('The List'!Y2:Y665))/STDEV('The List'!Y2:Y665)</f>
        <v>-0.577560077632242</v>
      </c>
      <c r="M66" s="77">
        <f>(VLOOKUP($A66,'The List'!$B1:$AH665,25,FALSE)-AVERAGE('The List'!Z2:Z665))/STDEV('The List'!Z2:Z665)</f>
        <v>-0.751356589776961</v>
      </c>
      <c r="N66" s="77">
        <f>(VLOOKUP($A66,'The List'!$B1:$AH665,26,FALSE)-AVERAGE('The List'!AA2:AA665))/STDEV('The List'!AA2:AA665)</f>
        <v>-1.02780172620583</v>
      </c>
      <c r="O66" s="77">
        <f>(VLOOKUP($A66,'The List'!$B1:$AH665,27,FALSE)-AVERAGE('The List'!AB2:AB665))/STDEV('The List'!AB2:AB665)</f>
        <v>-0.954869460013773</v>
      </c>
      <c r="P66" s="77">
        <f>(VLOOKUP($A66,'The List'!$B1:$AH665,28,FALSE)-AVERAGE('The List'!AC2:AC665))/STDEV('The List'!AC2:AC665)</f>
        <v>-0.68127312877585</v>
      </c>
      <c r="Q66" s="77">
        <f>(VLOOKUP($A66,'The List'!$B1:$AH665,29,FALSE)-AVERAGE('The List'!AD2:AD665))/STDEV('The List'!AD2:AD665)</f>
        <v>-1.12270409459774</v>
      </c>
      <c r="R66" s="77">
        <f>(VLOOKUP($A66,'The List'!$B1:$AH665,30,FALSE)-AVERAGE('The List'!AE2:AE665))/STDEV('The List'!AE2:AE665)</f>
        <v>1.16817752872478</v>
      </c>
      <c r="S66" s="77">
        <f>(VLOOKUP($A66,'The List'!$B1:$AH665,31,FALSE)-AVERAGE('The List'!AF2:AF665))/STDEV('The List'!AF2:AF665)</f>
        <v>-0.551399715122975</v>
      </c>
      <c r="T66" s="77">
        <f>(VLOOKUP($A66,'The List'!$B1:$AH665,32,FALSE)-AVERAGE('The List'!AG2:AG665))/STDEV('The List'!AG2:AG665)</f>
        <v>-0.581130669749545</v>
      </c>
      <c r="U66" s="77">
        <f>(VLOOKUP($A66,'The List'!$B1:$AH665,33,FALSE)-AVERAGE('The List'!AH2:AH665))/STDEV('The List'!AH2:AH665)</f>
        <v>0.350381657783041</v>
      </c>
      <c r="V66" s="77"/>
      <c r="W66" s="79"/>
      <c r="X66" s="77"/>
      <c r="Y66" s="77"/>
      <c r="Z66" s="77"/>
      <c r="AA66" s="77"/>
      <c r="AB66" s="77"/>
      <c r="AC66" s="77"/>
      <c r="AD66" s="77"/>
      <c r="AE66" s="84"/>
    </row>
    <row r="67" ht="21.25" customHeight="1">
      <c r="A67" t="s" s="10">
        <v>410</v>
      </c>
      <c r="B67" t="s" s="86">
        <f>VLOOKUP(A67,'Player Data'!A1:B667,2,FALSE)</f>
        <v>903</v>
      </c>
      <c r="C67" s="74">
        <f>((E67)*'Settings'!$C$12)+(F67*'Settings'!$C$2)+(G67*'Settings'!$C$3)+(H67*'Settings'!$C$4)+(I67*'Settings'!$C$5)+(K67*'Settings'!$C$9)+(N67*'Settings'!$C$6)+(J67*'Settings'!$C$8)+(O67*'Settings'!$C$7)+(P67*'Settings'!$C$14)+(Q67*'Settings'!$C$15)+(R67*'Settings'!$C$16)+(S67*'Settings'!$C$17)+(T67*'Settings'!$C$18)+(U67*'Settings'!$C$19)+(L67*'Settings'!$C$10)+('Settings'!$C$11*M67)</f>
        <v>2.72588080498184</v>
      </c>
      <c r="D67" s="79">
        <f>IF('Settings'!$E$12="YES",VLOOKUP(A67,'Player Data'!A1:E667,5,FALSE),82)</f>
        <v>67.55249999999999</v>
      </c>
      <c r="E67" s="77">
        <f>(VLOOKUP($A67,'The List'!$B1:$AH665,17,FALSE)-AVERAGE('The List'!R2:R665))/STDEV('The List'!R2:R665)</f>
        <v>0.587327922771779</v>
      </c>
      <c r="F67" s="77">
        <f>(VLOOKUP($A67,'The List'!$B1:$AH665,18,FALSE)-AVERAGE('The List'!S2:S665))/STDEV('The List'!S2:S665)</f>
        <v>0.6427928219285201</v>
      </c>
      <c r="G67" s="77">
        <f>(VLOOKUP($A67,'The List'!$B1:$AH665,19,FALSE)-AVERAGE('The List'!T2:T665))/STDEV('The List'!T2:T665)</f>
        <v>0.9998369873842891</v>
      </c>
      <c r="H67" s="77">
        <f>(VLOOKUP($A67,'The List'!$B1:$AH665,20,FALSE)-AVERAGE('The List'!U2:U665))/STDEV('The List'!U2:U665)</f>
        <v>0.913134880075734</v>
      </c>
      <c r="I67" s="77">
        <f>(VLOOKUP($A67,'The List'!$B1:$AH665,21,FALSE)-AVERAGE('The List'!V2:V665))/STDEV('The List'!V2:V665)</f>
        <v>0.184592462940403</v>
      </c>
      <c r="J67" s="77">
        <f>(VLOOKUP($A67,'The List'!$B1:$AH665,22,FALSE)-AVERAGE('The List'!W2:W665))/STDEV('The List'!W2:W665)</f>
        <v>0.652094689037986</v>
      </c>
      <c r="K67" s="77">
        <f>(VLOOKUP($A67,'The List'!$B1:$AH665,23,FALSE)-AVERAGE('The List'!X2:X665))/STDEV('The List'!X2:X665)</f>
        <v>0.794845390160855</v>
      </c>
      <c r="L67" s="77">
        <f>(VLOOKUP($A67,'The List'!$B1:$AH665,24,FALSE)-AVERAGE('The List'!Y2:Y665))/STDEV('The List'!Y2:Y665)</f>
        <v>3.36743572735465</v>
      </c>
      <c r="M67" s="77">
        <f>(VLOOKUP($A67,'The List'!$B1:$AH665,25,FALSE)-AVERAGE('The List'!Z2:Z665))/STDEV('The List'!Z2:Z665)</f>
        <v>2.83391248837231</v>
      </c>
      <c r="N67" s="77">
        <f>(VLOOKUP($A67,'The List'!$B1:$AH665,26,FALSE)-AVERAGE('The List'!AA2:AA665))/STDEV('The List'!AA2:AA665)</f>
        <v>-0.50770943742716</v>
      </c>
      <c r="O67" s="77">
        <f>(VLOOKUP($A67,'The List'!$B1:$AH665,27,FALSE)-AVERAGE('The List'!AB2:AB665))/STDEV('The List'!AB2:AB665)</f>
        <v>-0.968240540938715</v>
      </c>
      <c r="P67" s="77">
        <f>(VLOOKUP($A67,'The List'!$B1:$AH665,28,FALSE)-AVERAGE('The List'!AC2:AC665))/STDEV('The List'!AC2:AC665)</f>
        <v>0.611522579994933</v>
      </c>
      <c r="Q67" s="77">
        <f>(VLOOKUP($A67,'The List'!$B1:$AH665,29,FALSE)-AVERAGE('The List'!AD2:AD665))/STDEV('The List'!AD2:AD665)</f>
        <v>-0.6225617401685281</v>
      </c>
      <c r="R67" s="77">
        <f>(VLOOKUP($A67,'The List'!$B1:$AH665,30,FALSE)-AVERAGE('The List'!AE2:AE665))/STDEV('The List'!AE2:AE665)</f>
        <v>0.6543969723479121</v>
      </c>
      <c r="S67" s="77">
        <f>(VLOOKUP($A67,'The List'!$B1:$AH665,31,FALSE)-AVERAGE('The List'!AF2:AF665))/STDEV('The List'!AF2:AF665)</f>
        <v>-0.570039614734186</v>
      </c>
      <c r="T67" s="77">
        <f>(VLOOKUP($A67,'The List'!$B1:$AH665,32,FALSE)-AVERAGE('The List'!AG2:AG665))/STDEV('The List'!AG2:AG665)</f>
        <v>-0.579993622924127</v>
      </c>
      <c r="U67" s="77">
        <f>(VLOOKUP($A67,'The List'!$B1:$AH665,33,FALSE)-AVERAGE('The List'!AH2:AH665))/STDEV('The List'!AH2:AH665)</f>
        <v>-0.8587977352688519</v>
      </c>
      <c r="V67" s="77"/>
      <c r="W67" s="89"/>
      <c r="X67" s="79"/>
      <c r="Y67" s="79"/>
      <c r="Z67" s="79"/>
      <c r="AA67" s="79"/>
      <c r="AB67" s="79"/>
      <c r="AC67" s="82"/>
      <c r="AD67" s="83"/>
      <c r="AE67" s="84"/>
    </row>
    <row r="68" ht="21.25" customHeight="1">
      <c r="A68" t="s" s="10">
        <v>240</v>
      </c>
      <c r="B68" t="s" s="86">
        <f>VLOOKUP(A68,'Player Data'!A1:B667,2,FALSE)</f>
        <v>207</v>
      </c>
      <c r="C68" s="74">
        <f>((E68)*'Settings'!$C$12)+(F68*'Settings'!$C$2)+(G68*'Settings'!$C$3)+(H68*'Settings'!$C$4)+(I68*'Settings'!$C$5)+(K68*'Settings'!$C$9)+(N68*'Settings'!$C$6)+(J68*'Settings'!$C$8)+(O68*'Settings'!$C$7)+(P68*'Settings'!$C$14)+(Q68*'Settings'!$C$15)+(R68*'Settings'!$C$16)+(S68*'Settings'!$C$17)+(T68*'Settings'!$C$18)+(U68*'Settings'!$C$19)+(L68*'Settings'!$C$10)+('Settings'!$C$11*M68)</f>
        <v>5.91278652471946</v>
      </c>
      <c r="D68" s="79">
        <f>IF('Settings'!$E$12="YES",VLOOKUP(A68,'Player Data'!A1:E667,5,FALSE),82)</f>
        <v>80.23999999999999</v>
      </c>
      <c r="E68" s="77">
        <f>(VLOOKUP($A68,'The List'!$B1:$AH665,17,FALSE)-AVERAGE('The List'!R2:R665))/STDEV('The List'!R2:R665)</f>
        <v>0.883102462005691</v>
      </c>
      <c r="F68" s="77">
        <f>(VLOOKUP($A68,'The List'!$B1:$AH665,18,FALSE)-AVERAGE('The List'!S2:S665))/STDEV('The List'!S2:S665)</f>
        <v>2.02547288137907</v>
      </c>
      <c r="G68" s="77">
        <f>(VLOOKUP($A68,'The List'!$B1:$AH665,19,FALSE)-AVERAGE('The List'!T2:T665))/STDEV('The List'!T2:T665)</f>
        <v>0.7503193718739271</v>
      </c>
      <c r="H68" s="77">
        <f>(VLOOKUP($A68,'The List'!$B1:$AH665,20,FALSE)-AVERAGE('The List'!U2:U665))/STDEV('The List'!U2:U665)</f>
        <v>1.38666422201804</v>
      </c>
      <c r="I68" s="77">
        <f>(VLOOKUP($A68,'The List'!$B1:$AH665,21,FALSE)-AVERAGE('The List'!V2:V665))/STDEV('The List'!V2:V665)</f>
        <v>1.79580014753059</v>
      </c>
      <c r="J68" s="77">
        <f>(VLOOKUP($A68,'The List'!$B1:$AH665,22,FALSE)-AVERAGE('The List'!W2:W665))/STDEV('The List'!W2:W665)</f>
        <v>2.1115087741181</v>
      </c>
      <c r="K68" s="77">
        <f>(VLOOKUP($A68,'The List'!$B1:$AH665,23,FALSE)-AVERAGE('The List'!X2:X665))/STDEV('The List'!X2:X665)</f>
        <v>1.17358567610793</v>
      </c>
      <c r="L68" s="77">
        <f>(VLOOKUP($A68,'The List'!$B1:$AH665,24,FALSE)-AVERAGE('The List'!Y2:Y665))/STDEV('The List'!Y2:Y665)</f>
        <v>1.16893342764031</v>
      </c>
      <c r="M68" s="77">
        <f>(VLOOKUP($A68,'The List'!$B1:$AH665,25,FALSE)-AVERAGE('The List'!Z2:Z665))/STDEV('The List'!Z2:Z665)</f>
        <v>0.9869192749119799</v>
      </c>
      <c r="N68" s="77">
        <f>(VLOOKUP($A68,'The List'!$B1:$AH665,26,FALSE)-AVERAGE('The List'!AA2:AA665))/STDEV('The List'!AA2:AA665)</f>
        <v>-0.481027727688422</v>
      </c>
      <c r="O68" s="77">
        <f>(VLOOKUP($A68,'The List'!$B1:$AH665,27,FALSE)-AVERAGE('The List'!AB2:AB665))/STDEV('The List'!AB2:AB665)</f>
        <v>-0.628014559393423</v>
      </c>
      <c r="P68" s="77">
        <f>(VLOOKUP($A68,'The List'!$B1:$AH665,28,FALSE)-AVERAGE('The List'!AC2:AC665))/STDEV('The List'!AC2:AC665)</f>
        <v>0.648636175516365</v>
      </c>
      <c r="Q68" s="77">
        <f>(VLOOKUP($A68,'The List'!$B1:$AH665,29,FALSE)-AVERAGE('The List'!AD2:AD665))/STDEV('The List'!AD2:AD665)</f>
        <v>-0.09018355112149851</v>
      </c>
      <c r="R68" s="77">
        <f>(VLOOKUP($A68,'The List'!$B1:$AH665,30,FALSE)-AVERAGE('The List'!AE2:AE665))/STDEV('The List'!AE2:AE665)</f>
        <v>2.11333504882772</v>
      </c>
      <c r="S68" s="77">
        <f>(VLOOKUP($A68,'The List'!$B1:$AH665,31,FALSE)-AVERAGE('The List'!AF2:AF665))/STDEV('The List'!AF2:AF665)</f>
        <v>3.47281217175545</v>
      </c>
      <c r="T68" s="77">
        <f>(VLOOKUP($A68,'The List'!$B1:$AH665,32,FALSE)-AVERAGE('The List'!AG2:AG665))/STDEV('The List'!AG2:AG665)</f>
        <v>2.80323072275515</v>
      </c>
      <c r="U68" s="77">
        <f>(VLOOKUP($A68,'The List'!$B1:$AH665,33,FALSE)-AVERAGE('The List'!AH2:AH665))/STDEV('The List'!AH2:AH665)</f>
        <v>1.29162179023623</v>
      </c>
      <c r="V68" s="77"/>
      <c r="W68" s="89"/>
      <c r="X68" s="79"/>
      <c r="Y68" s="79"/>
      <c r="Z68" s="79"/>
      <c r="AA68" s="79"/>
      <c r="AB68" s="79"/>
      <c r="AC68" s="82"/>
      <c r="AD68" s="83"/>
      <c r="AE68" s="84"/>
    </row>
    <row r="69" ht="21.25" customHeight="1">
      <c r="A69" t="s" s="10">
        <v>224</v>
      </c>
      <c r="B69" t="s" s="86">
        <f>VLOOKUP(A69,'Player Data'!A1:B667,2,FALSE)</f>
        <v>267</v>
      </c>
      <c r="C69" s="74">
        <f>((E69)*'Settings'!$C$12)+(F69*'Settings'!$C$2)+(G69*'Settings'!$C$3)+(H69*'Settings'!$C$4)+(I69*'Settings'!$C$5)+(K69*'Settings'!$C$9)+(N69*'Settings'!$C$6)+(J69*'Settings'!$C$8)+(O69*'Settings'!$C$7)+(P69*'Settings'!$C$14)+(Q69*'Settings'!$C$15)+(R69*'Settings'!$C$16)+(S69*'Settings'!$C$17)+(T69*'Settings'!$C$18)+(U69*'Settings'!$C$19)+(L69*'Settings'!$C$10)+('Settings'!$C$11*M69)</f>
        <v>5.76606480855632</v>
      </c>
      <c r="D69" s="79">
        <f>IF('Settings'!$E$12="YES",VLOOKUP(A69,'Player Data'!A1:E667,5,FALSE),82)</f>
        <v>80.74250000000001</v>
      </c>
      <c r="E69" s="77">
        <f>(VLOOKUP($A69,'The List'!$B1:$AH665,17,FALSE)-AVERAGE('The List'!R2:R665))/STDEV('The List'!R2:R665)</f>
        <v>0.544096002610273</v>
      </c>
      <c r="F69" s="77">
        <f>(VLOOKUP($A69,'The List'!$B1:$AH665,18,FALSE)-AVERAGE('The List'!S2:S665))/STDEV('The List'!S2:S665)</f>
        <v>1.84823053509441</v>
      </c>
      <c r="G69" s="77">
        <f>(VLOOKUP($A69,'The List'!$B1:$AH665,19,FALSE)-AVERAGE('The List'!T2:T665))/STDEV('The List'!T2:T665)</f>
        <v>0.899633084504831</v>
      </c>
      <c r="H69" s="77">
        <f>(VLOOKUP($A69,'The List'!$B1:$AH665,20,FALSE)-AVERAGE('The List'!U2:U665))/STDEV('The List'!U2:U665)</f>
        <v>1.39883136179892</v>
      </c>
      <c r="I69" s="77">
        <f>(VLOOKUP($A69,'The List'!$B1:$AH665,21,FALSE)-AVERAGE('The List'!V2:V665))/STDEV('The List'!V2:V665)</f>
        <v>1.88469328277577</v>
      </c>
      <c r="J69" s="77">
        <f>(VLOOKUP($A69,'The List'!$B1:$AH665,22,FALSE)-AVERAGE('The List'!W2:W665))/STDEV('The List'!W2:W665)</f>
        <v>1.19010385905416</v>
      </c>
      <c r="K69" s="77">
        <f>(VLOOKUP($A69,'The List'!$B1:$AH665,23,FALSE)-AVERAGE('The List'!X2:X665))/STDEV('The List'!X2:X665)</f>
        <v>1.40146215238466</v>
      </c>
      <c r="L69" s="77">
        <f>(VLOOKUP($A69,'The List'!$B1:$AH665,24,FALSE)-AVERAGE('The List'!Y2:Y665))/STDEV('The List'!Y2:Y665)</f>
        <v>4.96573930309129</v>
      </c>
      <c r="M69" s="77">
        <f>(VLOOKUP($A69,'The List'!$B1:$AH665,25,FALSE)-AVERAGE('The List'!Z2:Z665))/STDEV('The List'!Z2:Z665)</f>
        <v>3.31456344190925</v>
      </c>
      <c r="N69" s="77">
        <f>(VLOOKUP($A69,'The List'!$B1:$AH665,26,FALSE)-AVERAGE('The List'!AA2:AA665))/STDEV('The List'!AA2:AA665)</f>
        <v>-0.7290654422777419</v>
      </c>
      <c r="O69" s="77">
        <f>(VLOOKUP($A69,'The List'!$B1:$AH665,27,FALSE)-AVERAGE('The List'!AB2:AB665))/STDEV('The List'!AB2:AB665)</f>
        <v>0.408132594733135</v>
      </c>
      <c r="P69" s="77">
        <f>(VLOOKUP($A69,'The List'!$B1:$AH665,28,FALSE)-AVERAGE('The List'!AC2:AC665))/STDEV('The List'!AC2:AC665)</f>
        <v>0.461111196074395</v>
      </c>
      <c r="Q69" s="77">
        <f>(VLOOKUP($A69,'The List'!$B1:$AH665,29,FALSE)-AVERAGE('The List'!AD2:AD665))/STDEV('The List'!AD2:AD665)</f>
        <v>1.37664779369941</v>
      </c>
      <c r="R69" s="77">
        <f>(VLOOKUP($A69,'The List'!$B1:$AH665,30,FALSE)-AVERAGE('The List'!AE2:AE665))/STDEV('The List'!AE2:AE665)</f>
        <v>2.36448243524016</v>
      </c>
      <c r="S69" s="77">
        <f>(VLOOKUP($A69,'The List'!$B1:$AH665,31,FALSE)-AVERAGE('The List'!AF2:AF665))/STDEV('The List'!AF2:AF665)</f>
        <v>-0.535094052725315</v>
      </c>
      <c r="T69" s="77">
        <f>(VLOOKUP($A69,'The List'!$B1:$AH665,32,FALSE)-AVERAGE('The List'!AG2:AG665))/STDEV('The List'!AG2:AG665)</f>
        <v>-0.539778344828246</v>
      </c>
      <c r="U69" s="77">
        <f>(VLOOKUP($A69,'The List'!$B1:$AH665,33,FALSE)-AVERAGE('The List'!AH2:AH665))/STDEV('The List'!AH2:AH665)</f>
        <v>0.238587772326677</v>
      </c>
      <c r="V69" s="77"/>
      <c r="W69" s="89"/>
      <c r="X69" s="79"/>
      <c r="Y69" s="79"/>
      <c r="Z69" s="79"/>
      <c r="AA69" s="79"/>
      <c r="AB69" s="79"/>
      <c r="AC69" s="82"/>
      <c r="AD69" s="83"/>
      <c r="AE69" s="84"/>
    </row>
    <row r="70" ht="21.25" customHeight="1">
      <c r="A70" t="s" s="10">
        <v>189</v>
      </c>
      <c r="B70" t="s" s="86">
        <f>VLOOKUP(A70,'Player Data'!A1:B667,2,FALSE)</f>
        <v>207</v>
      </c>
      <c r="C70" s="74">
        <f>((E70)*'Settings'!$C$12)+(F70*'Settings'!$C$2)+(G70*'Settings'!$C$3)+(H70*'Settings'!$C$4)+(I70*'Settings'!$C$5)+(K70*'Settings'!$C$9)+(N70*'Settings'!$C$6)+(J70*'Settings'!$C$8)+(O70*'Settings'!$C$7)+(P70*'Settings'!$C$14)+(Q70*'Settings'!$C$15)+(R70*'Settings'!$C$16)+(S70*'Settings'!$C$17)+(T70*'Settings'!$C$18)+(U70*'Settings'!$C$19)+(L70*'Settings'!$C$10)+('Settings'!$C$11*M70)</f>
        <v>8.08494388526532</v>
      </c>
      <c r="D70" s="79">
        <f>IF('Settings'!$E$12="YES",VLOOKUP(A70,'Player Data'!A1:E667,5,FALSE),82)</f>
        <v>80.7475</v>
      </c>
      <c r="E70" s="77">
        <f>(VLOOKUP($A70,'The List'!$B1:$AH665,17,FALSE)-AVERAGE('The List'!R2:R665))/STDEV('The List'!R2:R665)</f>
        <v>2.14535546757261</v>
      </c>
      <c r="F70" s="77">
        <f>(VLOOKUP($A70,'The List'!$B1:$AH665,18,FALSE)-AVERAGE('The List'!S2:S665))/STDEV('The List'!S2:S665)</f>
        <v>-0.0202081459690964</v>
      </c>
      <c r="G70" s="77">
        <f>(VLOOKUP($A70,'The List'!$B1:$AH665,19,FALSE)-AVERAGE('The List'!T2:T665))/STDEV('The List'!T2:T665)</f>
        <v>2.26291220415687</v>
      </c>
      <c r="H70" s="77">
        <f>(VLOOKUP($A70,'The List'!$B1:$AH665,20,FALSE)-AVERAGE('The List'!U2:U665))/STDEV('The List'!U2:U665)</f>
        <v>1.39621015515365</v>
      </c>
      <c r="I70" s="77">
        <f>(VLOOKUP($A70,'The List'!$B1:$AH665,21,FALSE)-AVERAGE('The List'!V2:V665))/STDEV('The List'!V2:V665)</f>
        <v>1.11099982353089</v>
      </c>
      <c r="J70" s="77">
        <f>(VLOOKUP($A70,'The List'!$B1:$AH665,22,FALSE)-AVERAGE('The List'!W2:W665))/STDEV('The List'!W2:W665)</f>
        <v>0.044808879874517</v>
      </c>
      <c r="K70" s="77">
        <f>(VLOOKUP($A70,'The List'!$B1:$AH665,23,FALSE)-AVERAGE('The List'!X2:X665))/STDEV('The List'!X2:X665)</f>
        <v>1.62980660858912</v>
      </c>
      <c r="L70" s="77">
        <f>(VLOOKUP($A70,'The List'!$B1:$AH665,24,FALSE)-AVERAGE('The List'!Y2:Y665))/STDEV('The List'!Y2:Y665)</f>
        <v>-0.538957570283884</v>
      </c>
      <c r="M70" s="77">
        <f>(VLOOKUP($A70,'The List'!$B1:$AH665,25,FALSE)-AVERAGE('The List'!Z2:Z665))/STDEV('The List'!Z2:Z665)</f>
        <v>-0.173736908426305</v>
      </c>
      <c r="N70" s="77">
        <f>(VLOOKUP($A70,'The List'!$B1:$AH665,26,FALSE)-AVERAGE('The List'!AA2:AA665))/STDEV('The List'!AA2:AA665)</f>
        <v>2.29982871430074</v>
      </c>
      <c r="O70" s="77">
        <f>(VLOOKUP($A70,'The List'!$B1:$AH665,27,FALSE)-AVERAGE('The List'!AB2:AB665))/STDEV('The List'!AB2:AB665)</f>
        <v>-0.14082807998928</v>
      </c>
      <c r="P70" s="77">
        <f>(VLOOKUP($A70,'The List'!$B1:$AH665,28,FALSE)-AVERAGE('The List'!AC2:AC665))/STDEV('The List'!AC2:AC665)</f>
        <v>0.801604680656795</v>
      </c>
      <c r="Q70" s="77">
        <f>(VLOOKUP($A70,'The List'!$B1:$AH665,29,FALSE)-AVERAGE('The List'!AD2:AD665))/STDEV('The List'!AD2:AD665)</f>
        <v>0.00557682520799993</v>
      </c>
      <c r="R70" s="77">
        <f>(VLOOKUP($A70,'The List'!$B1:$AH665,30,FALSE)-AVERAGE('The List'!AE2:AE665))/STDEV('The List'!AE2:AE665)</f>
        <v>0.0497478586439245</v>
      </c>
      <c r="S70" s="77">
        <f>(VLOOKUP($A70,'The List'!$B1:$AH665,31,FALSE)-AVERAGE('The List'!AF2:AF665))/STDEV('The List'!AF2:AF665)</f>
        <v>-0.573894410680004</v>
      </c>
      <c r="T70" s="77">
        <f>(VLOOKUP($A70,'The List'!$B1:$AH665,32,FALSE)-AVERAGE('The List'!AG2:AG665))/STDEV('The List'!AG2:AG665)</f>
        <v>-0.625770787132651</v>
      </c>
      <c r="U70" s="77">
        <f>(VLOOKUP($A70,'The List'!$B1:$AH665,33,FALSE)-AVERAGE('The List'!AH2:AH665))/STDEV('The List'!AH2:AH665)</f>
        <v>-1.23143509451486</v>
      </c>
      <c r="V70" s="77"/>
      <c r="W70" s="89"/>
      <c r="X70" s="79"/>
      <c r="Y70" s="79"/>
      <c r="Z70" s="79"/>
      <c r="AA70" s="79"/>
      <c r="AB70" s="79"/>
      <c r="AC70" s="82"/>
      <c r="AD70" s="83"/>
      <c r="AE70" s="84"/>
    </row>
    <row r="71" ht="21.25" customHeight="1">
      <c r="A71" t="s" s="10">
        <v>287</v>
      </c>
      <c r="B71" t="s" s="86">
        <f>VLOOKUP(A71,'Player Data'!A1:B667,2,FALSE)</f>
        <v>207</v>
      </c>
      <c r="C71" s="74">
        <f>((E71)*'Settings'!$C$12)+(F71*'Settings'!$C$2)+(G71*'Settings'!$C$3)+(H71*'Settings'!$C$4)+(I71*'Settings'!$C$5)+(K71*'Settings'!$C$9)+(N71*'Settings'!$C$6)+(J71*'Settings'!$C$8)+(O71*'Settings'!$C$7)+(P71*'Settings'!$C$14)+(Q71*'Settings'!$C$15)+(R71*'Settings'!$C$16)+(S71*'Settings'!$C$17)+(T71*'Settings'!$C$18)+(U71*'Settings'!$C$19)+(L71*'Settings'!$C$10)+('Settings'!$C$11*M71)</f>
        <v>5.88191145606507</v>
      </c>
      <c r="D71" s="79">
        <f>IF('Settings'!$E$12="YES",VLOOKUP(A71,'Player Data'!A1:E667,5,FALSE),82)</f>
        <v>81.03</v>
      </c>
      <c r="E71" s="77">
        <f>(VLOOKUP($A71,'The List'!$B1:$AH665,17,FALSE)-AVERAGE('The List'!R2:R665))/STDEV('The List'!R2:R665)</f>
        <v>0.521030555776566</v>
      </c>
      <c r="F71" s="77">
        <f>(VLOOKUP($A71,'The List'!$B1:$AH665,18,FALSE)-AVERAGE('The List'!S2:S665))/STDEV('The List'!S2:S665)</f>
        <v>1.95256982089657</v>
      </c>
      <c r="G71" s="77">
        <f>(VLOOKUP($A71,'The List'!$B1:$AH665,19,FALSE)-AVERAGE('The List'!T2:T665))/STDEV('The List'!T2:T665)</f>
        <v>0.817550491240146</v>
      </c>
      <c r="H71" s="77">
        <f>(VLOOKUP($A71,'The List'!$B1:$AH665,20,FALSE)-AVERAGE('The List'!U2:U665))/STDEV('The List'!U2:U665)</f>
        <v>1.39528062107358</v>
      </c>
      <c r="I71" s="77">
        <f>(VLOOKUP($A71,'The List'!$B1:$AH665,21,FALSE)-AVERAGE('The List'!V2:V665))/STDEV('The List'!V2:V665)</f>
        <v>1.72566787775957</v>
      </c>
      <c r="J71" s="77">
        <f>(VLOOKUP($A71,'The List'!$B1:$AH665,22,FALSE)-AVERAGE('The List'!W2:W665))/STDEV('The List'!W2:W665)</f>
        <v>1.55012151352026</v>
      </c>
      <c r="K71" s="77">
        <f>(VLOOKUP($A71,'The List'!$B1:$AH665,23,FALSE)-AVERAGE('The List'!X2:X665))/STDEV('The List'!X2:X665)</f>
        <v>1.07763932019367</v>
      </c>
      <c r="L71" s="77">
        <f>(VLOOKUP($A71,'The List'!$B1:$AH665,24,FALSE)-AVERAGE('The List'!Y2:Y665))/STDEV('The List'!Y2:Y665)</f>
        <v>0.5849045618109709</v>
      </c>
      <c r="M71" s="77">
        <f>(VLOOKUP($A71,'The List'!$B1:$AH665,25,FALSE)-AVERAGE('The List'!Z2:Z665))/STDEV('The List'!Z2:Z665)</f>
        <v>0.621618141505647</v>
      </c>
      <c r="N71" s="77">
        <f>(VLOOKUP($A71,'The List'!$B1:$AH665,26,FALSE)-AVERAGE('The List'!AA2:AA665))/STDEV('The List'!AA2:AA665)</f>
        <v>-0.458635221663713</v>
      </c>
      <c r="O71" s="77">
        <f>(VLOOKUP($A71,'The List'!$B1:$AH665,27,FALSE)-AVERAGE('The List'!AB2:AB665))/STDEV('The List'!AB2:AB665)</f>
        <v>-1.01763204806382</v>
      </c>
      <c r="P71" s="77">
        <f>(VLOOKUP($A71,'The List'!$B1:$AH665,28,FALSE)-AVERAGE('The List'!AC2:AC665))/STDEV('The List'!AC2:AC665)</f>
        <v>0.767119167638828</v>
      </c>
      <c r="Q71" s="77">
        <f>(VLOOKUP($A71,'The List'!$B1:$AH665,29,FALSE)-AVERAGE('The List'!AD2:AD665))/STDEV('The List'!AD2:AD665)</f>
        <v>-0.0487387817693685</v>
      </c>
      <c r="R71" s="77">
        <f>(VLOOKUP($A71,'The List'!$B1:$AH665,30,FALSE)-AVERAGE('The List'!AE2:AE665))/STDEV('The List'!AE2:AE665)</f>
        <v>2.03979385656674</v>
      </c>
      <c r="S71" s="77">
        <f>(VLOOKUP($A71,'The List'!$B1:$AH665,31,FALSE)-AVERAGE('The List'!AF2:AF665))/STDEV('The List'!AF2:AF665)</f>
        <v>1.42920295428544</v>
      </c>
      <c r="T71" s="77">
        <f>(VLOOKUP($A71,'The List'!$B1:$AH665,32,FALSE)-AVERAGE('The List'!AG2:AG665))/STDEV('The List'!AG2:AG665)</f>
        <v>1.7912747065916</v>
      </c>
      <c r="U71" s="77">
        <f>(VLOOKUP($A71,'The List'!$B1:$AH665,33,FALSE)-AVERAGE('The List'!AH2:AH665))/STDEV('The List'!AH2:AH665)</f>
        <v>0.892322313955129</v>
      </c>
      <c r="V71" s="77"/>
      <c r="W71" s="89"/>
      <c r="X71" s="79"/>
      <c r="Y71" s="79"/>
      <c r="Z71" s="79"/>
      <c r="AA71" s="79"/>
      <c r="AB71" s="79"/>
      <c r="AC71" s="82"/>
      <c r="AD71" s="83"/>
      <c r="AE71" s="84"/>
    </row>
    <row r="72" ht="21.25" customHeight="1">
      <c r="A72" t="s" s="10">
        <v>152</v>
      </c>
      <c r="B72" t="s" s="86">
        <f>VLOOKUP(A72,'Player Data'!A1:B667,2,FALSE)</f>
        <v>154</v>
      </c>
      <c r="C72" s="74">
        <f>((E72)*'Settings'!$C$12)+(F72*'Settings'!$C$2)+(G72*'Settings'!$C$3)+(H72*'Settings'!$C$4)+(I72*'Settings'!$C$5)+(K72*'Settings'!$C$9)+(N72*'Settings'!$C$6)+(J72*'Settings'!$C$8)+(O72*'Settings'!$C$7)+(P72*'Settings'!$C$14)+(Q72*'Settings'!$C$15)+(R72*'Settings'!$C$16)+(S72*'Settings'!$C$17)+(T72*'Settings'!$C$18)+(U72*'Settings'!$C$19)+(L72*'Settings'!$C$10)+('Settings'!$C$11*M72)</f>
        <v>7.86044804314463</v>
      </c>
      <c r="D72" s="79">
        <f>IF('Settings'!$E$12="YES",VLOOKUP(A72,'Player Data'!A1:E667,5,FALSE),82)</f>
        <v>81.10250000000001</v>
      </c>
      <c r="E72" s="77">
        <f>(VLOOKUP($A72,'The List'!$B1:$AH665,17,FALSE)-AVERAGE('The List'!R2:R665))/STDEV('The List'!R2:R665)</f>
        <v>2.40517532957859</v>
      </c>
      <c r="F72" s="77">
        <f>(VLOOKUP($A72,'The List'!$B1:$AH665,18,FALSE)-AVERAGE('The List'!S2:S665))/STDEV('The List'!S2:S665)</f>
        <v>0.510998851671246</v>
      </c>
      <c r="G72" s="77">
        <f>(VLOOKUP($A72,'The List'!$B1:$AH665,19,FALSE)-AVERAGE('The List'!T2:T665))/STDEV('The List'!T2:T665)</f>
        <v>2.11408044800363</v>
      </c>
      <c r="H72" s="77">
        <f>(VLOOKUP($A72,'The List'!$B1:$AH665,20,FALSE)-AVERAGE('The List'!U2:U665))/STDEV('The List'!U2:U665)</f>
        <v>1.54523609677651</v>
      </c>
      <c r="I72" s="77">
        <f>(VLOOKUP($A72,'The List'!$B1:$AH665,21,FALSE)-AVERAGE('The List'!V2:V665))/STDEV('The List'!V2:V665)</f>
        <v>1.56460337525601</v>
      </c>
      <c r="J72" s="77">
        <f>(VLOOKUP($A72,'The List'!$B1:$AH665,22,FALSE)-AVERAGE('The List'!W2:W665))/STDEV('The List'!W2:W665)</f>
        <v>0.930571946300137</v>
      </c>
      <c r="K72" s="77">
        <f>(VLOOKUP($A72,'The List'!$B1:$AH665,23,FALSE)-AVERAGE('The List'!X2:X665))/STDEV('The List'!X2:X665)</f>
        <v>2.02135165193295</v>
      </c>
      <c r="L72" s="77">
        <f>(VLOOKUP($A72,'The List'!$B1:$AH665,24,FALSE)-AVERAGE('The List'!Y2:Y665))/STDEV('The List'!Y2:Y665)</f>
        <v>-0.546722065332324</v>
      </c>
      <c r="M72" s="77">
        <f>(VLOOKUP($A72,'The List'!$B1:$AH665,25,FALSE)-AVERAGE('The List'!Z2:Z665))/STDEV('The List'!Z2:Z665)</f>
        <v>-0.525193797229187</v>
      </c>
      <c r="N72" s="77">
        <f>(VLOOKUP($A72,'The List'!$B1:$AH665,26,FALSE)-AVERAGE('The List'!AA2:AA665))/STDEV('The List'!AA2:AA665)</f>
        <v>1.85262360636057</v>
      </c>
      <c r="O72" s="77">
        <f>(VLOOKUP($A72,'The List'!$B1:$AH665,27,FALSE)-AVERAGE('The List'!AB2:AB665))/STDEV('The List'!AB2:AB665)</f>
        <v>1.30210168175708</v>
      </c>
      <c r="P72" s="77">
        <f>(VLOOKUP($A72,'The List'!$B1:$AH665,28,FALSE)-AVERAGE('The List'!AC2:AC665))/STDEV('The List'!AC2:AC665)</f>
        <v>-0.203209890079775</v>
      </c>
      <c r="Q72" s="77">
        <f>(VLOOKUP($A72,'The List'!$B1:$AH665,29,FALSE)-AVERAGE('The List'!AD2:AD665))/STDEV('The List'!AD2:AD665)</f>
        <v>2.45189134075227</v>
      </c>
      <c r="R72" s="77">
        <f>(VLOOKUP($A72,'The List'!$B1:$AH665,30,FALSE)-AVERAGE('The List'!AE2:AE665))/STDEV('The List'!AE2:AE665)</f>
        <v>0.39969328541526</v>
      </c>
      <c r="S72" s="77">
        <f>(VLOOKUP($A72,'The List'!$B1:$AH665,31,FALSE)-AVERAGE('The List'!AF2:AF665))/STDEV('The List'!AF2:AF665)</f>
        <v>-0.573894410680004</v>
      </c>
      <c r="T72" s="77">
        <f>(VLOOKUP($A72,'The List'!$B1:$AH665,32,FALSE)-AVERAGE('The List'!AG2:AG665))/STDEV('The List'!AG2:AG665)</f>
        <v>-0.625770787132651</v>
      </c>
      <c r="U72" s="77">
        <f>(VLOOKUP($A72,'The List'!$B1:$AH665,33,FALSE)-AVERAGE('The List'!AH2:AH665))/STDEV('The List'!AH2:AH665)</f>
        <v>-1.23143509451486</v>
      </c>
      <c r="V72" s="77"/>
      <c r="W72" s="89"/>
      <c r="X72" s="79"/>
      <c r="Y72" s="79"/>
      <c r="Z72" s="79"/>
      <c r="AA72" s="79"/>
      <c r="AB72" s="79"/>
      <c r="AC72" s="82"/>
      <c r="AD72" s="83"/>
      <c r="AE72" s="84"/>
    </row>
    <row r="73" ht="21.25" customHeight="1">
      <c r="A73" t="s" s="10">
        <v>234</v>
      </c>
      <c r="B73" t="s" s="86">
        <f>VLOOKUP(A73,'Player Data'!A1:B667,2,FALSE)</f>
        <v>899</v>
      </c>
      <c r="C73" s="74">
        <f>((E73)*'Settings'!$C$12)+(F73*'Settings'!$C$2)+(G73*'Settings'!$C$3)+(H73*'Settings'!$C$4)+(I73*'Settings'!$C$5)+(K73*'Settings'!$C$9)+(N73*'Settings'!$C$6)+(J73*'Settings'!$C$8)+(O73*'Settings'!$C$7)+(P73*'Settings'!$C$14)+(Q73*'Settings'!$C$15)+(R73*'Settings'!$C$16)+(S73*'Settings'!$C$17)+(T73*'Settings'!$C$18)+(U73*'Settings'!$C$19)+(L73*'Settings'!$C$10)+('Settings'!$C$11*M73)</f>
        <v>4.24824898214315</v>
      </c>
      <c r="D73" s="79">
        <f>IF('Settings'!$E$12="YES",VLOOKUP(A73,'Player Data'!A1:E667,5,FALSE),82)</f>
        <v>80.5125</v>
      </c>
      <c r="E73" s="77">
        <f>(VLOOKUP($A73,'The List'!$B1:$AH665,17,FALSE)-AVERAGE('The List'!R2:R665))/STDEV('The List'!R2:R665)</f>
        <v>0.952306715890467</v>
      </c>
      <c r="F73" s="77">
        <f>(VLOOKUP($A73,'The List'!$B1:$AH665,18,FALSE)-AVERAGE('The List'!S2:S665))/STDEV('The List'!S2:S665)</f>
        <v>1.13257541589193</v>
      </c>
      <c r="G73" s="77">
        <f>(VLOOKUP($A73,'The List'!$B1:$AH665,19,FALSE)-AVERAGE('The List'!T2:T665))/STDEV('The List'!T2:T665)</f>
        <v>1.12504268242318</v>
      </c>
      <c r="H73" s="77">
        <f>(VLOOKUP($A73,'The List'!$B1:$AH665,20,FALSE)-AVERAGE('The List'!U2:U665))/STDEV('The List'!U2:U665)</f>
        <v>1.21352412696684</v>
      </c>
      <c r="I73" s="77">
        <f>(VLOOKUP($A73,'The List'!$B1:$AH665,21,FALSE)-AVERAGE('The List'!V2:V665))/STDEV('The List'!V2:V665)</f>
        <v>1.10859254148793</v>
      </c>
      <c r="J73" s="77">
        <f>(VLOOKUP($A73,'The List'!$B1:$AH665,22,FALSE)-AVERAGE('The List'!W2:W665))/STDEV('The List'!W2:W665)</f>
        <v>1.6352195880645</v>
      </c>
      <c r="K73" s="77">
        <f>(VLOOKUP($A73,'The List'!$B1:$AH665,23,FALSE)-AVERAGE('The List'!X2:X665))/STDEV('The List'!X2:X665)</f>
        <v>1.06596636862236</v>
      </c>
      <c r="L73" s="77">
        <f>(VLOOKUP($A73,'The List'!$B1:$AH665,24,FALSE)-AVERAGE('The List'!Y2:Y665))/STDEV('The List'!Y2:Y665)</f>
        <v>1.22445791478403</v>
      </c>
      <c r="M73" s="77">
        <f>(VLOOKUP($A73,'The List'!$B1:$AH665,25,FALSE)-AVERAGE('The List'!Z2:Z665))/STDEV('The List'!Z2:Z665)</f>
        <v>2.23632164243124</v>
      </c>
      <c r="N73" s="77">
        <f>(VLOOKUP($A73,'The List'!$B1:$AH665,26,FALSE)-AVERAGE('The List'!AA2:AA665))/STDEV('The List'!AA2:AA665)</f>
        <v>-0.118105135768622</v>
      </c>
      <c r="O73" s="77">
        <f>(VLOOKUP($A73,'The List'!$B1:$AH665,27,FALSE)-AVERAGE('The List'!AB2:AB665))/STDEV('The List'!AB2:AB665)</f>
        <v>0.0570169263134303</v>
      </c>
      <c r="P73" s="77">
        <f>(VLOOKUP($A73,'The List'!$B1:$AH665,28,FALSE)-AVERAGE('The List'!AC2:AC665))/STDEV('The List'!AC2:AC665)</f>
        <v>-0.0658228905136231</v>
      </c>
      <c r="Q73" s="77">
        <f>(VLOOKUP($A73,'The List'!$B1:$AH665,29,FALSE)-AVERAGE('The List'!AD2:AD665))/STDEV('The List'!AD2:AD665)</f>
        <v>-0.507552153072082</v>
      </c>
      <c r="R73" s="77">
        <f>(VLOOKUP($A73,'The List'!$B1:$AH665,30,FALSE)-AVERAGE('The List'!AE2:AE665))/STDEV('The List'!AE2:AE665)</f>
        <v>1.19037932030464</v>
      </c>
      <c r="S73" s="77">
        <f>(VLOOKUP($A73,'The List'!$B1:$AH665,31,FALSE)-AVERAGE('The List'!AF2:AF665))/STDEV('The List'!AF2:AF665)</f>
        <v>3.49812825311811</v>
      </c>
      <c r="T73" s="77">
        <f>(VLOOKUP($A73,'The List'!$B1:$AH665,32,FALSE)-AVERAGE('The List'!AG2:AG665))/STDEV('The List'!AG2:AG665)</f>
        <v>2.88399845464452</v>
      </c>
      <c r="U73" s="77">
        <f>(VLOOKUP($A73,'The List'!$B1:$AH665,33,FALSE)-AVERAGE('The List'!AH2:AH665))/STDEV('The List'!AH2:AH665)</f>
        <v>1.2725351306348</v>
      </c>
      <c r="V73" s="77"/>
      <c r="W73" s="89"/>
      <c r="X73" s="79"/>
      <c r="Y73" s="79"/>
      <c r="Z73" s="79"/>
      <c r="AA73" s="79"/>
      <c r="AB73" s="79"/>
      <c r="AC73" s="82"/>
      <c r="AD73" s="83"/>
      <c r="AE73" s="84"/>
    </row>
    <row r="74" ht="21.25" customHeight="1">
      <c r="A74" t="s" s="10">
        <v>208</v>
      </c>
      <c r="B74" t="s" s="86">
        <f>VLOOKUP(A74,'Player Data'!A1:B667,2,FALSE)</f>
        <v>132</v>
      </c>
      <c r="C74" s="74">
        <f>((E74)*'Settings'!$C$12)+(F74*'Settings'!$C$2)+(G74*'Settings'!$C$3)+(H74*'Settings'!$C$4)+(I74*'Settings'!$C$5)+(K74*'Settings'!$C$9)+(N74*'Settings'!$C$6)+(J74*'Settings'!$C$8)+(O74*'Settings'!$C$7)+(P74*'Settings'!$C$14)+(Q74*'Settings'!$C$15)+(R74*'Settings'!$C$16)+(S74*'Settings'!$C$17)+(T74*'Settings'!$C$18)+(U74*'Settings'!$C$19)+(L74*'Settings'!$C$10)+('Settings'!$C$11*M74)</f>
        <v>7.57815305165113</v>
      </c>
      <c r="D74" s="79">
        <f>IF('Settings'!$E$12="YES",VLOOKUP(A74,'Player Data'!A1:E667,5,FALSE),82)</f>
        <v>81.09999999999999</v>
      </c>
      <c r="E74" s="77">
        <f>(VLOOKUP($A74,'The List'!$B1:$AH665,17,FALSE)-AVERAGE('The List'!R2:R665))/STDEV('The List'!R2:R665)</f>
        <v>0.30757837572017</v>
      </c>
      <c r="F74" s="77">
        <f>(VLOOKUP($A74,'The List'!$B1:$AH665,18,FALSE)-AVERAGE('The List'!S2:S665))/STDEV('The List'!S2:S665)</f>
        <v>1.50245048247046</v>
      </c>
      <c r="G74" s="77">
        <f>(VLOOKUP($A74,'The List'!$B1:$AH665,19,FALSE)-AVERAGE('The List'!T2:T665))/STDEV('The List'!T2:T665)</f>
        <v>1.12753737905163</v>
      </c>
      <c r="H74" s="77">
        <f>(VLOOKUP($A74,'The List'!$B1:$AH665,20,FALSE)-AVERAGE('The List'!U2:U665))/STDEV('The List'!U2:U665)</f>
        <v>1.38319927317832</v>
      </c>
      <c r="I74" s="77">
        <f>(VLOOKUP($A74,'The List'!$B1:$AH665,21,FALSE)-AVERAGE('The List'!V2:V665))/STDEV('The List'!V2:V665)</f>
        <v>2.2510888406785</v>
      </c>
      <c r="J74" s="77">
        <f>(VLOOKUP($A74,'The List'!$B1:$AH665,22,FALSE)-AVERAGE('The List'!W2:W665))/STDEV('The List'!W2:W665)</f>
        <v>2.21644882982794</v>
      </c>
      <c r="K74" s="77">
        <f>(VLOOKUP($A74,'The List'!$B1:$AH665,23,FALSE)-AVERAGE('The List'!X2:X665))/STDEV('The List'!X2:X665)</f>
        <v>1.75678877556045</v>
      </c>
      <c r="L74" s="77">
        <f>(VLOOKUP($A74,'The List'!$B1:$AH665,24,FALSE)-AVERAGE('The List'!Y2:Y665))/STDEV('The List'!Y2:Y665)</f>
        <v>-0.568378414335596</v>
      </c>
      <c r="M74" s="77">
        <f>(VLOOKUP($A74,'The List'!$B1:$AH665,25,FALSE)-AVERAGE('The List'!Z2:Z665))/STDEV('The List'!Z2:Z665)</f>
        <v>-0.741876433979174</v>
      </c>
      <c r="N74" s="77">
        <f>(VLOOKUP($A74,'The List'!$B1:$AH665,26,FALSE)-AVERAGE('The List'!AA2:AA665))/STDEV('The List'!AA2:AA665)</f>
        <v>-0.6482723326679301</v>
      </c>
      <c r="O74" s="77">
        <f>(VLOOKUP($A74,'The List'!$B1:$AH665,27,FALSE)-AVERAGE('The List'!AB2:AB665))/STDEV('The List'!AB2:AB665)</f>
        <v>0.628227433158195</v>
      </c>
      <c r="P74" s="77">
        <f>(VLOOKUP($A74,'The List'!$B1:$AH665,28,FALSE)-AVERAGE('The List'!AC2:AC665))/STDEV('The List'!AC2:AC665)</f>
        <v>1.58855990655802</v>
      </c>
      <c r="Q74" s="77">
        <f>(VLOOKUP($A74,'The List'!$B1:$AH665,29,FALSE)-AVERAGE('The List'!AD2:AD665))/STDEV('The List'!AD2:AD665)</f>
        <v>-0.0267223756083825</v>
      </c>
      <c r="R74" s="77">
        <f>(VLOOKUP($A74,'The List'!$B1:$AH665,30,FALSE)-AVERAGE('The List'!AE2:AE665))/STDEV('The List'!AE2:AE665)</f>
        <v>1.63712312909834</v>
      </c>
      <c r="S74" s="77">
        <f>(VLOOKUP($A74,'The List'!$B1:$AH665,31,FALSE)-AVERAGE('The List'!AF2:AF665))/STDEV('The List'!AF2:AF665)</f>
        <v>3.33125927937244</v>
      </c>
      <c r="T74" s="77">
        <f>(VLOOKUP($A74,'The List'!$B1:$AH665,32,FALSE)-AVERAGE('The List'!AG2:AG665))/STDEV('The List'!AG2:AG665)</f>
        <v>2.22578721262162</v>
      </c>
      <c r="U74" s="77">
        <f>(VLOOKUP($A74,'The List'!$B1:$AH665,33,FALSE)-AVERAGE('The List'!AH2:AH665))/STDEV('The List'!AH2:AH665)</f>
        <v>1.45639711017659</v>
      </c>
      <c r="V74" s="77"/>
      <c r="W74" s="79"/>
      <c r="X74" s="77"/>
      <c r="Y74" s="77"/>
      <c r="Z74" s="77"/>
      <c r="AA74" s="77"/>
      <c r="AB74" s="77"/>
      <c r="AC74" s="77"/>
      <c r="AD74" s="77"/>
      <c r="AE74" s="84"/>
    </row>
    <row r="75" ht="21.25" customHeight="1">
      <c r="A75" t="s" s="10">
        <v>339</v>
      </c>
      <c r="B75" t="s" s="86">
        <f>VLOOKUP(A75,'Player Data'!A1:B667,2,FALSE)</f>
        <v>908</v>
      </c>
      <c r="C75" s="74">
        <f>((E75)*'Settings'!$C$12)+(F75*'Settings'!$C$2)+(G75*'Settings'!$C$3)+(H75*'Settings'!$C$4)+(I75*'Settings'!$C$5)+(K75*'Settings'!$C$9)+(N75*'Settings'!$C$6)+(J75*'Settings'!$C$8)+(O75*'Settings'!$C$7)+(P75*'Settings'!$C$14)+(Q75*'Settings'!$C$15)+(R75*'Settings'!$C$16)+(S75*'Settings'!$C$17)+(T75*'Settings'!$C$18)+(U75*'Settings'!$C$19)+(L75*'Settings'!$C$10)+('Settings'!$C$11*M75)</f>
        <v>4.1890248373706</v>
      </c>
      <c r="D75" s="79">
        <f>IF('Settings'!$E$12="YES",VLOOKUP(A75,'Player Data'!A1:E667,5,FALSE),82)</f>
        <v>75.47499999999999</v>
      </c>
      <c r="E75" s="77">
        <f>(VLOOKUP($A75,'The List'!$B1:$AH665,17,FALSE)-AVERAGE('The List'!R2:R665))/STDEV('The List'!R2:R665)</f>
        <v>0.206162679834263</v>
      </c>
      <c r="F75" s="77">
        <f>(VLOOKUP($A75,'The List'!$B1:$AH665,18,FALSE)-AVERAGE('The List'!S2:S665))/STDEV('The List'!S2:S665)</f>
        <v>1.45558465615284</v>
      </c>
      <c r="G75" s="77">
        <f>(VLOOKUP($A75,'The List'!$B1:$AH665,19,FALSE)-AVERAGE('The List'!T2:T665))/STDEV('The List'!T2:T665)</f>
        <v>0.594008002246887</v>
      </c>
      <c r="H75" s="77">
        <f>(VLOOKUP($A75,'The List'!$B1:$AH665,20,FALSE)-AVERAGE('The List'!U2:U665))/STDEV('The List'!U2:U665)</f>
        <v>1.03054478505903</v>
      </c>
      <c r="I75" s="77">
        <f>(VLOOKUP($A75,'The List'!$B1:$AH665,21,FALSE)-AVERAGE('The List'!V2:V665))/STDEV('The List'!V2:V665)</f>
        <v>1.12018224317651</v>
      </c>
      <c r="J75" s="77">
        <f>(VLOOKUP($A75,'The List'!$B1:$AH665,22,FALSE)-AVERAGE('The List'!W2:W665))/STDEV('The List'!W2:W665)</f>
        <v>3.34140435596872</v>
      </c>
      <c r="K75" s="77">
        <f>(VLOOKUP($A75,'The List'!$B1:$AH665,23,FALSE)-AVERAGE('The List'!X2:X665))/STDEV('The List'!X2:X665)</f>
        <v>1.70582340874109</v>
      </c>
      <c r="L75" s="77">
        <f>(VLOOKUP($A75,'The List'!$B1:$AH665,24,FALSE)-AVERAGE('The List'!Y2:Y665))/STDEV('The List'!Y2:Y665)</f>
        <v>0.570765117068829</v>
      </c>
      <c r="M75" s="77">
        <f>(VLOOKUP($A75,'The List'!$B1:$AH665,25,FALSE)-AVERAGE('The List'!Z2:Z665))/STDEV('The List'!Z2:Z665)</f>
        <v>0.604293219716</v>
      </c>
      <c r="N75" s="77">
        <f>(VLOOKUP($A75,'The List'!$B1:$AH665,26,FALSE)-AVERAGE('The List'!AA2:AA665))/STDEV('The List'!AA2:AA665)</f>
        <v>-0.596039937733169</v>
      </c>
      <c r="O75" s="77">
        <f>(VLOOKUP($A75,'The List'!$B1:$AH665,27,FALSE)-AVERAGE('The List'!AB2:AB665))/STDEV('The List'!AB2:AB665)</f>
        <v>-0.583419672391869</v>
      </c>
      <c r="P75" s="77">
        <f>(VLOOKUP($A75,'The List'!$B1:$AH665,28,FALSE)-AVERAGE('The List'!AC2:AC665))/STDEV('The List'!AC2:AC665)</f>
        <v>-0.0905335352135614</v>
      </c>
      <c r="Q75" s="77">
        <f>(VLOOKUP($A75,'The List'!$B1:$AH665,29,FALSE)-AVERAGE('The List'!AD2:AD665))/STDEV('The List'!AD2:AD665)</f>
        <v>-0.168073643453545</v>
      </c>
      <c r="R75" s="77">
        <f>(VLOOKUP($A75,'The List'!$B1:$AH665,30,FALSE)-AVERAGE('The List'!AE2:AE665))/STDEV('The List'!AE2:AE665)</f>
        <v>1.34458972642361</v>
      </c>
      <c r="S75" s="77">
        <f>(VLOOKUP($A75,'The List'!$B1:$AH665,31,FALSE)-AVERAGE('The List'!AF2:AF665))/STDEV('The List'!AF2:AF665)</f>
        <v>-0.503311085179716</v>
      </c>
      <c r="T75" s="77">
        <f>(VLOOKUP($A75,'The List'!$B1:$AH665,32,FALSE)-AVERAGE('The List'!AG2:AG665))/STDEV('The List'!AG2:AG665)</f>
        <v>-0.453297134514962</v>
      </c>
      <c r="U75" s="77">
        <f>(VLOOKUP($A75,'The List'!$B1:$AH665,33,FALSE)-AVERAGE('The List'!AH2:AH665))/STDEV('The List'!AH2:AH665)</f>
        <v>0.143329833511612</v>
      </c>
      <c r="V75" s="77"/>
      <c r="W75" s="89"/>
      <c r="X75" s="79"/>
      <c r="Y75" s="79"/>
      <c r="Z75" s="79"/>
      <c r="AA75" s="79"/>
      <c r="AB75" s="79"/>
      <c r="AC75" s="82"/>
      <c r="AD75" s="83"/>
      <c r="AE75" s="84"/>
    </row>
    <row r="76" ht="21.25" customHeight="1">
      <c r="A76" t="s" s="10">
        <v>404</v>
      </c>
      <c r="B76" t="s" s="86">
        <f>VLOOKUP(A76,'Player Data'!A1:B667,2,FALSE)</f>
        <v>912</v>
      </c>
      <c r="C76" s="74">
        <f>((E76)*'Settings'!$C$12)+(F76*'Settings'!$C$2)+(G76*'Settings'!$C$3)+(H76*'Settings'!$C$4)+(I76*'Settings'!$C$5)+(K76*'Settings'!$C$9)+(N76*'Settings'!$C$6)+(J76*'Settings'!$C$8)+(O76*'Settings'!$C$7)+(P76*'Settings'!$C$14)+(Q76*'Settings'!$C$15)+(R76*'Settings'!$C$16)+(S76*'Settings'!$C$17)+(T76*'Settings'!$C$18)+(U76*'Settings'!$C$19)+(L76*'Settings'!$C$10)+('Settings'!$C$11*M76)</f>
        <v>1.93583717795528</v>
      </c>
      <c r="D76" s="79">
        <f>IF('Settings'!$E$12="YES",VLOOKUP(A76,'Player Data'!A1:E667,5,FALSE),82)</f>
        <v>78.61499999999999</v>
      </c>
      <c r="E76" s="77">
        <f>(VLOOKUP($A76,'The List'!$B1:$AH665,17,FALSE)-AVERAGE('The List'!R2:R665))/STDEV('The List'!R2:R665)</f>
        <v>0.556353077920687</v>
      </c>
      <c r="F76" s="77">
        <f>(VLOOKUP($A76,'The List'!$B1:$AH665,18,FALSE)-AVERAGE('The List'!S2:S665))/STDEV('The List'!S2:S665)</f>
        <v>1.30049310298978</v>
      </c>
      <c r="G76" s="77">
        <f>(VLOOKUP($A76,'The List'!$B1:$AH665,19,FALSE)-AVERAGE('The List'!T2:T665))/STDEV('The List'!T2:T665)</f>
        <v>1.11503851172314</v>
      </c>
      <c r="H76" s="77">
        <f>(VLOOKUP($A76,'The List'!$B1:$AH665,20,FALSE)-AVERAGE('The List'!U2:U665))/STDEV('The List'!U2:U665)</f>
        <v>1.2836375450008</v>
      </c>
      <c r="I76" s="77">
        <f>(VLOOKUP($A76,'The List'!$B1:$AH665,21,FALSE)-AVERAGE('The List'!V2:V665))/STDEV('The List'!V2:V665)</f>
        <v>1.0266880950056</v>
      </c>
      <c r="J76" s="77">
        <f>(VLOOKUP($A76,'The List'!$B1:$AH665,22,FALSE)-AVERAGE('The List'!W2:W665))/STDEV('The List'!W2:W665)</f>
        <v>1.06801991577558</v>
      </c>
      <c r="K76" s="77">
        <f>(VLOOKUP($A76,'The List'!$B1:$AH665,23,FALSE)-AVERAGE('The List'!X2:X665))/STDEV('The List'!X2:X665)</f>
        <v>0.85065201601694</v>
      </c>
      <c r="L76" s="77">
        <f>(VLOOKUP($A76,'The List'!$B1:$AH665,24,FALSE)-AVERAGE('The List'!Y2:Y665))/STDEV('The List'!Y2:Y665)</f>
        <v>-0.546757294819147</v>
      </c>
      <c r="M76" s="77">
        <f>(VLOOKUP($A76,'The List'!$B1:$AH665,25,FALSE)-AVERAGE('The List'!Z2:Z665))/STDEV('The List'!Z2:Z665)</f>
        <v>-0.719846846354687</v>
      </c>
      <c r="N76" s="77">
        <f>(VLOOKUP($A76,'The List'!$B1:$AH665,26,FALSE)-AVERAGE('The List'!AA2:AA665))/STDEV('The List'!AA2:AA665)</f>
        <v>-0.835891687897671</v>
      </c>
      <c r="O76" s="77">
        <f>(VLOOKUP($A76,'The List'!$B1:$AH665,27,FALSE)-AVERAGE('The List'!AB2:AB665))/STDEV('The List'!AB2:AB665)</f>
        <v>-1.49715667352257</v>
      </c>
      <c r="P76" s="77">
        <f>(VLOOKUP($A76,'The List'!$B1:$AH665,28,FALSE)-AVERAGE('The List'!AC2:AC665))/STDEV('The List'!AC2:AC665)</f>
        <v>-1.52114285988251</v>
      </c>
      <c r="Q76" s="77">
        <f>(VLOOKUP($A76,'The List'!$B1:$AH665,29,FALSE)-AVERAGE('The List'!AD2:AD665))/STDEV('The List'!AD2:AD665)</f>
        <v>-0.331373223951502</v>
      </c>
      <c r="R76" s="77">
        <f>(VLOOKUP($A76,'The List'!$B1:$AH665,30,FALSE)-AVERAGE('The List'!AE2:AE665))/STDEV('The List'!AE2:AE665)</f>
        <v>0.695621702731685</v>
      </c>
      <c r="S76" s="77">
        <f>(VLOOKUP($A76,'The List'!$B1:$AH665,31,FALSE)-AVERAGE('The List'!AF2:AF665))/STDEV('The List'!AF2:AF665)</f>
        <v>-0.536291446199195</v>
      </c>
      <c r="T76" s="77">
        <f>(VLOOKUP($A76,'The List'!$B1:$AH665,32,FALSE)-AVERAGE('The List'!AG2:AG665))/STDEV('The List'!AG2:AG665)</f>
        <v>-0.586627393000879</v>
      </c>
      <c r="U76" s="77">
        <f>(VLOOKUP($A76,'The List'!$B1:$AH665,33,FALSE)-AVERAGE('The List'!AH2:AH665))/STDEV('The List'!AH2:AH665)</f>
        <v>1.05951807121974</v>
      </c>
      <c r="V76" s="77"/>
      <c r="W76" s="89"/>
      <c r="X76" s="79"/>
      <c r="Y76" s="79"/>
      <c r="Z76" s="79"/>
      <c r="AA76" s="79"/>
      <c r="AB76" s="79"/>
      <c r="AC76" s="82"/>
      <c r="AD76" s="83"/>
      <c r="AE76" s="84"/>
    </row>
    <row r="77" ht="21.25" customHeight="1">
      <c r="A77" t="s" s="10">
        <v>359</v>
      </c>
      <c r="B77" t="s" s="86">
        <f>VLOOKUP(A77,'Player Data'!A1:B667,2,FALSE)</f>
        <v>259</v>
      </c>
      <c r="C77" s="74">
        <f>((E77)*'Settings'!$C$12)+(F77*'Settings'!$C$2)+(G77*'Settings'!$C$3)+(H77*'Settings'!$C$4)+(I77*'Settings'!$C$5)+(K77*'Settings'!$C$9)+(N77*'Settings'!$C$6)+(J77*'Settings'!$C$8)+(O77*'Settings'!$C$7)+(P77*'Settings'!$C$14)+(Q77*'Settings'!$C$15)+(R77*'Settings'!$C$16)+(S77*'Settings'!$C$17)+(T77*'Settings'!$C$18)+(U77*'Settings'!$C$19)+(L77*'Settings'!$C$10)+('Settings'!$C$11*M77)</f>
        <v>4.38439471800499</v>
      </c>
      <c r="D77" s="79">
        <f>IF('Settings'!$E$12="YES",VLOOKUP(A77,'Player Data'!A1:E667,5,FALSE),82)</f>
        <v>77.93000000000001</v>
      </c>
      <c r="E77" s="77">
        <f>(VLOOKUP($A77,'The List'!$B1:$AH665,17,FALSE)-AVERAGE('The List'!R2:R665))/STDEV('The List'!R2:R665)</f>
        <v>0.490702654762262</v>
      </c>
      <c r="F77" s="77">
        <f>(VLOOKUP($A77,'The List'!$B1:$AH665,18,FALSE)-AVERAGE('The List'!S2:S665))/STDEV('The List'!S2:S665)</f>
        <v>1.04576996867059</v>
      </c>
      <c r="G77" s="77">
        <f>(VLOOKUP($A77,'The List'!$B1:$AH665,19,FALSE)-AVERAGE('The List'!T2:T665))/STDEV('The List'!T2:T665)</f>
        <v>1.24408847850386</v>
      </c>
      <c r="H77" s="77">
        <f>(VLOOKUP($A77,'The List'!$B1:$AH665,20,FALSE)-AVERAGE('The List'!U2:U665))/STDEV('The List'!U2:U665)</f>
        <v>1.24800105809732</v>
      </c>
      <c r="I77" s="77">
        <f>(VLOOKUP($A77,'The List'!$B1:$AH665,21,FALSE)-AVERAGE('The List'!V2:V665))/STDEV('The List'!V2:V665)</f>
        <v>1.10933696685809</v>
      </c>
      <c r="J77" s="77">
        <f>(VLOOKUP($A77,'The List'!$B1:$AH665,22,FALSE)-AVERAGE('The List'!W2:W665))/STDEV('The List'!W2:W665)</f>
        <v>1.27330615894804</v>
      </c>
      <c r="K77" s="77">
        <f>(VLOOKUP($A77,'The List'!$B1:$AH665,23,FALSE)-AVERAGE('The List'!X2:X665))/STDEV('The List'!X2:X665)</f>
        <v>1.42425449996673</v>
      </c>
      <c r="L77" s="77">
        <f>(VLOOKUP($A77,'The List'!$B1:$AH665,24,FALSE)-AVERAGE('The List'!Y2:Y665))/STDEV('The List'!Y2:Y665)</f>
        <v>-0.568040073292314</v>
      </c>
      <c r="M77" s="77">
        <f>(VLOOKUP($A77,'The List'!$B1:$AH665,25,FALSE)-AVERAGE('The List'!Z2:Z665))/STDEV('The List'!Z2:Z665)</f>
        <v>-0.74138760431699</v>
      </c>
      <c r="N77" s="77">
        <f>(VLOOKUP($A77,'The List'!$B1:$AH665,26,FALSE)-AVERAGE('The List'!AA2:AA665))/STDEV('The List'!AA2:AA665)</f>
        <v>-0.657072424250589</v>
      </c>
      <c r="O77" s="77">
        <f>(VLOOKUP($A77,'The List'!$B1:$AH665,27,FALSE)-AVERAGE('The List'!AB2:AB665))/STDEV('The List'!AB2:AB665)</f>
        <v>-1.12416880071743</v>
      </c>
      <c r="P77" s="77">
        <f>(VLOOKUP($A77,'The List'!$B1:$AH665,28,FALSE)-AVERAGE('The List'!AC2:AC665))/STDEV('The List'!AC2:AC665)</f>
        <v>0.218017228256308</v>
      </c>
      <c r="Q77" s="77">
        <f>(VLOOKUP($A77,'The List'!$B1:$AH665,29,FALSE)-AVERAGE('The List'!AD2:AD665))/STDEV('The List'!AD2:AD665)</f>
        <v>1.72652309585334</v>
      </c>
      <c r="R77" s="77">
        <f>(VLOOKUP($A77,'The List'!$B1:$AH665,30,FALSE)-AVERAGE('The List'!AE2:AE665))/STDEV('The List'!AE2:AE665)</f>
        <v>0.9888965685068281</v>
      </c>
      <c r="S77" s="77">
        <f>(VLOOKUP($A77,'The List'!$B1:$AH665,31,FALSE)-AVERAGE('The List'!AF2:AF665))/STDEV('The List'!AF2:AF665)</f>
        <v>1.21378496816918</v>
      </c>
      <c r="T77" s="77">
        <f>(VLOOKUP($A77,'The List'!$B1:$AH665,32,FALSE)-AVERAGE('The List'!AG2:AG665))/STDEV('The List'!AG2:AG665)</f>
        <v>1.41977925213092</v>
      </c>
      <c r="U77" s="77">
        <f>(VLOOKUP($A77,'The List'!$B1:$AH665,33,FALSE)-AVERAGE('The List'!AH2:AH665))/STDEV('The List'!AH2:AH665)</f>
        <v>0.952349433101577</v>
      </c>
      <c r="V77" s="77"/>
      <c r="W77" s="89"/>
      <c r="X77" s="79"/>
      <c r="Y77" s="79"/>
      <c r="Z77" s="79"/>
      <c r="AA77" s="79"/>
      <c r="AB77" s="79"/>
      <c r="AC77" s="82"/>
      <c r="AD77" s="83"/>
      <c r="AE77" s="84"/>
    </row>
    <row r="78" ht="21.25" customHeight="1">
      <c r="A78" t="s" s="10">
        <v>432</v>
      </c>
      <c r="B78" t="s" s="86">
        <f>VLOOKUP(A78,'Player Data'!A1:B667,2,FALSE)</f>
        <v>908</v>
      </c>
      <c r="C78" s="74">
        <f>((E78)*'Settings'!$C$12)+(F78*'Settings'!$C$2)+(G78*'Settings'!$C$3)+(H78*'Settings'!$C$4)+(I78*'Settings'!$C$5)+(K78*'Settings'!$C$9)+(N78*'Settings'!$C$6)+(J78*'Settings'!$C$8)+(O78*'Settings'!$C$7)+(P78*'Settings'!$C$14)+(Q78*'Settings'!$C$15)+(R78*'Settings'!$C$16)+(S78*'Settings'!$C$17)+(T78*'Settings'!$C$18)+(U78*'Settings'!$C$19)+(L78*'Settings'!$C$10)+('Settings'!$C$11*M78)</f>
        <v>2.93786437389904</v>
      </c>
      <c r="D78" s="79">
        <f>IF('Settings'!$E$12="YES",VLOOKUP(A78,'Player Data'!A1:E667,5,FALSE),82)</f>
        <v>76.985</v>
      </c>
      <c r="E78" s="77">
        <f>(VLOOKUP($A78,'The List'!$B1:$AH665,17,FALSE)-AVERAGE('The List'!R2:R665))/STDEV('The List'!R2:R665)</f>
        <v>0.555381543549431</v>
      </c>
      <c r="F78" s="77">
        <f>(VLOOKUP($A78,'The List'!$B1:$AH665,18,FALSE)-AVERAGE('The List'!S2:S665))/STDEV('The List'!S2:S665)</f>
        <v>1.01191537912742</v>
      </c>
      <c r="G78" s="77">
        <f>(VLOOKUP($A78,'The List'!$B1:$AH665,19,FALSE)-AVERAGE('The List'!T2:T665))/STDEV('The List'!T2:T665)</f>
        <v>1.20155420096173</v>
      </c>
      <c r="H78" s="77">
        <f>(VLOOKUP($A78,'The List'!$B1:$AH665,20,FALSE)-AVERAGE('The List'!U2:U665))/STDEV('The List'!U2:U665)</f>
        <v>1.20619635993626</v>
      </c>
      <c r="I78" s="77">
        <f>(VLOOKUP($A78,'The List'!$B1:$AH665,21,FALSE)-AVERAGE('The List'!V2:V665))/STDEV('The List'!V2:V665)</f>
        <v>0.39141457711124</v>
      </c>
      <c r="J78" s="77">
        <f>(VLOOKUP($A78,'The List'!$B1:$AH665,22,FALSE)-AVERAGE('The List'!W2:W665))/STDEV('The List'!W2:W665)</f>
        <v>1.49775847620656</v>
      </c>
      <c r="K78" s="77">
        <f>(VLOOKUP($A78,'The List'!$B1:$AH665,23,FALSE)-AVERAGE('The List'!X2:X665))/STDEV('The List'!X2:X665)</f>
        <v>0.997780410670575</v>
      </c>
      <c r="L78" s="77">
        <f>(VLOOKUP($A78,'The List'!$B1:$AH665,24,FALSE)-AVERAGE('The List'!Y2:Y665))/STDEV('The List'!Y2:Y665)</f>
        <v>0.0639932741410135</v>
      </c>
      <c r="M78" s="77">
        <f>(VLOOKUP($A78,'The List'!$B1:$AH665,25,FALSE)-AVERAGE('The List'!Z2:Z665))/STDEV('The List'!Z2:Z665)</f>
        <v>-0.125346919383822</v>
      </c>
      <c r="N78" s="77">
        <f>(VLOOKUP($A78,'The List'!$B1:$AH665,26,FALSE)-AVERAGE('The List'!AA2:AA665))/STDEV('The List'!AA2:AA665)</f>
        <v>-0.670356843682144</v>
      </c>
      <c r="O78" s="77">
        <f>(VLOOKUP($A78,'The List'!$B1:$AH665,27,FALSE)-AVERAGE('The List'!AB2:AB665))/STDEV('The List'!AB2:AB665)</f>
        <v>-1.50820401662333</v>
      </c>
      <c r="P78" s="77">
        <f>(VLOOKUP($A78,'The List'!$B1:$AH665,28,FALSE)-AVERAGE('The List'!AC2:AC665))/STDEV('The List'!AC2:AC665)</f>
        <v>0.0055566497102234</v>
      </c>
      <c r="Q78" s="77">
        <f>(VLOOKUP($A78,'The List'!$B1:$AH665,29,FALSE)-AVERAGE('The List'!AD2:AD665))/STDEV('The List'!AD2:AD665)</f>
        <v>-0.889140417513956</v>
      </c>
      <c r="R78" s="77">
        <f>(VLOOKUP($A78,'The List'!$B1:$AH665,30,FALSE)-AVERAGE('The List'!AE2:AE665))/STDEV('The List'!AE2:AE665)</f>
        <v>0.927877016879766</v>
      </c>
      <c r="S78" s="77">
        <f>(VLOOKUP($A78,'The List'!$B1:$AH665,31,FALSE)-AVERAGE('The List'!AF2:AF665))/STDEV('The List'!AF2:AF665)</f>
        <v>0.122127499108882</v>
      </c>
      <c r="T78" s="77">
        <f>(VLOOKUP($A78,'The List'!$B1:$AH665,32,FALSE)-AVERAGE('The List'!AG2:AG665))/STDEV('The List'!AG2:AG665)</f>
        <v>0.379682208203366</v>
      </c>
      <c r="U78" s="77">
        <f>(VLOOKUP($A78,'The List'!$B1:$AH665,33,FALSE)-AVERAGE('The List'!AH2:AH665))/STDEV('The List'!AH2:AH665)</f>
        <v>0.69087323441983</v>
      </c>
      <c r="V78" s="77"/>
      <c r="W78" s="89"/>
      <c r="X78" s="79"/>
      <c r="Y78" s="79"/>
      <c r="Z78" s="79"/>
      <c r="AA78" s="79"/>
      <c r="AB78" s="79"/>
      <c r="AC78" s="82"/>
      <c r="AD78" s="83"/>
      <c r="AE78" s="84"/>
    </row>
    <row r="79" ht="21.25" customHeight="1">
      <c r="A79" t="s" s="10">
        <v>290</v>
      </c>
      <c r="B79" t="s" s="86">
        <f>VLOOKUP(A79,'Player Data'!A1:B667,2,FALSE)</f>
        <v>174</v>
      </c>
      <c r="C79" s="74">
        <f>((E79)*'Settings'!$C$12)+(F79*'Settings'!$C$2)+(G79*'Settings'!$C$3)+(H79*'Settings'!$C$4)+(I79*'Settings'!$C$5)+(K79*'Settings'!$C$9)+(N79*'Settings'!$C$6)+(J79*'Settings'!$C$8)+(O79*'Settings'!$C$7)+(P79*'Settings'!$C$14)+(Q79*'Settings'!$C$15)+(R79*'Settings'!$C$16)+(S79*'Settings'!$C$17)+(T79*'Settings'!$C$18)+(U79*'Settings'!$C$19)+(L79*'Settings'!$C$10)+('Settings'!$C$11*M79)</f>
        <v>4.68096785011885</v>
      </c>
      <c r="D79" s="79">
        <f>IF('Settings'!$E$12="YES",VLOOKUP(A79,'Player Data'!A1:E667,5,FALSE),82)</f>
        <v>80.93000000000001</v>
      </c>
      <c r="E79" s="77">
        <f>(VLOOKUP($A79,'The List'!$B1:$AH665,17,FALSE)-AVERAGE('The List'!R2:R665))/STDEV('The List'!R2:R665)</f>
        <v>0.505668062799552</v>
      </c>
      <c r="F79" s="77">
        <f>(VLOOKUP($A79,'The List'!$B1:$AH665,18,FALSE)-AVERAGE('The List'!S2:S665))/STDEV('The List'!S2:S665)</f>
        <v>1.1426368280067</v>
      </c>
      <c r="G79" s="77">
        <f>(VLOOKUP($A79,'The List'!$B1:$AH665,19,FALSE)-AVERAGE('The List'!T2:T665))/STDEV('The List'!T2:T665)</f>
        <v>1.34045963122635</v>
      </c>
      <c r="H79" s="77">
        <f>(VLOOKUP($A79,'The List'!$B1:$AH665,20,FALSE)-AVERAGE('The List'!U2:U665))/STDEV('The List'!U2:U665)</f>
        <v>1.35188355472583</v>
      </c>
      <c r="I79" s="77">
        <f>(VLOOKUP($A79,'The List'!$B1:$AH665,21,FALSE)-AVERAGE('The List'!V2:V665))/STDEV('The List'!V2:V665)</f>
        <v>2.20651002975463</v>
      </c>
      <c r="J79" s="77">
        <f>(VLOOKUP($A79,'The List'!$B1:$AH665,22,FALSE)-AVERAGE('The List'!W2:W665))/STDEV('The List'!W2:W665)</f>
        <v>1.60147157223616</v>
      </c>
      <c r="K79" s="77">
        <f>(VLOOKUP($A79,'The List'!$B1:$AH665,23,FALSE)-AVERAGE('The List'!X2:X665))/STDEV('The List'!X2:X665)</f>
        <v>1.27545562847497</v>
      </c>
      <c r="L79" s="77">
        <f>(VLOOKUP($A79,'The List'!$B1:$AH665,24,FALSE)-AVERAGE('The List'!Y2:Y665))/STDEV('The List'!Y2:Y665)</f>
        <v>-0.32754675883279</v>
      </c>
      <c r="M79" s="77">
        <f>(VLOOKUP($A79,'The List'!$B1:$AH665,25,FALSE)-AVERAGE('The List'!Z2:Z665))/STDEV('The List'!Z2:Z665)</f>
        <v>-0.49104131040283</v>
      </c>
      <c r="N79" s="77">
        <f>(VLOOKUP($A79,'The List'!$B1:$AH665,26,FALSE)-AVERAGE('The List'!AA2:AA665))/STDEV('The List'!AA2:AA665)</f>
        <v>-0.864990871797097</v>
      </c>
      <c r="O79" s="77">
        <f>(VLOOKUP($A79,'The List'!$B1:$AH665,27,FALSE)-AVERAGE('The List'!AB2:AB665))/STDEV('The List'!AB2:AB665)</f>
        <v>-0.481973436938925</v>
      </c>
      <c r="P79" s="77">
        <f>(VLOOKUP($A79,'The List'!$B1:$AH665,28,FALSE)-AVERAGE('The List'!AC2:AC665))/STDEV('The List'!AC2:AC665)</f>
        <v>-0.419103395546704</v>
      </c>
      <c r="Q79" s="77">
        <f>(VLOOKUP($A79,'The List'!$B1:$AH665,29,FALSE)-AVERAGE('The List'!AD2:AD665))/STDEV('The List'!AD2:AD665)</f>
        <v>0.974702234060751</v>
      </c>
      <c r="R79" s="77">
        <f>(VLOOKUP($A79,'The List'!$B1:$AH665,30,FALSE)-AVERAGE('The List'!AE2:AE665))/STDEV('The List'!AE2:AE665)</f>
        <v>1.0340379762382</v>
      </c>
      <c r="S79" s="77">
        <f>(VLOOKUP($A79,'The List'!$B1:$AH665,31,FALSE)-AVERAGE('The List'!AF2:AF665))/STDEV('The List'!AF2:AF665)</f>
        <v>2.33717001315336</v>
      </c>
      <c r="T79" s="77">
        <f>(VLOOKUP($A79,'The List'!$B1:$AH665,32,FALSE)-AVERAGE('The List'!AG2:AG665))/STDEV('The List'!AG2:AG665)</f>
        <v>2.64136268773093</v>
      </c>
      <c r="U79" s="77">
        <f>(VLOOKUP($A79,'The List'!$B1:$AH665,33,FALSE)-AVERAGE('The List'!AH2:AH665))/STDEV('The List'!AH2:AH665)</f>
        <v>0.9742606736155059</v>
      </c>
      <c r="V79" s="77"/>
      <c r="W79" s="79"/>
      <c r="X79" s="79"/>
      <c r="Y79" s="79"/>
      <c r="Z79" s="79"/>
      <c r="AA79" s="79"/>
      <c r="AB79" s="79"/>
      <c r="AC79" s="82"/>
      <c r="AD79" s="83"/>
      <c r="AE79" s="84"/>
    </row>
    <row r="80" ht="21.25" customHeight="1">
      <c r="A80" t="s" s="10">
        <v>303</v>
      </c>
      <c r="B80" t="s" s="86">
        <f>VLOOKUP(A80,'Player Data'!A1:B667,2,FALSE)</f>
        <v>911</v>
      </c>
      <c r="C80" s="74">
        <f>((E80)*'Settings'!$C$12)+(F80*'Settings'!$C$2)+(G80*'Settings'!$C$3)+(H80*'Settings'!$C$4)+(I80*'Settings'!$C$5)+(K80*'Settings'!$C$9)+(N80*'Settings'!$C$6)+(J80*'Settings'!$C$8)+(O80*'Settings'!$C$7)+(P80*'Settings'!$C$14)+(Q80*'Settings'!$C$15)+(R80*'Settings'!$C$16)+(S80*'Settings'!$C$17)+(T80*'Settings'!$C$18)+(U80*'Settings'!$C$19)+(L80*'Settings'!$C$10)+('Settings'!$C$11*M80)</f>
        <v>4.5424847105712</v>
      </c>
      <c r="D80" s="79">
        <f>IF('Settings'!$E$12="YES",VLOOKUP(A80,'Player Data'!A1:E667,5,FALSE),82)</f>
        <v>80.46250000000001</v>
      </c>
      <c r="E80" s="77">
        <f>(VLOOKUP($A80,'The List'!$B1:$AH665,17,FALSE)-AVERAGE('The List'!R2:R665))/STDEV('The List'!R2:R665)</f>
        <v>0.273724054226076</v>
      </c>
      <c r="F80" s="77">
        <f>(VLOOKUP($A80,'The List'!$B1:$AH665,18,FALSE)-AVERAGE('The List'!S2:S665))/STDEV('The List'!S2:S665)</f>
        <v>1.96753999740319</v>
      </c>
      <c r="G80" s="77">
        <f>(VLOOKUP($A80,'The List'!$B1:$AH665,19,FALSE)-AVERAGE('The List'!T2:T665))/STDEV('The List'!T2:T665)</f>
        <v>0.702372271869404</v>
      </c>
      <c r="H80" s="77">
        <f>(VLOOKUP($A80,'The List'!$B1:$AH665,20,FALSE)-AVERAGE('The List'!U2:U665))/STDEV('The List'!U2:U665)</f>
        <v>1.33055312740217</v>
      </c>
      <c r="I80" s="77">
        <f>(VLOOKUP($A80,'The List'!$B1:$AH665,21,FALSE)-AVERAGE('The List'!V2:V665))/STDEV('The List'!V2:V665)</f>
        <v>1.52835309743489</v>
      </c>
      <c r="J80" s="77">
        <f>(VLOOKUP($A80,'The List'!$B1:$AH665,22,FALSE)-AVERAGE('The List'!W2:W665))/STDEV('The List'!W2:W665)</f>
        <v>1.42913885450971</v>
      </c>
      <c r="K80" s="77">
        <f>(VLOOKUP($A80,'The List'!$B1:$AH665,23,FALSE)-AVERAGE('The List'!X2:X665))/STDEV('The List'!X2:X665)</f>
        <v>1.2263125081627</v>
      </c>
      <c r="L80" s="77">
        <f>(VLOOKUP($A80,'The List'!$B1:$AH665,24,FALSE)-AVERAGE('The List'!Y2:Y665))/STDEV('The List'!Y2:Y665)</f>
        <v>4.33970632016688</v>
      </c>
      <c r="M80" s="77">
        <f>(VLOOKUP($A80,'The List'!$B1:$AH665,25,FALSE)-AVERAGE('The List'!Z2:Z665))/STDEV('The List'!Z2:Z665)</f>
        <v>2.39918966925287</v>
      </c>
      <c r="N80" s="77">
        <f>(VLOOKUP($A80,'The List'!$B1:$AH665,26,FALSE)-AVERAGE('The List'!AA2:AA665))/STDEV('The List'!AA2:AA665)</f>
        <v>-0.780333917954708</v>
      </c>
      <c r="O80" s="77">
        <f>(VLOOKUP($A80,'The List'!$B1:$AH665,27,FALSE)-AVERAGE('The List'!AB2:AB665))/STDEV('The List'!AB2:AB665)</f>
        <v>-0.704524944486269</v>
      </c>
      <c r="P80" s="77">
        <f>(VLOOKUP($A80,'The List'!$B1:$AH665,28,FALSE)-AVERAGE('The List'!AC2:AC665))/STDEV('The List'!AC2:AC665)</f>
        <v>-0.101759246344281</v>
      </c>
      <c r="Q80" s="77">
        <f>(VLOOKUP($A80,'The List'!$B1:$AH665,29,FALSE)-AVERAGE('The List'!AD2:AD665))/STDEV('The List'!AD2:AD665)</f>
        <v>-0.30707918691218</v>
      </c>
      <c r="R80" s="77">
        <f>(VLOOKUP($A80,'The List'!$B1:$AH665,30,FALSE)-AVERAGE('The List'!AE2:AE665))/STDEV('The List'!AE2:AE665)</f>
        <v>1.9423603757709</v>
      </c>
      <c r="S80" s="77">
        <f>(VLOOKUP($A80,'The List'!$B1:$AH665,31,FALSE)-AVERAGE('The List'!AF2:AF665))/STDEV('The List'!AF2:AF665)</f>
        <v>0.0985469346321519</v>
      </c>
      <c r="T80" s="77">
        <f>(VLOOKUP($A80,'The List'!$B1:$AH665,32,FALSE)-AVERAGE('The List'!AG2:AG665))/STDEV('The List'!AG2:AG665)</f>
        <v>0.347849223994621</v>
      </c>
      <c r="U80" s="77">
        <f>(VLOOKUP($A80,'The List'!$B1:$AH665,33,FALSE)-AVERAGE('The List'!AH2:AH665))/STDEV('The List'!AH2:AH665)</f>
        <v>0.688334057863328</v>
      </c>
      <c r="V80" s="77"/>
      <c r="W80" s="89"/>
      <c r="X80" s="79"/>
      <c r="Y80" s="79"/>
      <c r="Z80" s="79"/>
      <c r="AA80" s="79"/>
      <c r="AB80" s="79"/>
      <c r="AC80" s="82"/>
      <c r="AD80" s="83"/>
      <c r="AE80" s="84"/>
    </row>
    <row r="81" ht="21.25" customHeight="1">
      <c r="A81" t="s" s="10">
        <v>286</v>
      </c>
      <c r="B81" t="s" s="86">
        <f>VLOOKUP(A81,'Player Data'!A1:B667,2,FALSE)</f>
        <v>156</v>
      </c>
      <c r="C81" s="74">
        <f>((E81)*'Settings'!$C$12)+(F81*'Settings'!$C$2)+(G81*'Settings'!$C$3)+(H81*'Settings'!$C$4)+(I81*'Settings'!$C$5)+(K81*'Settings'!$C$9)+(N81*'Settings'!$C$6)+(J81*'Settings'!$C$8)+(O81*'Settings'!$C$7)+(P81*'Settings'!$C$14)+(Q81*'Settings'!$C$15)+(R81*'Settings'!$C$16)+(S81*'Settings'!$C$17)+(T81*'Settings'!$C$18)+(U81*'Settings'!$C$19)+(L81*'Settings'!$C$10)+('Settings'!$C$11*M81)</f>
        <v>4.52385699241967</v>
      </c>
      <c r="D81" s="79">
        <f>IF('Settings'!$E$12="YES",VLOOKUP(A81,'Player Data'!A1:E667,5,FALSE),82)</f>
        <v>82.03</v>
      </c>
      <c r="E81" s="77">
        <f>(VLOOKUP($A81,'The List'!$B1:$AH665,17,FALSE)-AVERAGE('The List'!R2:R665))/STDEV('The List'!R2:R665)</f>
        <v>0.360671166473713</v>
      </c>
      <c r="F81" s="77">
        <f>(VLOOKUP($A81,'The List'!$B1:$AH665,18,FALSE)-AVERAGE('The List'!S2:S665))/STDEV('The List'!S2:S665)</f>
        <v>1.50422640741286</v>
      </c>
      <c r="G81" s="77">
        <f>(VLOOKUP($A81,'The List'!$B1:$AH665,19,FALSE)-AVERAGE('The List'!T2:T665))/STDEV('The List'!T2:T665)</f>
        <v>1.11215824438438</v>
      </c>
      <c r="H81" s="77">
        <f>(VLOOKUP($A81,'The List'!$B1:$AH665,20,FALSE)-AVERAGE('The List'!U2:U665))/STDEV('The List'!U2:U665)</f>
        <v>1.37445520811303</v>
      </c>
      <c r="I81" s="77">
        <f>(VLOOKUP($A81,'The List'!$B1:$AH665,21,FALSE)-AVERAGE('The List'!V2:V665))/STDEV('The List'!V2:V665)</f>
        <v>1.74675636994972</v>
      </c>
      <c r="J81" s="77">
        <f>(VLOOKUP($A81,'The List'!$B1:$AH665,22,FALSE)-AVERAGE('The List'!W2:W665))/STDEV('The List'!W2:W665)</f>
        <v>1.97185404150225</v>
      </c>
      <c r="K81" s="77">
        <f>(VLOOKUP($A81,'The List'!$B1:$AH665,23,FALSE)-AVERAGE('The List'!X2:X665))/STDEV('The List'!X2:X665)</f>
        <v>1.42535586105653</v>
      </c>
      <c r="L81" s="77">
        <f>(VLOOKUP($A81,'The List'!$B1:$AH665,24,FALSE)-AVERAGE('The List'!Y2:Y665))/STDEV('The List'!Y2:Y665)</f>
        <v>-0.563507906882306</v>
      </c>
      <c r="M81" s="77">
        <f>(VLOOKUP($A81,'The List'!$B1:$AH665,25,FALSE)-AVERAGE('The List'!Z2:Z665))/STDEV('The List'!Z2:Z665)</f>
        <v>-0.736997216430221</v>
      </c>
      <c r="N81" s="77">
        <f>(VLOOKUP($A81,'The List'!$B1:$AH665,26,FALSE)-AVERAGE('The List'!AA2:AA665))/STDEV('The List'!AA2:AA665)</f>
        <v>-0.7016061202088369</v>
      </c>
      <c r="O81" s="77">
        <f>(VLOOKUP($A81,'The List'!$B1:$AH665,27,FALSE)-AVERAGE('The List'!AB2:AB665))/STDEV('The List'!AB2:AB665)</f>
        <v>-0.33640952735406</v>
      </c>
      <c r="P81" s="77">
        <f>(VLOOKUP($A81,'The List'!$B1:$AH665,28,FALSE)-AVERAGE('The List'!AC2:AC665))/STDEV('The List'!AC2:AC665)</f>
        <v>-0.563033770174985</v>
      </c>
      <c r="Q81" s="77">
        <f>(VLOOKUP($A81,'The List'!$B1:$AH665,29,FALSE)-AVERAGE('The List'!AD2:AD665))/STDEV('The List'!AD2:AD665)</f>
        <v>-0.29839814437885</v>
      </c>
      <c r="R81" s="77">
        <f>(VLOOKUP($A81,'The List'!$B1:$AH665,30,FALSE)-AVERAGE('The List'!AE2:AE665))/STDEV('The List'!AE2:AE665)</f>
        <v>1.22659133903357</v>
      </c>
      <c r="S81" s="77">
        <f>(VLOOKUP($A81,'The List'!$B1:$AH665,31,FALSE)-AVERAGE('The List'!AF2:AF665))/STDEV('The List'!AF2:AF665)</f>
        <v>-0.49153967191217</v>
      </c>
      <c r="T81" s="77">
        <f>(VLOOKUP($A81,'The List'!$B1:$AH665,32,FALSE)-AVERAGE('The List'!AG2:AG665))/STDEV('The List'!AG2:AG665)</f>
        <v>-0.516470107770269</v>
      </c>
      <c r="U81" s="77">
        <f>(VLOOKUP($A81,'The List'!$B1:$AH665,33,FALSE)-AVERAGE('The List'!AH2:AH665))/STDEV('The List'!AH2:AH665)</f>
        <v>0.785248260337412</v>
      </c>
      <c r="V81" s="77"/>
      <c r="W81" s="79"/>
      <c r="X81" s="77"/>
      <c r="Y81" s="77"/>
      <c r="Z81" s="77"/>
      <c r="AA81" s="77"/>
      <c r="AB81" s="77"/>
      <c r="AC81" s="77"/>
      <c r="AD81" s="77"/>
      <c r="AE81" s="84"/>
    </row>
    <row r="82" ht="21.25" customHeight="1">
      <c r="A82" t="s" s="10">
        <v>448</v>
      </c>
      <c r="B82" t="s" s="86">
        <f>VLOOKUP(A82,'Player Data'!A1:B667,2,FALSE)</f>
        <v>909</v>
      </c>
      <c r="C82" s="74">
        <f>((E82)*'Settings'!$C$12)+(F82*'Settings'!$C$2)+(G82*'Settings'!$C$3)+(H82*'Settings'!$C$4)+(I82*'Settings'!$C$5)+(K82*'Settings'!$C$9)+(N82*'Settings'!$C$6)+(J82*'Settings'!$C$8)+(O82*'Settings'!$C$7)+(P82*'Settings'!$C$14)+(Q82*'Settings'!$C$15)+(R82*'Settings'!$C$16)+(S82*'Settings'!$C$17)+(T82*'Settings'!$C$18)+(U82*'Settings'!$C$19)+(L82*'Settings'!$C$10)+('Settings'!$C$11*M82)</f>
        <v>1.14212306030947</v>
      </c>
      <c r="D82" s="79">
        <f>IF('Settings'!$E$12="YES",VLOOKUP(A82,'Player Data'!A1:E667,5,FALSE),82)</f>
        <v>64.3575</v>
      </c>
      <c r="E82" s="77">
        <f>(VLOOKUP($A82,'The List'!$B1:$AH665,17,FALSE)-AVERAGE('The List'!R2:R665))/STDEV('The List'!R2:R665)</f>
        <v>0.240860576012472</v>
      </c>
      <c r="F82" s="77">
        <f>(VLOOKUP($A82,'The List'!$B1:$AH665,18,FALSE)-AVERAGE('The List'!S2:S665))/STDEV('The List'!S2:S665)</f>
        <v>1.15964940215256</v>
      </c>
      <c r="G82" s="77">
        <f>(VLOOKUP($A82,'The List'!$B1:$AH665,19,FALSE)-AVERAGE('The List'!T2:T665))/STDEV('The List'!T2:T665)</f>
        <v>0.50732419914533</v>
      </c>
      <c r="H82" s="77">
        <f>(VLOOKUP($A82,'The List'!$B1:$AH665,20,FALSE)-AVERAGE('The List'!U2:U665))/STDEV('The List'!U2:U665)</f>
        <v>0.842192629391294</v>
      </c>
      <c r="I82" s="77">
        <f>(VLOOKUP($A82,'The List'!$B1:$AH665,21,FALSE)-AVERAGE('The List'!V2:V665))/STDEV('The List'!V2:V665)</f>
        <v>0.839088315645237</v>
      </c>
      <c r="J82" s="77">
        <f>(VLOOKUP($A82,'The List'!$B1:$AH665,22,FALSE)-AVERAGE('The List'!W2:W665))/STDEV('The List'!W2:W665)</f>
        <v>1.2842998367978</v>
      </c>
      <c r="K82" s="77">
        <f>(VLOOKUP($A82,'The List'!$B1:$AH665,23,FALSE)-AVERAGE('The List'!X2:X665))/STDEV('The List'!X2:X665)</f>
        <v>0.894812074305092</v>
      </c>
      <c r="L82" s="77">
        <f>(VLOOKUP($A82,'The List'!$B1:$AH665,24,FALSE)-AVERAGE('The List'!Y2:Y665))/STDEV('The List'!Y2:Y665)</f>
        <v>-0.567409228921175</v>
      </c>
      <c r="M82" s="77">
        <f>(VLOOKUP($A82,'The List'!$B1:$AH665,25,FALSE)-AVERAGE('The List'!Z2:Z665))/STDEV('The List'!Z2:Z665)</f>
        <v>-0.7409938605976349</v>
      </c>
      <c r="N82" s="77">
        <f>(VLOOKUP($A82,'The List'!$B1:$AH665,26,FALSE)-AVERAGE('The List'!AA2:AA665))/STDEV('The List'!AA2:AA665)</f>
        <v>-0.706455146901906</v>
      </c>
      <c r="O82" s="77">
        <f>(VLOOKUP($A82,'The List'!$B1:$AH665,27,FALSE)-AVERAGE('The List'!AB2:AB665))/STDEV('The List'!AB2:AB665)</f>
        <v>-1.17189971988814</v>
      </c>
      <c r="P82" s="77">
        <f>(VLOOKUP($A82,'The List'!$B1:$AH665,28,FALSE)-AVERAGE('The List'!AC2:AC665))/STDEV('The List'!AC2:AC665)</f>
        <v>-1.55229578403684</v>
      </c>
      <c r="Q82" s="77">
        <f>(VLOOKUP($A82,'The List'!$B1:$AH665,29,FALSE)-AVERAGE('The List'!AD2:AD665))/STDEV('The List'!AD2:AD665)</f>
        <v>-0.852132640080779</v>
      </c>
      <c r="R82" s="77">
        <f>(VLOOKUP($A82,'The List'!$B1:$AH665,30,FALSE)-AVERAGE('The List'!AE2:AE665))/STDEV('The List'!AE2:AE665)</f>
        <v>0.579714318001004</v>
      </c>
      <c r="S82" s="77">
        <f>(VLOOKUP($A82,'The List'!$B1:$AH665,31,FALSE)-AVERAGE('The List'!AF2:AF665))/STDEV('The List'!AF2:AF665)</f>
        <v>-0.28362280899972</v>
      </c>
      <c r="T82" s="77">
        <f>(VLOOKUP($A82,'The List'!$B1:$AH665,32,FALSE)-AVERAGE('The List'!AG2:AG665))/STDEV('The List'!AG2:AG665)</f>
        <v>-0.0794570340175208</v>
      </c>
      <c r="U82" s="77">
        <f>(VLOOKUP($A82,'The List'!$B1:$AH665,33,FALSE)-AVERAGE('The List'!AH2:AH665))/STDEV('The List'!AH2:AH665)</f>
        <v>0.405366624219887</v>
      </c>
      <c r="V82" s="77"/>
      <c r="W82" s="89"/>
      <c r="X82" s="79"/>
      <c r="Y82" s="79"/>
      <c r="Z82" s="79"/>
      <c r="AA82" s="79"/>
      <c r="AB82" s="79"/>
      <c r="AC82" s="82"/>
      <c r="AD82" s="83"/>
      <c r="AE82" s="84"/>
    </row>
    <row r="83" ht="21.25" customHeight="1">
      <c r="A83" t="s" s="10">
        <v>296</v>
      </c>
      <c r="B83" t="s" s="86">
        <f>VLOOKUP(A83,'Player Data'!A1:B667,2,FALSE)</f>
        <v>165</v>
      </c>
      <c r="C83" s="74">
        <f>((E83)*'Settings'!$C$12)+(F83*'Settings'!$C$2)+(G83*'Settings'!$C$3)+(H83*'Settings'!$C$4)+(I83*'Settings'!$C$5)+(K83*'Settings'!$C$9)+(N83*'Settings'!$C$6)+(J83*'Settings'!$C$8)+(O83*'Settings'!$C$7)+(P83*'Settings'!$C$14)+(Q83*'Settings'!$C$15)+(R83*'Settings'!$C$16)+(S83*'Settings'!$C$17)+(T83*'Settings'!$C$18)+(U83*'Settings'!$C$19)+(L83*'Settings'!$C$10)+('Settings'!$C$11*M83)</f>
        <v>4.4848331879569</v>
      </c>
      <c r="D83" s="79">
        <f>IF('Settings'!$E$12="YES",VLOOKUP(A83,'Player Data'!A1:E667,5,FALSE),82)</f>
        <v>80.605</v>
      </c>
      <c r="E83" s="77">
        <f>(VLOOKUP($A83,'The List'!$B1:$AH665,17,FALSE)-AVERAGE('The List'!R2:R665))/STDEV('The List'!R2:R665)</f>
        <v>0.242700526089748</v>
      </c>
      <c r="F83" s="77">
        <f>(VLOOKUP($A83,'The List'!$B1:$AH665,18,FALSE)-AVERAGE('The List'!S2:S665))/STDEV('The List'!S2:S665)</f>
        <v>1.91910564658605</v>
      </c>
      <c r="G83" s="77">
        <f>(VLOOKUP($A83,'The List'!$B1:$AH665,19,FALSE)-AVERAGE('The List'!T2:T665))/STDEV('The List'!T2:T665)</f>
        <v>0.481402049557285</v>
      </c>
      <c r="H83" s="77">
        <f>(VLOOKUP($A83,'The List'!$B1:$AH665,20,FALSE)-AVERAGE('The List'!U2:U665))/STDEV('The List'!U2:U665)</f>
        <v>1.17130247989159</v>
      </c>
      <c r="I83" s="77">
        <f>(VLOOKUP($A83,'The List'!$B1:$AH665,21,FALSE)-AVERAGE('The List'!V2:V665))/STDEV('The List'!V2:V665)</f>
        <v>1.90791587826746</v>
      </c>
      <c r="J83" s="77">
        <f>(VLOOKUP($A83,'The List'!$B1:$AH665,22,FALSE)-AVERAGE('The List'!W2:W665))/STDEV('The List'!W2:W665)</f>
        <v>1.61981118652944</v>
      </c>
      <c r="K83" s="77">
        <f>(VLOOKUP($A83,'The List'!$B1:$AH665,23,FALSE)-AVERAGE('The List'!X2:X665))/STDEV('The List'!X2:X665)</f>
        <v>1.19584558292926</v>
      </c>
      <c r="L83" s="77">
        <f>(VLOOKUP($A83,'The List'!$B1:$AH665,24,FALSE)-AVERAGE('The List'!Y2:Y665))/STDEV('The List'!Y2:Y665)</f>
        <v>-0.569773001920161</v>
      </c>
      <c r="M83" s="77">
        <f>(VLOOKUP($A83,'The List'!$B1:$AH665,25,FALSE)-AVERAGE('The List'!Z2:Z665))/STDEV('The List'!Z2:Z665)</f>
        <v>-0.743453288840191</v>
      </c>
      <c r="N83" s="77">
        <f>(VLOOKUP($A83,'The List'!$B1:$AH665,26,FALSE)-AVERAGE('The List'!AA2:AA665))/STDEV('The List'!AA2:AA665)</f>
        <v>-1.00264988320245</v>
      </c>
      <c r="O83" s="77">
        <f>(VLOOKUP($A83,'The List'!$B1:$AH665,27,FALSE)-AVERAGE('The List'!AB2:AB665))/STDEV('The List'!AB2:AB665)</f>
        <v>0.0384005406157345</v>
      </c>
      <c r="P83" s="77">
        <f>(VLOOKUP($A83,'The List'!$B1:$AH665,28,FALSE)-AVERAGE('The List'!AC2:AC665))/STDEV('The List'!AC2:AC665)</f>
        <v>-0.0167860861807034</v>
      </c>
      <c r="Q83" s="77">
        <f>(VLOOKUP($A83,'The List'!$B1:$AH665,29,FALSE)-AVERAGE('The List'!AD2:AD665))/STDEV('The List'!AD2:AD665)</f>
        <v>0.0583081008966376</v>
      </c>
      <c r="R83" s="77">
        <f>(VLOOKUP($A83,'The List'!$B1:$AH665,30,FALSE)-AVERAGE('The List'!AE2:AE665))/STDEV('The List'!AE2:AE665)</f>
        <v>1.68106240957355</v>
      </c>
      <c r="S83" s="77">
        <f>(VLOOKUP($A83,'The List'!$B1:$AH665,31,FALSE)-AVERAGE('The List'!AF2:AF665))/STDEV('The List'!AF2:AF665)</f>
        <v>-0.50977017019047</v>
      </c>
      <c r="T83" s="77">
        <f>(VLOOKUP($A83,'The List'!$B1:$AH665,32,FALSE)-AVERAGE('The List'!AG2:AG665))/STDEV('The List'!AG2:AG665)</f>
        <v>-0.489109477207918</v>
      </c>
      <c r="U83" s="77">
        <f>(VLOOKUP($A83,'The List'!$B1:$AH665,33,FALSE)-AVERAGE('The List'!AH2:AH665))/STDEV('The List'!AH2:AH665)</f>
        <v>0.277736893835946</v>
      </c>
      <c r="V83" s="77"/>
      <c r="W83" s="89"/>
      <c r="X83" s="79"/>
      <c r="Y83" s="79"/>
      <c r="Z83" s="79"/>
      <c r="AA83" s="79"/>
      <c r="AB83" s="79"/>
      <c r="AC83" s="82"/>
      <c r="AD83" s="83"/>
      <c r="AE83" s="84"/>
    </row>
    <row r="84" ht="21.25" customHeight="1">
      <c r="A84" t="s" s="10">
        <v>269</v>
      </c>
      <c r="B84" t="s" s="86">
        <f>VLOOKUP(A84,'Player Data'!A1:B667,2,FALSE)</f>
        <v>154</v>
      </c>
      <c r="C84" s="74">
        <f>((E84)*'Settings'!$C$12)+(F84*'Settings'!$C$2)+(G84*'Settings'!$C$3)+(H84*'Settings'!$C$4)+(I84*'Settings'!$C$5)+(K84*'Settings'!$C$9)+(N84*'Settings'!$C$6)+(J84*'Settings'!$C$8)+(O84*'Settings'!$C$7)+(P84*'Settings'!$C$14)+(Q84*'Settings'!$C$15)+(R84*'Settings'!$C$16)+(S84*'Settings'!$C$17)+(T84*'Settings'!$C$18)+(U84*'Settings'!$C$19)+(L84*'Settings'!$C$10)+('Settings'!$C$11*M84)</f>
        <v>3.8150620862711</v>
      </c>
      <c r="D84" s="79">
        <f>IF('Settings'!$E$12="YES",VLOOKUP(A84,'Player Data'!A1:E667,5,FALSE),82)</f>
        <v>81.06</v>
      </c>
      <c r="E84" s="77">
        <f>(VLOOKUP($A84,'The List'!$B1:$AH665,17,FALSE)-AVERAGE('The List'!R2:R665))/STDEV('The List'!R2:R665)</f>
        <v>0.507935717800552</v>
      </c>
      <c r="F84" s="77">
        <f>(VLOOKUP($A84,'The List'!$B1:$AH665,18,FALSE)-AVERAGE('The List'!S2:S665))/STDEV('The List'!S2:S665)</f>
        <v>1.31923086377886</v>
      </c>
      <c r="G84" s="77">
        <f>(VLOOKUP($A84,'The List'!$B1:$AH665,19,FALSE)-AVERAGE('The List'!T2:T665))/STDEV('The List'!T2:T665)</f>
        <v>1.18101327730352</v>
      </c>
      <c r="H84" s="77">
        <f>(VLOOKUP($A84,'The List'!$B1:$AH665,20,FALSE)-AVERAGE('The List'!U2:U665))/STDEV('The List'!U2:U665)</f>
        <v>1.33312878701875</v>
      </c>
      <c r="I84" s="77">
        <f>(VLOOKUP($A84,'The List'!$B1:$AH665,21,FALSE)-AVERAGE('The List'!V2:V665))/STDEV('The List'!V2:V665)</f>
        <v>1.4558216393414</v>
      </c>
      <c r="J84" s="77">
        <f>(VLOOKUP($A84,'The List'!$B1:$AH665,22,FALSE)-AVERAGE('The List'!W2:W665))/STDEV('The List'!W2:W665)</f>
        <v>0.676581619912861</v>
      </c>
      <c r="K84" s="77">
        <f>(VLOOKUP($A84,'The List'!$B1:$AH665,23,FALSE)-AVERAGE('The List'!X2:X665))/STDEV('The List'!X2:X665)</f>
        <v>1.11127277654645</v>
      </c>
      <c r="L84" s="77">
        <f>(VLOOKUP($A84,'The List'!$B1:$AH665,24,FALSE)-AVERAGE('The List'!Y2:Y665))/STDEV('The List'!Y2:Y665)</f>
        <v>2.65590092048006</v>
      </c>
      <c r="M84" s="77">
        <f>(VLOOKUP($A84,'The List'!$B1:$AH665,25,FALSE)-AVERAGE('The List'!Z2:Z665))/STDEV('The List'!Z2:Z665)</f>
        <v>1.75922738844846</v>
      </c>
      <c r="N84" s="77">
        <f>(VLOOKUP($A84,'The List'!$B1:$AH665,26,FALSE)-AVERAGE('The List'!AA2:AA665))/STDEV('The List'!AA2:AA665)</f>
        <v>-0.799770172058631</v>
      </c>
      <c r="O84" s="77">
        <f>(VLOOKUP($A84,'The List'!$B1:$AH665,27,FALSE)-AVERAGE('The List'!AB2:AB665))/STDEV('The List'!AB2:AB665)</f>
        <v>0.0412541928106087</v>
      </c>
      <c r="P84" s="77">
        <f>(VLOOKUP($A84,'The List'!$B1:$AH665,28,FALSE)-AVERAGE('The List'!AC2:AC665))/STDEV('The List'!AC2:AC665)</f>
        <v>-0.452506298640502</v>
      </c>
      <c r="Q84" s="77">
        <f>(VLOOKUP($A84,'The List'!$B1:$AH665,29,FALSE)-AVERAGE('The List'!AD2:AD665))/STDEV('The List'!AD2:AD665)</f>
        <v>0.562003351515763</v>
      </c>
      <c r="R84" s="77">
        <f>(VLOOKUP($A84,'The List'!$B1:$AH665,30,FALSE)-AVERAGE('The List'!AE2:AE665))/STDEV('The List'!AE2:AE665)</f>
        <v>1.13353350241387</v>
      </c>
      <c r="S84" s="77">
        <f>(VLOOKUP($A84,'The List'!$B1:$AH665,31,FALSE)-AVERAGE('The List'!AF2:AF665))/STDEV('The List'!AF2:AF665)</f>
        <v>2.22880943633726</v>
      </c>
      <c r="T84" s="77">
        <f>(VLOOKUP($A84,'The List'!$B1:$AH665,32,FALSE)-AVERAGE('The List'!AG2:AG665))/STDEV('The List'!AG2:AG665)</f>
        <v>2.80475611352756</v>
      </c>
      <c r="U84" s="77">
        <f>(VLOOKUP($A84,'The List'!$B1:$AH665,33,FALSE)-AVERAGE('The List'!AH2:AH665))/STDEV('The List'!AH2:AH665)</f>
        <v>0.876213288838687</v>
      </c>
      <c r="V84" s="77"/>
      <c r="W84" s="89"/>
      <c r="X84" s="79"/>
      <c r="Y84" s="79"/>
      <c r="Z84" s="79"/>
      <c r="AA84" s="79"/>
      <c r="AB84" s="79"/>
      <c r="AC84" s="82"/>
      <c r="AD84" s="83"/>
      <c r="AE84" s="84"/>
    </row>
    <row r="85" ht="21.25" customHeight="1">
      <c r="A85" t="s" s="10">
        <v>257</v>
      </c>
      <c r="B85" t="s" s="86">
        <f>VLOOKUP(A85,'Player Data'!A1:B667,2,FALSE)</f>
        <v>902</v>
      </c>
      <c r="C85" s="74">
        <f>((E85)*'Settings'!$C$12)+(F85*'Settings'!$C$2)+(G85*'Settings'!$C$3)+(H85*'Settings'!$C$4)+(I85*'Settings'!$C$5)+(K85*'Settings'!$C$9)+(N85*'Settings'!$C$6)+(J85*'Settings'!$C$8)+(O85*'Settings'!$C$7)+(P85*'Settings'!$C$14)+(Q85*'Settings'!$C$15)+(R85*'Settings'!$C$16)+(S85*'Settings'!$C$17)+(T85*'Settings'!$C$18)+(U85*'Settings'!$C$19)+(L85*'Settings'!$C$10)+('Settings'!$C$11*M85)</f>
        <v>8.103656101297711</v>
      </c>
      <c r="D85" s="79">
        <f>IF('Settings'!$E$12="YES",VLOOKUP(A85,'Player Data'!A1:E667,5,FALSE),82)</f>
        <v>78.465</v>
      </c>
      <c r="E85" s="77">
        <f>(VLOOKUP($A85,'The List'!$B1:$AH665,17,FALSE)-AVERAGE('The List'!R2:R665))/STDEV('The List'!R2:R665)</f>
        <v>2.13908245909061</v>
      </c>
      <c r="F85" s="77">
        <f>(VLOOKUP($A85,'The List'!$B1:$AH665,18,FALSE)-AVERAGE('The List'!S2:S665))/STDEV('The List'!S2:S665)</f>
        <v>-0.265547390364101</v>
      </c>
      <c r="G85" s="77">
        <f>(VLOOKUP($A85,'The List'!$B1:$AH665,19,FALSE)-AVERAGE('The List'!T2:T665))/STDEV('The List'!T2:T665)</f>
        <v>2.41594748691924</v>
      </c>
      <c r="H85" s="77">
        <f>(VLOOKUP($A85,'The List'!$B1:$AH665,20,FALSE)-AVERAGE('The List'!U2:U665))/STDEV('The List'!U2:U665)</f>
        <v>1.3797353221465</v>
      </c>
      <c r="I85" s="77">
        <f>(VLOOKUP($A85,'The List'!$B1:$AH665,21,FALSE)-AVERAGE('The List'!V2:V665))/STDEV('The List'!V2:V665)</f>
        <v>0.952487955083263</v>
      </c>
      <c r="J85" s="77">
        <f>(VLOOKUP($A85,'The List'!$B1:$AH665,22,FALSE)-AVERAGE('The List'!W2:W665))/STDEV('The List'!W2:W665)</f>
        <v>0.0788605422515202</v>
      </c>
      <c r="K85" s="77">
        <f>(VLOOKUP($A85,'The List'!$B1:$AH665,23,FALSE)-AVERAGE('The List'!X2:X665))/STDEV('The List'!X2:X665)</f>
        <v>2.18927805399042</v>
      </c>
      <c r="L85" s="77">
        <f>(VLOOKUP($A85,'The List'!$B1:$AH665,24,FALSE)-AVERAGE('The List'!Y2:Y665))/STDEV('The List'!Y2:Y665)</f>
        <v>-0.554353244986898</v>
      </c>
      <c r="M85" s="77">
        <f>(VLOOKUP($A85,'The List'!$B1:$AH665,25,FALSE)-AVERAGE('The List'!Z2:Z665))/STDEV('The List'!Z2:Z665)</f>
        <v>-0.513995830685992</v>
      </c>
      <c r="N85" s="77">
        <f>(VLOOKUP($A85,'The List'!$B1:$AH665,26,FALSE)-AVERAGE('The List'!AA2:AA665))/STDEV('The List'!AA2:AA665)</f>
        <v>0.993811638008505</v>
      </c>
      <c r="O85" s="77">
        <f>(VLOOKUP($A85,'The List'!$B1:$AH665,27,FALSE)-AVERAGE('The List'!AB2:AB665))/STDEV('The List'!AB2:AB665)</f>
        <v>-0.593294257785822</v>
      </c>
      <c r="P85" s="77">
        <f>(VLOOKUP($A85,'The List'!$B1:$AH665,28,FALSE)-AVERAGE('The List'!AC2:AC665))/STDEV('The List'!AC2:AC665)</f>
        <v>1.81767835766038</v>
      </c>
      <c r="Q85" s="77">
        <f>(VLOOKUP($A85,'The List'!$B1:$AH665,29,FALSE)-AVERAGE('The List'!AD2:AD665))/STDEV('The List'!AD2:AD665)</f>
        <v>-0.0577554532152675</v>
      </c>
      <c r="R85" s="77">
        <f>(VLOOKUP($A85,'The List'!$B1:$AH665,30,FALSE)-AVERAGE('The List'!AE2:AE665))/STDEV('The List'!AE2:AE665)</f>
        <v>-0.178822160674457</v>
      </c>
      <c r="S85" s="77">
        <f>(VLOOKUP($A85,'The List'!$B1:$AH665,31,FALSE)-AVERAGE('The List'!AF2:AF665))/STDEV('The List'!AF2:AF665)</f>
        <v>-0.573894410680004</v>
      </c>
      <c r="T85" s="77">
        <f>(VLOOKUP($A85,'The List'!$B1:$AH665,32,FALSE)-AVERAGE('The List'!AG2:AG665))/STDEV('The List'!AG2:AG665)</f>
        <v>-0.625770787132651</v>
      </c>
      <c r="U85" s="77">
        <f>(VLOOKUP($A85,'The List'!$B1:$AH665,33,FALSE)-AVERAGE('The List'!AH2:AH665))/STDEV('The List'!AH2:AH665)</f>
        <v>-1.23143509451486</v>
      </c>
      <c r="V85" s="77"/>
      <c r="W85" s="79"/>
      <c r="X85" s="77"/>
      <c r="Y85" s="77"/>
      <c r="Z85" s="77"/>
      <c r="AA85" s="77"/>
      <c r="AB85" s="77"/>
      <c r="AC85" s="77"/>
      <c r="AD85" s="77"/>
      <c r="AE85" s="84"/>
    </row>
    <row r="86" ht="21.25" customHeight="1">
      <c r="A86" t="s" s="10">
        <v>374</v>
      </c>
      <c r="B86" t="s" s="86">
        <f>VLOOKUP(A86,'Player Data'!A1:B667,2,FALSE)</f>
        <v>906</v>
      </c>
      <c r="C86" s="74">
        <f>((E86)*'Settings'!$C$12)+(F86*'Settings'!$C$2)+(G86*'Settings'!$C$3)+(H86*'Settings'!$C$4)+(I86*'Settings'!$C$5)+(K86*'Settings'!$C$9)+(N86*'Settings'!$C$6)+(J86*'Settings'!$C$8)+(O86*'Settings'!$C$7)+(P86*'Settings'!$C$14)+(Q86*'Settings'!$C$15)+(R86*'Settings'!$C$16)+(S86*'Settings'!$C$17)+(T86*'Settings'!$C$18)+(U86*'Settings'!$C$19)+(L86*'Settings'!$C$10)+('Settings'!$C$11*M86)</f>
        <v>4.80595025209068</v>
      </c>
      <c r="D86" s="79">
        <f>IF('Settings'!$E$12="YES",VLOOKUP(A86,'Player Data'!A1:E667,5,FALSE),82)</f>
        <v>74.9425</v>
      </c>
      <c r="E86" s="77">
        <f>(VLOOKUP($A86,'The List'!$B1:$AH665,17,FALSE)-AVERAGE('The List'!R2:R665))/STDEV('The List'!R2:R665)</f>
        <v>0.162458369012161</v>
      </c>
      <c r="F86" s="77">
        <f>(VLOOKUP($A86,'The List'!$B1:$AH665,18,FALSE)-AVERAGE('The List'!S2:S665))/STDEV('The List'!S2:S665)</f>
        <v>1.06635281487656</v>
      </c>
      <c r="G86" s="77">
        <f>(VLOOKUP($A86,'The List'!$B1:$AH665,19,FALSE)-AVERAGE('The List'!T2:T665))/STDEV('The List'!T2:T665)</f>
        <v>0.995920809359688</v>
      </c>
      <c r="H86" s="77">
        <f>(VLOOKUP($A86,'The List'!$B1:$AH665,20,FALSE)-AVERAGE('The List'!U2:U665))/STDEV('The List'!U2:U665)</f>
        <v>1.10323086354061</v>
      </c>
      <c r="I86" s="77">
        <f>(VLOOKUP($A86,'The List'!$B1:$AH665,21,FALSE)-AVERAGE('The List'!V2:V665))/STDEV('The List'!V2:V665)</f>
        <v>1.68439272437133</v>
      </c>
      <c r="J86" s="77">
        <f>(VLOOKUP($A86,'The List'!$B1:$AH665,22,FALSE)-AVERAGE('The List'!W2:W665))/STDEV('The List'!W2:W665)</f>
        <v>0.0752234420272521</v>
      </c>
      <c r="K86" s="77">
        <f>(VLOOKUP($A86,'The List'!$B1:$AH665,23,FALSE)-AVERAGE('The List'!X2:X665))/STDEV('The List'!X2:X665)</f>
        <v>0.540024121670608</v>
      </c>
      <c r="L86" s="77">
        <f>(VLOOKUP($A86,'The List'!$B1:$AH665,24,FALSE)-AVERAGE('The List'!Y2:Y665))/STDEV('The List'!Y2:Y665)</f>
        <v>-0.5738047821567051</v>
      </c>
      <c r="M86" s="77">
        <f>(VLOOKUP($A86,'The List'!$B1:$AH665,25,FALSE)-AVERAGE('The List'!Z2:Z665))/STDEV('The List'!Z2:Z665)</f>
        <v>-0.747491690102897</v>
      </c>
      <c r="N86" s="77">
        <f>(VLOOKUP($A86,'The List'!$B1:$AH665,26,FALSE)-AVERAGE('The List'!AA2:AA665))/STDEV('The List'!AA2:AA665)</f>
        <v>-0.726957121014737</v>
      </c>
      <c r="O86" s="77">
        <f>(VLOOKUP($A86,'The List'!$B1:$AH665,27,FALSE)-AVERAGE('The List'!AB2:AB665))/STDEV('The List'!AB2:AB665)</f>
        <v>-1.09366331555765</v>
      </c>
      <c r="P86" s="77">
        <f>(VLOOKUP($A86,'The List'!$B1:$AH665,28,FALSE)-AVERAGE('The List'!AC2:AC665))/STDEV('The List'!AC2:AC665)</f>
        <v>1.24621690282723</v>
      </c>
      <c r="Q86" s="77">
        <f>(VLOOKUP($A86,'The List'!$B1:$AH665,29,FALSE)-AVERAGE('The List'!AD2:AD665))/STDEV('The List'!AD2:AD665)</f>
        <v>-0.364462230366438</v>
      </c>
      <c r="R86" s="77">
        <f>(VLOOKUP($A86,'The List'!$B1:$AH665,30,FALSE)-AVERAGE('The List'!AE2:AE665))/STDEV('The List'!AE2:AE665)</f>
        <v>1.28549258682401</v>
      </c>
      <c r="S86" s="77">
        <f>(VLOOKUP($A86,'The List'!$B1:$AH665,31,FALSE)-AVERAGE('The List'!AF2:AF665))/STDEV('The List'!AF2:AF665)</f>
        <v>-0.548342038196871</v>
      </c>
      <c r="T86" s="77">
        <f>(VLOOKUP($A86,'The List'!$B1:$AH665,32,FALSE)-AVERAGE('The List'!AG2:AG665))/STDEV('The List'!AG2:AG665)</f>
        <v>-0.588823932030123</v>
      </c>
      <c r="U86" s="77">
        <f>(VLOOKUP($A86,'The List'!$B1:$AH665,33,FALSE)-AVERAGE('The List'!AH2:AH665))/STDEV('The List'!AH2:AH665)</f>
        <v>0.689834778286227</v>
      </c>
      <c r="V86" s="77"/>
      <c r="W86" s="89"/>
      <c r="X86" s="79"/>
      <c r="Y86" s="79"/>
      <c r="Z86" s="79"/>
      <c r="AA86" s="79"/>
      <c r="AB86" s="79"/>
      <c r="AC86" s="82"/>
      <c r="AD86" s="83"/>
      <c r="AE86" s="84"/>
    </row>
    <row r="87" ht="21.25" customHeight="1">
      <c r="A87" t="s" s="10">
        <v>352</v>
      </c>
      <c r="B87" t="s" s="86">
        <f>VLOOKUP(A87,'Player Data'!A1:B667,2,FALSE)</f>
        <v>908</v>
      </c>
      <c r="C87" s="74">
        <f>((E87)*'Settings'!$C$12)+(F87*'Settings'!$C$2)+(G87*'Settings'!$C$3)+(H87*'Settings'!$C$4)+(I87*'Settings'!$C$5)+(K87*'Settings'!$C$9)+(N87*'Settings'!$C$6)+(J87*'Settings'!$C$8)+(O87*'Settings'!$C$7)+(P87*'Settings'!$C$14)+(Q87*'Settings'!$C$15)+(R87*'Settings'!$C$16)+(S87*'Settings'!$C$17)+(T87*'Settings'!$C$18)+(U87*'Settings'!$C$19)+(L87*'Settings'!$C$10)+('Settings'!$C$11*M87)</f>
        <v>3.93233015235487</v>
      </c>
      <c r="D87" s="79">
        <f>IF('Settings'!$E$12="YES",VLOOKUP(A87,'Player Data'!A1:E667,5,FALSE),82)</f>
        <v>80.68000000000001</v>
      </c>
      <c r="E87" s="77">
        <f>(VLOOKUP($A87,'The List'!$B1:$AH665,17,FALSE)-AVERAGE('The List'!R2:R665))/STDEV('The List'!R2:R665)</f>
        <v>0.397012211194481</v>
      </c>
      <c r="F87" s="77">
        <f>(VLOOKUP($A87,'The List'!$B1:$AH665,18,FALSE)-AVERAGE('The List'!S2:S665))/STDEV('The List'!S2:S665)</f>
        <v>1.4042346056213</v>
      </c>
      <c r="G87" s="77">
        <f>(VLOOKUP($A87,'The List'!$B1:$AH665,19,FALSE)-AVERAGE('The List'!T2:T665))/STDEV('The List'!T2:T665)</f>
        <v>1.07458374030659</v>
      </c>
      <c r="H87" s="77">
        <f>(VLOOKUP($A87,'The List'!$B1:$AH665,20,FALSE)-AVERAGE('The List'!U2:U665))/STDEV('The List'!U2:U665)</f>
        <v>1.30566830143109</v>
      </c>
      <c r="I87" s="77">
        <f>(VLOOKUP($A87,'The List'!$B1:$AH665,21,FALSE)-AVERAGE('The List'!V2:V665))/STDEV('The List'!V2:V665)</f>
        <v>0.7568497127028539</v>
      </c>
      <c r="J87" s="77">
        <f>(VLOOKUP($A87,'The List'!$B1:$AH665,22,FALSE)-AVERAGE('The List'!W2:W665))/STDEV('The List'!W2:W665)</f>
        <v>1.19673803968826</v>
      </c>
      <c r="K87" s="77">
        <f>(VLOOKUP($A87,'The List'!$B1:$AH665,23,FALSE)-AVERAGE('The List'!X2:X665))/STDEV('The List'!X2:X665)</f>
        <v>1.79097126629696</v>
      </c>
      <c r="L87" s="77">
        <f>(VLOOKUP($A87,'The List'!$B1:$AH665,24,FALSE)-AVERAGE('The List'!Y2:Y665))/STDEV('The List'!Y2:Y665)</f>
        <v>0.6417951670615299</v>
      </c>
      <c r="M87" s="77">
        <f>(VLOOKUP($A87,'The List'!$B1:$AH665,25,FALSE)-AVERAGE('The List'!Z2:Z665))/STDEV('The List'!Z2:Z665)</f>
        <v>0.0784062058412598</v>
      </c>
      <c r="N87" s="77">
        <f>(VLOOKUP($A87,'The List'!$B1:$AH665,26,FALSE)-AVERAGE('The List'!AA2:AA665))/STDEV('The List'!AA2:AA665)</f>
        <v>-0.801232116972151</v>
      </c>
      <c r="O87" s="77">
        <f>(VLOOKUP($A87,'The List'!$B1:$AH665,27,FALSE)-AVERAGE('The List'!AB2:AB665))/STDEV('The List'!AB2:AB665)</f>
        <v>-0.6972097756169811</v>
      </c>
      <c r="P87" s="77">
        <f>(VLOOKUP($A87,'The List'!$B1:$AH665,28,FALSE)-AVERAGE('The List'!AC2:AC665))/STDEV('The List'!AC2:AC665)</f>
        <v>-0.293077055600683</v>
      </c>
      <c r="Q87" s="77">
        <f>(VLOOKUP($A87,'The List'!$B1:$AH665,29,FALSE)-AVERAGE('The List'!AD2:AD665))/STDEV('The List'!AD2:AD665)</f>
        <v>-0.437692900181179</v>
      </c>
      <c r="R87" s="77">
        <f>(VLOOKUP($A87,'The List'!$B1:$AH665,30,FALSE)-AVERAGE('The List'!AE2:AE665))/STDEV('The List'!AE2:AE665)</f>
        <v>1.2963596149413</v>
      </c>
      <c r="S87" s="77">
        <f>(VLOOKUP($A87,'The List'!$B1:$AH665,31,FALSE)-AVERAGE('The List'!AF2:AF665))/STDEV('The List'!AF2:AF665)</f>
        <v>0.865536945922425</v>
      </c>
      <c r="T87" s="77">
        <f>(VLOOKUP($A87,'The List'!$B1:$AH665,32,FALSE)-AVERAGE('The List'!AG2:AG665))/STDEV('The List'!AG2:AG665)</f>
        <v>1.86947958441238</v>
      </c>
      <c r="U87" s="77">
        <f>(VLOOKUP($A87,'The List'!$B1:$AH665,33,FALSE)-AVERAGE('The List'!AH2:AH665))/STDEV('The List'!AH2:AH665)</f>
        <v>0.492311406804346</v>
      </c>
      <c r="V87" s="77"/>
      <c r="W87" s="89"/>
      <c r="X87" s="79"/>
      <c r="Y87" s="79"/>
      <c r="Z87" s="79"/>
      <c r="AA87" s="79"/>
      <c r="AB87" s="79"/>
      <c r="AC87" s="82"/>
      <c r="AD87" s="83"/>
      <c r="AE87" s="84"/>
    </row>
    <row r="88" ht="21.25" customHeight="1">
      <c r="A88" t="s" s="10">
        <v>368</v>
      </c>
      <c r="B88" t="s" s="86">
        <f>VLOOKUP(A88,'Player Data'!A1:B667,2,FALSE)</f>
        <v>174</v>
      </c>
      <c r="C88" s="74">
        <f>((E88)*'Settings'!$C$12)+(F88*'Settings'!$C$2)+(G88*'Settings'!$C$3)+(H88*'Settings'!$C$4)+(I88*'Settings'!$C$5)+(K88*'Settings'!$C$9)+(N88*'Settings'!$C$6)+(J88*'Settings'!$C$8)+(O88*'Settings'!$C$7)+(P88*'Settings'!$C$14)+(Q88*'Settings'!$C$15)+(R88*'Settings'!$C$16)+(S88*'Settings'!$C$17)+(T88*'Settings'!$C$18)+(U88*'Settings'!$C$19)+(L88*'Settings'!$C$10)+('Settings'!$C$11*M88)</f>
        <v>2.67527244924765</v>
      </c>
      <c r="D88" s="79">
        <f>IF('Settings'!$E$12="YES",VLOOKUP(A88,'Player Data'!A1:E667,5,FALSE),82)</f>
        <v>81.23999999999999</v>
      </c>
      <c r="E88" s="77">
        <f>(VLOOKUP($A88,'The List'!$B1:$AH665,17,FALSE)-AVERAGE('The List'!R2:R665))/STDEV('The List'!R2:R665)</f>
        <v>0.394088437708937</v>
      </c>
      <c r="F88" s="77">
        <f>(VLOOKUP($A88,'The List'!$B1:$AH665,18,FALSE)-AVERAGE('The List'!S2:S665))/STDEV('The List'!S2:S665)</f>
        <v>0.345954353435328</v>
      </c>
      <c r="G88" s="77">
        <f>(VLOOKUP($A88,'The List'!$B1:$AH665,19,FALSE)-AVERAGE('The List'!T2:T665))/STDEV('The List'!T2:T665)</f>
        <v>1.83174470176425</v>
      </c>
      <c r="H88" s="77">
        <f>(VLOOKUP($A88,'The List'!$B1:$AH665,20,FALSE)-AVERAGE('The List'!U2:U665))/STDEV('The List'!U2:U665)</f>
        <v>1.29486915351236</v>
      </c>
      <c r="I88" s="77">
        <f>(VLOOKUP($A88,'The List'!$B1:$AH665,21,FALSE)-AVERAGE('The List'!V2:V665))/STDEV('The List'!V2:V665)</f>
        <v>0.491210353816036</v>
      </c>
      <c r="J88" s="77">
        <f>(VLOOKUP($A88,'The List'!$B1:$AH665,22,FALSE)-AVERAGE('The List'!W2:W665))/STDEV('The List'!W2:W665)</f>
        <v>0.483530515232596</v>
      </c>
      <c r="K88" s="77">
        <f>(VLOOKUP($A88,'The List'!$B1:$AH665,23,FALSE)-AVERAGE('The List'!X2:X665))/STDEV('The List'!X2:X665)</f>
        <v>1.34720210518626</v>
      </c>
      <c r="L88" s="77">
        <f>(VLOOKUP($A88,'The List'!$B1:$AH665,24,FALSE)-AVERAGE('The List'!Y2:Y665))/STDEV('The List'!Y2:Y665)</f>
        <v>-0.51757648171207</v>
      </c>
      <c r="M88" s="77">
        <f>(VLOOKUP($A88,'The List'!$B1:$AH665,25,FALSE)-AVERAGE('The List'!Z2:Z665))/STDEV('The List'!Z2:Z665)</f>
        <v>-0.687793600718769</v>
      </c>
      <c r="N88" s="77">
        <f>(VLOOKUP($A88,'The List'!$B1:$AH665,26,FALSE)-AVERAGE('The List'!AA2:AA665))/STDEV('The List'!AA2:AA665)</f>
        <v>-0.697554208492103</v>
      </c>
      <c r="O88" s="77">
        <f>(VLOOKUP($A88,'The List'!$B1:$AH665,27,FALSE)-AVERAGE('The List'!AB2:AB665))/STDEV('The List'!AB2:AB665)</f>
        <v>-0.497083298712814</v>
      </c>
      <c r="P88" s="77">
        <f>(VLOOKUP($A88,'The List'!$B1:$AH665,28,FALSE)-AVERAGE('The List'!AC2:AC665))/STDEV('The List'!AC2:AC665)</f>
        <v>-0.643284856462122</v>
      </c>
      <c r="Q88" s="77">
        <f>(VLOOKUP($A88,'The List'!$B1:$AH665,29,FALSE)-AVERAGE('The List'!AD2:AD665))/STDEV('The List'!AD2:AD665)</f>
        <v>0.416806530630746</v>
      </c>
      <c r="R88" s="77">
        <f>(VLOOKUP($A88,'The List'!$B1:$AH665,30,FALSE)-AVERAGE('The List'!AE2:AE665))/STDEV('The List'!AE2:AE665)</f>
        <v>0.291107439770147</v>
      </c>
      <c r="S88" s="77">
        <f>(VLOOKUP($A88,'The List'!$B1:$AH665,31,FALSE)-AVERAGE('The List'!AF2:AF665))/STDEV('The List'!AF2:AF665)</f>
        <v>-0.510009577531113</v>
      </c>
      <c r="T88" s="77">
        <f>(VLOOKUP($A88,'The List'!$B1:$AH665,32,FALSE)-AVERAGE('The List'!AG2:AG665))/STDEV('The List'!AG2:AG665)</f>
        <v>-0.521808367067741</v>
      </c>
      <c r="U88" s="77">
        <f>(VLOOKUP($A88,'The List'!$B1:$AH665,33,FALSE)-AVERAGE('The List'!AH2:AH665))/STDEV('The List'!AH2:AH665)</f>
        <v>0.560311106812703</v>
      </c>
      <c r="V88" s="77"/>
      <c r="W88" s="89"/>
      <c r="X88" s="79"/>
      <c r="Y88" s="79"/>
      <c r="Z88" s="79"/>
      <c r="AA88" s="79"/>
      <c r="AB88" s="79"/>
      <c r="AC88" s="82"/>
      <c r="AD88" s="83"/>
      <c r="AE88" s="84"/>
    </row>
    <row r="89" ht="21.25" customHeight="1">
      <c r="A89" t="s" s="10">
        <v>236</v>
      </c>
      <c r="B89" t="s" s="86">
        <f>VLOOKUP(A89,'Player Data'!A1:B667,2,FALSE)</f>
        <v>342</v>
      </c>
      <c r="C89" s="74">
        <f>((E89)*'Settings'!$C$12)+(F89*'Settings'!$C$2)+(G89*'Settings'!$C$3)+(H89*'Settings'!$C$4)+(I89*'Settings'!$C$5)+(K89*'Settings'!$C$9)+(N89*'Settings'!$C$6)+(J89*'Settings'!$C$8)+(O89*'Settings'!$C$7)+(P89*'Settings'!$C$14)+(Q89*'Settings'!$C$15)+(R89*'Settings'!$C$16)+(S89*'Settings'!$C$17)+(T89*'Settings'!$C$18)+(U89*'Settings'!$C$19)+(L89*'Settings'!$C$10)+('Settings'!$C$11*M89)</f>
        <v>6.49877902735164</v>
      </c>
      <c r="D89" s="79">
        <f>IF('Settings'!$E$12="YES",VLOOKUP(A89,'Player Data'!A1:E667,5,FALSE),82)</f>
        <v>80.4525</v>
      </c>
      <c r="E89" s="77">
        <f>(VLOOKUP($A89,'The List'!$B1:$AH665,17,FALSE)-AVERAGE('The List'!R2:R665))/STDEV('The List'!R2:R665)</f>
        <v>0.632065161755877</v>
      </c>
      <c r="F89" s="77">
        <f>(VLOOKUP($A89,'The List'!$B1:$AH665,18,FALSE)-AVERAGE('The List'!S2:S665))/STDEV('The List'!S2:S665)</f>
        <v>1.70444028183993</v>
      </c>
      <c r="G89" s="77">
        <f>(VLOOKUP($A89,'The List'!$B1:$AH665,19,FALSE)-AVERAGE('The List'!T2:T665))/STDEV('The List'!T2:T665)</f>
        <v>1.01566021257839</v>
      </c>
      <c r="H89" s="77">
        <f>(VLOOKUP($A89,'The List'!$B1:$AH665,20,FALSE)-AVERAGE('The List'!U2:U665))/STDEV('The List'!U2:U665)</f>
        <v>1.40553122731565</v>
      </c>
      <c r="I89" s="77">
        <f>(VLOOKUP($A89,'The List'!$B1:$AH665,21,FALSE)-AVERAGE('The List'!V2:V665))/STDEV('The List'!V2:V665)</f>
        <v>1.00417167697486</v>
      </c>
      <c r="J89" s="77">
        <f>(VLOOKUP($A89,'The List'!$B1:$AH665,22,FALSE)-AVERAGE('The List'!W2:W665))/STDEV('The List'!W2:W665)</f>
        <v>1.70185544242693</v>
      </c>
      <c r="K89" s="77">
        <f>(VLOOKUP($A89,'The List'!$B1:$AH665,23,FALSE)-AVERAGE('The List'!X2:X665))/STDEV('The List'!X2:X665)</f>
        <v>1.07627603377082</v>
      </c>
      <c r="L89" s="77">
        <f>(VLOOKUP($A89,'The List'!$B1:$AH665,24,FALSE)-AVERAGE('The List'!Y2:Y665))/STDEV('The List'!Y2:Y665)</f>
        <v>3.63322376978506</v>
      </c>
      <c r="M89" s="77">
        <f>(VLOOKUP($A89,'The List'!$B1:$AH665,25,FALSE)-AVERAGE('The List'!Z2:Z665))/STDEV('The List'!Z2:Z665)</f>
        <v>2.91281853604654</v>
      </c>
      <c r="N89" s="77">
        <f>(VLOOKUP($A89,'The List'!$B1:$AH665,26,FALSE)-AVERAGE('The List'!AA2:AA665))/STDEV('The List'!AA2:AA665)</f>
        <v>-0.277820840774081</v>
      </c>
      <c r="O89" s="77">
        <f>(VLOOKUP($A89,'The List'!$B1:$AH665,27,FALSE)-AVERAGE('The List'!AB2:AB665))/STDEV('The List'!AB2:AB665)</f>
        <v>0.224116202112726</v>
      </c>
      <c r="P89" s="77">
        <f>(VLOOKUP($A89,'The List'!$B1:$AH665,28,FALSE)-AVERAGE('The List'!AC2:AC665))/STDEV('The List'!AC2:AC665)</f>
        <v>1.97605166296172</v>
      </c>
      <c r="Q89" s="77">
        <f>(VLOOKUP($A89,'The List'!$B1:$AH665,29,FALSE)-AVERAGE('The List'!AD2:AD665))/STDEV('The List'!AD2:AD665)</f>
        <v>-0.832541249588557</v>
      </c>
      <c r="R89" s="77">
        <f>(VLOOKUP($A89,'The List'!$B1:$AH665,30,FALSE)-AVERAGE('The List'!AE2:AE665))/STDEV('The List'!AE2:AE665)</f>
        <v>2.10394855155658</v>
      </c>
      <c r="S89" s="77">
        <f>(VLOOKUP($A89,'The List'!$B1:$AH665,31,FALSE)-AVERAGE('The List'!AF2:AF665))/STDEV('The List'!AF2:AF665)</f>
        <v>-0.0171203613708374</v>
      </c>
      <c r="T89" s="77">
        <f>(VLOOKUP($A89,'The List'!$B1:$AH665,32,FALSE)-AVERAGE('The List'!AG2:AG665))/STDEV('The List'!AG2:AG665)</f>
        <v>0.225345832390664</v>
      </c>
      <c r="U89" s="77">
        <f>(VLOOKUP($A89,'The List'!$B1:$AH665,33,FALSE)-AVERAGE('The List'!AH2:AH665))/STDEV('The List'!AH2:AH665)</f>
        <v>0.628519515174032</v>
      </c>
      <c r="V89" s="77"/>
      <c r="W89" s="79"/>
      <c r="X89" s="79"/>
      <c r="Y89" s="79"/>
      <c r="Z89" s="79"/>
      <c r="AA89" s="79"/>
      <c r="AB89" s="79"/>
      <c r="AC89" s="82"/>
      <c r="AD89" s="83"/>
      <c r="AE89" s="84"/>
    </row>
    <row r="90" ht="21.25" customHeight="1">
      <c r="A90" t="s" s="10">
        <v>288</v>
      </c>
      <c r="B90" t="s" s="86">
        <f>VLOOKUP(A90,'Player Data'!A1:B667,2,FALSE)</f>
        <v>899</v>
      </c>
      <c r="C90" s="74">
        <f>((E90)*'Settings'!$C$12)+(F90*'Settings'!$C$2)+(G90*'Settings'!$C$3)+(H90*'Settings'!$C$4)+(I90*'Settings'!$C$5)+(K90*'Settings'!$C$9)+(N90*'Settings'!$C$6)+(J90*'Settings'!$C$8)+(O90*'Settings'!$C$7)+(P90*'Settings'!$C$14)+(Q90*'Settings'!$C$15)+(R90*'Settings'!$C$16)+(S90*'Settings'!$C$17)+(T90*'Settings'!$C$18)+(U90*'Settings'!$C$19)+(L90*'Settings'!$C$10)+('Settings'!$C$11*M90)</f>
        <v>5.21366861768853</v>
      </c>
      <c r="D90" s="79">
        <f>IF('Settings'!$E$12="YES",VLOOKUP(A90,'Player Data'!A1:E667,5,FALSE),82)</f>
        <v>79.5925</v>
      </c>
      <c r="E90" s="77">
        <f>(VLOOKUP($A90,'The List'!$B1:$AH665,17,FALSE)-AVERAGE('The List'!R2:R665))/STDEV('The List'!R2:R665)</f>
        <v>0.561655765607853</v>
      </c>
      <c r="F90" s="77">
        <f>(VLOOKUP($A90,'The List'!$B1:$AH665,18,FALSE)-AVERAGE('The List'!S2:S665))/STDEV('The List'!S2:S665)</f>
        <v>1.05882496788977</v>
      </c>
      <c r="G90" s="77">
        <f>(VLOOKUP($A90,'The List'!$B1:$AH665,19,FALSE)-AVERAGE('The List'!T2:T665))/STDEV('The List'!T2:T665)</f>
        <v>1.19901542592172</v>
      </c>
      <c r="H90" s="77">
        <f>(VLOOKUP($A90,'The List'!$B1:$AH665,20,FALSE)-AVERAGE('The List'!U2:U665))/STDEV('The List'!U2:U665)</f>
        <v>1.22594227577011</v>
      </c>
      <c r="I90" s="77">
        <f>(VLOOKUP($A90,'The List'!$B1:$AH665,21,FALSE)-AVERAGE('The List'!V2:V665))/STDEV('The List'!V2:V665)</f>
        <v>1.21950030167551</v>
      </c>
      <c r="J90" s="77">
        <f>(VLOOKUP($A90,'The List'!$B1:$AH665,22,FALSE)-AVERAGE('The List'!W2:W665))/STDEV('The List'!W2:W665)</f>
        <v>1.03810091126903</v>
      </c>
      <c r="K90" s="77">
        <f>(VLOOKUP($A90,'The List'!$B1:$AH665,23,FALSE)-AVERAGE('The List'!X2:X665))/STDEV('The List'!X2:X665)</f>
        <v>1.71566269539182</v>
      </c>
      <c r="L90" s="77">
        <f>(VLOOKUP($A90,'The List'!$B1:$AH665,24,FALSE)-AVERAGE('The List'!Y2:Y665))/STDEV('The List'!Y2:Y665)</f>
        <v>2.19107484226812</v>
      </c>
      <c r="M90" s="77">
        <f>(VLOOKUP($A90,'The List'!$B1:$AH665,25,FALSE)-AVERAGE('The List'!Z2:Z665))/STDEV('The List'!Z2:Z665)</f>
        <v>1.72710639863231</v>
      </c>
      <c r="N90" s="77">
        <f>(VLOOKUP($A90,'The List'!$B1:$AH665,26,FALSE)-AVERAGE('The List'!AA2:AA665))/STDEV('The List'!AA2:AA665)</f>
        <v>-0.794080472017256</v>
      </c>
      <c r="O90" s="77">
        <f>(VLOOKUP($A90,'The List'!$B1:$AH665,27,FALSE)-AVERAGE('The List'!AB2:AB665))/STDEV('The List'!AB2:AB665)</f>
        <v>0.222706320621212</v>
      </c>
      <c r="P90" s="77">
        <f>(VLOOKUP($A90,'The List'!$B1:$AH665,28,FALSE)-AVERAGE('The List'!AC2:AC665))/STDEV('The List'!AC2:AC665)</f>
        <v>0.814745698826968</v>
      </c>
      <c r="Q90" s="77">
        <f>(VLOOKUP($A90,'The List'!$B1:$AH665,29,FALSE)-AVERAGE('The List'!AD2:AD665))/STDEV('The List'!AD2:AD665)</f>
        <v>2.77704564734913</v>
      </c>
      <c r="R90" s="77">
        <f>(VLOOKUP($A90,'The List'!$B1:$AH665,30,FALSE)-AVERAGE('The List'!AE2:AE665))/STDEV('The List'!AE2:AE665)</f>
        <v>1.1166485272737</v>
      </c>
      <c r="S90" s="77">
        <f>(VLOOKUP($A90,'The List'!$B1:$AH665,31,FALSE)-AVERAGE('The List'!AF2:AF665))/STDEV('The List'!AF2:AF665)</f>
        <v>-0.471427808469648</v>
      </c>
      <c r="T90" s="77">
        <f>(VLOOKUP($A90,'The List'!$B1:$AH665,32,FALSE)-AVERAGE('The List'!AG2:AG665))/STDEV('The List'!AG2:AG665)</f>
        <v>-0.461269942710184</v>
      </c>
      <c r="U90" s="77">
        <f>(VLOOKUP($A90,'The List'!$B1:$AH665,33,FALSE)-AVERAGE('The List'!AH2:AH665))/STDEV('The List'!AH2:AH665)</f>
        <v>0.575034010424097</v>
      </c>
      <c r="V90" s="77"/>
      <c r="W90" s="79"/>
      <c r="X90" s="77"/>
      <c r="Y90" s="77"/>
      <c r="Z90" s="77"/>
      <c r="AA90" s="77"/>
      <c r="AB90" s="77"/>
      <c r="AC90" s="77"/>
      <c r="AD90" s="77"/>
      <c r="AE90" s="84"/>
    </row>
    <row r="91" ht="21.25" customHeight="1">
      <c r="A91" t="s" s="10">
        <v>222</v>
      </c>
      <c r="B91" t="s" s="86">
        <f>VLOOKUP(A91,'Player Data'!A1:B667,2,FALSE)</f>
        <v>132</v>
      </c>
      <c r="C91" s="74">
        <f>((E91)*'Settings'!$C$12)+(F91*'Settings'!$C$2)+(G91*'Settings'!$C$3)+(H91*'Settings'!$C$4)+(I91*'Settings'!$C$5)+(K91*'Settings'!$C$9)+(N91*'Settings'!$C$6)+(J91*'Settings'!$C$8)+(O91*'Settings'!$C$7)+(P91*'Settings'!$C$14)+(Q91*'Settings'!$C$15)+(R91*'Settings'!$C$16)+(S91*'Settings'!$C$17)+(T91*'Settings'!$C$18)+(U91*'Settings'!$C$19)+(L91*'Settings'!$C$10)+('Settings'!$C$11*M91)</f>
        <v>7.00102672108413</v>
      </c>
      <c r="D91" s="79">
        <f>IF('Settings'!$E$12="YES",VLOOKUP(A91,'Player Data'!A1:E667,5,FALSE),82)</f>
        <v>77.9175</v>
      </c>
      <c r="E91" s="77">
        <f>(VLOOKUP($A91,'The List'!$B1:$AH665,17,FALSE)-AVERAGE('The List'!R2:R665))/STDEV('The List'!R2:R665)</f>
        <v>2.0673300283538</v>
      </c>
      <c r="F91" s="77">
        <f>(VLOOKUP($A91,'The List'!$B1:$AH665,18,FALSE)-AVERAGE('The List'!S2:S665))/STDEV('The List'!S2:S665)</f>
        <v>-0.549077022819195</v>
      </c>
      <c r="G91" s="77">
        <f>(VLOOKUP($A91,'The List'!$B1:$AH665,19,FALSE)-AVERAGE('The List'!T2:T665))/STDEV('The List'!T2:T665)</f>
        <v>2.2460137130732</v>
      </c>
      <c r="H91" s="77">
        <f>(VLOOKUP($A91,'The List'!$B1:$AH665,20,FALSE)-AVERAGE('The List'!U2:U665))/STDEV('The List'!U2:U665)</f>
        <v>1.1453191983364</v>
      </c>
      <c r="I91" s="77">
        <f>(VLOOKUP($A91,'The List'!$B1:$AH665,21,FALSE)-AVERAGE('The List'!V2:V665))/STDEV('The List'!V2:V665)</f>
        <v>0.899687552995551</v>
      </c>
      <c r="J91" s="77">
        <f>(VLOOKUP($A91,'The List'!$B1:$AH665,22,FALSE)-AVERAGE('The List'!W2:W665))/STDEV('The List'!W2:W665)</f>
        <v>-0.292935135816253</v>
      </c>
      <c r="K91" s="77">
        <f>(VLOOKUP($A91,'The List'!$B1:$AH665,23,FALSE)-AVERAGE('The List'!X2:X665))/STDEV('The List'!X2:X665)</f>
        <v>1.60760482949489</v>
      </c>
      <c r="L91" s="77">
        <f>(VLOOKUP($A91,'The List'!$B1:$AH665,24,FALSE)-AVERAGE('The List'!Y2:Y665))/STDEV('The List'!Y2:Y665)</f>
        <v>-0.557017650223767</v>
      </c>
      <c r="M91" s="77">
        <f>(VLOOKUP($A91,'The List'!$B1:$AH665,25,FALSE)-AVERAGE('The List'!Z2:Z665))/STDEV('The List'!Z2:Z665)</f>
        <v>-0.406451189378101</v>
      </c>
      <c r="N91" s="77">
        <f>(VLOOKUP($A91,'The List'!$B1:$AH665,26,FALSE)-AVERAGE('The List'!AA2:AA665))/STDEV('The List'!AA2:AA665)</f>
        <v>1.63527588321844</v>
      </c>
      <c r="O91" s="77">
        <f>(VLOOKUP($A91,'The List'!$B1:$AH665,27,FALSE)-AVERAGE('The List'!AB2:AB665))/STDEV('The List'!AB2:AB665)</f>
        <v>0.221830603598637</v>
      </c>
      <c r="P91" s="77">
        <f>(VLOOKUP($A91,'The List'!$B1:$AH665,28,FALSE)-AVERAGE('The List'!AC2:AC665))/STDEV('The List'!AC2:AC665)</f>
        <v>1.16152176512124</v>
      </c>
      <c r="Q91" s="77">
        <f>(VLOOKUP($A91,'The List'!$B1:$AH665,29,FALSE)-AVERAGE('The List'!AD2:AD665))/STDEV('The List'!AD2:AD665)</f>
        <v>-0.09455653027079849</v>
      </c>
      <c r="R91" s="77">
        <f>(VLOOKUP($A91,'The List'!$B1:$AH665,30,FALSE)-AVERAGE('The List'!AE2:AE665))/STDEV('The List'!AE2:AE665)</f>
        <v>-0.469537057313661</v>
      </c>
      <c r="S91" s="77">
        <f>(VLOOKUP($A91,'The List'!$B1:$AH665,31,FALSE)-AVERAGE('The List'!AF2:AF665))/STDEV('The List'!AF2:AF665)</f>
        <v>-0.573894410680004</v>
      </c>
      <c r="T91" s="77">
        <f>(VLOOKUP($A91,'The List'!$B1:$AH665,32,FALSE)-AVERAGE('The List'!AG2:AG665))/STDEV('The List'!AG2:AG665)</f>
        <v>-0.625770787132651</v>
      </c>
      <c r="U91" s="77">
        <f>(VLOOKUP($A91,'The List'!$B1:$AH665,33,FALSE)-AVERAGE('The List'!AH2:AH665))/STDEV('The List'!AH2:AH665)</f>
        <v>-1.23143509451486</v>
      </c>
      <c r="V91" s="77"/>
      <c r="W91" s="89"/>
      <c r="X91" s="79"/>
      <c r="Y91" s="79"/>
      <c r="Z91" s="79"/>
      <c r="AA91" s="79"/>
      <c r="AB91" s="79"/>
      <c r="AC91" s="82"/>
      <c r="AD91" s="83"/>
      <c r="AE91" s="84"/>
    </row>
    <row r="92" ht="21.25" customHeight="1">
      <c r="A92" t="s" s="10">
        <v>237</v>
      </c>
      <c r="B92" t="s" s="86">
        <f>VLOOKUP(A92,'Player Data'!A1:B667,2,FALSE)</f>
        <v>878</v>
      </c>
      <c r="C92" s="74">
        <f>((E92)*'Settings'!$C$12)+(F92*'Settings'!$C$2)+(G92*'Settings'!$C$3)+(H92*'Settings'!$C$4)+(I92*'Settings'!$C$5)+(K92*'Settings'!$C$9)+(N92*'Settings'!$C$6)+(J92*'Settings'!$C$8)+(O92*'Settings'!$C$7)+(P92*'Settings'!$C$14)+(Q92*'Settings'!$C$15)+(R92*'Settings'!$C$16)+(S92*'Settings'!$C$17)+(T92*'Settings'!$C$18)+(U92*'Settings'!$C$19)+(L92*'Settings'!$C$10)+('Settings'!$C$11*M92)</f>
        <v>6.19533123745265</v>
      </c>
      <c r="D92" s="79">
        <f>IF('Settings'!$E$12="YES",VLOOKUP(A92,'Player Data'!A1:E667,5,FALSE),82)</f>
        <v>81.5175</v>
      </c>
      <c r="E92" s="77">
        <f>(VLOOKUP($A92,'The List'!$B1:$AH665,17,FALSE)-AVERAGE('The List'!R2:R665))/STDEV('The List'!R2:R665)</f>
        <v>0.535180266949158</v>
      </c>
      <c r="F92" s="77">
        <f>(VLOOKUP($A92,'The List'!$B1:$AH665,18,FALSE)-AVERAGE('The List'!S2:S665))/STDEV('The List'!S2:S665)</f>
        <v>2.30748019093182</v>
      </c>
      <c r="G92" s="77">
        <f>(VLOOKUP($A92,'The List'!$B1:$AH665,19,FALSE)-AVERAGE('The List'!T2:T665))/STDEV('The List'!T2:T665)</f>
        <v>0.35903764698113</v>
      </c>
      <c r="H92" s="77">
        <f>(VLOOKUP($A92,'The List'!$B1:$AH665,20,FALSE)-AVERAGE('The List'!U2:U665))/STDEV('The List'!U2:U665)</f>
        <v>1.27184199690132</v>
      </c>
      <c r="I92" s="77">
        <f>(VLOOKUP($A92,'The List'!$B1:$AH665,21,FALSE)-AVERAGE('The List'!V2:V665))/STDEV('The List'!V2:V665)</f>
        <v>1.76307196613771</v>
      </c>
      <c r="J92" s="77">
        <f>(VLOOKUP($A92,'The List'!$B1:$AH665,22,FALSE)-AVERAGE('The List'!W2:W665))/STDEV('The List'!W2:W665)</f>
        <v>3.0568573143575</v>
      </c>
      <c r="K92" s="77">
        <f>(VLOOKUP($A92,'The List'!$B1:$AH665,23,FALSE)-AVERAGE('The List'!X2:X665))/STDEV('The List'!X2:X665)</f>
        <v>1.58780730535612</v>
      </c>
      <c r="L92" s="77">
        <f>(VLOOKUP($A92,'The List'!$B1:$AH665,24,FALSE)-AVERAGE('The List'!Y2:Y665))/STDEV('The List'!Y2:Y665)</f>
        <v>4.19286628684345</v>
      </c>
      <c r="M92" s="77">
        <f>(VLOOKUP($A92,'The List'!$B1:$AH665,25,FALSE)-AVERAGE('The List'!Z2:Z665))/STDEV('The List'!Z2:Z665)</f>
        <v>3.78882008552793</v>
      </c>
      <c r="N92" s="77">
        <f>(VLOOKUP($A92,'The List'!$B1:$AH665,26,FALSE)-AVERAGE('The List'!AA2:AA665))/STDEV('The List'!AA2:AA665)</f>
        <v>-0.943818807581835</v>
      </c>
      <c r="O92" s="77">
        <f>(VLOOKUP($A92,'The List'!$B1:$AH665,27,FALSE)-AVERAGE('The List'!AB2:AB665))/STDEV('The List'!AB2:AB665)</f>
        <v>0.321806859799431</v>
      </c>
      <c r="P92" s="77">
        <f>(VLOOKUP($A92,'The List'!$B1:$AH665,28,FALSE)-AVERAGE('The List'!AC2:AC665))/STDEV('The List'!AC2:AC665)</f>
        <v>1.1217529356277</v>
      </c>
      <c r="Q92" s="77">
        <f>(VLOOKUP($A92,'The List'!$B1:$AH665,29,FALSE)-AVERAGE('The List'!AD2:AD665))/STDEV('The List'!AD2:AD665)</f>
        <v>-0.322966467794955</v>
      </c>
      <c r="R92" s="77">
        <f>(VLOOKUP($A92,'The List'!$B1:$AH665,30,FALSE)-AVERAGE('The List'!AE2:AE665))/STDEV('The List'!AE2:AE665)</f>
        <v>2.54502626101549</v>
      </c>
      <c r="S92" s="77">
        <f>(VLOOKUP($A92,'The List'!$B1:$AH665,31,FALSE)-AVERAGE('The List'!AF2:AF665))/STDEV('The List'!AF2:AF665)</f>
        <v>-0.367589668221303</v>
      </c>
      <c r="T92" s="77">
        <f>(VLOOKUP($A92,'The List'!$B1:$AH665,32,FALSE)-AVERAGE('The List'!AG2:AG665))/STDEV('The List'!AG2:AG665)</f>
        <v>-0.327931765245942</v>
      </c>
      <c r="U92" s="77">
        <f>(VLOOKUP($A92,'The List'!$B1:$AH665,33,FALSE)-AVERAGE('The List'!AH2:AH665))/STDEV('The List'!AH2:AH665)</f>
        <v>0.691552580384635</v>
      </c>
      <c r="V92" s="77"/>
      <c r="W92" s="89"/>
      <c r="X92" s="79"/>
      <c r="Y92" s="79"/>
      <c r="Z92" s="79"/>
      <c r="AA92" s="79"/>
      <c r="AB92" s="79"/>
      <c r="AC92" s="82"/>
      <c r="AD92" s="83"/>
      <c r="AE92" s="84"/>
    </row>
    <row r="93" ht="21.25" customHeight="1">
      <c r="A93" t="s" s="10">
        <v>358</v>
      </c>
      <c r="B93" t="s" s="86">
        <f>VLOOKUP(A93,'Player Data'!A1:B667,2,FALSE)</f>
        <v>901</v>
      </c>
      <c r="C93" s="74">
        <f>((E93)*'Settings'!$C$12)+(F93*'Settings'!$C$2)+(G93*'Settings'!$C$3)+(H93*'Settings'!$C$4)+(I93*'Settings'!$C$5)+(K93*'Settings'!$C$9)+(N93*'Settings'!$C$6)+(J93*'Settings'!$C$8)+(O93*'Settings'!$C$7)+(P93*'Settings'!$C$14)+(Q93*'Settings'!$C$15)+(R93*'Settings'!$C$16)+(S93*'Settings'!$C$17)+(T93*'Settings'!$C$18)+(U93*'Settings'!$C$19)+(L93*'Settings'!$C$10)+('Settings'!$C$11*M93)</f>
        <v>4.95172624905608</v>
      </c>
      <c r="D93" s="79">
        <f>IF('Settings'!$E$12="YES",VLOOKUP(A93,'Player Data'!A1:E667,5,FALSE),82)</f>
        <v>79.6525</v>
      </c>
      <c r="E93" s="77">
        <f>(VLOOKUP($A93,'The List'!$B1:$AH665,17,FALSE)-AVERAGE('The List'!R2:R665))/STDEV('The List'!R2:R665)</f>
        <v>0.283832081786936</v>
      </c>
      <c r="F93" s="77">
        <f>(VLOOKUP($A93,'The List'!$B1:$AH665,18,FALSE)-AVERAGE('The List'!S2:S665))/STDEV('The List'!S2:S665)</f>
        <v>1.61017484344962</v>
      </c>
      <c r="G93" s="77">
        <f>(VLOOKUP($A93,'The List'!$B1:$AH665,19,FALSE)-AVERAGE('The List'!T2:T665))/STDEV('The List'!T2:T665)</f>
        <v>0.730939920356854</v>
      </c>
      <c r="H93" s="77">
        <f>(VLOOKUP($A93,'The List'!$B1:$AH665,20,FALSE)-AVERAGE('The List'!U2:U665))/STDEV('The List'!U2:U665)</f>
        <v>1.18585579401666</v>
      </c>
      <c r="I93" s="77">
        <f>(VLOOKUP($A93,'The List'!$B1:$AH665,21,FALSE)-AVERAGE('The List'!V2:V665))/STDEV('The List'!V2:V665)</f>
        <v>1.05832864478276</v>
      </c>
      <c r="J93" s="77">
        <f>(VLOOKUP($A93,'The List'!$B1:$AH665,22,FALSE)-AVERAGE('The List'!W2:W665))/STDEV('The List'!W2:W665)</f>
        <v>2.58521551249131</v>
      </c>
      <c r="K93" s="77">
        <f>(VLOOKUP($A93,'The List'!$B1:$AH665,23,FALSE)-AVERAGE('The List'!X2:X665))/STDEV('The List'!X2:X665)</f>
        <v>1.4517045650011</v>
      </c>
      <c r="L93" s="77">
        <f>(VLOOKUP($A93,'The List'!$B1:$AH665,24,FALSE)-AVERAGE('The List'!Y2:Y665))/STDEV('The List'!Y2:Y665)</f>
        <v>-0.570905952922236</v>
      </c>
      <c r="M93" s="77">
        <f>(VLOOKUP($A93,'The List'!$B1:$AH665,25,FALSE)-AVERAGE('The List'!Z2:Z665))/STDEV('The List'!Z2:Z665)</f>
        <v>-0.74455743665215</v>
      </c>
      <c r="N93" s="77">
        <f>(VLOOKUP($A93,'The List'!$B1:$AH665,26,FALSE)-AVERAGE('The List'!AA2:AA665))/STDEV('The List'!AA2:AA665)</f>
        <v>-0.831117229284935</v>
      </c>
      <c r="O93" s="77">
        <f>(VLOOKUP($A93,'The List'!$B1:$AH665,27,FALSE)-AVERAGE('The List'!AB2:AB665))/STDEV('The List'!AB2:AB665)</f>
        <v>-0.81526874974743</v>
      </c>
      <c r="P93" s="77">
        <f>(VLOOKUP($A93,'The List'!$B1:$AH665,28,FALSE)-AVERAGE('The List'!AC2:AC665))/STDEV('The List'!AC2:AC665)</f>
        <v>0.931695504750682</v>
      </c>
      <c r="Q93" s="77">
        <f>(VLOOKUP($A93,'The List'!$B1:$AH665,29,FALSE)-AVERAGE('The List'!AD2:AD665))/STDEV('The List'!AD2:AD665)</f>
        <v>-0.705582963844147</v>
      </c>
      <c r="R93" s="77">
        <f>(VLOOKUP($A93,'The List'!$B1:$AH665,30,FALSE)-AVERAGE('The List'!AE2:AE665))/STDEV('The List'!AE2:AE665)</f>
        <v>1.95165007999485</v>
      </c>
      <c r="S93" s="77">
        <f>(VLOOKUP($A93,'The List'!$B1:$AH665,31,FALSE)-AVERAGE('The List'!AF2:AF665))/STDEV('The List'!AF2:AF665)</f>
        <v>-0.497632811369582</v>
      </c>
      <c r="T93" s="77">
        <f>(VLOOKUP($A93,'The List'!$B1:$AH665,32,FALSE)-AVERAGE('The List'!AG2:AG665))/STDEV('The List'!AG2:AG665)</f>
        <v>-0.536148739590417</v>
      </c>
      <c r="U93" s="77">
        <f>(VLOOKUP($A93,'The List'!$B1:$AH665,33,FALSE)-AVERAGE('The List'!AH2:AH665))/STDEV('The List'!AH2:AH665)</f>
        <v>0.922166815816661</v>
      </c>
      <c r="V93" s="77"/>
      <c r="W93" s="89"/>
      <c r="X93" s="79"/>
      <c r="Y93" s="79"/>
      <c r="Z93" s="79"/>
      <c r="AA93" s="79"/>
      <c r="AB93" s="79"/>
      <c r="AC93" s="82"/>
      <c r="AD93" s="83"/>
      <c r="AE93" s="84"/>
    </row>
    <row r="94" ht="21.25" customHeight="1">
      <c r="A94" t="s" s="10">
        <v>446</v>
      </c>
      <c r="B94" t="s" s="86">
        <f>VLOOKUP(A94,'Player Data'!A1:B667,2,FALSE)</f>
        <v>156</v>
      </c>
      <c r="C94" s="74">
        <f>((E94)*'Settings'!$C$12)+(F94*'Settings'!$C$2)+(G94*'Settings'!$C$3)+(H94*'Settings'!$C$4)+(I94*'Settings'!$C$5)+(K94*'Settings'!$C$9)+(N94*'Settings'!$C$6)+(J94*'Settings'!$C$8)+(O94*'Settings'!$C$7)+(P94*'Settings'!$C$14)+(Q94*'Settings'!$C$15)+(R94*'Settings'!$C$16)+(S94*'Settings'!$C$17)+(T94*'Settings'!$C$18)+(U94*'Settings'!$C$19)+(L94*'Settings'!$C$10)+('Settings'!$C$11*M94)</f>
        <v>2.6586913573416</v>
      </c>
      <c r="D94" s="79">
        <f>IF('Settings'!$E$12="YES",VLOOKUP(A94,'Player Data'!A1:E667,5,FALSE),82)</f>
        <v>74.71250000000001</v>
      </c>
      <c r="E94" s="77">
        <f>(VLOOKUP($A94,'The List'!$B1:$AH665,17,FALSE)-AVERAGE('The List'!R2:R665))/STDEV('The List'!R2:R665)</f>
        <v>0.409902681203553</v>
      </c>
      <c r="F94" s="77">
        <f>(VLOOKUP($A94,'The List'!$B1:$AH665,18,FALSE)-AVERAGE('The List'!S2:S665))/STDEV('The List'!S2:S665)</f>
        <v>0.85140964213798</v>
      </c>
      <c r="G94" s="77">
        <f>(VLOOKUP($A94,'The List'!$B1:$AH665,19,FALSE)-AVERAGE('The List'!T2:T665))/STDEV('The List'!T2:T665)</f>
        <v>0.994777239940383</v>
      </c>
      <c r="H94" s="77">
        <f>(VLOOKUP($A94,'The List'!$B1:$AH665,20,FALSE)-AVERAGE('The List'!U2:U665))/STDEV('The List'!U2:U665)</f>
        <v>1.00481875355166</v>
      </c>
      <c r="I94" s="77">
        <f>(VLOOKUP($A94,'The List'!$B1:$AH665,21,FALSE)-AVERAGE('The List'!V2:V665))/STDEV('The List'!V2:V665)</f>
        <v>1.37898795653805</v>
      </c>
      <c r="J94" s="77">
        <f>(VLOOKUP($A94,'The List'!$B1:$AH665,22,FALSE)-AVERAGE('The List'!W2:W665))/STDEV('The List'!W2:W665)</f>
        <v>0.421498456080251</v>
      </c>
      <c r="K94" s="77">
        <f>(VLOOKUP($A94,'The List'!$B1:$AH665,23,FALSE)-AVERAGE('The List'!X2:X665))/STDEV('The List'!X2:X665)</f>
        <v>1.13891654999872</v>
      </c>
      <c r="L94" s="77">
        <f>(VLOOKUP($A94,'The List'!$B1:$AH665,24,FALSE)-AVERAGE('The List'!Y2:Y665))/STDEV('The List'!Y2:Y665)</f>
        <v>-0.57414090219537</v>
      </c>
      <c r="M94" s="77">
        <f>(VLOOKUP($A94,'The List'!$B1:$AH665,25,FALSE)-AVERAGE('The List'!Z2:Z665))/STDEV('The List'!Z2:Z665)</f>
        <v>-0.747732942663261</v>
      </c>
      <c r="N94" s="77">
        <f>(VLOOKUP($A94,'The List'!$B1:$AH665,26,FALSE)-AVERAGE('The List'!AA2:AA665))/STDEV('The List'!AA2:AA665)</f>
        <v>-1.03333888078424</v>
      </c>
      <c r="O94" s="77">
        <f>(VLOOKUP($A94,'The List'!$B1:$AH665,27,FALSE)-AVERAGE('The List'!AB2:AB665))/STDEV('The List'!AB2:AB665)</f>
        <v>-1.44972211971171</v>
      </c>
      <c r="P94" s="77">
        <f>(VLOOKUP($A94,'The List'!$B1:$AH665,28,FALSE)-AVERAGE('The List'!AC2:AC665))/STDEV('The List'!AC2:AC665)</f>
        <v>-0.672061150489295</v>
      </c>
      <c r="Q94" s="77">
        <f>(VLOOKUP($A94,'The List'!$B1:$AH665,29,FALSE)-AVERAGE('The List'!AD2:AD665))/STDEV('The List'!AD2:AD665)</f>
        <v>-0.827902804120518</v>
      </c>
      <c r="R94" s="77">
        <f>(VLOOKUP($A94,'The List'!$B1:$AH665,30,FALSE)-AVERAGE('The List'!AE2:AE665))/STDEV('The List'!AE2:AE665)</f>
        <v>0.651094967648144</v>
      </c>
      <c r="S94" s="77">
        <f>(VLOOKUP($A94,'The List'!$B1:$AH665,31,FALSE)-AVERAGE('The List'!AF2:AF665))/STDEV('The List'!AF2:AF665)</f>
        <v>-0.570826057631788</v>
      </c>
      <c r="T94" s="77">
        <f>(VLOOKUP($A94,'The List'!$B1:$AH665,32,FALSE)-AVERAGE('The List'!AG2:AG665))/STDEV('The List'!AG2:AG665)</f>
        <v>-0.619744469028923</v>
      </c>
      <c r="U94" s="77">
        <f>(VLOOKUP($A94,'The List'!$B1:$AH665,33,FALSE)-AVERAGE('The List'!AH2:AH665))/STDEV('The List'!AH2:AH665)</f>
        <v>0.361065504674847</v>
      </c>
      <c r="V94" s="77"/>
      <c r="W94" s="89"/>
      <c r="X94" s="79"/>
      <c r="Y94" s="79"/>
      <c r="Z94" s="79"/>
      <c r="AA94" s="79"/>
      <c r="AB94" s="79"/>
      <c r="AC94" s="82"/>
      <c r="AD94" s="83"/>
      <c r="AE94" s="84"/>
    </row>
    <row r="95" ht="21.25" customHeight="1">
      <c r="A95" t="s" s="10">
        <v>299</v>
      </c>
      <c r="B95" t="s" s="86">
        <f>VLOOKUP(A95,'Player Data'!A1:B667,2,FALSE)</f>
        <v>267</v>
      </c>
      <c r="C95" s="74">
        <f>((E95)*'Settings'!$C$12)+(F95*'Settings'!$C$2)+(G95*'Settings'!$C$3)+(H95*'Settings'!$C$4)+(I95*'Settings'!$C$5)+(K95*'Settings'!$C$9)+(N95*'Settings'!$C$6)+(J95*'Settings'!$C$8)+(O95*'Settings'!$C$7)+(P95*'Settings'!$C$14)+(Q95*'Settings'!$C$15)+(R95*'Settings'!$C$16)+(S95*'Settings'!$C$17)+(T95*'Settings'!$C$18)+(U95*'Settings'!$C$19)+(L95*'Settings'!$C$10)+('Settings'!$C$11*M95)</f>
        <v>4.42825062369793</v>
      </c>
      <c r="D95" s="79">
        <f>IF('Settings'!$E$12="YES",VLOOKUP(A95,'Player Data'!A1:E667,5,FALSE),82)</f>
        <v>81.7525</v>
      </c>
      <c r="E95" s="77">
        <f>(VLOOKUP($A95,'The List'!$B1:$AH665,17,FALSE)-AVERAGE('The List'!R2:R665))/STDEV('The List'!R2:R665)</f>
        <v>0.772452545268419</v>
      </c>
      <c r="F95" s="77">
        <f>(VLOOKUP($A95,'The List'!$B1:$AH665,18,FALSE)-AVERAGE('The List'!S2:S665))/STDEV('The List'!S2:S665)</f>
        <v>0.92141690911718</v>
      </c>
      <c r="G95" s="77">
        <f>(VLOOKUP($A95,'The List'!$B1:$AH665,19,FALSE)-AVERAGE('The List'!T2:T665))/STDEV('The List'!T2:T665)</f>
        <v>1.2963534875258</v>
      </c>
      <c r="H95" s="77">
        <f>(VLOOKUP($A95,'The List'!$B1:$AH665,20,FALSE)-AVERAGE('The List'!U2:U665))/STDEV('The List'!U2:U665)</f>
        <v>1.22393619092041</v>
      </c>
      <c r="I95" s="77">
        <f>(VLOOKUP($A95,'The List'!$B1:$AH665,21,FALSE)-AVERAGE('The List'!V2:V665))/STDEV('The List'!V2:V665)</f>
        <v>0.336877878470588</v>
      </c>
      <c r="J95" s="77">
        <f>(VLOOKUP($A95,'The List'!$B1:$AH665,22,FALSE)-AVERAGE('The List'!W2:W665))/STDEV('The List'!W2:W665)</f>
        <v>1.04225862126184</v>
      </c>
      <c r="K95" s="77">
        <f>(VLOOKUP($A95,'The List'!$B1:$AH665,23,FALSE)-AVERAGE('The List'!X2:X665))/STDEV('The List'!X2:X665)</f>
        <v>1.15751102442137</v>
      </c>
      <c r="L95" s="77">
        <f>(VLOOKUP($A95,'The List'!$B1:$AH665,24,FALSE)-AVERAGE('The List'!Y2:Y665))/STDEV('The List'!Y2:Y665)</f>
        <v>0.418937286900381</v>
      </c>
      <c r="M95" s="77">
        <f>(VLOOKUP($A95,'The List'!$B1:$AH665,25,FALSE)-AVERAGE('The List'!Z2:Z665))/STDEV('The List'!Z2:Z665)</f>
        <v>1.41533107006802</v>
      </c>
      <c r="N95" s="77">
        <f>(VLOOKUP($A95,'The List'!$B1:$AH665,26,FALSE)-AVERAGE('The List'!AA2:AA665))/STDEV('The List'!AA2:AA665)</f>
        <v>0.0615073377707471</v>
      </c>
      <c r="O95" s="77">
        <f>(VLOOKUP($A95,'The List'!$B1:$AH665,27,FALSE)-AVERAGE('The List'!AB2:AB665))/STDEV('The List'!AB2:AB665)</f>
        <v>-0.898564342909732</v>
      </c>
      <c r="P95" s="77">
        <f>(VLOOKUP($A95,'The List'!$B1:$AH665,28,FALSE)-AVERAGE('The List'!AC2:AC665))/STDEV('The List'!AC2:AC665)</f>
        <v>0.654583986392241</v>
      </c>
      <c r="Q95" s="77">
        <f>(VLOOKUP($A95,'The List'!$B1:$AH665,29,FALSE)-AVERAGE('The List'!AD2:AD665))/STDEV('The List'!AD2:AD665)</f>
        <v>-1.30002939721486</v>
      </c>
      <c r="R95" s="77">
        <f>(VLOOKUP($A95,'The List'!$B1:$AH665,30,FALSE)-AVERAGE('The List'!AE2:AE665))/STDEV('The List'!AE2:AE665)</f>
        <v>1.304315217760</v>
      </c>
      <c r="S95" s="77">
        <f>(VLOOKUP($A95,'The List'!$B1:$AH665,31,FALSE)-AVERAGE('The List'!AF2:AF665))/STDEV('The List'!AF2:AF665)</f>
        <v>3.60431006088085</v>
      </c>
      <c r="T95" s="77">
        <f>(VLOOKUP($A95,'The List'!$B1:$AH665,32,FALSE)-AVERAGE('The List'!AG2:AG665))/STDEV('The List'!AG2:AG665)</f>
        <v>2.89531080317209</v>
      </c>
      <c r="U95" s="77">
        <f>(VLOOKUP($A95,'The List'!$B1:$AH665,33,FALSE)-AVERAGE('The List'!AH2:AH665))/STDEV('The List'!AH2:AH665)</f>
        <v>1.29774965273436</v>
      </c>
      <c r="V95" s="77"/>
      <c r="W95" s="89"/>
      <c r="X95" s="79"/>
      <c r="Y95" s="79"/>
      <c r="Z95" s="79"/>
      <c r="AA95" s="79"/>
      <c r="AB95" s="79"/>
      <c r="AC95" s="82"/>
      <c r="AD95" s="83"/>
      <c r="AE95" s="84"/>
    </row>
    <row r="96" ht="21.25" customHeight="1">
      <c r="A96" t="s" s="10">
        <v>298</v>
      </c>
      <c r="B96" t="s" s="86">
        <f>VLOOKUP(A96,'Player Data'!A1:B667,2,FALSE)</f>
        <v>259</v>
      </c>
      <c r="C96" s="74">
        <f>((E96)*'Settings'!$C$12)+(F96*'Settings'!$C$2)+(G96*'Settings'!$C$3)+(H96*'Settings'!$C$4)+(I96*'Settings'!$C$5)+(K96*'Settings'!$C$9)+(N96*'Settings'!$C$6)+(J96*'Settings'!$C$8)+(O96*'Settings'!$C$7)+(P96*'Settings'!$C$14)+(Q96*'Settings'!$C$15)+(R96*'Settings'!$C$16)+(S96*'Settings'!$C$17)+(T96*'Settings'!$C$18)+(U96*'Settings'!$C$19)+(L96*'Settings'!$C$10)+('Settings'!$C$11*M96)</f>
        <v>4.89108982395752</v>
      </c>
      <c r="D96" s="79">
        <f>IF('Settings'!$E$12="YES",VLOOKUP(A96,'Player Data'!A1:E667,5,FALSE),82)</f>
        <v>76.1425</v>
      </c>
      <c r="E96" s="77">
        <f>(VLOOKUP($A96,'The List'!$B1:$AH665,17,FALSE)-AVERAGE('The List'!R2:R665))/STDEV('The List'!R2:R665)</f>
        <v>0.998223064876732</v>
      </c>
      <c r="F96" s="77">
        <f>(VLOOKUP($A96,'The List'!$B1:$AH665,18,FALSE)-AVERAGE('The List'!S2:S665))/STDEV('The List'!S2:S665)</f>
        <v>1.30444355767963</v>
      </c>
      <c r="G96" s="77">
        <f>(VLOOKUP($A96,'The List'!$B1:$AH665,19,FALSE)-AVERAGE('The List'!T2:T665))/STDEV('The List'!T2:T665)</f>
        <v>0.686063095247446</v>
      </c>
      <c r="H96" s="77">
        <f>(VLOOKUP($A96,'The List'!$B1:$AH665,20,FALSE)-AVERAGE('The List'!U2:U665))/STDEV('The List'!U2:U665)</f>
        <v>1.01901536032747</v>
      </c>
      <c r="I96" s="77">
        <f>(VLOOKUP($A96,'The List'!$B1:$AH665,21,FALSE)-AVERAGE('The List'!V2:V665))/STDEV('The List'!V2:V665)</f>
        <v>1.7790741612585</v>
      </c>
      <c r="J96" s="77">
        <f>(VLOOKUP($A96,'The List'!$B1:$AH665,22,FALSE)-AVERAGE('The List'!W2:W665))/STDEV('The List'!W2:W665)</f>
        <v>0.722772674200081</v>
      </c>
      <c r="K96" s="77">
        <f>(VLOOKUP($A96,'The List'!$B1:$AH665,23,FALSE)-AVERAGE('The List'!X2:X665))/STDEV('The List'!X2:X665)</f>
        <v>0.841810089545174</v>
      </c>
      <c r="L96" s="77">
        <f>(VLOOKUP($A96,'The List'!$B1:$AH665,24,FALSE)-AVERAGE('The List'!Y2:Y665))/STDEV('The List'!Y2:Y665)</f>
        <v>-0.314373949313581</v>
      </c>
      <c r="M96" s="77">
        <f>(VLOOKUP($A96,'The List'!$B1:$AH665,25,FALSE)-AVERAGE('The List'!Z2:Z665))/STDEV('The List'!Z2:Z665)</f>
        <v>-0.120021338085165</v>
      </c>
      <c r="N96" s="77">
        <f>(VLOOKUP($A96,'The List'!$B1:$AH665,26,FALSE)-AVERAGE('The List'!AA2:AA665))/STDEV('The List'!AA2:AA665)</f>
        <v>-0.203386099190007</v>
      </c>
      <c r="O96" s="77">
        <f>(VLOOKUP($A96,'The List'!$B1:$AH665,27,FALSE)-AVERAGE('The List'!AB2:AB665))/STDEV('The List'!AB2:AB665)</f>
        <v>-0.394416553887168</v>
      </c>
      <c r="P96" s="77">
        <f>(VLOOKUP($A96,'The List'!$B1:$AH665,28,FALSE)-AVERAGE('The List'!AC2:AC665))/STDEV('The List'!AC2:AC665)</f>
        <v>0.483085019416778</v>
      </c>
      <c r="Q96" s="77">
        <f>(VLOOKUP($A96,'The List'!$B1:$AH665,29,FALSE)-AVERAGE('The List'!AD2:AD665))/STDEV('The List'!AD2:AD665)</f>
        <v>-0.235530189401562</v>
      </c>
      <c r="R96" s="77">
        <f>(VLOOKUP($A96,'The List'!$B1:$AH665,30,FALSE)-AVERAGE('The List'!AE2:AE665))/STDEV('The List'!AE2:AE665)</f>
        <v>1.23503068628934</v>
      </c>
      <c r="S96" s="77">
        <f>(VLOOKUP($A96,'The List'!$B1:$AH665,31,FALSE)-AVERAGE('The List'!AF2:AF665))/STDEV('The List'!AF2:AF665)</f>
        <v>-0.557822528381955</v>
      </c>
      <c r="T96" s="77">
        <f>(VLOOKUP($A96,'The List'!$B1:$AH665,32,FALSE)-AVERAGE('The List'!AG2:AG665))/STDEV('The List'!AG2:AG665)</f>
        <v>-0.591018578200433</v>
      </c>
      <c r="U96" s="77">
        <f>(VLOOKUP($A96,'The List'!$B1:$AH665,33,FALSE)-AVERAGE('The List'!AH2:AH665))/STDEV('The List'!AH2:AH665)</f>
        <v>0.263186249074178</v>
      </c>
      <c r="V96" s="77"/>
      <c r="W96" s="89"/>
      <c r="X96" s="79"/>
      <c r="Y96" s="79"/>
      <c r="Z96" s="79"/>
      <c r="AA96" s="79"/>
      <c r="AB96" s="79"/>
      <c r="AC96" s="82"/>
      <c r="AD96" s="83"/>
      <c r="AE96" s="84"/>
    </row>
    <row r="97" ht="21.25" customHeight="1">
      <c r="A97" t="s" s="10">
        <v>607</v>
      </c>
      <c r="B97" t="s" s="86">
        <f>VLOOKUP(A97,'Player Data'!A1:B667,2,FALSE)</f>
        <v>871</v>
      </c>
      <c r="C97" s="74">
        <f>((E97)*'Settings'!$C$12)+(F97*'Settings'!$C$2)+(G97*'Settings'!$C$3)+(H97*'Settings'!$C$4)+(I97*'Settings'!$C$5)+(K97*'Settings'!$C$9)+(N97*'Settings'!$C$6)+(J97*'Settings'!$C$8)+(O97*'Settings'!$C$7)+(P97*'Settings'!$C$14)+(Q97*'Settings'!$C$15)+(R97*'Settings'!$C$16)+(S97*'Settings'!$C$17)+(T97*'Settings'!$C$18)+(U97*'Settings'!$C$19)+(L97*'Settings'!$C$10)+('Settings'!$C$11*M97)</f>
        <v>0.456515136680573</v>
      </c>
      <c r="D97" s="79">
        <f>IF('Settings'!$E$12="YES",VLOOKUP(A97,'Player Data'!A1:E667,5,FALSE),82)</f>
        <v>52</v>
      </c>
      <c r="E97" s="77">
        <f>(VLOOKUP($A97,'The List'!$B1:$AH665,17,FALSE)-AVERAGE('The List'!R2:R665))/STDEV('The List'!R2:R665)</f>
        <v>0.441037780979443</v>
      </c>
      <c r="F97" s="77">
        <f>(VLOOKUP($A97,'The List'!$B1:$AH665,18,FALSE)-AVERAGE('The List'!S2:S665))/STDEV('The List'!S2:S665)</f>
        <v>0.46956322681993</v>
      </c>
      <c r="G97" s="77">
        <f>(VLOOKUP($A97,'The List'!$B1:$AH665,19,FALSE)-AVERAGE('The List'!T2:T665))/STDEV('The List'!T2:T665)</f>
        <v>-0.0718991188851337</v>
      </c>
      <c r="H97" s="77">
        <f>(VLOOKUP($A97,'The List'!$B1:$AH665,20,FALSE)-AVERAGE('The List'!U2:U665))/STDEV('The List'!U2:U665)</f>
        <v>0.168785411141945</v>
      </c>
      <c r="I97" s="77">
        <f>(VLOOKUP($A97,'The List'!$B1:$AH665,21,FALSE)-AVERAGE('The List'!V2:V665))/STDEV('The List'!V2:V665)</f>
        <v>-0.007927196446595451</v>
      </c>
      <c r="J97" s="77">
        <f>(VLOOKUP($A97,'The List'!$B1:$AH665,22,FALSE)-AVERAGE('The List'!W2:W665))/STDEV('The List'!W2:W665)</f>
        <v>1.45444221955869</v>
      </c>
      <c r="K97" s="77">
        <f>(VLOOKUP($A97,'The List'!$B1:$AH665,23,FALSE)-AVERAGE('The List'!X2:X665))/STDEV('The List'!X2:X665)</f>
        <v>0.440948128162931</v>
      </c>
      <c r="L97" s="77">
        <f>(VLOOKUP($A97,'The List'!$B1:$AH665,24,FALSE)-AVERAGE('The List'!Y2:Y665))/STDEV('The List'!Y2:Y665)</f>
        <v>-0.123691660607394</v>
      </c>
      <c r="M97" s="77">
        <f>(VLOOKUP($A97,'The List'!$B1:$AH665,25,FALSE)-AVERAGE('The List'!Z2:Z665))/STDEV('The List'!Z2:Z665)</f>
        <v>0.520316319290381</v>
      </c>
      <c r="N97" s="77">
        <f>(VLOOKUP($A97,'The List'!$B1:$AH665,26,FALSE)-AVERAGE('The List'!AA2:AA665))/STDEV('The List'!AA2:AA665)</f>
        <v>-0.967875157101343</v>
      </c>
      <c r="O97" s="77">
        <f>(VLOOKUP($A97,'The List'!$B1:$AH665,27,FALSE)-AVERAGE('The List'!AB2:AB665))/STDEV('The List'!AB2:AB665)</f>
        <v>-0.665375710947228</v>
      </c>
      <c r="P97" s="77">
        <f>(VLOOKUP($A97,'The List'!$B1:$AH665,28,FALSE)-AVERAGE('The List'!AC2:AC665))/STDEV('The List'!AC2:AC665)</f>
        <v>0.593705254130784</v>
      </c>
      <c r="Q97" s="77">
        <f>(VLOOKUP($A97,'The List'!$B1:$AH665,29,FALSE)-AVERAGE('The List'!AD2:AD665))/STDEV('The List'!AD2:AD665)</f>
        <v>-1.06073987038505</v>
      </c>
      <c r="R97" s="77">
        <f>(VLOOKUP($A97,'The List'!$B1:$AH665,30,FALSE)-AVERAGE('The List'!AE2:AE665))/STDEV('The List'!AE2:AE665)</f>
        <v>0.454136308072814</v>
      </c>
      <c r="S97" s="77">
        <f>(VLOOKUP($A97,'The List'!$B1:$AH665,31,FALSE)-AVERAGE('The List'!AF2:AF665))/STDEV('The List'!AF2:AF665)</f>
        <v>-0.570842270136862</v>
      </c>
      <c r="T97" s="77">
        <f>(VLOOKUP($A97,'The List'!$B1:$AH665,32,FALSE)-AVERAGE('The List'!AG2:AG665))/STDEV('The List'!AG2:AG665)</f>
        <v>-0.602033597152446</v>
      </c>
      <c r="U97" s="77">
        <f>(VLOOKUP($A97,'The List'!$B1:$AH665,33,FALSE)-AVERAGE('The List'!AH2:AH665))/STDEV('The List'!AH2:AH665)</f>
        <v>-0.686063111666935</v>
      </c>
      <c r="V97" s="77"/>
      <c r="W97" s="89"/>
      <c r="X97" s="79"/>
      <c r="Y97" s="79"/>
      <c r="Z97" s="79"/>
      <c r="AA97" s="79"/>
      <c r="AB97" s="79"/>
      <c r="AC97" s="82"/>
      <c r="AD97" s="83"/>
      <c r="AE97" s="84"/>
    </row>
    <row r="98" ht="21.25" customHeight="1">
      <c r="A98" t="s" s="10">
        <v>246</v>
      </c>
      <c r="B98" t="s" s="86">
        <f>VLOOKUP(A98,'Player Data'!A1:B667,2,FALSE)</f>
        <v>906</v>
      </c>
      <c r="C98" s="74">
        <f>((E98)*'Settings'!$C$12)+(F98*'Settings'!$C$2)+(G98*'Settings'!$C$3)+(H98*'Settings'!$C$4)+(I98*'Settings'!$C$5)+(K98*'Settings'!$C$9)+(N98*'Settings'!$C$6)+(J98*'Settings'!$C$8)+(O98*'Settings'!$C$7)+(P98*'Settings'!$C$14)+(Q98*'Settings'!$C$15)+(R98*'Settings'!$C$16)+(S98*'Settings'!$C$17)+(T98*'Settings'!$C$18)+(U98*'Settings'!$C$19)+(L98*'Settings'!$C$10)+('Settings'!$C$11*M98)</f>
        <v>6.42137356457759</v>
      </c>
      <c r="D98" s="79">
        <f>IF('Settings'!$E$12="YES",VLOOKUP(A98,'Player Data'!A1:E667,5,FALSE),82)</f>
        <v>81.0025</v>
      </c>
      <c r="E98" s="77">
        <f>(VLOOKUP($A98,'The List'!$B1:$AH665,17,FALSE)-AVERAGE('The List'!R2:R665))/STDEV('The List'!R2:R665)</f>
        <v>1.9988496958938</v>
      </c>
      <c r="F98" s="77">
        <f>(VLOOKUP($A98,'The List'!$B1:$AH665,18,FALSE)-AVERAGE('The List'!S2:S665))/STDEV('The List'!S2:S665)</f>
        <v>-0.0953928901439848</v>
      </c>
      <c r="G98" s="77">
        <f>(VLOOKUP($A98,'The List'!$B1:$AH665,19,FALSE)-AVERAGE('The List'!T2:T665))/STDEV('The List'!T2:T665)</f>
        <v>1.96698977142663</v>
      </c>
      <c r="H98" s="77">
        <f>(VLOOKUP($A98,'The List'!$B1:$AH665,20,FALSE)-AVERAGE('The List'!U2:U665))/STDEV('The List'!U2:U665)</f>
        <v>1.17825064522263</v>
      </c>
      <c r="I98" s="77">
        <f>(VLOOKUP($A98,'The List'!$B1:$AH665,21,FALSE)-AVERAGE('The List'!V2:V665))/STDEV('The List'!V2:V665)</f>
        <v>0.905321287944201</v>
      </c>
      <c r="J98" s="77">
        <f>(VLOOKUP($A98,'The List'!$B1:$AH665,22,FALSE)-AVERAGE('The List'!W2:W665))/STDEV('The List'!W2:W665)</f>
        <v>0.0703885198044755</v>
      </c>
      <c r="K98" s="77">
        <f>(VLOOKUP($A98,'The List'!$B1:$AH665,23,FALSE)-AVERAGE('The List'!X2:X665))/STDEV('The List'!X2:X665)</f>
        <v>1.29094193508196</v>
      </c>
      <c r="L98" s="77">
        <f>(VLOOKUP($A98,'The List'!$B1:$AH665,24,FALSE)-AVERAGE('The List'!Y2:Y665))/STDEV('The List'!Y2:Y665)</f>
        <v>-0.572451188163304</v>
      </c>
      <c r="M98" s="77">
        <f>(VLOOKUP($A98,'The List'!$B1:$AH665,25,FALSE)-AVERAGE('The List'!Z2:Z665))/STDEV('The List'!Z2:Z665)</f>
        <v>-0.730936154168069</v>
      </c>
      <c r="N98" s="77">
        <f>(VLOOKUP($A98,'The List'!$B1:$AH665,26,FALSE)-AVERAGE('The List'!AA2:AA665))/STDEV('The List'!AA2:AA665)</f>
        <v>1.08633746355934</v>
      </c>
      <c r="O98" s="77">
        <f>(VLOOKUP($A98,'The List'!$B1:$AH665,27,FALSE)-AVERAGE('The List'!AB2:AB665))/STDEV('The List'!AB2:AB665)</f>
        <v>0.0913756296243826</v>
      </c>
      <c r="P98" s="77">
        <f>(VLOOKUP($A98,'The List'!$B1:$AH665,28,FALSE)-AVERAGE('The List'!AC2:AC665))/STDEV('The List'!AC2:AC665)</f>
        <v>1.26717599670944</v>
      </c>
      <c r="Q98" s="77">
        <f>(VLOOKUP($A98,'The List'!$B1:$AH665,29,FALSE)-AVERAGE('The List'!AD2:AD665))/STDEV('The List'!AD2:AD665)</f>
        <v>1.08527442641301</v>
      </c>
      <c r="R98" s="77">
        <f>(VLOOKUP($A98,'The List'!$B1:$AH665,30,FALSE)-AVERAGE('The List'!AE2:AE665))/STDEV('The List'!AE2:AE665)</f>
        <v>0.0459618307189994</v>
      </c>
      <c r="S98" s="77">
        <f>(VLOOKUP($A98,'The List'!$B1:$AH665,31,FALSE)-AVERAGE('The List'!AF2:AF665))/STDEV('The List'!AF2:AF665)</f>
        <v>-0.573894410680004</v>
      </c>
      <c r="T98" s="77">
        <f>(VLOOKUP($A98,'The List'!$B1:$AH665,32,FALSE)-AVERAGE('The List'!AG2:AG665))/STDEV('The List'!AG2:AG665)</f>
        <v>-0.625770787132651</v>
      </c>
      <c r="U98" s="77">
        <f>(VLOOKUP($A98,'The List'!$B1:$AH665,33,FALSE)-AVERAGE('The List'!AH2:AH665))/STDEV('The List'!AH2:AH665)</f>
        <v>-1.23143509451486</v>
      </c>
      <c r="V98" s="77"/>
      <c r="W98" s="79"/>
      <c r="X98" s="77"/>
      <c r="Y98" s="77"/>
      <c r="Z98" s="77"/>
      <c r="AA98" s="77"/>
      <c r="AB98" s="77"/>
      <c r="AC98" s="77"/>
      <c r="AD98" s="77"/>
      <c r="AE98" s="84"/>
    </row>
    <row r="99" ht="21.25" customHeight="1">
      <c r="A99" t="s" s="10">
        <v>372</v>
      </c>
      <c r="B99" t="s" s="86">
        <f>VLOOKUP(A99,'Player Data'!A1:B667,2,FALSE)</f>
        <v>903</v>
      </c>
      <c r="C99" s="74">
        <f>((E99)*'Settings'!$C$12)+(F99*'Settings'!$C$2)+(G99*'Settings'!$C$3)+(H99*'Settings'!$C$4)+(I99*'Settings'!$C$5)+(K99*'Settings'!$C$9)+(N99*'Settings'!$C$6)+(J99*'Settings'!$C$8)+(O99*'Settings'!$C$7)+(P99*'Settings'!$C$14)+(Q99*'Settings'!$C$15)+(R99*'Settings'!$C$16)+(S99*'Settings'!$C$17)+(T99*'Settings'!$C$18)+(U99*'Settings'!$C$19)+(L99*'Settings'!$C$10)+('Settings'!$C$11*M99)</f>
        <v>4.70665875660105</v>
      </c>
      <c r="D99" s="79">
        <f>IF('Settings'!$E$12="YES",VLOOKUP(A99,'Player Data'!A1:E667,5,FALSE),82)</f>
        <v>71.705</v>
      </c>
      <c r="E99" s="77">
        <f>(VLOOKUP($A99,'The List'!$B1:$AH665,17,FALSE)-AVERAGE('The List'!R2:R665))/STDEV('The List'!R2:R665)</f>
        <v>1.42140372823593</v>
      </c>
      <c r="F99" s="77">
        <f>(VLOOKUP($A99,'The List'!$B1:$AH665,18,FALSE)-AVERAGE('The List'!S2:S665))/STDEV('The List'!S2:S665)</f>
        <v>-0.314307231108845</v>
      </c>
      <c r="G99" s="77">
        <f>(VLOOKUP($A99,'The List'!$B1:$AH665,19,FALSE)-AVERAGE('The List'!T2:T665))/STDEV('The List'!T2:T665)</f>
        <v>1.59573072163216</v>
      </c>
      <c r="H99" s="77">
        <f>(VLOOKUP($A99,'The List'!$B1:$AH665,20,FALSE)-AVERAGE('The List'!U2:U665))/STDEV('The List'!U2:U665)</f>
        <v>0.84817092630164</v>
      </c>
      <c r="I99" s="77">
        <f>(VLOOKUP($A99,'The List'!$B1:$AH665,21,FALSE)-AVERAGE('The List'!V2:V665))/STDEV('The List'!V2:V665)</f>
        <v>0.525476332861138</v>
      </c>
      <c r="J99" s="77">
        <f>(VLOOKUP($A99,'The List'!$B1:$AH665,22,FALSE)-AVERAGE('The List'!W2:W665))/STDEV('The List'!W2:W665)</f>
        <v>0.00489982561462166</v>
      </c>
      <c r="K99" s="77">
        <f>(VLOOKUP($A99,'The List'!$B1:$AH665,23,FALSE)-AVERAGE('The List'!X2:X665))/STDEV('The List'!X2:X665)</f>
        <v>1.14688145284809</v>
      </c>
      <c r="L99" s="77">
        <f>(VLOOKUP($A99,'The List'!$B1:$AH665,24,FALSE)-AVERAGE('The List'!Y2:Y665))/STDEV('The List'!Y2:Y665)</f>
        <v>-0.569983724129881</v>
      </c>
      <c r="M99" s="77">
        <f>(VLOOKUP($A99,'The List'!$B1:$AH665,25,FALSE)-AVERAGE('The List'!Z2:Z665))/STDEV('The List'!Z2:Z665)</f>
        <v>-0.723588246552441</v>
      </c>
      <c r="N99" s="77">
        <f>(VLOOKUP($A99,'The List'!$B1:$AH665,26,FALSE)-AVERAGE('The List'!AA2:AA665))/STDEV('The List'!AA2:AA665)</f>
        <v>1.01925432681943</v>
      </c>
      <c r="O99" s="77">
        <f>(VLOOKUP($A99,'The List'!$B1:$AH665,27,FALSE)-AVERAGE('The List'!AB2:AB665))/STDEV('The List'!AB2:AB665)</f>
        <v>-1.19905943401554</v>
      </c>
      <c r="P99" s="77">
        <f>(VLOOKUP($A99,'The List'!$B1:$AH665,28,FALSE)-AVERAGE('The List'!AC2:AC665))/STDEV('The List'!AC2:AC665)</f>
        <v>0.733623153549075</v>
      </c>
      <c r="Q99" s="77">
        <f>(VLOOKUP($A99,'The List'!$B1:$AH665,29,FALSE)-AVERAGE('The List'!AD2:AD665))/STDEV('The List'!AD2:AD665)</f>
        <v>-0.713430412677646</v>
      </c>
      <c r="R99" s="77">
        <f>(VLOOKUP($A99,'The List'!$B1:$AH665,30,FALSE)-AVERAGE('The List'!AE2:AE665))/STDEV('The List'!AE2:AE665)</f>
        <v>-0.28000996601752</v>
      </c>
      <c r="S99" s="77">
        <f>(VLOOKUP($A99,'The List'!$B1:$AH665,31,FALSE)-AVERAGE('The List'!AF2:AF665))/STDEV('The List'!AF2:AF665)</f>
        <v>-0.573894410680004</v>
      </c>
      <c r="T99" s="77">
        <f>(VLOOKUP($A99,'The List'!$B1:$AH665,32,FALSE)-AVERAGE('The List'!AG2:AG665))/STDEV('The List'!AG2:AG665)</f>
        <v>-0.625770787132651</v>
      </c>
      <c r="U99" s="77">
        <f>(VLOOKUP($A99,'The List'!$B1:$AH665,33,FALSE)-AVERAGE('The List'!AH2:AH665))/STDEV('The List'!AH2:AH665)</f>
        <v>-1.23143509451486</v>
      </c>
      <c r="V99" s="77"/>
      <c r="W99" s="89"/>
      <c r="X99" s="79"/>
      <c r="Y99" s="79"/>
      <c r="Z99" s="79"/>
      <c r="AA99" s="79"/>
      <c r="AB99" s="79"/>
      <c r="AC99" s="82"/>
      <c r="AD99" s="83"/>
      <c r="AE99" s="84"/>
    </row>
    <row r="100" ht="21.25" customHeight="1">
      <c r="A100" t="s" s="10">
        <v>273</v>
      </c>
      <c r="B100" t="s" s="86">
        <f>VLOOKUP(A100,'Player Data'!A1:B667,2,FALSE)</f>
        <v>901</v>
      </c>
      <c r="C100" s="74">
        <f>((E100)*'Settings'!$C$12)+(F100*'Settings'!$C$2)+(G100*'Settings'!$C$3)+(H100*'Settings'!$C$4)+(I100*'Settings'!$C$5)+(K100*'Settings'!$C$9)+(N100*'Settings'!$C$6)+(J100*'Settings'!$C$8)+(O100*'Settings'!$C$7)+(P100*'Settings'!$C$14)+(Q100*'Settings'!$C$15)+(R100*'Settings'!$C$16)+(S100*'Settings'!$C$17)+(T100*'Settings'!$C$18)+(U100*'Settings'!$C$19)+(L100*'Settings'!$C$10)+('Settings'!$C$11*M100)</f>
        <v>4.92796906091226</v>
      </c>
      <c r="D100" s="79">
        <f>IF('Settings'!$E$12="YES",VLOOKUP(A100,'Player Data'!A1:E667,5,FALSE),82)</f>
        <v>78.7</v>
      </c>
      <c r="E100" s="77">
        <f>(VLOOKUP($A100,'The List'!$B1:$AH665,17,FALSE)-AVERAGE('The List'!R2:R665))/STDEV('The List'!R2:R665)</f>
        <v>0.521404740381649</v>
      </c>
      <c r="F100" s="77">
        <f>(VLOOKUP($A100,'The List'!$B1:$AH665,18,FALSE)-AVERAGE('The List'!S2:S665))/STDEV('The List'!S2:S665)</f>
        <v>1.57878811920874</v>
      </c>
      <c r="G100" s="77">
        <f>(VLOOKUP($A100,'The List'!$B1:$AH665,19,FALSE)-AVERAGE('The List'!T2:T665))/STDEV('The List'!T2:T665)</f>
        <v>0.584357638980045</v>
      </c>
      <c r="H100" s="77">
        <f>(VLOOKUP($A100,'The List'!$B1:$AH665,20,FALSE)-AVERAGE('The List'!U2:U665))/STDEV('The List'!U2:U665)</f>
        <v>1.08055319713819</v>
      </c>
      <c r="I100" s="77">
        <f>(VLOOKUP($A100,'The List'!$B1:$AH665,21,FALSE)-AVERAGE('The List'!V2:V665))/STDEV('The List'!V2:V665)</f>
        <v>1.42275431559457</v>
      </c>
      <c r="J100" s="77">
        <f>(VLOOKUP($A100,'The List'!$B1:$AH665,22,FALSE)-AVERAGE('The List'!W2:W665))/STDEV('The List'!W2:W665)</f>
        <v>0.941828255545925</v>
      </c>
      <c r="K100" s="77">
        <f>(VLOOKUP($A100,'The List'!$B1:$AH665,23,FALSE)-AVERAGE('The List'!X2:X665))/STDEV('The List'!X2:X665)</f>
        <v>1.0196129778286</v>
      </c>
      <c r="L100" s="77">
        <f>(VLOOKUP($A100,'The List'!$B1:$AH665,24,FALSE)-AVERAGE('The List'!Y2:Y665))/STDEV('The List'!Y2:Y665)</f>
        <v>0.246386205603346</v>
      </c>
      <c r="M100" s="77">
        <f>(VLOOKUP($A100,'The List'!$B1:$AH665,25,FALSE)-AVERAGE('The List'!Z2:Z665))/STDEV('The List'!Z2:Z665)</f>
        <v>0.0475039695275639</v>
      </c>
      <c r="N100" s="77">
        <f>(VLOOKUP($A100,'The List'!$B1:$AH665,26,FALSE)-AVERAGE('The List'!AA2:AA665))/STDEV('The List'!AA2:AA665)</f>
        <v>-0.50990202553899</v>
      </c>
      <c r="O100" s="77">
        <f>(VLOOKUP($A100,'The List'!$B1:$AH665,27,FALSE)-AVERAGE('The List'!AB2:AB665))/STDEV('The List'!AB2:AB665)</f>
        <v>0.351524716481715</v>
      </c>
      <c r="P100" s="77">
        <f>(VLOOKUP($A100,'The List'!$B1:$AH665,28,FALSE)-AVERAGE('The List'!AC2:AC665))/STDEV('The List'!AC2:AC665)</f>
        <v>0.832358034839298</v>
      </c>
      <c r="Q100" s="77">
        <f>(VLOOKUP($A100,'The List'!$B1:$AH665,29,FALSE)-AVERAGE('The List'!AD2:AD665))/STDEV('The List'!AD2:AD665)</f>
        <v>-0.772388107137839</v>
      </c>
      <c r="R100" s="77">
        <f>(VLOOKUP($A100,'The List'!$B1:$AH665,30,FALSE)-AVERAGE('The List'!AE2:AE665))/STDEV('The List'!AE2:AE665)</f>
        <v>1.91724567273821</v>
      </c>
      <c r="S100" s="77">
        <f>(VLOOKUP($A100,'The List'!$B1:$AH665,31,FALSE)-AVERAGE('The List'!AF2:AF665))/STDEV('The List'!AF2:AF665)</f>
        <v>-0.5343143199941101</v>
      </c>
      <c r="T100" s="77">
        <f>(VLOOKUP($A100,'The List'!$B1:$AH665,32,FALSE)-AVERAGE('The List'!AG2:AG665))/STDEV('The List'!AG2:AG665)</f>
        <v>-0.539471446621571</v>
      </c>
      <c r="U100" s="77">
        <f>(VLOOKUP($A100,'The List'!$B1:$AH665,33,FALSE)-AVERAGE('The List'!AH2:AH665))/STDEV('The List'!AH2:AH665)</f>
        <v>0.254859050269574</v>
      </c>
      <c r="V100" s="77"/>
      <c r="W100" s="79"/>
      <c r="X100" s="77"/>
      <c r="Y100" s="77"/>
      <c r="Z100" s="77"/>
      <c r="AA100" s="77"/>
      <c r="AB100" s="77"/>
      <c r="AC100" s="77"/>
      <c r="AD100" s="77"/>
      <c r="AE100" s="84"/>
    </row>
    <row r="101" ht="21.25" customHeight="1">
      <c r="A101" t="s" s="10">
        <v>331</v>
      </c>
      <c r="B101" t="s" s="86">
        <f>VLOOKUP(A101,'Player Data'!A1:B667,2,FALSE)</f>
        <v>914</v>
      </c>
      <c r="C101" s="74">
        <f>((E101)*'Settings'!$C$12)+(F101*'Settings'!$C$2)+(G101*'Settings'!$C$3)+(H101*'Settings'!$C$4)+(I101*'Settings'!$C$5)+(K101*'Settings'!$C$9)+(N101*'Settings'!$C$6)+(J101*'Settings'!$C$8)+(O101*'Settings'!$C$7)+(P101*'Settings'!$C$14)+(Q101*'Settings'!$C$15)+(R101*'Settings'!$C$16)+(S101*'Settings'!$C$17)+(T101*'Settings'!$C$18)+(U101*'Settings'!$C$19)+(L101*'Settings'!$C$10)+('Settings'!$C$11*M101)</f>
        <v>2.68585299193783</v>
      </c>
      <c r="D101" s="79">
        <f>IF('Settings'!$E$12="YES",VLOOKUP(A101,'Player Data'!A1:E667,5,FALSE),82)</f>
        <v>69.0125</v>
      </c>
      <c r="E101" s="77">
        <f>(VLOOKUP($A101,'The List'!$B1:$AH665,17,FALSE)-AVERAGE('The List'!R2:R665))/STDEV('The List'!R2:R665)</f>
        <v>2.15962181224339</v>
      </c>
      <c r="F101" s="77">
        <f>(VLOOKUP($A101,'The List'!$B1:$AH665,18,FALSE)-AVERAGE('The List'!S2:S665))/STDEV('The List'!S2:S665)</f>
        <v>-0.196538387053228</v>
      </c>
      <c r="G101" s="77">
        <f>(VLOOKUP($A101,'The List'!$B1:$AH665,19,FALSE)-AVERAGE('The List'!T2:T665))/STDEV('The List'!T2:T665)</f>
        <v>1.33888767612792</v>
      </c>
      <c r="H101" s="77">
        <f>(VLOOKUP($A101,'The List'!$B1:$AH665,20,FALSE)-AVERAGE('The List'!U2:U665))/STDEV('The List'!U2:U665)</f>
        <v>0.742188490869247</v>
      </c>
      <c r="I101" s="77">
        <f>(VLOOKUP($A101,'The List'!$B1:$AH665,21,FALSE)-AVERAGE('The List'!V2:V665))/STDEV('The List'!V2:V665)</f>
        <v>1.0773459206158</v>
      </c>
      <c r="J101" s="77">
        <f>(VLOOKUP($A101,'The List'!$B1:$AH665,22,FALSE)-AVERAGE('The List'!W2:W665))/STDEV('The List'!W2:W665)</f>
        <v>0.00750270214269485</v>
      </c>
      <c r="K101" s="77">
        <f>(VLOOKUP($A101,'The List'!$B1:$AH665,23,FALSE)-AVERAGE('The List'!X2:X665))/STDEV('The List'!X2:X665)</f>
        <v>0.632764126727014</v>
      </c>
      <c r="L101" s="77">
        <f>(VLOOKUP($A101,'The List'!$B1:$AH665,24,FALSE)-AVERAGE('The List'!Y2:Y665))/STDEV('The List'!Y2:Y665)</f>
        <v>-0.538531901028701</v>
      </c>
      <c r="M101" s="77">
        <f>(VLOOKUP($A101,'The List'!$B1:$AH665,25,FALSE)-AVERAGE('The List'!Z2:Z665))/STDEV('The List'!Z2:Z665)</f>
        <v>-0.468743741087848</v>
      </c>
      <c r="N101" s="77">
        <f>(VLOOKUP($A101,'The List'!$B1:$AH665,26,FALSE)-AVERAGE('The List'!AA2:AA665))/STDEV('The List'!AA2:AA665)</f>
        <v>1.35442944065859</v>
      </c>
      <c r="O101" s="77">
        <f>(VLOOKUP($A101,'The List'!$B1:$AH665,27,FALSE)-AVERAGE('The List'!AB2:AB665))/STDEV('The List'!AB2:AB665)</f>
        <v>-1.14679827164696</v>
      </c>
      <c r="P101" s="77">
        <f>(VLOOKUP($A101,'The List'!$B1:$AH665,28,FALSE)-AVERAGE('The List'!AC2:AC665))/STDEV('The List'!AC2:AC665)</f>
        <v>-1.52103578513827</v>
      </c>
      <c r="Q101" s="77">
        <f>(VLOOKUP($A101,'The List'!$B1:$AH665,29,FALSE)-AVERAGE('The List'!AD2:AD665))/STDEV('The List'!AD2:AD665)</f>
        <v>-0.5704509379028549</v>
      </c>
      <c r="R101" s="77">
        <f>(VLOOKUP($A101,'The List'!$B1:$AH665,30,FALSE)-AVERAGE('The List'!AE2:AE665))/STDEV('The List'!AE2:AE665)</f>
        <v>-0.467998649922252</v>
      </c>
      <c r="S101" s="77">
        <f>(VLOOKUP($A101,'The List'!$B1:$AH665,31,FALSE)-AVERAGE('The List'!AF2:AF665))/STDEV('The List'!AF2:AF665)</f>
        <v>-0.573894410680004</v>
      </c>
      <c r="T101" s="77">
        <f>(VLOOKUP($A101,'The List'!$B1:$AH665,32,FALSE)-AVERAGE('The List'!AG2:AG665))/STDEV('The List'!AG2:AG665)</f>
        <v>-0.625770787132651</v>
      </c>
      <c r="U101" s="77">
        <f>(VLOOKUP($A101,'The List'!$B1:$AH665,33,FALSE)-AVERAGE('The List'!AH2:AH665))/STDEV('The List'!AH2:AH665)</f>
        <v>-1.23143509451486</v>
      </c>
      <c r="V101" s="77"/>
      <c r="W101" s="89"/>
      <c r="X101" s="79"/>
      <c r="Y101" s="79"/>
      <c r="Z101" s="79"/>
      <c r="AA101" s="79"/>
      <c r="AB101" s="79"/>
      <c r="AC101" s="82"/>
      <c r="AD101" s="83"/>
      <c r="AE101" s="84"/>
    </row>
    <row r="102" ht="21.25" customHeight="1">
      <c r="A102" t="s" s="10">
        <v>390</v>
      </c>
      <c r="B102" t="s" s="86">
        <f>VLOOKUP(A102,'Player Data'!A1:B667,2,FALSE)</f>
        <v>267</v>
      </c>
      <c r="C102" s="74">
        <f>((E102)*'Settings'!$C$12)+(F102*'Settings'!$C$2)+(G102*'Settings'!$C$3)+(H102*'Settings'!$C$4)+(I102*'Settings'!$C$5)+(K102*'Settings'!$C$9)+(N102*'Settings'!$C$6)+(J102*'Settings'!$C$8)+(O102*'Settings'!$C$7)+(P102*'Settings'!$C$14)+(Q102*'Settings'!$C$15)+(R102*'Settings'!$C$16)+(S102*'Settings'!$C$17)+(T102*'Settings'!$C$18)+(U102*'Settings'!$C$19)+(L102*'Settings'!$C$10)+('Settings'!$C$11*M102)</f>
        <v>3.27101414631076</v>
      </c>
      <c r="D102" s="79">
        <f>IF('Settings'!$E$12="YES",VLOOKUP(A102,'Player Data'!A1:E667,5,FALSE),82)</f>
        <v>76.71250000000001</v>
      </c>
      <c r="E102" s="77">
        <f>(VLOOKUP($A102,'The List'!$B1:$AH665,17,FALSE)-AVERAGE('The List'!R2:R665))/STDEV('The List'!R2:R665)</f>
        <v>0.484421533423624</v>
      </c>
      <c r="F102" s="77">
        <f>(VLOOKUP($A102,'The List'!$B1:$AH665,18,FALSE)-AVERAGE('The List'!S2:S665))/STDEV('The List'!S2:S665)</f>
        <v>0.73114718679937</v>
      </c>
      <c r="G102" s="77">
        <f>(VLOOKUP($A102,'The List'!$B1:$AH665,19,FALSE)-AVERAGE('The List'!T2:T665))/STDEV('The List'!T2:T665)</f>
        <v>1.07536794079946</v>
      </c>
      <c r="H102" s="77">
        <f>(VLOOKUP($A102,'The List'!$B1:$AH665,20,FALSE)-AVERAGE('The List'!U2:U665))/STDEV('The List'!U2:U665)</f>
        <v>1.0002051077635</v>
      </c>
      <c r="I102" s="77">
        <f>(VLOOKUP($A102,'The List'!$B1:$AH665,21,FALSE)-AVERAGE('The List'!V2:V665))/STDEV('The List'!V2:V665)</f>
        <v>0.658233635307012</v>
      </c>
      <c r="J102" s="77">
        <f>(VLOOKUP($A102,'The List'!$B1:$AH665,22,FALSE)-AVERAGE('The List'!W2:W665))/STDEV('The List'!W2:W665)</f>
        <v>1.33181282276697</v>
      </c>
      <c r="K102" s="77">
        <f>(VLOOKUP($A102,'The List'!$B1:$AH665,23,FALSE)-AVERAGE('The List'!X2:X665))/STDEV('The List'!X2:X665)</f>
        <v>0.812711087405855</v>
      </c>
      <c r="L102" s="77">
        <f>(VLOOKUP($A102,'The List'!$B1:$AH665,24,FALSE)-AVERAGE('The List'!Y2:Y665))/STDEV('The List'!Y2:Y665)</f>
        <v>-0.13731236958267</v>
      </c>
      <c r="M102" s="77">
        <f>(VLOOKUP($A102,'The List'!$B1:$AH665,25,FALSE)-AVERAGE('The List'!Z2:Z665))/STDEV('The List'!Z2:Z665)</f>
        <v>-0.308525985660842</v>
      </c>
      <c r="N102" s="77">
        <f>(VLOOKUP($A102,'The List'!$B1:$AH665,26,FALSE)-AVERAGE('The List'!AA2:AA665))/STDEV('The List'!AA2:AA665)</f>
        <v>-0.958029873091493</v>
      </c>
      <c r="O102" s="77">
        <f>(VLOOKUP($A102,'The List'!$B1:$AH665,27,FALSE)-AVERAGE('The List'!AB2:AB665))/STDEV('The List'!AB2:AB665)</f>
        <v>-0.429556568270891</v>
      </c>
      <c r="P102" s="77">
        <f>(VLOOKUP($A102,'The List'!$B1:$AH665,28,FALSE)-AVERAGE('The List'!AC2:AC665))/STDEV('The List'!AC2:AC665)</f>
        <v>0.951584169090556</v>
      </c>
      <c r="Q102" s="77">
        <f>(VLOOKUP($A102,'The List'!$B1:$AH665,29,FALSE)-AVERAGE('The List'!AD2:AD665))/STDEV('The List'!AD2:AD665)</f>
        <v>0.78377822715705</v>
      </c>
      <c r="R102" s="77">
        <f>(VLOOKUP($A102,'The List'!$B1:$AH665,30,FALSE)-AVERAGE('The List'!AE2:AE665))/STDEV('The List'!AE2:AE665)</f>
        <v>1.08666873908669</v>
      </c>
      <c r="S102" s="77">
        <f>(VLOOKUP($A102,'The List'!$B1:$AH665,31,FALSE)-AVERAGE('The List'!AF2:AF665))/STDEV('The List'!AF2:AF665)</f>
        <v>-0.234257920268754</v>
      </c>
      <c r="T102" s="77">
        <f>(VLOOKUP($A102,'The List'!$B1:$AH665,32,FALSE)-AVERAGE('The List'!AG2:AG665))/STDEV('The List'!AG2:AG665)</f>
        <v>-0.201722056431134</v>
      </c>
      <c r="U102" s="77">
        <f>(VLOOKUP($A102,'The List'!$B1:$AH665,33,FALSE)-AVERAGE('The List'!AH2:AH665))/STDEV('The List'!AH2:AH665)</f>
        <v>0.853852448720158</v>
      </c>
      <c r="V102" s="77"/>
      <c r="W102" s="79"/>
      <c r="X102" s="77"/>
      <c r="Y102" s="77"/>
      <c r="Z102" s="77"/>
      <c r="AA102" s="77"/>
      <c r="AB102" s="77"/>
      <c r="AC102" s="77"/>
      <c r="AD102" s="77"/>
      <c r="AE102" s="84"/>
    </row>
    <row r="103" ht="21.25" customHeight="1">
      <c r="A103" t="s" s="10">
        <v>403</v>
      </c>
      <c r="B103" t="s" s="86">
        <f>VLOOKUP(A103,'Player Data'!A1:B667,2,FALSE)</f>
        <v>154</v>
      </c>
      <c r="C103" s="74">
        <f>((E103)*'Settings'!$C$12)+(F103*'Settings'!$C$2)+(G103*'Settings'!$C$3)+(H103*'Settings'!$C$4)+(I103*'Settings'!$C$5)+(K103*'Settings'!$C$9)+(N103*'Settings'!$C$6)+(J103*'Settings'!$C$8)+(O103*'Settings'!$C$7)+(P103*'Settings'!$C$14)+(Q103*'Settings'!$C$15)+(R103*'Settings'!$C$16)+(S103*'Settings'!$C$17)+(T103*'Settings'!$C$18)+(U103*'Settings'!$C$19)+(L103*'Settings'!$C$10)+('Settings'!$C$11*M103)</f>
        <v>3.3579003618021</v>
      </c>
      <c r="D103" s="79">
        <f>IF('Settings'!$E$12="YES",VLOOKUP(A103,'Player Data'!A1:E667,5,FALSE),82)</f>
        <v>80.3425</v>
      </c>
      <c r="E103" s="77">
        <f>(VLOOKUP($A103,'The List'!$B1:$AH665,17,FALSE)-AVERAGE('The List'!R2:R665))/STDEV('The List'!R2:R665)</f>
        <v>0.272189464488901</v>
      </c>
      <c r="F103" s="77">
        <f>(VLOOKUP($A103,'The List'!$B1:$AH665,18,FALSE)-AVERAGE('The List'!S2:S665))/STDEV('The List'!S2:S665)</f>
        <v>1.55849494432936</v>
      </c>
      <c r="G103" s="77">
        <f>(VLOOKUP($A103,'The List'!$B1:$AH665,19,FALSE)-AVERAGE('The List'!T2:T665))/STDEV('The List'!T2:T665)</f>
        <v>0.67131377413589</v>
      </c>
      <c r="H103" s="77">
        <f>(VLOOKUP($A103,'The List'!$B1:$AH665,20,FALSE)-AVERAGE('The List'!U2:U665))/STDEV('The List'!U2:U665)</f>
        <v>1.12533363385474</v>
      </c>
      <c r="I103" s="77">
        <f>(VLOOKUP($A103,'The List'!$B1:$AH665,21,FALSE)-AVERAGE('The List'!V2:V665))/STDEV('The List'!V2:V665)</f>
        <v>1.56219329607491</v>
      </c>
      <c r="J103" s="77">
        <f>(VLOOKUP($A103,'The List'!$B1:$AH665,22,FALSE)-AVERAGE('The List'!W2:W665))/STDEV('The List'!W2:W665)</f>
        <v>0.902252621432771</v>
      </c>
      <c r="K103" s="77">
        <f>(VLOOKUP($A103,'The List'!$B1:$AH665,23,FALSE)-AVERAGE('The List'!X2:X665))/STDEV('The List'!X2:X665)</f>
        <v>0.696666665896412</v>
      </c>
      <c r="L103" s="77">
        <f>(VLOOKUP($A103,'The List'!$B1:$AH665,24,FALSE)-AVERAGE('The List'!Y2:Y665))/STDEV('The List'!Y2:Y665)</f>
        <v>-0.578075209204602</v>
      </c>
      <c r="M103" s="77">
        <f>(VLOOKUP($A103,'The List'!$B1:$AH665,25,FALSE)-AVERAGE('The List'!Z2:Z665))/STDEV('The List'!Z2:Z665)</f>
        <v>-0.7518851726967239</v>
      </c>
      <c r="N103" s="77">
        <f>(VLOOKUP($A103,'The List'!$B1:$AH665,26,FALSE)-AVERAGE('The List'!AA2:AA665))/STDEV('The List'!AA2:AA665)</f>
        <v>-1.07786102162983</v>
      </c>
      <c r="O103" s="77">
        <f>(VLOOKUP($A103,'The List'!$B1:$AH665,27,FALSE)-AVERAGE('The List'!AB2:AB665))/STDEV('The List'!AB2:AB665)</f>
        <v>-1.27771194794313</v>
      </c>
      <c r="P103" s="77">
        <f>(VLOOKUP($A103,'The List'!$B1:$AH665,28,FALSE)-AVERAGE('The List'!AC2:AC665))/STDEV('The List'!AC2:AC665)</f>
        <v>-0.0529072970046467</v>
      </c>
      <c r="Q103" s="77">
        <f>(VLOOKUP($A103,'The List'!$B1:$AH665,29,FALSE)-AVERAGE('The List'!AD2:AD665))/STDEV('The List'!AD2:AD665)</f>
        <v>-0.369261820875358</v>
      </c>
      <c r="R103" s="77">
        <f>(VLOOKUP($A103,'The List'!$B1:$AH665,30,FALSE)-AVERAGE('The List'!AE2:AE665))/STDEV('The List'!AE2:AE665)</f>
        <v>1.35077508918706</v>
      </c>
      <c r="S103" s="77">
        <f>(VLOOKUP($A103,'The List'!$B1:$AH665,31,FALSE)-AVERAGE('The List'!AF2:AF665))/STDEV('The List'!AF2:AF665)</f>
        <v>-0.5488223565996601</v>
      </c>
      <c r="T103" s="77">
        <f>(VLOOKUP($A103,'The List'!$B1:$AH665,32,FALSE)-AVERAGE('The List'!AG2:AG665))/STDEV('The List'!AG2:AG665)</f>
        <v>-0.573300201892463</v>
      </c>
      <c r="U103" s="77">
        <f>(VLOOKUP($A103,'The List'!$B1:$AH665,33,FALSE)-AVERAGE('The List'!AH2:AH665))/STDEV('The List'!AH2:AH665)</f>
        <v>0.296098876493967</v>
      </c>
      <c r="V103" s="77"/>
      <c r="W103" s="89"/>
      <c r="X103" s="79"/>
      <c r="Y103" s="79"/>
      <c r="Z103" s="79"/>
      <c r="AA103" s="79"/>
      <c r="AB103" s="79"/>
      <c r="AC103" s="82"/>
      <c r="AD103" s="83"/>
      <c r="AE103" s="84"/>
    </row>
    <row r="104" ht="21.25" customHeight="1">
      <c r="A104" t="s" s="10">
        <v>335</v>
      </c>
      <c r="B104" t="s" s="86">
        <f>VLOOKUP(A104,'Player Data'!A1:B667,2,FALSE)</f>
        <v>912</v>
      </c>
      <c r="C104" s="74">
        <f>((E104)*'Settings'!$C$12)+(F104*'Settings'!$C$2)+(G104*'Settings'!$C$3)+(H104*'Settings'!$C$4)+(I104*'Settings'!$C$5)+(K104*'Settings'!$C$9)+(N104*'Settings'!$C$6)+(J104*'Settings'!$C$8)+(O104*'Settings'!$C$7)+(P104*'Settings'!$C$14)+(Q104*'Settings'!$C$15)+(R104*'Settings'!$C$16)+(S104*'Settings'!$C$17)+(T104*'Settings'!$C$18)+(U104*'Settings'!$C$19)+(L104*'Settings'!$C$10)+('Settings'!$C$11*M104)</f>
        <v>0.911176069198333</v>
      </c>
      <c r="D104" s="79">
        <f>IF('Settings'!$E$12="YES",VLOOKUP(A104,'Player Data'!A1:E667,5,FALSE),82)</f>
        <v>76.76000000000001</v>
      </c>
      <c r="E104" s="77">
        <f>(VLOOKUP($A104,'The List'!$B1:$AH665,17,FALSE)-AVERAGE('The List'!R2:R665))/STDEV('The List'!R2:R665)</f>
        <v>0.30845185466023</v>
      </c>
      <c r="F104" s="77">
        <f>(VLOOKUP($A104,'The List'!$B1:$AH665,18,FALSE)-AVERAGE('The List'!S2:S665))/STDEV('The List'!S2:S665)</f>
        <v>1.15723185482678</v>
      </c>
      <c r="G104" s="77">
        <f>(VLOOKUP($A104,'The List'!$B1:$AH665,19,FALSE)-AVERAGE('The List'!T2:T665))/STDEV('The List'!T2:T665)</f>
        <v>0.744713197422659</v>
      </c>
      <c r="H104" s="77">
        <f>(VLOOKUP($A104,'The List'!$B1:$AH665,20,FALSE)-AVERAGE('The List'!U2:U665))/STDEV('The List'!U2:U665)</f>
        <v>0.988525655082364</v>
      </c>
      <c r="I104" s="77">
        <f>(VLOOKUP($A104,'The List'!$B1:$AH665,21,FALSE)-AVERAGE('The List'!V2:V665))/STDEV('The List'!V2:V665)</f>
        <v>0.740269843125501</v>
      </c>
      <c r="J104" s="77">
        <f>(VLOOKUP($A104,'The List'!$B1:$AH665,22,FALSE)-AVERAGE('The List'!W2:W665))/STDEV('The List'!W2:W665)</f>
        <v>1.38985784064204</v>
      </c>
      <c r="K104" s="77">
        <f>(VLOOKUP($A104,'The List'!$B1:$AH665,23,FALSE)-AVERAGE('The List'!X2:X665))/STDEV('The List'!X2:X665)</f>
        <v>0.90797809771297</v>
      </c>
      <c r="L104" s="77">
        <f>(VLOOKUP($A104,'The List'!$B1:$AH665,24,FALSE)-AVERAGE('The List'!Y2:Y665))/STDEV('The List'!Y2:Y665)</f>
        <v>1.96111208577544</v>
      </c>
      <c r="M104" s="77">
        <f>(VLOOKUP($A104,'The List'!$B1:$AH665,25,FALSE)-AVERAGE('The List'!Z2:Z665))/STDEV('The List'!Z2:Z665)</f>
        <v>2.23248230551882</v>
      </c>
      <c r="N104" s="77">
        <f>(VLOOKUP($A104,'The List'!$B1:$AH665,26,FALSE)-AVERAGE('The List'!AA2:AA665))/STDEV('The List'!AA2:AA665)</f>
        <v>-0.550010774376367</v>
      </c>
      <c r="O104" s="77">
        <f>(VLOOKUP($A104,'The List'!$B1:$AH665,27,FALSE)-AVERAGE('The List'!AB2:AB665))/STDEV('The List'!AB2:AB665)</f>
        <v>-0.320963879393214</v>
      </c>
      <c r="P104" s="77">
        <f>(VLOOKUP($A104,'The List'!$B1:$AH665,28,FALSE)-AVERAGE('The List'!AC2:AC665))/STDEV('The List'!AC2:AC665)</f>
        <v>-2.08900614951321</v>
      </c>
      <c r="Q104" s="77">
        <f>(VLOOKUP($A104,'The List'!$B1:$AH665,29,FALSE)-AVERAGE('The List'!AD2:AD665))/STDEV('The List'!AD2:AD665)</f>
        <v>2.36965568327627</v>
      </c>
      <c r="R104" s="77">
        <f>(VLOOKUP($A104,'The List'!$B1:$AH665,30,FALSE)-AVERAGE('The List'!AE2:AE665))/STDEV('The List'!AE2:AE665)</f>
        <v>0.588439566145101</v>
      </c>
      <c r="S104" s="77">
        <f>(VLOOKUP($A104,'The List'!$B1:$AH665,31,FALSE)-AVERAGE('The List'!AF2:AF665))/STDEV('The List'!AF2:AF665)</f>
        <v>1.71465781851483</v>
      </c>
      <c r="T104" s="77">
        <f>(VLOOKUP($A104,'The List'!$B1:$AH665,32,FALSE)-AVERAGE('The List'!AG2:AG665))/STDEV('The List'!AG2:AG665)</f>
        <v>2.28381054262333</v>
      </c>
      <c r="U104" s="77">
        <f>(VLOOKUP($A104,'The List'!$B1:$AH665,33,FALSE)-AVERAGE('The List'!AH2:AH665))/STDEV('The List'!AH2:AH665)</f>
        <v>0.833467346560708</v>
      </c>
      <c r="V104" s="77"/>
      <c r="W104" s="79"/>
      <c r="X104" s="77"/>
      <c r="Y104" s="77"/>
      <c r="Z104" s="77"/>
      <c r="AA104" s="77"/>
      <c r="AB104" s="77"/>
      <c r="AC104" s="77"/>
      <c r="AD104" s="77"/>
      <c r="AE104" s="84"/>
    </row>
    <row r="105" ht="21.25" customHeight="1">
      <c r="A105" t="s" s="10">
        <v>297</v>
      </c>
      <c r="B105" t="s" s="86">
        <f>VLOOKUP(A105,'Player Data'!A1:B667,2,FALSE)</f>
        <v>903</v>
      </c>
      <c r="C105" s="74">
        <f>((E105)*'Settings'!$C$12)+(F105*'Settings'!$C$2)+(G105*'Settings'!$C$3)+(H105*'Settings'!$C$4)+(I105*'Settings'!$C$5)+(K105*'Settings'!$C$9)+(N105*'Settings'!$C$6)+(J105*'Settings'!$C$8)+(O105*'Settings'!$C$7)+(P105*'Settings'!$C$14)+(Q105*'Settings'!$C$15)+(R105*'Settings'!$C$16)+(S105*'Settings'!$C$17)+(T105*'Settings'!$C$18)+(U105*'Settings'!$C$19)+(L105*'Settings'!$C$10)+('Settings'!$C$11*M105)</f>
        <v>3.77776432760113</v>
      </c>
      <c r="D105" s="79">
        <f>IF('Settings'!$E$12="YES",VLOOKUP(A105,'Player Data'!A1:E667,5,FALSE),82)</f>
        <v>76.64749999999999</v>
      </c>
      <c r="E105" s="77">
        <f>(VLOOKUP($A105,'The List'!$B1:$AH665,17,FALSE)-AVERAGE('The List'!R2:R665))/STDEV('The List'!R2:R665)</f>
        <v>0.759824233162544</v>
      </c>
      <c r="F105" s="77">
        <f>(VLOOKUP($A105,'The List'!$B1:$AH665,18,FALSE)-AVERAGE('The List'!S2:S665))/STDEV('The List'!S2:S665)</f>
        <v>1.02658940586602</v>
      </c>
      <c r="G105" s="77">
        <f>(VLOOKUP($A105,'The List'!$B1:$AH665,19,FALSE)-AVERAGE('The List'!T2:T665))/STDEV('The List'!T2:T665)</f>
        <v>0.825444624848825</v>
      </c>
      <c r="H105" s="77">
        <f>(VLOOKUP($A105,'The List'!$B1:$AH665,20,FALSE)-AVERAGE('The List'!U2:U665))/STDEV('The List'!U2:U665)</f>
        <v>0.979281207903183</v>
      </c>
      <c r="I105" s="77">
        <f>(VLOOKUP($A105,'The List'!$B1:$AH665,21,FALSE)-AVERAGE('The List'!V2:V665))/STDEV('The List'!V2:V665)</f>
        <v>0.759508444891367</v>
      </c>
      <c r="J105" s="77">
        <f>(VLOOKUP($A105,'The List'!$B1:$AH665,22,FALSE)-AVERAGE('The List'!W2:W665))/STDEV('The List'!W2:W665)</f>
        <v>1.57716270613733</v>
      </c>
      <c r="K105" s="77">
        <f>(VLOOKUP($A105,'The List'!$B1:$AH665,23,FALSE)-AVERAGE('The List'!X2:X665))/STDEV('The List'!X2:X665)</f>
        <v>1.42850292082802</v>
      </c>
      <c r="L105" s="77">
        <f>(VLOOKUP($A105,'The List'!$B1:$AH665,24,FALSE)-AVERAGE('The List'!Y2:Y665))/STDEV('The List'!Y2:Y665)</f>
        <v>0.728830883980723</v>
      </c>
      <c r="M105" s="77">
        <f>(VLOOKUP($A105,'The List'!$B1:$AH665,25,FALSE)-AVERAGE('The List'!Z2:Z665))/STDEV('The List'!Z2:Z665)</f>
        <v>0.380966677460814</v>
      </c>
      <c r="N105" s="77">
        <f>(VLOOKUP($A105,'The List'!$B1:$AH665,26,FALSE)-AVERAGE('The List'!AA2:AA665))/STDEV('The List'!AA2:AA665)</f>
        <v>-0.193111009432396</v>
      </c>
      <c r="O105" s="77">
        <f>(VLOOKUP($A105,'The List'!$B1:$AH665,27,FALSE)-AVERAGE('The List'!AB2:AB665))/STDEV('The List'!AB2:AB665)</f>
        <v>-0.217645524062136</v>
      </c>
      <c r="P105" s="77">
        <f>(VLOOKUP($A105,'The List'!$B1:$AH665,28,FALSE)-AVERAGE('The List'!AC2:AC665))/STDEV('The List'!AC2:AC665)</f>
        <v>-0.069170059400708</v>
      </c>
      <c r="Q105" s="77">
        <f>(VLOOKUP($A105,'The List'!$B1:$AH665,29,FALSE)-AVERAGE('The List'!AD2:AD665))/STDEV('The List'!AD2:AD665)</f>
        <v>-0.169769561428859</v>
      </c>
      <c r="R105" s="77">
        <f>(VLOOKUP($A105,'The List'!$B1:$AH665,30,FALSE)-AVERAGE('The List'!AE2:AE665))/STDEV('The List'!AE2:AE665)</f>
        <v>1.02909363004223</v>
      </c>
      <c r="S105" s="77">
        <f>(VLOOKUP($A105,'The List'!$B1:$AH665,31,FALSE)-AVERAGE('The List'!AF2:AF665))/STDEV('The List'!AF2:AF665)</f>
        <v>3.02283564242514</v>
      </c>
      <c r="T105" s="77">
        <f>(VLOOKUP($A105,'The List'!$B1:$AH665,32,FALSE)-AVERAGE('The List'!AG2:AG665))/STDEV('The List'!AG2:AG665)</f>
        <v>2.50046674207248</v>
      </c>
      <c r="U105" s="77">
        <f>(VLOOKUP($A105,'The List'!$B1:$AH665,33,FALSE)-AVERAGE('The List'!AH2:AH665))/STDEV('The List'!AH2:AH665)</f>
        <v>1.26312208906875</v>
      </c>
      <c r="V105" s="77"/>
      <c r="W105" s="79"/>
      <c r="X105" s="77"/>
      <c r="Y105" s="77"/>
      <c r="Z105" s="77"/>
      <c r="AA105" s="77"/>
      <c r="AB105" s="77"/>
      <c r="AC105" s="77"/>
      <c r="AD105" s="77"/>
      <c r="AE105" s="84"/>
    </row>
    <row r="106" ht="21.25" customHeight="1">
      <c r="A106" t="s" s="10">
        <v>260</v>
      </c>
      <c r="B106" t="s" s="86">
        <f>VLOOKUP(A106,'Player Data'!A1:B667,2,FALSE)</f>
        <v>908</v>
      </c>
      <c r="C106" s="74">
        <f>((E106)*'Settings'!$C$12)+(F106*'Settings'!$C$2)+(G106*'Settings'!$C$3)+(H106*'Settings'!$C$4)+(I106*'Settings'!$C$5)+(K106*'Settings'!$C$9)+(N106*'Settings'!$C$6)+(J106*'Settings'!$C$8)+(O106*'Settings'!$C$7)+(P106*'Settings'!$C$14)+(Q106*'Settings'!$C$15)+(R106*'Settings'!$C$16)+(S106*'Settings'!$C$17)+(T106*'Settings'!$C$18)+(U106*'Settings'!$C$19)+(L106*'Settings'!$C$10)+('Settings'!$C$11*M106)</f>
        <v>4.91315782629939</v>
      </c>
      <c r="D106" s="79">
        <f>IF('Settings'!$E$12="YES",VLOOKUP(A106,'Player Data'!A1:E667,5,FALSE),82)</f>
        <v>72.69750000000001</v>
      </c>
      <c r="E106" s="77">
        <f>(VLOOKUP($A106,'The List'!$B1:$AH665,17,FALSE)-AVERAGE('The List'!R2:R665))/STDEV('The List'!R2:R665)</f>
        <v>2.0288513540907</v>
      </c>
      <c r="F106" s="77">
        <f>(VLOOKUP($A106,'The List'!$B1:$AH665,18,FALSE)-AVERAGE('The List'!S2:S665))/STDEV('The List'!S2:S665)</f>
        <v>-0.509163711305513</v>
      </c>
      <c r="G106" s="77">
        <f>(VLOOKUP($A106,'The List'!$B1:$AH665,19,FALSE)-AVERAGE('The List'!T2:T665))/STDEV('The List'!T2:T665)</f>
        <v>1.72547508988115</v>
      </c>
      <c r="H106" s="77">
        <f>(VLOOKUP($A106,'The List'!$B1:$AH665,20,FALSE)-AVERAGE('The List'!U2:U665))/STDEV('The List'!U2:U665)</f>
        <v>0.840177941744028</v>
      </c>
      <c r="I106" s="77">
        <f>(VLOOKUP($A106,'The List'!$B1:$AH665,21,FALSE)-AVERAGE('The List'!V2:V665))/STDEV('The List'!V2:V665)</f>
        <v>0.18588548593796</v>
      </c>
      <c r="J106" s="77">
        <f>(VLOOKUP($A106,'The List'!$B1:$AH665,22,FALSE)-AVERAGE('The List'!W2:W665))/STDEV('The List'!W2:W665)</f>
        <v>-0.0328053361786478</v>
      </c>
      <c r="K106" s="77">
        <f>(VLOOKUP($A106,'The List'!$B1:$AH665,23,FALSE)-AVERAGE('The List'!X2:X665))/STDEV('The List'!X2:X665)</f>
        <v>1.78107742112595</v>
      </c>
      <c r="L106" s="77">
        <f>(VLOOKUP($A106,'The List'!$B1:$AH665,24,FALSE)-AVERAGE('The List'!Y2:Y665))/STDEV('The List'!Y2:Y665)</f>
        <v>-0.515789915032059</v>
      </c>
      <c r="M106" s="77">
        <f>(VLOOKUP($A106,'The List'!$B1:$AH665,25,FALSE)-AVERAGE('The List'!Z2:Z665))/STDEV('The List'!Z2:Z665)</f>
        <v>-0.0124966849395055</v>
      </c>
      <c r="N106" s="77">
        <f>(VLOOKUP($A106,'The List'!$B1:$AH665,26,FALSE)-AVERAGE('The List'!AA2:AA665))/STDEV('The List'!AA2:AA665)</f>
        <v>1.68750681892122</v>
      </c>
      <c r="O106" s="77">
        <f>(VLOOKUP($A106,'The List'!$B1:$AH665,27,FALSE)-AVERAGE('The List'!AB2:AB665))/STDEV('The List'!AB2:AB665)</f>
        <v>0.123229125803558</v>
      </c>
      <c r="P106" s="77">
        <f>(VLOOKUP($A106,'The List'!$B1:$AH665,28,FALSE)-AVERAGE('The List'!AC2:AC665))/STDEV('The List'!AC2:AC665)</f>
        <v>0.0423767217386225</v>
      </c>
      <c r="Q106" s="77">
        <f>(VLOOKUP($A106,'The List'!$B1:$AH665,29,FALSE)-AVERAGE('The List'!AD2:AD665))/STDEV('The List'!AD2:AD665)</f>
        <v>1.14085813716209</v>
      </c>
      <c r="R106" s="77">
        <f>(VLOOKUP($A106,'The List'!$B1:$AH665,30,FALSE)-AVERAGE('The List'!AE2:AE665))/STDEV('The List'!AE2:AE665)</f>
        <v>-0.500783974601213</v>
      </c>
      <c r="S106" s="77">
        <f>(VLOOKUP($A106,'The List'!$B1:$AH665,31,FALSE)-AVERAGE('The List'!AF2:AF665))/STDEV('The List'!AF2:AF665)</f>
        <v>-0.573894410680004</v>
      </c>
      <c r="T106" s="77">
        <f>(VLOOKUP($A106,'The List'!$B1:$AH665,32,FALSE)-AVERAGE('The List'!AG2:AG665))/STDEV('The List'!AG2:AG665)</f>
        <v>-0.625770787132651</v>
      </c>
      <c r="U106" s="77">
        <f>(VLOOKUP($A106,'The List'!$B1:$AH665,33,FALSE)-AVERAGE('The List'!AH2:AH665))/STDEV('The List'!AH2:AH665)</f>
        <v>-1.23143509451486</v>
      </c>
      <c r="V106" s="77"/>
      <c r="W106" s="79"/>
      <c r="X106" s="77"/>
      <c r="Y106" s="77"/>
      <c r="Z106" s="77"/>
      <c r="AA106" s="77"/>
      <c r="AB106" s="77"/>
      <c r="AC106" s="77"/>
      <c r="AD106" s="77"/>
      <c r="AE106" s="84"/>
    </row>
    <row r="107" ht="21.25" customHeight="1">
      <c r="A107" t="s" s="10">
        <v>202</v>
      </c>
      <c r="B107" t="s" s="86">
        <f>VLOOKUP(A107,'Player Data'!A1:B667,2,FALSE)</f>
        <v>899</v>
      </c>
      <c r="C107" s="74">
        <f>((E107)*'Settings'!$C$12)+(F107*'Settings'!$C$2)+(G107*'Settings'!$C$3)+(H107*'Settings'!$C$4)+(I107*'Settings'!$C$5)+(K107*'Settings'!$C$9)+(N107*'Settings'!$C$6)+(J107*'Settings'!$C$8)+(O107*'Settings'!$C$7)+(P107*'Settings'!$C$14)+(Q107*'Settings'!$C$15)+(R107*'Settings'!$C$16)+(S107*'Settings'!$C$17)+(T107*'Settings'!$C$18)+(U107*'Settings'!$C$19)+(L107*'Settings'!$C$10)+('Settings'!$C$11*M107)</f>
        <v>6.17475330237814</v>
      </c>
      <c r="D107" s="79">
        <f>IF('Settings'!$E$12="YES",VLOOKUP(A107,'Player Data'!A1:E667,5,FALSE),82)</f>
        <v>78.14749999999999</v>
      </c>
      <c r="E107" s="77">
        <f>(VLOOKUP($A107,'The List'!$B1:$AH665,17,FALSE)-AVERAGE('The List'!R2:R665))/STDEV('The List'!R2:R665)</f>
        <v>2.1671717526062</v>
      </c>
      <c r="F107" s="77">
        <f>(VLOOKUP($A107,'The List'!$B1:$AH665,18,FALSE)-AVERAGE('The List'!S2:S665))/STDEV('The List'!S2:S665)</f>
        <v>-0.23737142317955</v>
      </c>
      <c r="G107" s="77">
        <f>(VLOOKUP($A107,'The List'!$B1:$AH665,19,FALSE)-AVERAGE('The List'!T2:T665))/STDEV('The List'!T2:T665)</f>
        <v>1.7721370412915</v>
      </c>
      <c r="H107" s="77">
        <f>(VLOOKUP($A107,'The List'!$B1:$AH665,20,FALSE)-AVERAGE('The List'!U2:U665))/STDEV('The List'!U2:U665)</f>
        <v>0.992700151561117</v>
      </c>
      <c r="I107" s="77">
        <f>(VLOOKUP($A107,'The List'!$B1:$AH665,21,FALSE)-AVERAGE('The List'!V2:V665))/STDEV('The List'!V2:V665)</f>
        <v>0.214385534000231</v>
      </c>
      <c r="J107" s="77">
        <f>(VLOOKUP($A107,'The List'!$B1:$AH665,22,FALSE)-AVERAGE('The List'!W2:W665))/STDEV('The List'!W2:W665)</f>
        <v>-0.0567195723063201</v>
      </c>
      <c r="K107" s="77">
        <f>(VLOOKUP($A107,'The List'!$B1:$AH665,23,FALSE)-AVERAGE('The List'!X2:X665))/STDEV('The List'!X2:X665)</f>
        <v>1.27346020590924</v>
      </c>
      <c r="L107" s="77">
        <f>(VLOOKUP($A107,'The List'!$B1:$AH665,24,FALSE)-AVERAGE('The List'!Y2:Y665))/STDEV('The List'!Y2:Y665)</f>
        <v>-0.521708531522349</v>
      </c>
      <c r="M107" s="77">
        <f>(VLOOKUP($A107,'The List'!$B1:$AH665,25,FALSE)-AVERAGE('The List'!Z2:Z665))/STDEV('The List'!Z2:Z665)</f>
        <v>-0.601160884487202</v>
      </c>
      <c r="N107" s="77">
        <f>(VLOOKUP($A107,'The List'!$B1:$AH665,26,FALSE)-AVERAGE('The List'!AA2:AA665))/STDEV('The List'!AA2:AA665)</f>
        <v>2.16350028256968</v>
      </c>
      <c r="O107" s="77">
        <f>(VLOOKUP($A107,'The List'!$B1:$AH665,27,FALSE)-AVERAGE('The List'!AB2:AB665))/STDEV('The List'!AB2:AB665)</f>
        <v>1.026214440490</v>
      </c>
      <c r="P107" s="77">
        <f>(VLOOKUP($A107,'The List'!$B1:$AH665,28,FALSE)-AVERAGE('The List'!AC2:AC665))/STDEV('The List'!AC2:AC665)</f>
        <v>0.9886416617870381</v>
      </c>
      <c r="Q107" s="77">
        <f>(VLOOKUP($A107,'The List'!$B1:$AH665,29,FALSE)-AVERAGE('The List'!AD2:AD665))/STDEV('The List'!AD2:AD665)</f>
        <v>2.36757441282339</v>
      </c>
      <c r="R107" s="77">
        <f>(VLOOKUP($A107,'The List'!$B1:$AH665,30,FALSE)-AVERAGE('The List'!AE2:AE665))/STDEV('The List'!AE2:AE665)</f>
        <v>-0.17920241907692</v>
      </c>
      <c r="S107" s="77">
        <f>(VLOOKUP($A107,'The List'!$B1:$AH665,31,FALSE)-AVERAGE('The List'!AF2:AF665))/STDEV('The List'!AF2:AF665)</f>
        <v>-0.573894410680004</v>
      </c>
      <c r="T107" s="77">
        <f>(VLOOKUP($A107,'The List'!$B1:$AH665,32,FALSE)-AVERAGE('The List'!AG2:AG665))/STDEV('The List'!AG2:AG665)</f>
        <v>-0.625770787132651</v>
      </c>
      <c r="U107" s="77">
        <f>(VLOOKUP($A107,'The List'!$B1:$AH665,33,FALSE)-AVERAGE('The List'!AH2:AH665))/STDEV('The List'!AH2:AH665)</f>
        <v>-1.23143509451486</v>
      </c>
      <c r="V107" s="77"/>
      <c r="W107" s="89"/>
      <c r="X107" s="79"/>
      <c r="Y107" s="79"/>
      <c r="Z107" s="79"/>
      <c r="AA107" s="79"/>
      <c r="AB107" s="79"/>
      <c r="AC107" s="82"/>
      <c r="AD107" s="83"/>
      <c r="AE107" s="84"/>
    </row>
    <row r="108" ht="21.25" customHeight="1">
      <c r="A108" t="s" s="10">
        <v>427</v>
      </c>
      <c r="B108" t="s" s="86">
        <f>VLOOKUP(A108,'Player Data'!A1:B667,2,FALSE)</f>
        <v>259</v>
      </c>
      <c r="C108" s="74">
        <f>((E108)*'Settings'!$C$12)+(F108*'Settings'!$C$2)+(G108*'Settings'!$C$3)+(H108*'Settings'!$C$4)+(I108*'Settings'!$C$5)+(K108*'Settings'!$C$9)+(N108*'Settings'!$C$6)+(J108*'Settings'!$C$8)+(O108*'Settings'!$C$7)+(P108*'Settings'!$C$14)+(Q108*'Settings'!$C$15)+(R108*'Settings'!$C$16)+(S108*'Settings'!$C$17)+(T108*'Settings'!$C$18)+(U108*'Settings'!$C$19)+(L108*'Settings'!$C$10)+('Settings'!$C$11*M108)</f>
        <v>2.62478476215622</v>
      </c>
      <c r="D108" s="79">
        <f>IF('Settings'!$E$12="YES",VLOOKUP(A108,'Player Data'!A1:E667,5,FALSE),82)</f>
        <v>81.55249999999999</v>
      </c>
      <c r="E108" s="77">
        <f>(VLOOKUP($A108,'The List'!$B1:$AH665,17,FALSE)-AVERAGE('The List'!R2:R665))/STDEV('The List'!R2:R665)</f>
        <v>0.0829441689174123</v>
      </c>
      <c r="F108" s="77">
        <f>(VLOOKUP($A108,'The List'!$B1:$AH665,18,FALSE)-AVERAGE('The List'!S2:S665))/STDEV('The List'!S2:S665)</f>
        <v>0.7597807415190621</v>
      </c>
      <c r="G108" s="77">
        <f>(VLOOKUP($A108,'The List'!$B1:$AH665,19,FALSE)-AVERAGE('The List'!T2:T665))/STDEV('The List'!T2:T665)</f>
        <v>0.776578493313415</v>
      </c>
      <c r="H108" s="77">
        <f>(VLOOKUP($A108,'The List'!$B1:$AH665,20,FALSE)-AVERAGE('The List'!U2:U665))/STDEV('The List'!U2:U665)</f>
        <v>0.8276553721897491</v>
      </c>
      <c r="I108" s="77">
        <f>(VLOOKUP($A108,'The List'!$B1:$AH665,21,FALSE)-AVERAGE('The List'!V2:V665))/STDEV('The List'!V2:V665)</f>
        <v>0.802855103340242</v>
      </c>
      <c r="J108" s="77">
        <f>(VLOOKUP($A108,'The List'!$B1:$AH665,22,FALSE)-AVERAGE('The List'!W2:W665))/STDEV('The List'!W2:W665)</f>
        <v>1.43526801118585</v>
      </c>
      <c r="K108" s="77">
        <f>(VLOOKUP($A108,'The List'!$B1:$AH665,23,FALSE)-AVERAGE('The List'!X2:X665))/STDEV('The List'!X2:X665)</f>
        <v>1.21564762899539</v>
      </c>
      <c r="L108" s="77">
        <f>(VLOOKUP($A108,'The List'!$B1:$AH665,24,FALSE)-AVERAGE('The List'!Y2:Y665))/STDEV('The List'!Y2:Y665)</f>
        <v>-0.5704928602254939</v>
      </c>
      <c r="M108" s="77">
        <f>(VLOOKUP($A108,'The List'!$B1:$AH665,25,FALSE)-AVERAGE('The List'!Z2:Z665))/STDEV('The List'!Z2:Z665)</f>
        <v>-0.744065056938133</v>
      </c>
      <c r="N108" s="77">
        <f>(VLOOKUP($A108,'The List'!$B1:$AH665,26,FALSE)-AVERAGE('The List'!AA2:AA665))/STDEV('The List'!AA2:AA665)</f>
        <v>-0.996775748637367</v>
      </c>
      <c r="O108" s="77">
        <f>(VLOOKUP($A108,'The List'!$B1:$AH665,27,FALSE)-AVERAGE('The List'!AB2:AB665))/STDEV('The List'!AB2:AB665)</f>
        <v>-0.575744084563245</v>
      </c>
      <c r="P108" s="77">
        <f>(VLOOKUP($A108,'The List'!$B1:$AH665,28,FALSE)-AVERAGE('The List'!AC2:AC665))/STDEV('The List'!AC2:AC665)</f>
        <v>0.06669854362547439</v>
      </c>
      <c r="Q108" s="77">
        <f>(VLOOKUP($A108,'The List'!$B1:$AH665,29,FALSE)-AVERAGE('The List'!AD2:AD665))/STDEV('The List'!AD2:AD665)</f>
        <v>2.09624792698268</v>
      </c>
      <c r="R108" s="77">
        <f>(VLOOKUP($A108,'The List'!$B1:$AH665,30,FALSE)-AVERAGE('The List'!AE2:AE665))/STDEV('The List'!AE2:AE665)</f>
        <v>0.7167709665468071</v>
      </c>
      <c r="S108" s="77">
        <f>(VLOOKUP($A108,'The List'!$B1:$AH665,31,FALSE)-AVERAGE('The List'!AF2:AF665))/STDEV('The List'!AF2:AF665)</f>
        <v>-0.537291536786054</v>
      </c>
      <c r="T108" s="77">
        <f>(VLOOKUP($A108,'The List'!$B1:$AH665,32,FALSE)-AVERAGE('The List'!AG2:AG665))/STDEV('The List'!AG2:AG665)</f>
        <v>-0.556729686508997</v>
      </c>
      <c r="U108" s="77">
        <f>(VLOOKUP($A108,'The List'!$B1:$AH665,33,FALSE)-AVERAGE('The List'!AH2:AH665))/STDEV('The List'!AH2:AH665)</f>
        <v>0.403067835875531</v>
      </c>
      <c r="V108" s="77"/>
      <c r="W108" s="89"/>
      <c r="X108" s="79"/>
      <c r="Y108" s="79"/>
      <c r="Z108" s="79"/>
      <c r="AA108" s="79"/>
      <c r="AB108" s="79"/>
      <c r="AC108" s="82"/>
      <c r="AD108" s="83"/>
      <c r="AE108" s="84"/>
    </row>
    <row r="109" ht="21.25" customHeight="1">
      <c r="A109" t="s" s="10">
        <v>210</v>
      </c>
      <c r="B109" t="s" s="86">
        <f>VLOOKUP(A109,'Player Data'!A1:B667,2,FALSE)</f>
        <v>275</v>
      </c>
      <c r="C109" s="74">
        <f>((E109)*'Settings'!$C$12)+(F109*'Settings'!$C$2)+(G109*'Settings'!$C$3)+(H109*'Settings'!$C$4)+(I109*'Settings'!$C$5)+(K109*'Settings'!$C$9)+(N109*'Settings'!$C$6)+(J109*'Settings'!$C$8)+(O109*'Settings'!$C$7)+(P109*'Settings'!$C$14)+(Q109*'Settings'!$C$15)+(R109*'Settings'!$C$16)+(S109*'Settings'!$C$17)+(T109*'Settings'!$C$18)+(U109*'Settings'!$C$19)+(L109*'Settings'!$C$10)+('Settings'!$C$11*M109)</f>
        <v>5.38236107352089</v>
      </c>
      <c r="D109" s="79">
        <f>IF('Settings'!$E$12="YES",VLOOKUP(A109,'Player Data'!A1:E667,5,FALSE),82)</f>
        <v>80.0925</v>
      </c>
      <c r="E109" s="77">
        <f>(VLOOKUP($A109,'The List'!$B1:$AH665,17,FALSE)-AVERAGE('The List'!R2:R665))/STDEV('The List'!R2:R665)</f>
        <v>0.7465460882259</v>
      </c>
      <c r="F109" s="77">
        <f>(VLOOKUP($A109,'The List'!$B1:$AH665,18,FALSE)-AVERAGE('The List'!S2:S665))/STDEV('The List'!S2:S665)</f>
        <v>1.25619299229695</v>
      </c>
      <c r="G109" s="77">
        <f>(VLOOKUP($A109,'The List'!$B1:$AH665,19,FALSE)-AVERAGE('The List'!T2:T665))/STDEV('The List'!T2:T665)</f>
        <v>0.771840429741846</v>
      </c>
      <c r="H109" s="77">
        <f>(VLOOKUP($A109,'The List'!$B1:$AH665,20,FALSE)-AVERAGE('The List'!U2:U665))/STDEV('The List'!U2:U665)</f>
        <v>1.05035573264634</v>
      </c>
      <c r="I109" s="77">
        <f>(VLOOKUP($A109,'The List'!$B1:$AH665,21,FALSE)-AVERAGE('The List'!V2:V665))/STDEV('The List'!V2:V665)</f>
        <v>1.95461665971944</v>
      </c>
      <c r="J109" s="77">
        <f>(VLOOKUP($A109,'The List'!$B1:$AH665,22,FALSE)-AVERAGE('The List'!W2:W665))/STDEV('The List'!W2:W665)</f>
        <v>2.26938891841954</v>
      </c>
      <c r="K109" s="77">
        <f>(VLOOKUP($A109,'The List'!$B1:$AH665,23,FALSE)-AVERAGE('The List'!X2:X665))/STDEV('The List'!X2:X665)</f>
        <v>1.19784039334459</v>
      </c>
      <c r="L109" s="77">
        <f>(VLOOKUP($A109,'The List'!$B1:$AH665,24,FALSE)-AVERAGE('The List'!Y2:Y665))/STDEV('The List'!Y2:Y665)</f>
        <v>1.35270871171487</v>
      </c>
      <c r="M109" s="77">
        <f>(VLOOKUP($A109,'The List'!$B1:$AH665,25,FALSE)-AVERAGE('The List'!Z2:Z665))/STDEV('The List'!Z2:Z665)</f>
        <v>0.801569999372697</v>
      </c>
      <c r="N109" s="77">
        <f>(VLOOKUP($A109,'The List'!$B1:$AH665,26,FALSE)-AVERAGE('The List'!AA2:AA665))/STDEV('The List'!AA2:AA665)</f>
        <v>-0.243620693139797</v>
      </c>
      <c r="O109" s="77">
        <f>(VLOOKUP($A109,'The List'!$B1:$AH665,27,FALSE)-AVERAGE('The List'!AB2:AB665))/STDEV('The List'!AB2:AB665)</f>
        <v>1.2340295424717</v>
      </c>
      <c r="P109" s="77">
        <f>(VLOOKUP($A109,'The List'!$B1:$AH665,28,FALSE)-AVERAGE('The List'!AC2:AC665))/STDEV('The List'!AC2:AC665)</f>
        <v>0.445491291557862</v>
      </c>
      <c r="Q109" s="77">
        <f>(VLOOKUP($A109,'The List'!$B1:$AH665,29,FALSE)-AVERAGE('The List'!AD2:AD665))/STDEV('The List'!AD2:AD665)</f>
        <v>0.792665428956551</v>
      </c>
      <c r="R109" s="77">
        <f>(VLOOKUP($A109,'The List'!$B1:$AH665,30,FALSE)-AVERAGE('The List'!AE2:AE665))/STDEV('The List'!AE2:AE665)</f>
        <v>1.46897096990789</v>
      </c>
      <c r="S109" s="77">
        <f>(VLOOKUP($A109,'The List'!$B1:$AH665,31,FALSE)-AVERAGE('The List'!AF2:AF665))/STDEV('The List'!AF2:AF665)</f>
        <v>3.15408812584023</v>
      </c>
      <c r="T109" s="77">
        <f>(VLOOKUP($A109,'The List'!$B1:$AH665,32,FALSE)-AVERAGE('The List'!AG2:AG665))/STDEV('The List'!AG2:AG665)</f>
        <v>3.48684249461424</v>
      </c>
      <c r="U109" s="77">
        <f>(VLOOKUP($A109,'The List'!$B1:$AH665,33,FALSE)-AVERAGE('The List'!AH2:AH665))/STDEV('The List'!AH2:AH665)</f>
        <v>0.993745907211586</v>
      </c>
      <c r="V109" s="77"/>
      <c r="W109" s="79"/>
      <c r="X109" s="77"/>
      <c r="Y109" s="77"/>
      <c r="Z109" s="77"/>
      <c r="AA109" s="77"/>
      <c r="AB109" s="77"/>
      <c r="AC109" s="77"/>
      <c r="AD109" s="77"/>
      <c r="AE109" s="84"/>
    </row>
    <row r="110" ht="21.25" customHeight="1">
      <c r="A110" t="s" s="10">
        <v>343</v>
      </c>
      <c r="B110" t="s" s="86">
        <f>VLOOKUP(A110,'Player Data'!A1:B667,2,FALSE)</f>
        <v>342</v>
      </c>
      <c r="C110" s="74">
        <f>((E110)*'Settings'!$C$12)+(F110*'Settings'!$C$2)+(G110*'Settings'!$C$3)+(H110*'Settings'!$C$4)+(I110*'Settings'!$C$5)+(K110*'Settings'!$C$9)+(N110*'Settings'!$C$6)+(J110*'Settings'!$C$8)+(O110*'Settings'!$C$7)+(P110*'Settings'!$C$14)+(Q110*'Settings'!$C$15)+(R110*'Settings'!$C$16)+(S110*'Settings'!$C$17)+(T110*'Settings'!$C$18)+(U110*'Settings'!$C$19)+(L110*'Settings'!$C$10)+('Settings'!$C$11*M110)</f>
        <v>4.63968199030756</v>
      </c>
      <c r="D110" s="79">
        <f>IF('Settings'!$E$12="YES",VLOOKUP(A110,'Player Data'!A1:E667,5,FALSE),82)</f>
        <v>80.74250000000001</v>
      </c>
      <c r="E110" s="77">
        <f>(VLOOKUP($A110,'The List'!$B1:$AH665,17,FALSE)-AVERAGE('The List'!R2:R665))/STDEV('The List'!R2:R665)</f>
        <v>0.168088215230541</v>
      </c>
      <c r="F110" s="77">
        <f>(VLOOKUP($A110,'The List'!$B1:$AH665,18,FALSE)-AVERAGE('The List'!S2:S665))/STDEV('The List'!S2:S665)</f>
        <v>1.18739674926821</v>
      </c>
      <c r="G110" s="77">
        <f>(VLOOKUP($A110,'The List'!$B1:$AH665,19,FALSE)-AVERAGE('The List'!T2:T665))/STDEV('The List'!T2:T665)</f>
        <v>0.853972763490365</v>
      </c>
      <c r="H110" s="77">
        <f>(VLOOKUP($A110,'The List'!$B1:$AH665,20,FALSE)-AVERAGE('The List'!U2:U665))/STDEV('The List'!U2:U665)</f>
        <v>1.07009336744591</v>
      </c>
      <c r="I110" s="77">
        <f>(VLOOKUP($A110,'The List'!$B1:$AH665,21,FALSE)-AVERAGE('The List'!V2:V665))/STDEV('The List'!V2:V665)</f>
        <v>1.58047728828152</v>
      </c>
      <c r="J110" s="77">
        <f>(VLOOKUP($A110,'The List'!$B1:$AH665,22,FALSE)-AVERAGE('The List'!W2:W665))/STDEV('The List'!W2:W665)</f>
        <v>1.55291605611277</v>
      </c>
      <c r="K110" s="77">
        <f>(VLOOKUP($A110,'The List'!$B1:$AH665,23,FALSE)-AVERAGE('The List'!X2:X665))/STDEV('The List'!X2:X665)</f>
        <v>1.08578822885456</v>
      </c>
      <c r="L110" s="77">
        <f>(VLOOKUP($A110,'The List'!$B1:$AH665,24,FALSE)-AVERAGE('The List'!Y2:Y665))/STDEV('The List'!Y2:Y665)</f>
        <v>-0.491807134957363</v>
      </c>
      <c r="M110" s="77">
        <f>(VLOOKUP($A110,'The List'!$B1:$AH665,25,FALSE)-AVERAGE('The List'!Z2:Z665))/STDEV('The List'!Z2:Z665)</f>
        <v>-0.632513282545482</v>
      </c>
      <c r="N110" s="77">
        <f>(VLOOKUP($A110,'The List'!$B1:$AH665,26,FALSE)-AVERAGE('The List'!AA2:AA665))/STDEV('The List'!AA2:AA665)</f>
        <v>-0.863501453183883</v>
      </c>
      <c r="O110" s="77">
        <f>(VLOOKUP($A110,'The List'!$B1:$AH665,27,FALSE)-AVERAGE('The List'!AB2:AB665))/STDEV('The List'!AB2:AB665)</f>
        <v>-0.431091167174014</v>
      </c>
      <c r="P110" s="77">
        <f>(VLOOKUP($A110,'The List'!$B1:$AH665,28,FALSE)-AVERAGE('The List'!AC2:AC665))/STDEV('The List'!AC2:AC665)</f>
        <v>0.795548413596785</v>
      </c>
      <c r="Q110" s="77">
        <f>(VLOOKUP($A110,'The List'!$B1:$AH665,29,FALSE)-AVERAGE('The List'!AD2:AD665))/STDEV('The List'!AD2:AD665)</f>
        <v>0.425648510039473</v>
      </c>
      <c r="R110" s="77">
        <f>(VLOOKUP($A110,'The List'!$B1:$AH665,30,FALSE)-AVERAGE('The List'!AE2:AE665))/STDEV('The List'!AE2:AE665)</f>
        <v>1.52885914233601</v>
      </c>
      <c r="S110" s="77">
        <f>(VLOOKUP($A110,'The List'!$B1:$AH665,31,FALSE)-AVERAGE('The List'!AF2:AF665))/STDEV('The List'!AF2:AF665)</f>
        <v>-0.223700512498534</v>
      </c>
      <c r="T110" s="77">
        <f>(VLOOKUP($A110,'The List'!$B1:$AH665,32,FALSE)-AVERAGE('The List'!AG2:AG665))/STDEV('The List'!AG2:AG665)</f>
        <v>-0.08139506777030391</v>
      </c>
      <c r="U110" s="77">
        <f>(VLOOKUP($A110,'The List'!$B1:$AH665,33,FALSE)-AVERAGE('The List'!AH2:AH665))/STDEV('The List'!AH2:AH665)</f>
        <v>0.6101618931971921</v>
      </c>
      <c r="V110" s="77"/>
      <c r="W110" s="79"/>
      <c r="X110" s="77"/>
      <c r="Y110" s="77"/>
      <c r="Z110" s="77"/>
      <c r="AA110" s="77"/>
      <c r="AB110" s="77"/>
      <c r="AC110" s="77"/>
      <c r="AD110" s="77"/>
      <c r="AE110" s="84"/>
    </row>
    <row r="111" ht="21.25" customHeight="1">
      <c r="A111" t="s" s="10">
        <v>375</v>
      </c>
      <c r="B111" t="s" s="86">
        <f>VLOOKUP(A111,'Player Data'!A1:B667,2,FALSE)</f>
        <v>174</v>
      </c>
      <c r="C111" s="74">
        <f>((E111)*'Settings'!$C$12)+(F111*'Settings'!$C$2)+(G111*'Settings'!$C$3)+(H111*'Settings'!$C$4)+(I111*'Settings'!$C$5)+(K111*'Settings'!$C$9)+(N111*'Settings'!$C$6)+(J111*'Settings'!$C$8)+(O111*'Settings'!$C$7)+(P111*'Settings'!$C$14)+(Q111*'Settings'!$C$15)+(R111*'Settings'!$C$16)+(S111*'Settings'!$C$17)+(T111*'Settings'!$C$18)+(U111*'Settings'!$C$19)+(L111*'Settings'!$C$10)+('Settings'!$C$11*M111)</f>
        <v>2.2861546248777</v>
      </c>
      <c r="D111" s="79">
        <f>IF('Settings'!$E$12="YES",VLOOKUP(A111,'Player Data'!A1:E667,5,FALSE),82)</f>
        <v>80.4675</v>
      </c>
      <c r="E111" s="77">
        <f>(VLOOKUP($A111,'The List'!$B1:$AH665,17,FALSE)-AVERAGE('The List'!R2:R665))/STDEV('The List'!R2:R665)</f>
        <v>0.384076492250608</v>
      </c>
      <c r="F111" s="77">
        <f>(VLOOKUP($A111,'The List'!$B1:$AH665,18,FALSE)-AVERAGE('The List'!S2:S665))/STDEV('The List'!S2:S665)</f>
        <v>1.44282459792975</v>
      </c>
      <c r="G111" s="77">
        <f>(VLOOKUP($A111,'The List'!$B1:$AH665,19,FALSE)-AVERAGE('The List'!T2:T665))/STDEV('The List'!T2:T665)</f>
        <v>0.608338517171004</v>
      </c>
      <c r="H111" s="77">
        <f>(VLOOKUP($A111,'The List'!$B1:$AH665,20,FALSE)-AVERAGE('The List'!U2:U665))/STDEV('The List'!U2:U665)</f>
        <v>1.03364478760809</v>
      </c>
      <c r="I111" s="77">
        <f>(VLOOKUP($A111,'The List'!$B1:$AH665,21,FALSE)-AVERAGE('The List'!V2:V665))/STDEV('The List'!V2:V665)</f>
        <v>0.973619182970747</v>
      </c>
      <c r="J111" s="77">
        <f>(VLOOKUP($A111,'The List'!$B1:$AH665,22,FALSE)-AVERAGE('The List'!W2:W665))/STDEV('The List'!W2:W665)</f>
        <v>1.20627730135415</v>
      </c>
      <c r="K111" s="77">
        <f>(VLOOKUP($A111,'The List'!$B1:$AH665,23,FALSE)-AVERAGE('The List'!X2:X665))/STDEV('The List'!X2:X665)</f>
        <v>1.17168155932371</v>
      </c>
      <c r="L111" s="77">
        <f>(VLOOKUP($A111,'The List'!$B1:$AH665,24,FALSE)-AVERAGE('The List'!Y2:Y665))/STDEV('The List'!Y2:Y665)</f>
        <v>3.37427822805983</v>
      </c>
      <c r="M111" s="77">
        <f>(VLOOKUP($A111,'The List'!$B1:$AH665,25,FALSE)-AVERAGE('The List'!Z2:Z665))/STDEV('The List'!Z2:Z665)</f>
        <v>4.37135696964996</v>
      </c>
      <c r="N111" s="77">
        <f>(VLOOKUP($A111,'The List'!$B1:$AH665,26,FALSE)-AVERAGE('The List'!AA2:AA665))/STDEV('The List'!AA2:AA665)</f>
        <v>-0.501748039701306</v>
      </c>
      <c r="O111" s="77">
        <f>(VLOOKUP($A111,'The List'!$B1:$AH665,27,FALSE)-AVERAGE('The List'!AB2:AB665))/STDEV('The List'!AB2:AB665)</f>
        <v>-1.41102239837175</v>
      </c>
      <c r="P111" s="77">
        <f>(VLOOKUP($A111,'The List'!$B1:$AH665,28,FALSE)-AVERAGE('The List'!AC2:AC665))/STDEV('The List'!AC2:AC665)</f>
        <v>-1.40856119281621</v>
      </c>
      <c r="Q111" s="77">
        <f>(VLOOKUP($A111,'The List'!$B1:$AH665,29,FALSE)-AVERAGE('The List'!AD2:AD665))/STDEV('The List'!AD2:AD665)</f>
        <v>-1.06288923286503</v>
      </c>
      <c r="R111" s="77">
        <f>(VLOOKUP($A111,'The List'!$B1:$AH665,30,FALSE)-AVERAGE('The List'!AE2:AE665))/STDEV('The List'!AE2:AE665)</f>
        <v>1.31397216340614</v>
      </c>
      <c r="S111" s="77">
        <f>(VLOOKUP($A111,'The List'!$B1:$AH665,31,FALSE)-AVERAGE('The List'!AF2:AF665))/STDEV('The List'!AF2:AF665)</f>
        <v>-0.00986750989484779</v>
      </c>
      <c r="T111" s="77">
        <f>(VLOOKUP($A111,'The List'!$B1:$AH665,32,FALSE)-AVERAGE('The List'!AG2:AG665))/STDEV('The List'!AG2:AG665)</f>
        <v>0.371275604353245</v>
      </c>
      <c r="U111" s="77">
        <f>(VLOOKUP($A111,'The List'!$B1:$AH665,33,FALSE)-AVERAGE('The List'!AH2:AH665))/STDEV('The List'!AH2:AH665)</f>
        <v>0.471471412536288</v>
      </c>
      <c r="V111" s="77"/>
      <c r="W111" s="89"/>
      <c r="X111" s="79"/>
      <c r="Y111" s="79"/>
      <c r="Z111" s="79"/>
      <c r="AA111" s="79"/>
      <c r="AB111" s="79"/>
      <c r="AC111" s="82"/>
      <c r="AD111" s="83"/>
      <c r="AE111" s="84"/>
    </row>
    <row r="112" ht="21.25" customHeight="1">
      <c r="A112" t="s" s="10">
        <v>367</v>
      </c>
      <c r="B112" t="s" s="86">
        <f>VLOOKUP(A112,'Player Data'!A1:B667,2,FALSE)</f>
        <v>913</v>
      </c>
      <c r="C112" s="74">
        <f>((E112)*'Settings'!$C$12)+(F112*'Settings'!$C$2)+(G112*'Settings'!$C$3)+(H112*'Settings'!$C$4)+(I112*'Settings'!$C$5)+(K112*'Settings'!$C$9)+(N112*'Settings'!$C$6)+(J112*'Settings'!$C$8)+(O112*'Settings'!$C$7)+(P112*'Settings'!$C$14)+(Q112*'Settings'!$C$15)+(R112*'Settings'!$C$16)+(S112*'Settings'!$C$17)+(T112*'Settings'!$C$18)+(U112*'Settings'!$C$19)+(L112*'Settings'!$C$10)+('Settings'!$C$11*M112)</f>
        <v>1.11500494574375</v>
      </c>
      <c r="D112" s="79">
        <f>IF('Settings'!$E$12="YES",VLOOKUP(A112,'Player Data'!A1:E667,5,FALSE),82)</f>
        <v>78</v>
      </c>
      <c r="E112" s="77">
        <f>(VLOOKUP($A112,'The List'!$B1:$AH665,17,FALSE)-AVERAGE('The List'!R2:R665))/STDEV('The List'!R2:R665)</f>
        <v>0.305128744952339</v>
      </c>
      <c r="F112" s="77">
        <f>(VLOOKUP($A112,'The List'!$B1:$AH665,18,FALSE)-AVERAGE('The List'!S2:S665))/STDEV('The List'!S2:S665)</f>
        <v>1.02458246170502</v>
      </c>
      <c r="G112" s="77">
        <f>(VLOOKUP($A112,'The List'!$B1:$AH665,19,FALSE)-AVERAGE('The List'!T2:T665))/STDEV('The List'!T2:T665)</f>
        <v>0.775174641520059</v>
      </c>
      <c r="H112" s="77">
        <f>(VLOOKUP($A112,'The List'!$B1:$AH665,20,FALSE)-AVERAGE('The List'!U2:U665))/STDEV('The List'!U2:U665)</f>
        <v>0.947148470150779</v>
      </c>
      <c r="I112" s="77">
        <f>(VLOOKUP($A112,'The List'!$B1:$AH665,21,FALSE)-AVERAGE('The List'!V2:V665))/STDEV('The List'!V2:V665)</f>
        <v>0.643564312253969</v>
      </c>
      <c r="J112" s="77">
        <f>(VLOOKUP($A112,'The List'!$B1:$AH665,22,FALSE)-AVERAGE('The List'!W2:W665))/STDEV('The List'!W2:W665)</f>
        <v>1.13625558569427</v>
      </c>
      <c r="K112" s="77">
        <f>(VLOOKUP($A112,'The List'!$B1:$AH665,23,FALSE)-AVERAGE('The List'!X2:X665))/STDEV('The List'!X2:X665)</f>
        <v>0.88591443806634</v>
      </c>
      <c r="L112" s="77">
        <f>(VLOOKUP($A112,'The List'!$B1:$AH665,24,FALSE)-AVERAGE('The List'!Y2:Y665))/STDEV('The List'!Y2:Y665)</f>
        <v>-0.580182913902084</v>
      </c>
      <c r="M112" s="77">
        <f>(VLOOKUP($A112,'The List'!$B1:$AH665,25,FALSE)-AVERAGE('The List'!Z2:Z665))/STDEV('The List'!Z2:Z665)</f>
        <v>-0.754036664989997</v>
      </c>
      <c r="N112" s="77">
        <f>(VLOOKUP($A112,'The List'!$B1:$AH665,26,FALSE)-AVERAGE('The List'!AA2:AA665))/STDEV('The List'!AA2:AA665)</f>
        <v>-0.722116095536066</v>
      </c>
      <c r="O112" s="77">
        <f>(VLOOKUP($A112,'The List'!$B1:$AH665,27,FALSE)-AVERAGE('The List'!AB2:AB665))/STDEV('The List'!AB2:AB665)</f>
        <v>0.0108404192045191</v>
      </c>
      <c r="P112" s="77">
        <f>(VLOOKUP($A112,'The List'!$B1:$AH665,28,FALSE)-AVERAGE('The List'!AC2:AC665))/STDEV('The List'!AC2:AC665)</f>
        <v>-1.49211481226557</v>
      </c>
      <c r="Q112" s="77">
        <f>(VLOOKUP($A112,'The List'!$B1:$AH665,29,FALSE)-AVERAGE('The List'!AD2:AD665))/STDEV('The List'!AD2:AD665)</f>
        <v>-0.0990281952613903</v>
      </c>
      <c r="R112" s="77">
        <f>(VLOOKUP($A112,'The List'!$B1:$AH665,30,FALSE)-AVERAGE('The List'!AE2:AE665))/STDEV('The List'!AE2:AE665)</f>
        <v>0.341635604071789</v>
      </c>
      <c r="S112" s="77">
        <f>(VLOOKUP($A112,'The List'!$B1:$AH665,31,FALSE)-AVERAGE('The List'!AF2:AF665))/STDEV('The List'!AF2:AF665)</f>
        <v>0.5256534650200509</v>
      </c>
      <c r="T112" s="77">
        <f>(VLOOKUP($A112,'The List'!$B1:$AH665,32,FALSE)-AVERAGE('The List'!AG2:AG665))/STDEV('The List'!AG2:AG665)</f>
        <v>1.12852164140265</v>
      </c>
      <c r="U112" s="77">
        <f>(VLOOKUP($A112,'The List'!$B1:$AH665,33,FALSE)-AVERAGE('The List'!AH2:AH665))/STDEV('The List'!AH2:AH665)</f>
        <v>0.581788324430079</v>
      </c>
      <c r="V112" s="77"/>
      <c r="W112" s="89"/>
      <c r="X112" s="79"/>
      <c r="Y112" s="79"/>
      <c r="Z112" s="79"/>
      <c r="AA112" s="79"/>
      <c r="AB112" s="79"/>
      <c r="AC112" s="82"/>
      <c r="AD112" s="83"/>
      <c r="AE112" s="84"/>
    </row>
    <row r="113" ht="21.25" customHeight="1">
      <c r="A113" t="s" s="10">
        <v>365</v>
      </c>
      <c r="B113" t="s" s="86">
        <f>VLOOKUP(A113,'Player Data'!A1:B667,2,FALSE)</f>
        <v>165</v>
      </c>
      <c r="C113" s="74">
        <f>((E113)*'Settings'!$C$12)+(F113*'Settings'!$C$2)+(G113*'Settings'!$C$3)+(H113*'Settings'!$C$4)+(I113*'Settings'!$C$5)+(K113*'Settings'!$C$9)+(N113*'Settings'!$C$6)+(J113*'Settings'!$C$8)+(O113*'Settings'!$C$7)+(P113*'Settings'!$C$14)+(Q113*'Settings'!$C$15)+(R113*'Settings'!$C$16)+(S113*'Settings'!$C$17)+(T113*'Settings'!$C$18)+(U113*'Settings'!$C$19)+(L113*'Settings'!$C$10)+('Settings'!$C$11*M113)</f>
        <v>4.24712151991631</v>
      </c>
      <c r="D113" s="79">
        <f>IF('Settings'!$E$12="YES",VLOOKUP(A113,'Player Data'!A1:E667,5,FALSE),82)</f>
        <v>77.6425</v>
      </c>
      <c r="E113" s="77">
        <f>(VLOOKUP($A113,'The List'!$B1:$AH665,17,FALSE)-AVERAGE('The List'!R2:R665))/STDEV('The List'!R2:R665)</f>
        <v>0.7954532208367699</v>
      </c>
      <c r="F113" s="77">
        <f>(VLOOKUP($A113,'The List'!$B1:$AH665,18,FALSE)-AVERAGE('The List'!S2:S665))/STDEV('The List'!S2:S665)</f>
        <v>1.06766276630726</v>
      </c>
      <c r="G113" s="77">
        <f>(VLOOKUP($A113,'The List'!$B1:$AH665,19,FALSE)-AVERAGE('The List'!T2:T665))/STDEV('The List'!T2:T665)</f>
        <v>0.925026252823779</v>
      </c>
      <c r="H113" s="77">
        <f>(VLOOKUP($A113,'The List'!$B1:$AH665,20,FALSE)-AVERAGE('The List'!U2:U665))/STDEV('The List'!U2:U665)</f>
        <v>1.05979679285685</v>
      </c>
      <c r="I113" s="77">
        <f>(VLOOKUP($A113,'The List'!$B1:$AH665,21,FALSE)-AVERAGE('The List'!V2:V665))/STDEV('The List'!V2:V665)</f>
        <v>0.691784804699351</v>
      </c>
      <c r="J113" s="77">
        <f>(VLOOKUP($A113,'The List'!$B1:$AH665,22,FALSE)-AVERAGE('The List'!W2:W665))/STDEV('The List'!W2:W665)</f>
        <v>2.07471879743483</v>
      </c>
      <c r="K113" s="77">
        <f>(VLOOKUP($A113,'The List'!$B1:$AH665,23,FALSE)-AVERAGE('The List'!X2:X665))/STDEV('The List'!X2:X665)</f>
        <v>1.49070847539601</v>
      </c>
      <c r="L113" s="77">
        <f>(VLOOKUP($A113,'The List'!$B1:$AH665,24,FALSE)-AVERAGE('The List'!Y2:Y665))/STDEV('The List'!Y2:Y665)</f>
        <v>0.150623674478436</v>
      </c>
      <c r="M113" s="77">
        <f>(VLOOKUP($A113,'The List'!$B1:$AH665,25,FALSE)-AVERAGE('The List'!Z2:Z665))/STDEV('The List'!Z2:Z665)</f>
        <v>0.00640940061548471</v>
      </c>
      <c r="N113" s="77">
        <f>(VLOOKUP($A113,'The List'!$B1:$AH665,26,FALSE)-AVERAGE('The List'!AA2:AA665))/STDEV('The List'!AA2:AA665)</f>
        <v>-0.407983756586598</v>
      </c>
      <c r="O113" s="77">
        <f>(VLOOKUP($A113,'The List'!$B1:$AH665,27,FALSE)-AVERAGE('The List'!AB2:AB665))/STDEV('The List'!AB2:AB665)</f>
        <v>-1.27438909751814</v>
      </c>
      <c r="P113" s="77">
        <f>(VLOOKUP($A113,'The List'!$B1:$AH665,28,FALSE)-AVERAGE('The List'!AC2:AC665))/STDEV('The List'!AC2:AC665)</f>
        <v>0.479922977276507</v>
      </c>
      <c r="Q113" s="77">
        <f>(VLOOKUP($A113,'The List'!$B1:$AH665,29,FALSE)-AVERAGE('The List'!AD2:AD665))/STDEV('The List'!AD2:AD665)</f>
        <v>-0.8091986936865589</v>
      </c>
      <c r="R113" s="77">
        <f>(VLOOKUP($A113,'The List'!$B1:$AH665,30,FALSE)-AVERAGE('The List'!AE2:AE665))/STDEV('The List'!AE2:AE665)</f>
        <v>0.9072377423943579</v>
      </c>
      <c r="S113" s="77">
        <f>(VLOOKUP($A113,'The List'!$B1:$AH665,31,FALSE)-AVERAGE('The List'!AF2:AF665))/STDEV('The List'!AF2:AF665)</f>
        <v>3.35770056487559</v>
      </c>
      <c r="T113" s="77">
        <f>(VLOOKUP($A113,'The List'!$B1:$AH665,32,FALSE)-AVERAGE('The List'!AG2:AG665))/STDEV('The List'!AG2:AG665)</f>
        <v>2.77964914089279</v>
      </c>
      <c r="U113" s="77">
        <f>(VLOOKUP($A113,'The List'!$B1:$AH665,33,FALSE)-AVERAGE('The List'!AH2:AH665))/STDEV('The List'!AH2:AH665)</f>
        <v>1.26702752269162</v>
      </c>
      <c r="V113" s="77"/>
      <c r="W113" s="89"/>
      <c r="X113" s="79"/>
      <c r="Y113" s="79"/>
      <c r="Z113" s="79"/>
      <c r="AA113" s="79"/>
      <c r="AB113" s="79"/>
      <c r="AC113" s="82"/>
      <c r="AD113" s="83"/>
      <c r="AE113" s="84"/>
    </row>
    <row r="114" ht="21.25" customHeight="1">
      <c r="A114" t="s" s="10">
        <v>251</v>
      </c>
      <c r="B114" t="s" s="86">
        <f>VLOOKUP(A114,'Player Data'!A1:B667,2,FALSE)</f>
        <v>909</v>
      </c>
      <c r="C114" s="74">
        <f>((E114)*'Settings'!$C$12)+(F114*'Settings'!$C$2)+(G114*'Settings'!$C$3)+(H114*'Settings'!$C$4)+(I114*'Settings'!$C$5)+(K114*'Settings'!$C$9)+(N114*'Settings'!$C$6)+(J114*'Settings'!$C$8)+(O114*'Settings'!$C$7)+(P114*'Settings'!$C$14)+(Q114*'Settings'!$C$15)+(R114*'Settings'!$C$16)+(S114*'Settings'!$C$17)+(T114*'Settings'!$C$18)+(U114*'Settings'!$C$19)+(L114*'Settings'!$C$10)+('Settings'!$C$11*M114)</f>
        <v>2.83154181027599</v>
      </c>
      <c r="D114" s="79">
        <f>IF('Settings'!$E$12="YES",VLOOKUP(A114,'Player Data'!A1:E667,5,FALSE),82)</f>
        <v>76.2175</v>
      </c>
      <c r="E114" s="77">
        <f>(VLOOKUP($A114,'The List'!$B1:$AH665,17,FALSE)-AVERAGE('The List'!R2:R665))/STDEV('The List'!R2:R665)</f>
        <v>0.653187882136441</v>
      </c>
      <c r="F114" s="77">
        <f>(VLOOKUP($A114,'The List'!$B1:$AH665,18,FALSE)-AVERAGE('The List'!S2:S665))/STDEV('The List'!S2:S665)</f>
        <v>1.15341515631438</v>
      </c>
      <c r="G114" s="77">
        <f>(VLOOKUP($A114,'The List'!$B1:$AH665,19,FALSE)-AVERAGE('The List'!T2:T665))/STDEV('The List'!T2:T665)</f>
        <v>0.985007635901173</v>
      </c>
      <c r="H114" s="77">
        <f>(VLOOKUP($A114,'The List'!$B1:$AH665,20,FALSE)-AVERAGE('The List'!U2:U665))/STDEV('The List'!U2:U665)</f>
        <v>1.13602714178448</v>
      </c>
      <c r="I114" s="77">
        <f>(VLOOKUP($A114,'The List'!$B1:$AH665,21,FALSE)-AVERAGE('The List'!V2:V665))/STDEV('The List'!V2:V665)</f>
        <v>0.582126340048811</v>
      </c>
      <c r="J114" s="77">
        <f>(VLOOKUP($A114,'The List'!$B1:$AH665,22,FALSE)-AVERAGE('The List'!W2:W665))/STDEV('The List'!W2:W665)</f>
        <v>1.66074128141977</v>
      </c>
      <c r="K114" s="77">
        <f>(VLOOKUP($A114,'The List'!$B1:$AH665,23,FALSE)-AVERAGE('The List'!X2:X665))/STDEV('The List'!X2:X665)</f>
        <v>1.31337649789805</v>
      </c>
      <c r="L114" s="77">
        <f>(VLOOKUP($A114,'The List'!$B1:$AH665,24,FALSE)-AVERAGE('The List'!Y2:Y665))/STDEV('The List'!Y2:Y665)</f>
        <v>-0.569679419263702</v>
      </c>
      <c r="M114" s="77">
        <f>(VLOOKUP($A114,'The List'!$B1:$AH665,25,FALSE)-AVERAGE('The List'!Z2:Z665))/STDEV('The List'!Z2:Z665)</f>
        <v>-0.743406640737578</v>
      </c>
      <c r="N114" s="77">
        <f>(VLOOKUP($A114,'The List'!$B1:$AH665,26,FALSE)-AVERAGE('The List'!AA2:AA665))/STDEV('The List'!AA2:AA665)</f>
        <v>-0.0386329799007937</v>
      </c>
      <c r="O114" s="77">
        <f>(VLOOKUP($A114,'The List'!$B1:$AH665,27,FALSE)-AVERAGE('The List'!AB2:AB665))/STDEV('The List'!AB2:AB665)</f>
        <v>0.881402392811271</v>
      </c>
      <c r="P114" s="77">
        <f>(VLOOKUP($A114,'The List'!$B1:$AH665,28,FALSE)-AVERAGE('The List'!AC2:AC665))/STDEV('The List'!AC2:AC665)</f>
        <v>-1.16375083998563</v>
      </c>
      <c r="Q114" s="77">
        <f>(VLOOKUP($A114,'The List'!$B1:$AH665,29,FALSE)-AVERAGE('The List'!AD2:AD665))/STDEV('The List'!AD2:AD665)</f>
        <v>1.4402147943388</v>
      </c>
      <c r="R114" s="77">
        <f>(VLOOKUP($A114,'The List'!$B1:$AH665,30,FALSE)-AVERAGE('The List'!AE2:AE665))/STDEV('The List'!AE2:AE665)</f>
        <v>0.575076454648151</v>
      </c>
      <c r="S114" s="77">
        <f>(VLOOKUP($A114,'The List'!$B1:$AH665,31,FALSE)-AVERAGE('The List'!AF2:AF665))/STDEV('The List'!AF2:AF665)</f>
        <v>-0.524164044738834</v>
      </c>
      <c r="T114" s="77">
        <f>(VLOOKUP($A114,'The List'!$B1:$AH665,32,FALSE)-AVERAGE('The List'!AG2:AG665))/STDEV('The List'!AG2:AG665)</f>
        <v>-0.5728753462780239</v>
      </c>
      <c r="U114" s="77">
        <f>(VLOOKUP($A114,'The List'!$B1:$AH665,33,FALSE)-AVERAGE('The List'!AH2:AH665))/STDEV('The List'!AH2:AH665)</f>
        <v>1.03509417916631</v>
      </c>
      <c r="V114" s="77"/>
      <c r="W114" s="89"/>
      <c r="X114" s="79"/>
      <c r="Y114" s="79"/>
      <c r="Z114" s="79"/>
      <c r="AA114" s="79"/>
      <c r="AB114" s="79"/>
      <c r="AC114" s="82"/>
      <c r="AD114" s="83"/>
      <c r="AE114" s="84"/>
    </row>
    <row r="115" ht="21.25" customHeight="1">
      <c r="A115" t="s" s="10">
        <v>356</v>
      </c>
      <c r="B115" t="s" s="86">
        <f>VLOOKUP(A115,'Player Data'!A1:B667,2,FALSE)</f>
        <v>904</v>
      </c>
      <c r="C115" s="74">
        <f>((E115)*'Settings'!$C$12)+(F115*'Settings'!$C$2)+(G115*'Settings'!$C$3)+(H115*'Settings'!$C$4)+(I115*'Settings'!$C$5)+(K115*'Settings'!$C$9)+(N115*'Settings'!$C$6)+(J115*'Settings'!$C$8)+(O115*'Settings'!$C$7)+(P115*'Settings'!$C$14)+(Q115*'Settings'!$C$15)+(R115*'Settings'!$C$16)+(S115*'Settings'!$C$17)+(T115*'Settings'!$C$18)+(U115*'Settings'!$C$19)+(L115*'Settings'!$C$10)+('Settings'!$C$11*M115)</f>
        <v>2.36746544763063</v>
      </c>
      <c r="D115" s="79">
        <f>IF('Settings'!$E$12="YES",VLOOKUP(A115,'Player Data'!A1:E667,5,FALSE),82)</f>
        <v>78.43000000000001</v>
      </c>
      <c r="E115" s="77">
        <f>(VLOOKUP($A115,'The List'!$B1:$AH665,17,FALSE)-AVERAGE('The List'!R2:R665))/STDEV('The List'!R2:R665)</f>
        <v>0.188622986272765</v>
      </c>
      <c r="F115" s="77">
        <f>(VLOOKUP($A115,'The List'!$B1:$AH665,18,FALSE)-AVERAGE('The List'!S2:S665))/STDEV('The List'!S2:S665)</f>
        <v>0.940514235219715</v>
      </c>
      <c r="G115" s="77">
        <f>(VLOOKUP($A115,'The List'!$B1:$AH665,19,FALSE)-AVERAGE('The List'!T2:T665))/STDEV('The List'!T2:T665)</f>
        <v>0.8298125838007731</v>
      </c>
      <c r="H115" s="77">
        <f>(VLOOKUP($A115,'The List'!$B1:$AH665,20,FALSE)-AVERAGE('The List'!U2:U665))/STDEV('The List'!U2:U665)</f>
        <v>0.942868699474408</v>
      </c>
      <c r="I115" s="77">
        <f>(VLOOKUP($A115,'The List'!$B1:$AH665,21,FALSE)-AVERAGE('The List'!V2:V665))/STDEV('The List'!V2:V665)</f>
        <v>0.876389462795286</v>
      </c>
      <c r="J115" s="77">
        <f>(VLOOKUP($A115,'The List'!$B1:$AH665,22,FALSE)-AVERAGE('The List'!W2:W665))/STDEV('The List'!W2:W665)</f>
        <v>0.9009113252433359</v>
      </c>
      <c r="K115" s="77">
        <f>(VLOOKUP($A115,'The List'!$B1:$AH665,23,FALSE)-AVERAGE('The List'!X2:X665))/STDEV('The List'!X2:X665)</f>
        <v>0.888287999727936</v>
      </c>
      <c r="L115" s="77">
        <f>(VLOOKUP($A115,'The List'!$B1:$AH665,24,FALSE)-AVERAGE('The List'!Y2:Y665))/STDEV('The List'!Y2:Y665)</f>
        <v>-0.5588263821894</v>
      </c>
      <c r="M115" s="77">
        <f>(VLOOKUP($A115,'The List'!$B1:$AH665,25,FALSE)-AVERAGE('The List'!Z2:Z665))/STDEV('The List'!Z2:Z665)</f>
        <v>-0.732210340046094</v>
      </c>
      <c r="N115" s="77">
        <f>(VLOOKUP($A115,'The List'!$B1:$AH665,26,FALSE)-AVERAGE('The List'!AA2:AA665))/STDEV('The List'!AA2:AA665)</f>
        <v>-0.780001347253094</v>
      </c>
      <c r="O115" s="77">
        <f>(VLOOKUP($A115,'The List'!$B1:$AH665,27,FALSE)-AVERAGE('The List'!AB2:AB665))/STDEV('The List'!AB2:AB665)</f>
        <v>0.0659154383257296</v>
      </c>
      <c r="P115" s="77">
        <f>(VLOOKUP($A115,'The List'!$B1:$AH665,28,FALSE)-AVERAGE('The List'!AC2:AC665))/STDEV('The List'!AC2:AC665)</f>
        <v>-0.387537486659986</v>
      </c>
      <c r="Q115" s="77">
        <f>(VLOOKUP($A115,'The List'!$B1:$AH665,29,FALSE)-AVERAGE('The List'!AD2:AD665))/STDEV('The List'!AD2:AD665)</f>
        <v>-0.08844032458870341</v>
      </c>
      <c r="R115" s="77">
        <f>(VLOOKUP($A115,'The List'!$B1:$AH665,30,FALSE)-AVERAGE('The List'!AE2:AE665))/STDEV('The List'!AE2:AE665)</f>
        <v>0.991225008447044</v>
      </c>
      <c r="S115" s="77">
        <f>(VLOOKUP($A115,'The List'!$B1:$AH665,31,FALSE)-AVERAGE('The List'!AF2:AF665))/STDEV('The List'!AF2:AF665)</f>
        <v>-0.43278522905268</v>
      </c>
      <c r="T115" s="77">
        <f>(VLOOKUP($A115,'The List'!$B1:$AH665,32,FALSE)-AVERAGE('The List'!AG2:AG665))/STDEV('The List'!AG2:AG665)</f>
        <v>-0.385427580712215</v>
      </c>
      <c r="U115" s="77">
        <f>(VLOOKUP($A115,'The List'!$B1:$AH665,33,FALSE)-AVERAGE('The List'!AH2:AH665))/STDEV('The List'!AH2:AH665)</f>
        <v>0.511159654589854</v>
      </c>
      <c r="V115" s="77"/>
      <c r="W115" s="89"/>
      <c r="X115" s="79"/>
      <c r="Y115" s="79"/>
      <c r="Z115" s="79"/>
      <c r="AA115" s="79"/>
      <c r="AB115" s="79"/>
      <c r="AC115" s="82"/>
      <c r="AD115" s="83"/>
      <c r="AE115" s="84"/>
    </row>
    <row r="116" ht="21.25" customHeight="1">
      <c r="A116" t="s" s="10">
        <v>451</v>
      </c>
      <c r="B116" t="s" s="86">
        <f>VLOOKUP(A116,'Player Data'!A1:B667,2,FALSE)</f>
        <v>912</v>
      </c>
      <c r="C116" s="74">
        <f>((E116)*'Settings'!$C$12)+(F116*'Settings'!$C$2)+(G116*'Settings'!$C$3)+(H116*'Settings'!$C$4)+(I116*'Settings'!$C$5)+(K116*'Settings'!$C$9)+(N116*'Settings'!$C$6)+(J116*'Settings'!$C$8)+(O116*'Settings'!$C$7)+(P116*'Settings'!$C$14)+(Q116*'Settings'!$C$15)+(R116*'Settings'!$C$16)+(S116*'Settings'!$C$17)+(T116*'Settings'!$C$18)+(U116*'Settings'!$C$19)+(L116*'Settings'!$C$10)+('Settings'!$C$11*M116)</f>
        <v>0.576806775967215</v>
      </c>
      <c r="D116" s="79">
        <f>IF('Settings'!$E$12="YES",VLOOKUP(A116,'Player Data'!A1:E667,5,FALSE),82)</f>
        <v>72.14</v>
      </c>
      <c r="E116" s="77">
        <f>(VLOOKUP($A116,'The List'!$B1:$AH665,17,FALSE)-AVERAGE('The List'!R2:R665))/STDEV('The List'!R2:R665)</f>
        <v>0.218537788170832</v>
      </c>
      <c r="F116" s="77">
        <f>(VLOOKUP($A116,'The List'!$B1:$AH665,18,FALSE)-AVERAGE('The List'!S2:S665))/STDEV('The List'!S2:S665)</f>
        <v>0.767437101291835</v>
      </c>
      <c r="G116" s="77">
        <f>(VLOOKUP($A116,'The List'!$B1:$AH665,19,FALSE)-AVERAGE('The List'!T2:T665))/STDEV('The List'!T2:T665)</f>
        <v>0.810940271892559</v>
      </c>
      <c r="H116" s="77">
        <f>(VLOOKUP($A116,'The List'!$B1:$AH665,20,FALSE)-AVERAGE('The List'!U2:U665))/STDEV('The List'!U2:U665)</f>
        <v>0.85247614823812</v>
      </c>
      <c r="I116" s="77">
        <f>(VLOOKUP($A116,'The List'!$B1:$AH665,21,FALSE)-AVERAGE('The List'!V2:V665))/STDEV('The List'!V2:V665)</f>
        <v>0.668921517391145</v>
      </c>
      <c r="J116" s="77">
        <f>(VLOOKUP($A116,'The List'!$B1:$AH665,22,FALSE)-AVERAGE('The List'!W2:W665))/STDEV('The List'!W2:W665)</f>
        <v>0.826311617534242</v>
      </c>
      <c r="K116" s="77">
        <f>(VLOOKUP($A116,'The List'!$B1:$AH665,23,FALSE)-AVERAGE('The List'!X2:X665))/STDEV('The List'!X2:X665)</f>
        <v>0.739623929227556</v>
      </c>
      <c r="L116" s="77">
        <f>(VLOOKUP($A116,'The List'!$B1:$AH665,24,FALSE)-AVERAGE('The List'!Y2:Y665))/STDEV('The List'!Y2:Y665)</f>
        <v>-0.568232577232477</v>
      </c>
      <c r="M116" s="77">
        <f>(VLOOKUP($A116,'The List'!$B1:$AH665,25,FALSE)-AVERAGE('The List'!Z2:Z665))/STDEV('The List'!Z2:Z665)</f>
        <v>-0.741922854937327</v>
      </c>
      <c r="N116" s="77">
        <f>(VLOOKUP($A116,'The List'!$B1:$AH665,26,FALSE)-AVERAGE('The List'!AA2:AA665))/STDEV('The List'!AA2:AA665)</f>
        <v>-0.8422914662490401</v>
      </c>
      <c r="O116" s="77">
        <f>(VLOOKUP($A116,'The List'!$B1:$AH665,27,FALSE)-AVERAGE('The List'!AB2:AB665))/STDEV('The List'!AB2:AB665)</f>
        <v>-0.987235741590859</v>
      </c>
      <c r="P116" s="77">
        <f>(VLOOKUP($A116,'The List'!$B1:$AH665,28,FALSE)-AVERAGE('The List'!AC2:AC665))/STDEV('The List'!AC2:AC665)</f>
        <v>-1.56782457758684</v>
      </c>
      <c r="Q116" s="77">
        <f>(VLOOKUP($A116,'The List'!$B1:$AH665,29,FALSE)-AVERAGE('The List'!AD2:AD665))/STDEV('The List'!AD2:AD665)</f>
        <v>0.703928026315337</v>
      </c>
      <c r="R116" s="77">
        <f>(VLOOKUP($A116,'The List'!$B1:$AH665,30,FALSE)-AVERAGE('The List'!AE2:AE665))/STDEV('The List'!AE2:AE665)</f>
        <v>0.296811264354933</v>
      </c>
      <c r="S116" s="77">
        <f>(VLOOKUP($A116,'The List'!$B1:$AH665,31,FALSE)-AVERAGE('The List'!AF2:AF665))/STDEV('The List'!AF2:AF665)</f>
        <v>0.242055900464411</v>
      </c>
      <c r="T116" s="77">
        <f>(VLOOKUP($A116,'The List'!$B1:$AH665,32,FALSE)-AVERAGE('The List'!AG2:AG665))/STDEV('The List'!AG2:AG665)</f>
        <v>0.659935755765084</v>
      </c>
      <c r="U116" s="77">
        <f>(VLOOKUP($A116,'The List'!$B1:$AH665,33,FALSE)-AVERAGE('The List'!AH2:AH665))/STDEV('The List'!AH2:AH665)</f>
        <v>0.59535668593596</v>
      </c>
      <c r="V116" s="77"/>
      <c r="W116" s="89"/>
      <c r="X116" s="79"/>
      <c r="Y116" s="79"/>
      <c r="Z116" s="79"/>
      <c r="AA116" s="79"/>
      <c r="AB116" s="79"/>
      <c r="AC116" s="82"/>
      <c r="AD116" s="83"/>
      <c r="AE116" s="84"/>
    </row>
    <row r="117" ht="21.25" customHeight="1">
      <c r="A117" t="s" s="10">
        <v>327</v>
      </c>
      <c r="B117" t="s" s="86">
        <f>VLOOKUP(A117,'Player Data'!A1:B667,2,FALSE)</f>
        <v>192</v>
      </c>
      <c r="C117" s="74">
        <f>((E117)*'Settings'!$C$12)+(F117*'Settings'!$C$2)+(G117*'Settings'!$C$3)+(H117*'Settings'!$C$4)+(I117*'Settings'!$C$5)+(K117*'Settings'!$C$9)+(N117*'Settings'!$C$6)+(J117*'Settings'!$C$8)+(O117*'Settings'!$C$7)+(P117*'Settings'!$C$14)+(Q117*'Settings'!$C$15)+(R117*'Settings'!$C$16)+(S117*'Settings'!$C$17)+(T117*'Settings'!$C$18)+(U117*'Settings'!$C$19)+(L117*'Settings'!$C$10)+('Settings'!$C$11*M117)</f>
        <v>3.69364528788546</v>
      </c>
      <c r="D117" s="79">
        <f>IF('Settings'!$E$12="YES",VLOOKUP(A117,'Player Data'!A1:E667,5,FALSE),82)</f>
        <v>80.6925</v>
      </c>
      <c r="E117" s="77">
        <f>(VLOOKUP($A117,'The List'!$B1:$AH665,17,FALSE)-AVERAGE('The List'!R2:R665))/STDEV('The List'!R2:R665)</f>
        <v>0.249207941142953</v>
      </c>
      <c r="F117" s="77">
        <f>(VLOOKUP($A117,'The List'!$B1:$AH665,18,FALSE)-AVERAGE('The List'!S2:S665))/STDEV('The List'!S2:S665)</f>
        <v>1.15065782479647</v>
      </c>
      <c r="G117" s="77">
        <f>(VLOOKUP($A117,'The List'!$B1:$AH665,19,FALSE)-AVERAGE('The List'!T2:T665))/STDEV('The List'!T2:T665)</f>
        <v>0.786503589998213</v>
      </c>
      <c r="H117" s="77">
        <f>(VLOOKUP($A117,'The List'!$B1:$AH665,20,FALSE)-AVERAGE('The List'!U2:U665))/STDEV('The List'!U2:U665)</f>
        <v>1.01149162952923</v>
      </c>
      <c r="I117" s="77">
        <f>(VLOOKUP($A117,'The List'!$B1:$AH665,21,FALSE)-AVERAGE('The List'!V2:V665))/STDEV('The List'!V2:V665)</f>
        <v>0.889931811814938</v>
      </c>
      <c r="J117" s="77">
        <f>(VLOOKUP($A117,'The List'!$B1:$AH665,22,FALSE)-AVERAGE('The List'!W2:W665))/STDEV('The List'!W2:W665)</f>
        <v>2.1713370760242</v>
      </c>
      <c r="K117" s="77">
        <f>(VLOOKUP($A117,'The List'!$B1:$AH665,23,FALSE)-AVERAGE('The List'!X2:X665))/STDEV('The List'!X2:X665)</f>
        <v>1.01168374659873</v>
      </c>
      <c r="L117" s="77">
        <f>(VLOOKUP($A117,'The List'!$B1:$AH665,24,FALSE)-AVERAGE('The List'!Y2:Y665))/STDEV('The List'!Y2:Y665)</f>
        <v>-0.539636146707949</v>
      </c>
      <c r="M117" s="77">
        <f>(VLOOKUP($A117,'The List'!$B1:$AH665,25,FALSE)-AVERAGE('The List'!Z2:Z665))/STDEV('The List'!Z2:Z665)</f>
        <v>-0.712606516602173</v>
      </c>
      <c r="N117" s="77">
        <f>(VLOOKUP($A117,'The List'!$B1:$AH665,26,FALSE)-AVERAGE('The List'!AA2:AA665))/STDEV('The List'!AA2:AA665)</f>
        <v>-0.551307902937929</v>
      </c>
      <c r="O117" s="77">
        <f>(VLOOKUP($A117,'The List'!$B1:$AH665,27,FALSE)-AVERAGE('The List'!AB2:AB665))/STDEV('The List'!AB2:AB665)</f>
        <v>0.0492764013645969</v>
      </c>
      <c r="P117" s="77">
        <f>(VLOOKUP($A117,'The List'!$B1:$AH665,28,FALSE)-AVERAGE('The List'!AC2:AC665))/STDEV('The List'!AC2:AC665)</f>
        <v>0.406176217615038</v>
      </c>
      <c r="Q117" s="77">
        <f>(VLOOKUP($A117,'The List'!$B1:$AH665,29,FALSE)-AVERAGE('The List'!AD2:AD665))/STDEV('The List'!AD2:AD665)</f>
        <v>2.62775482491175</v>
      </c>
      <c r="R117" s="77">
        <f>(VLOOKUP($A117,'The List'!$B1:$AH665,30,FALSE)-AVERAGE('The List'!AE2:AE665))/STDEV('The List'!AE2:AE665)</f>
        <v>0.987764636441798</v>
      </c>
      <c r="S117" s="77">
        <f>(VLOOKUP($A117,'The List'!$B1:$AH665,31,FALSE)-AVERAGE('The List'!AF2:AF665))/STDEV('The List'!AF2:AF665)</f>
        <v>1.79426024145853</v>
      </c>
      <c r="T117" s="77">
        <f>(VLOOKUP($A117,'The List'!$B1:$AH665,32,FALSE)-AVERAGE('The List'!AG2:AG665))/STDEV('The List'!AG2:AG665)</f>
        <v>2.02630776711039</v>
      </c>
      <c r="U117" s="77">
        <f>(VLOOKUP($A117,'The List'!$B1:$AH665,33,FALSE)-AVERAGE('The List'!AH2:AH665))/STDEV('The List'!AH2:AH665)</f>
        <v>0.976708556625014</v>
      </c>
      <c r="V117" s="77"/>
      <c r="W117" s="89"/>
      <c r="X117" s="79"/>
      <c r="Y117" s="79"/>
      <c r="Z117" s="79"/>
      <c r="AA117" s="79"/>
      <c r="AB117" s="79"/>
      <c r="AC117" s="82"/>
      <c r="AD117" s="83"/>
      <c r="AE117" s="84"/>
    </row>
    <row r="118" ht="21.25" customHeight="1">
      <c r="A118" t="s" s="10">
        <v>370</v>
      </c>
      <c r="B118" t="s" s="86">
        <f>VLOOKUP(A118,'Player Data'!A1:B667,2,FALSE)</f>
        <v>899</v>
      </c>
      <c r="C118" s="74">
        <f>((E118)*'Settings'!$C$12)+(F118*'Settings'!$C$2)+(G118*'Settings'!$C$3)+(H118*'Settings'!$C$4)+(I118*'Settings'!$C$5)+(K118*'Settings'!$C$9)+(N118*'Settings'!$C$6)+(J118*'Settings'!$C$8)+(O118*'Settings'!$C$7)+(P118*'Settings'!$C$14)+(Q118*'Settings'!$C$15)+(R118*'Settings'!$C$16)+(S118*'Settings'!$C$17)+(T118*'Settings'!$C$18)+(U118*'Settings'!$C$19)+(L118*'Settings'!$C$10)+('Settings'!$C$11*M118)</f>
        <v>2.43556258208297</v>
      </c>
      <c r="D118" s="79">
        <f>IF('Settings'!$E$12="YES",VLOOKUP(A118,'Player Data'!A1:E667,5,FALSE),82)</f>
        <v>80.12</v>
      </c>
      <c r="E118" s="77">
        <f>(VLOOKUP($A118,'The List'!$B1:$AH665,17,FALSE)-AVERAGE('The List'!R2:R665))/STDEV('The List'!R2:R665)</f>
        <v>0.352744141586966</v>
      </c>
      <c r="F118" s="77">
        <f>(VLOOKUP($A118,'The List'!$B1:$AH665,18,FALSE)-AVERAGE('The List'!S2:S665))/STDEV('The List'!S2:S665)</f>
        <v>0.7140430170055621</v>
      </c>
      <c r="G118" s="77">
        <f>(VLOOKUP($A118,'The List'!$B1:$AH665,19,FALSE)-AVERAGE('The List'!T2:T665))/STDEV('The List'!T2:T665)</f>
        <v>0.843080065369595</v>
      </c>
      <c r="H118" s="77">
        <f>(VLOOKUP($A118,'The List'!$B1:$AH665,20,FALSE)-AVERAGE('The List'!U2:U665))/STDEV('The List'!U2:U665)</f>
        <v>0.848166617814667</v>
      </c>
      <c r="I118" s="77">
        <f>(VLOOKUP($A118,'The List'!$B1:$AH665,21,FALSE)-AVERAGE('The List'!V2:V665))/STDEV('The List'!V2:V665)</f>
        <v>0.384303762190153</v>
      </c>
      <c r="J118" s="77">
        <f>(VLOOKUP($A118,'The List'!$B1:$AH665,22,FALSE)-AVERAGE('The List'!W2:W665))/STDEV('The List'!W2:W665)</f>
        <v>0.854232396211164</v>
      </c>
      <c r="K118" s="77">
        <f>(VLOOKUP($A118,'The List'!$B1:$AH665,23,FALSE)-AVERAGE('The List'!X2:X665))/STDEV('The List'!X2:X665)</f>
        <v>0.653329260419779</v>
      </c>
      <c r="L118" s="77">
        <f>(VLOOKUP($A118,'The List'!$B1:$AH665,24,FALSE)-AVERAGE('The List'!Y2:Y665))/STDEV('The List'!Y2:Y665)</f>
        <v>-0.361124063416937</v>
      </c>
      <c r="M118" s="77">
        <f>(VLOOKUP($A118,'The List'!$B1:$AH665,25,FALSE)-AVERAGE('The List'!Z2:Z665))/STDEV('The List'!Z2:Z665)</f>
        <v>-0.196823804754919</v>
      </c>
      <c r="N118" s="77">
        <f>(VLOOKUP($A118,'The List'!$B1:$AH665,26,FALSE)-AVERAGE('The List'!AA2:AA665))/STDEV('The List'!AA2:AA665)</f>
        <v>-0.783504627196507</v>
      </c>
      <c r="O118" s="77">
        <f>(VLOOKUP($A118,'The List'!$B1:$AH665,27,FALSE)-AVERAGE('The List'!AB2:AB665))/STDEV('The List'!AB2:AB665)</f>
        <v>0.167802943091156</v>
      </c>
      <c r="P118" s="77">
        <f>(VLOOKUP($A118,'The List'!$B1:$AH665,28,FALSE)-AVERAGE('The List'!AC2:AC665))/STDEV('The List'!AC2:AC665)</f>
        <v>0.624311104294387</v>
      </c>
      <c r="Q118" s="77">
        <f>(VLOOKUP($A118,'The List'!$B1:$AH665,29,FALSE)-AVERAGE('The List'!AD2:AD665))/STDEV('The List'!AD2:AD665)</f>
        <v>-0.6554392515340201</v>
      </c>
      <c r="R118" s="77">
        <f>(VLOOKUP($A118,'The List'!$B1:$AH665,30,FALSE)-AVERAGE('The List'!AE2:AE665))/STDEV('The List'!AE2:AE665)</f>
        <v>0.771958463008567</v>
      </c>
      <c r="S118" s="77">
        <f>(VLOOKUP($A118,'The List'!$B1:$AH665,31,FALSE)-AVERAGE('The List'!AF2:AF665))/STDEV('The List'!AF2:AF665)</f>
        <v>1.64560642330313</v>
      </c>
      <c r="T118" s="77">
        <f>(VLOOKUP($A118,'The List'!$B1:$AH665,32,FALSE)-AVERAGE('The List'!AG2:AG665))/STDEV('The List'!AG2:AG665)</f>
        <v>1.68618529254874</v>
      </c>
      <c r="U118" s="77">
        <f>(VLOOKUP($A118,'The List'!$B1:$AH665,33,FALSE)-AVERAGE('The List'!AH2:AH665))/STDEV('The List'!AH2:AH665)</f>
        <v>1.05876697491236</v>
      </c>
      <c r="V118" s="77"/>
      <c r="W118" s="89"/>
      <c r="X118" s="79"/>
      <c r="Y118" s="79"/>
      <c r="Z118" s="79"/>
      <c r="AA118" s="79"/>
      <c r="AB118" s="79"/>
      <c r="AC118" s="82"/>
      <c r="AD118" s="83"/>
      <c r="AE118" s="84"/>
    </row>
    <row r="119" ht="21.25" customHeight="1">
      <c r="A119" t="s" s="10">
        <v>376</v>
      </c>
      <c r="B119" t="s" s="86">
        <f>VLOOKUP(A119,'Player Data'!A1:B667,2,FALSE)</f>
        <v>914</v>
      </c>
      <c r="C119" s="74">
        <f>((E119)*'Settings'!$C$12)+(F119*'Settings'!$C$2)+(G119*'Settings'!$C$3)+(H119*'Settings'!$C$4)+(I119*'Settings'!$C$5)+(K119*'Settings'!$C$9)+(N119*'Settings'!$C$6)+(J119*'Settings'!$C$8)+(O119*'Settings'!$C$7)+(P119*'Settings'!$C$14)+(Q119*'Settings'!$C$15)+(R119*'Settings'!$C$16)+(S119*'Settings'!$C$17)+(T119*'Settings'!$C$18)+(U119*'Settings'!$C$19)+(L119*'Settings'!$C$10)+('Settings'!$C$11*M119)</f>
        <v>-0.047440966549967</v>
      </c>
      <c r="D119" s="79">
        <f>IF('Settings'!$E$12="YES",VLOOKUP(A119,'Player Data'!A1:E667,5,FALSE),82)</f>
        <v>71.70999999999999</v>
      </c>
      <c r="E119" s="77">
        <f>(VLOOKUP($A119,'The List'!$B1:$AH665,17,FALSE)-AVERAGE('The List'!R2:R665))/STDEV('The List'!R2:R665)</f>
        <v>0.243223565865134</v>
      </c>
      <c r="F119" s="77">
        <f>(VLOOKUP($A119,'The List'!$B1:$AH665,18,FALSE)-AVERAGE('The List'!S2:S665))/STDEV('The List'!S2:S665)</f>
        <v>0.889541388776014</v>
      </c>
      <c r="G119" s="77">
        <f>(VLOOKUP($A119,'The List'!$B1:$AH665,19,FALSE)-AVERAGE('The List'!T2:T665))/STDEV('The List'!T2:T665)</f>
        <v>0.482262630704838</v>
      </c>
      <c r="H119" s="77">
        <f>(VLOOKUP($A119,'The List'!$B1:$AH665,20,FALSE)-AVERAGE('The List'!U2:U665))/STDEV('The List'!U2:U665)</f>
        <v>0.7038510548808929</v>
      </c>
      <c r="I119" s="77">
        <f>(VLOOKUP($A119,'The List'!$B1:$AH665,21,FALSE)-AVERAGE('The List'!V2:V665))/STDEV('The List'!V2:V665)</f>
        <v>0.924334610888575</v>
      </c>
      <c r="J119" s="77">
        <f>(VLOOKUP($A119,'The List'!$B1:$AH665,22,FALSE)-AVERAGE('The List'!W2:W665))/STDEV('The List'!W2:W665)</f>
        <v>0.463105000360857</v>
      </c>
      <c r="K119" s="77">
        <f>(VLOOKUP($A119,'The List'!$B1:$AH665,23,FALSE)-AVERAGE('The List'!X2:X665))/STDEV('The List'!X2:X665)</f>
        <v>0.401289163424369</v>
      </c>
      <c r="L119" s="77">
        <f>(VLOOKUP($A119,'The List'!$B1:$AH665,24,FALSE)-AVERAGE('The List'!Y2:Y665))/STDEV('The List'!Y2:Y665)</f>
        <v>-0.558994067708357</v>
      </c>
      <c r="M119" s="77">
        <f>(VLOOKUP($A119,'The List'!$B1:$AH665,25,FALSE)-AVERAGE('The List'!Z2:Z665))/STDEV('The List'!Z2:Z665)</f>
        <v>-0.7325067293651339</v>
      </c>
      <c r="N119" s="77">
        <f>(VLOOKUP($A119,'The List'!$B1:$AH665,26,FALSE)-AVERAGE('The List'!AA2:AA665))/STDEV('The List'!AA2:AA665)</f>
        <v>-0.629274571620783</v>
      </c>
      <c r="O119" s="77">
        <f>(VLOOKUP($A119,'The List'!$B1:$AH665,27,FALSE)-AVERAGE('The List'!AB2:AB665))/STDEV('The List'!AB2:AB665)</f>
        <v>0.0574652414556173</v>
      </c>
      <c r="P119" s="77">
        <f>(VLOOKUP($A119,'The List'!$B1:$AH665,28,FALSE)-AVERAGE('The List'!AC2:AC665))/STDEV('The List'!AC2:AC665)</f>
        <v>-2.11559418872298</v>
      </c>
      <c r="Q119" s="77">
        <f>(VLOOKUP($A119,'The List'!$B1:$AH665,29,FALSE)-AVERAGE('The List'!AD2:AD665))/STDEV('The List'!AD2:AD665)</f>
        <v>-0.236887313320419</v>
      </c>
      <c r="R119" s="77">
        <f>(VLOOKUP($A119,'The List'!$B1:$AH665,30,FALSE)-AVERAGE('The List'!AE2:AE665))/STDEV('The List'!AE2:AE665)</f>
        <v>0.302906971740332</v>
      </c>
      <c r="S119" s="77">
        <f>(VLOOKUP($A119,'The List'!$B1:$AH665,31,FALSE)-AVERAGE('The List'!AF2:AF665))/STDEV('The List'!AF2:AF665)</f>
        <v>0.78978493087598</v>
      </c>
      <c r="T119" s="77">
        <f>(VLOOKUP($A119,'The List'!$B1:$AH665,32,FALSE)-AVERAGE('The List'!AG2:AG665))/STDEV('The List'!AG2:AG665)</f>
        <v>1.24881366556464</v>
      </c>
      <c r="U119" s="77">
        <f>(VLOOKUP($A119,'The List'!$B1:$AH665,33,FALSE)-AVERAGE('The List'!AH2:AH665))/STDEV('The List'!AH2:AH665)</f>
        <v>0.745996057523305</v>
      </c>
      <c r="V119" s="77"/>
      <c r="W119" s="89"/>
      <c r="X119" s="79"/>
      <c r="Y119" s="79"/>
      <c r="Z119" s="79"/>
      <c r="AA119" s="79"/>
      <c r="AB119" s="79"/>
      <c r="AC119" s="82"/>
      <c r="AD119" s="83"/>
      <c r="AE119" s="84"/>
    </row>
    <row r="120" ht="21.25" customHeight="1">
      <c r="A120" t="s" s="10">
        <v>524</v>
      </c>
      <c r="B120" t="s" s="86">
        <f>VLOOKUP(A120,'Player Data'!A1:B667,2,FALSE)</f>
        <v>912</v>
      </c>
      <c r="C120" s="74">
        <f>((E120)*'Settings'!$C$12)+(F120*'Settings'!$C$2)+(G120*'Settings'!$C$3)+(H120*'Settings'!$C$4)+(I120*'Settings'!$C$5)+(K120*'Settings'!$C$9)+(N120*'Settings'!$C$6)+(J120*'Settings'!$C$8)+(O120*'Settings'!$C$7)+(P120*'Settings'!$C$14)+(Q120*'Settings'!$C$15)+(R120*'Settings'!$C$16)+(S120*'Settings'!$C$17)+(T120*'Settings'!$C$18)+(U120*'Settings'!$C$19)+(L120*'Settings'!$C$10)+('Settings'!$C$11*M120)</f>
        <v>0.493078905853743</v>
      </c>
      <c r="D120" s="79">
        <f>IF('Settings'!$E$12="YES",VLOOKUP(A120,'Player Data'!A1:E667,5,FALSE),82)</f>
        <v>70.825</v>
      </c>
      <c r="E120" s="77">
        <f>(VLOOKUP($A120,'The List'!$B1:$AH665,17,FALSE)-AVERAGE('The List'!R2:R665))/STDEV('The List'!R2:R665)</f>
        <v>0.599398038163758</v>
      </c>
      <c r="F120" s="77">
        <f>(VLOOKUP($A120,'The List'!$B1:$AH665,18,FALSE)-AVERAGE('The List'!S2:S665))/STDEV('The List'!S2:S665)</f>
        <v>0.75348649593025</v>
      </c>
      <c r="G120" s="77">
        <f>(VLOOKUP($A120,'The List'!$B1:$AH665,19,FALSE)-AVERAGE('The List'!T2:T665))/STDEV('The List'!T2:T665)</f>
        <v>0.5204118738504619</v>
      </c>
      <c r="H120" s="77">
        <f>(VLOOKUP($A120,'The List'!$B1:$AH665,20,FALSE)-AVERAGE('The List'!U2:U665))/STDEV('The List'!U2:U665)</f>
        <v>0.665700463927739</v>
      </c>
      <c r="I120" s="77">
        <f>(VLOOKUP($A120,'The List'!$B1:$AH665,21,FALSE)-AVERAGE('The List'!V2:V665))/STDEV('The List'!V2:V665)</f>
        <v>0.448535148567061</v>
      </c>
      <c r="J120" s="77">
        <f>(VLOOKUP($A120,'The List'!$B1:$AH665,22,FALSE)-AVERAGE('The List'!W2:W665))/STDEV('The List'!W2:W665)</f>
        <v>0.725958201610406</v>
      </c>
      <c r="K120" s="77">
        <f>(VLOOKUP($A120,'The List'!$B1:$AH665,23,FALSE)-AVERAGE('The List'!X2:X665))/STDEV('The List'!X2:X665)</f>
        <v>0.835059397635693</v>
      </c>
      <c r="L120" s="77">
        <f>(VLOOKUP($A120,'The List'!$B1:$AH665,24,FALSE)-AVERAGE('The List'!Y2:Y665))/STDEV('The List'!Y2:Y665)</f>
        <v>-0.377781278973095</v>
      </c>
      <c r="M120" s="77">
        <f>(VLOOKUP($A120,'The List'!$B1:$AH665,25,FALSE)-AVERAGE('The List'!Z2:Z665))/STDEV('The List'!Z2:Z665)</f>
        <v>-0.549088494984545</v>
      </c>
      <c r="N120" s="77">
        <f>(VLOOKUP($A120,'The List'!$B1:$AH665,26,FALSE)-AVERAGE('The List'!AA2:AA665))/STDEV('The List'!AA2:AA665)</f>
        <v>-0.756068297317103</v>
      </c>
      <c r="O120" s="77">
        <f>(VLOOKUP($A120,'The List'!$B1:$AH665,27,FALSE)-AVERAGE('The List'!AB2:AB665))/STDEV('The List'!AB2:AB665)</f>
        <v>-1.07492099916256</v>
      </c>
      <c r="P120" s="77">
        <f>(VLOOKUP($A120,'The List'!$B1:$AH665,28,FALSE)-AVERAGE('The List'!AC2:AC665))/STDEV('The List'!AC2:AC665)</f>
        <v>-1.30834571281262</v>
      </c>
      <c r="Q120" s="77">
        <f>(VLOOKUP($A120,'The List'!$B1:$AH665,29,FALSE)-AVERAGE('The List'!AD2:AD665))/STDEV('The List'!AD2:AD665)</f>
        <v>-0.388355160985234</v>
      </c>
      <c r="R120" s="77">
        <f>(VLOOKUP($A120,'The List'!$B1:$AH665,30,FALSE)-AVERAGE('The List'!AE2:AE665))/STDEV('The List'!AE2:AE665)</f>
        <v>0.286373998810311</v>
      </c>
      <c r="S120" s="77">
        <f>(VLOOKUP($A120,'The List'!$B1:$AH665,31,FALSE)-AVERAGE('The List'!AF2:AF665))/STDEV('The List'!AF2:AF665)</f>
        <v>0.6998811179141951</v>
      </c>
      <c r="T120" s="77">
        <f>(VLOOKUP($A120,'The List'!$B1:$AH665,32,FALSE)-AVERAGE('The List'!AG2:AG665))/STDEV('The List'!AG2:AG665)</f>
        <v>1.91716832272252</v>
      </c>
      <c r="U120" s="77">
        <f>(VLOOKUP($A120,'The List'!$B1:$AH665,33,FALSE)-AVERAGE('The List'!AH2:AH665))/STDEV('The List'!AH2:AH665)</f>
        <v>0.344226967402535</v>
      </c>
      <c r="V120" s="77"/>
      <c r="W120" s="79"/>
      <c r="X120" s="79"/>
      <c r="Y120" s="79"/>
      <c r="Z120" s="79"/>
      <c r="AA120" s="79"/>
      <c r="AB120" s="79"/>
      <c r="AC120" s="82"/>
      <c r="AD120" s="83"/>
      <c r="AE120" s="84"/>
    </row>
    <row r="121" ht="21.25" customHeight="1">
      <c r="A121" t="s" s="10">
        <v>369</v>
      </c>
      <c r="B121" t="s" s="86">
        <f>VLOOKUP(A121,'Player Data'!A1:B667,2,FALSE)</f>
        <v>904</v>
      </c>
      <c r="C121" s="74">
        <f>((E121)*'Settings'!$C$12)+(F121*'Settings'!$C$2)+(G121*'Settings'!$C$3)+(H121*'Settings'!$C$4)+(I121*'Settings'!$C$5)+(K121*'Settings'!$C$9)+(N121*'Settings'!$C$6)+(J121*'Settings'!$C$8)+(O121*'Settings'!$C$7)+(P121*'Settings'!$C$14)+(Q121*'Settings'!$C$15)+(R121*'Settings'!$C$16)+(S121*'Settings'!$C$17)+(T121*'Settings'!$C$18)+(U121*'Settings'!$C$19)+(L121*'Settings'!$C$10)+('Settings'!$C$11*M121)</f>
        <v>2.55075723144756</v>
      </c>
      <c r="D121" s="79">
        <f>IF('Settings'!$E$12="YES",VLOOKUP(A121,'Player Data'!A1:E667,5,FALSE),82)</f>
        <v>81.33</v>
      </c>
      <c r="E121" s="77">
        <f>(VLOOKUP($A121,'The List'!$B1:$AH665,17,FALSE)-AVERAGE('The List'!R2:R665))/STDEV('The List'!R2:R665)</f>
        <v>0.741883066939786</v>
      </c>
      <c r="F121" s="77">
        <f>(VLOOKUP($A121,'The List'!$B1:$AH665,18,FALSE)-AVERAGE('The List'!S2:S665))/STDEV('The List'!S2:S665)</f>
        <v>0.8642108003830929</v>
      </c>
      <c r="G121" s="77">
        <f>(VLOOKUP($A121,'The List'!$B1:$AH665,19,FALSE)-AVERAGE('The List'!T2:T665))/STDEV('The List'!T2:T665)</f>
        <v>0.990729775256421</v>
      </c>
      <c r="H121" s="77">
        <f>(VLOOKUP($A121,'The List'!$B1:$AH665,20,FALSE)-AVERAGE('The List'!U2:U665))/STDEV('The List'!U2:U665)</f>
        <v>1.00812378531192</v>
      </c>
      <c r="I121" s="77">
        <f>(VLOOKUP($A121,'The List'!$B1:$AH665,21,FALSE)-AVERAGE('The List'!V2:V665))/STDEV('The List'!V2:V665)</f>
        <v>0.941233181472604</v>
      </c>
      <c r="J121" s="77">
        <f>(VLOOKUP($A121,'The List'!$B1:$AH665,22,FALSE)-AVERAGE('The List'!W2:W665))/STDEV('The List'!W2:W665)</f>
        <v>0.139661167557932</v>
      </c>
      <c r="K121" s="77">
        <f>(VLOOKUP($A121,'The List'!$B1:$AH665,23,FALSE)-AVERAGE('The List'!X2:X665))/STDEV('The List'!X2:X665)</f>
        <v>0.7022628409738551</v>
      </c>
      <c r="L121" s="77">
        <f>(VLOOKUP($A121,'The List'!$B1:$AH665,24,FALSE)-AVERAGE('The List'!Y2:Y665))/STDEV('The List'!Y2:Y665)</f>
        <v>1.58186181046451</v>
      </c>
      <c r="M121" s="77">
        <f>(VLOOKUP($A121,'The List'!$B1:$AH665,25,FALSE)-AVERAGE('The List'!Z2:Z665))/STDEV('The List'!Z2:Z665)</f>
        <v>1.32532398071728</v>
      </c>
      <c r="N121" s="77">
        <f>(VLOOKUP($A121,'The List'!$B1:$AH665,26,FALSE)-AVERAGE('The List'!AA2:AA665))/STDEV('The List'!AA2:AA665)</f>
        <v>-0.793195715724815</v>
      </c>
      <c r="O121" s="77">
        <f>(VLOOKUP($A121,'The List'!$B1:$AH665,27,FALSE)-AVERAGE('The List'!AB2:AB665))/STDEV('The List'!AB2:AB665)</f>
        <v>-0.821463601798556</v>
      </c>
      <c r="P121" s="77">
        <f>(VLOOKUP($A121,'The List'!$B1:$AH665,28,FALSE)-AVERAGE('The List'!AC2:AC665))/STDEV('The List'!AC2:AC665)</f>
        <v>-0.154483650913603</v>
      </c>
      <c r="Q121" s="77">
        <f>(VLOOKUP($A121,'The List'!$B1:$AH665,29,FALSE)-AVERAGE('The List'!AD2:AD665))/STDEV('The List'!AD2:AD665)</f>
        <v>-0.116935343086938</v>
      </c>
      <c r="R121" s="77">
        <f>(VLOOKUP($A121,'The List'!$B1:$AH665,30,FALSE)-AVERAGE('The List'!AE2:AE665))/STDEV('The List'!AE2:AE665)</f>
        <v>0.915181639704345</v>
      </c>
      <c r="S121" s="77">
        <f>(VLOOKUP($A121,'The List'!$B1:$AH665,31,FALSE)-AVERAGE('The List'!AF2:AF665))/STDEV('The List'!AF2:AF665)</f>
        <v>2.72008051982195</v>
      </c>
      <c r="T121" s="77">
        <f>(VLOOKUP($A121,'The List'!$B1:$AH665,32,FALSE)-AVERAGE('The List'!AG2:AG665))/STDEV('The List'!AG2:AG665)</f>
        <v>1.84571144909686</v>
      </c>
      <c r="U121" s="77">
        <f>(VLOOKUP($A121,'The List'!$B1:$AH665,33,FALSE)-AVERAGE('The List'!AH2:AH665))/STDEV('The List'!AH2:AH665)</f>
        <v>1.42661360945536</v>
      </c>
      <c r="V121" s="77"/>
      <c r="W121" s="89"/>
      <c r="X121" s="79"/>
      <c r="Y121" s="79"/>
      <c r="Z121" s="79"/>
      <c r="AA121" s="79"/>
      <c r="AB121" s="79"/>
      <c r="AC121" s="82"/>
      <c r="AD121" s="83"/>
      <c r="AE121" s="84"/>
    </row>
    <row r="122" ht="21.25" customHeight="1">
      <c r="A122" t="s" s="10">
        <v>357</v>
      </c>
      <c r="B122" t="s" s="86">
        <f>VLOOKUP(A122,'Player Data'!A1:B667,2,FALSE)</f>
        <v>900</v>
      </c>
      <c r="C122" s="74">
        <f>((E122)*'Settings'!$C$12)+(F122*'Settings'!$C$2)+(G122*'Settings'!$C$3)+(H122*'Settings'!$C$4)+(I122*'Settings'!$C$5)+(K122*'Settings'!$C$9)+(N122*'Settings'!$C$6)+(J122*'Settings'!$C$8)+(O122*'Settings'!$C$7)+(P122*'Settings'!$C$14)+(Q122*'Settings'!$C$15)+(R122*'Settings'!$C$16)+(S122*'Settings'!$C$17)+(T122*'Settings'!$C$18)+(U122*'Settings'!$C$19)+(L122*'Settings'!$C$10)+('Settings'!$C$11*M122)</f>
        <v>4.41691330055115</v>
      </c>
      <c r="D122" s="79">
        <f>IF('Settings'!$E$12="YES",VLOOKUP(A122,'Player Data'!A1:E667,5,FALSE),82)</f>
        <v>69.02500000000001</v>
      </c>
      <c r="E122" s="77">
        <f>(VLOOKUP($A122,'The List'!$B1:$AH665,17,FALSE)-AVERAGE('The List'!R2:R665))/STDEV('The List'!R2:R665)</f>
        <v>1.40746081547046</v>
      </c>
      <c r="F122" s="77">
        <f>(VLOOKUP($A122,'The List'!$B1:$AH665,18,FALSE)-AVERAGE('The List'!S2:S665))/STDEV('The List'!S2:S665)</f>
        <v>0.09962538129273341</v>
      </c>
      <c r="G122" s="77">
        <f>(VLOOKUP($A122,'The List'!$B1:$AH665,19,FALSE)-AVERAGE('The List'!T2:T665))/STDEV('The List'!T2:T665)</f>
        <v>0.896400098287702</v>
      </c>
      <c r="H122" s="77">
        <f>(VLOOKUP($A122,'The List'!$B1:$AH665,20,FALSE)-AVERAGE('The List'!U2:U665))/STDEV('The List'!U2:U665)</f>
        <v>0.601999335295658</v>
      </c>
      <c r="I122" s="77">
        <f>(VLOOKUP($A122,'The List'!$B1:$AH665,21,FALSE)-AVERAGE('The List'!V2:V665))/STDEV('The List'!V2:V665)</f>
        <v>1.27948159828562</v>
      </c>
      <c r="J122" s="77">
        <f>(VLOOKUP($A122,'The List'!$B1:$AH665,22,FALSE)-AVERAGE('The List'!W2:W665))/STDEV('The List'!W2:W665)</f>
        <v>0.866023022532642</v>
      </c>
      <c r="K122" s="77">
        <f>(VLOOKUP($A122,'The List'!$B1:$AH665,23,FALSE)-AVERAGE('The List'!X2:X665))/STDEV('The List'!X2:X665)</f>
        <v>0.984745570386356</v>
      </c>
      <c r="L122" s="77">
        <f>(VLOOKUP($A122,'The List'!$B1:$AH665,24,FALSE)-AVERAGE('The List'!Y2:Y665))/STDEV('The List'!Y2:Y665)</f>
        <v>-0.56376183469948</v>
      </c>
      <c r="M122" s="77">
        <f>(VLOOKUP($A122,'The List'!$B1:$AH665,25,FALSE)-AVERAGE('The List'!Z2:Z665))/STDEV('The List'!Z2:Z665)</f>
        <v>-0.7052985207879851</v>
      </c>
      <c r="N122" s="77">
        <f>(VLOOKUP($A122,'The List'!$B1:$AH665,26,FALSE)-AVERAGE('The List'!AA2:AA665))/STDEV('The List'!AA2:AA665)</f>
        <v>0.491070474887275</v>
      </c>
      <c r="O122" s="77">
        <f>(VLOOKUP($A122,'The List'!$B1:$AH665,27,FALSE)-AVERAGE('The List'!AB2:AB665))/STDEV('The List'!AB2:AB665)</f>
        <v>-0.497029666607981</v>
      </c>
      <c r="P122" s="77">
        <f>(VLOOKUP($A122,'The List'!$B1:$AH665,28,FALSE)-AVERAGE('The List'!AC2:AC665))/STDEV('The List'!AC2:AC665)</f>
        <v>0.665590177411463</v>
      </c>
      <c r="Q122" s="77">
        <f>(VLOOKUP($A122,'The List'!$B1:$AH665,29,FALSE)-AVERAGE('The List'!AD2:AD665))/STDEV('The List'!AD2:AD665)</f>
        <v>0.751526551884676</v>
      </c>
      <c r="R122" s="77">
        <f>(VLOOKUP($A122,'The List'!$B1:$AH665,30,FALSE)-AVERAGE('The List'!AE2:AE665))/STDEV('The List'!AE2:AE665)</f>
        <v>0.112840480520583</v>
      </c>
      <c r="S122" s="77">
        <f>(VLOOKUP($A122,'The List'!$B1:$AH665,31,FALSE)-AVERAGE('The List'!AF2:AF665))/STDEV('The List'!AF2:AF665)</f>
        <v>-0.573894410680004</v>
      </c>
      <c r="T122" s="77">
        <f>(VLOOKUP($A122,'The List'!$B1:$AH665,32,FALSE)-AVERAGE('The List'!AG2:AG665))/STDEV('The List'!AG2:AG665)</f>
        <v>-0.625770787132651</v>
      </c>
      <c r="U122" s="77">
        <f>(VLOOKUP($A122,'The List'!$B1:$AH665,33,FALSE)-AVERAGE('The List'!AH2:AH665))/STDEV('The List'!AH2:AH665)</f>
        <v>-1.23143509451486</v>
      </c>
      <c r="V122" s="77"/>
      <c r="W122" s="89"/>
      <c r="X122" s="79"/>
      <c r="Y122" s="79"/>
      <c r="Z122" s="79"/>
      <c r="AA122" s="79"/>
      <c r="AB122" s="79"/>
      <c r="AC122" s="82"/>
      <c r="AD122" s="83"/>
      <c r="AE122" s="84"/>
    </row>
    <row r="123" ht="21.25" customHeight="1">
      <c r="A123" t="s" s="10">
        <v>520</v>
      </c>
      <c r="B123" t="s" s="86">
        <f>VLOOKUP(A123,'Player Data'!A1:B667,2,FALSE)</f>
        <v>906</v>
      </c>
      <c r="C123" s="74">
        <f>((E123)*'Settings'!$C$12)+(F123*'Settings'!$C$2)+(G123*'Settings'!$C$3)+(H123*'Settings'!$C$4)+(I123*'Settings'!$C$5)+(K123*'Settings'!$C$9)+(N123*'Settings'!$C$6)+(J123*'Settings'!$C$8)+(O123*'Settings'!$C$7)+(P123*'Settings'!$C$14)+(Q123*'Settings'!$C$15)+(R123*'Settings'!$C$16)+(S123*'Settings'!$C$17)+(T123*'Settings'!$C$18)+(U123*'Settings'!$C$19)+(L123*'Settings'!$C$10)+('Settings'!$C$11*M123)</f>
        <v>2.16676629876964</v>
      </c>
      <c r="D123" s="79">
        <f>IF('Settings'!$E$12="YES",VLOOKUP(A123,'Player Data'!A1:E667,5,FALSE),82)</f>
        <v>67.505</v>
      </c>
      <c r="E123" s="77">
        <f>(VLOOKUP($A123,'The List'!$B1:$AH665,17,FALSE)-AVERAGE('The List'!R2:R665))/STDEV('The List'!R2:R665)</f>
        <v>-0.0413506228066769</v>
      </c>
      <c r="F123" s="77">
        <f>(VLOOKUP($A123,'The List'!$B1:$AH665,18,FALSE)-AVERAGE('The List'!S2:S665))/STDEV('The List'!S2:S665)</f>
        <v>1.32847728744932</v>
      </c>
      <c r="G123" s="77">
        <f>(VLOOKUP($A123,'The List'!$B1:$AH665,19,FALSE)-AVERAGE('The List'!T2:T665))/STDEV('The List'!T2:T665)</f>
        <v>-0.0929517657949033</v>
      </c>
      <c r="H123" s="77">
        <f>(VLOOKUP($A123,'The List'!$B1:$AH665,20,FALSE)-AVERAGE('The List'!U2:U665))/STDEV('The List'!U2:U665)</f>
        <v>0.546127801678932</v>
      </c>
      <c r="I123" s="77">
        <f>(VLOOKUP($A123,'The List'!$B1:$AH665,21,FALSE)-AVERAGE('The List'!V2:V665))/STDEV('The List'!V2:V665)</f>
        <v>0.363354943292446</v>
      </c>
      <c r="J123" s="77">
        <f>(VLOOKUP($A123,'The List'!$B1:$AH665,22,FALSE)-AVERAGE('The List'!W2:W665))/STDEV('The List'!W2:W665)</f>
        <v>1.70234748581947</v>
      </c>
      <c r="K123" s="77">
        <f>(VLOOKUP($A123,'The List'!$B1:$AH665,23,FALSE)-AVERAGE('The List'!X2:X665))/STDEV('The List'!X2:X665)</f>
        <v>0.7768746925011361</v>
      </c>
      <c r="L123" s="77">
        <f>(VLOOKUP($A123,'The List'!$B1:$AH665,24,FALSE)-AVERAGE('The List'!Y2:Y665))/STDEV('The List'!Y2:Y665)</f>
        <v>-0.576798642788428</v>
      </c>
      <c r="M123" s="77">
        <f>(VLOOKUP($A123,'The List'!$B1:$AH665,25,FALSE)-AVERAGE('The List'!Z2:Z665))/STDEV('The List'!Z2:Z665)</f>
        <v>-0.7505751907479979</v>
      </c>
      <c r="N123" s="77">
        <f>(VLOOKUP($A123,'The List'!$B1:$AH665,26,FALSE)-AVERAGE('The List'!AA2:AA665))/STDEV('The List'!AA2:AA665)</f>
        <v>-0.727301155849391</v>
      </c>
      <c r="O123" s="77">
        <f>(VLOOKUP($A123,'The List'!$B1:$AH665,27,FALSE)-AVERAGE('The List'!AB2:AB665))/STDEV('The List'!AB2:AB665)</f>
        <v>-1.20215386261142</v>
      </c>
      <c r="P123" s="77">
        <f>(VLOOKUP($A123,'The List'!$B1:$AH665,28,FALSE)-AVERAGE('The List'!AC2:AC665))/STDEV('The List'!AC2:AC665)</f>
        <v>0.518312297171036</v>
      </c>
      <c r="Q123" s="77">
        <f>(VLOOKUP($A123,'The List'!$B1:$AH665,29,FALSE)-AVERAGE('The List'!AD2:AD665))/STDEV('The List'!AD2:AD665)</f>
        <v>-0.670326917889707</v>
      </c>
      <c r="R123" s="77">
        <f>(VLOOKUP($A123,'The List'!$B1:$AH665,30,FALSE)-AVERAGE('The List'!AE2:AE665))/STDEV('The List'!AE2:AE665)</f>
        <v>1.56516768635537</v>
      </c>
      <c r="S123" s="77">
        <f>(VLOOKUP($A123,'The List'!$B1:$AH665,31,FALSE)-AVERAGE('The List'!AF2:AF665))/STDEV('The List'!AF2:AF665)</f>
        <v>-0.317057641935912</v>
      </c>
      <c r="T123" s="77">
        <f>(VLOOKUP($A123,'The List'!$B1:$AH665,32,FALSE)-AVERAGE('The List'!AG2:AG665))/STDEV('The List'!AG2:AG665)</f>
        <v>-0.308664325859699</v>
      </c>
      <c r="U123" s="77">
        <f>(VLOOKUP($A123,'The List'!$B1:$AH665,33,FALSE)-AVERAGE('The List'!AH2:AH665))/STDEV('The List'!AH2:AH665)</f>
        <v>0.866441944288906</v>
      </c>
      <c r="V123" s="77"/>
      <c r="W123" s="79"/>
      <c r="X123" s="77"/>
      <c r="Y123" s="77"/>
      <c r="Z123" s="77"/>
      <c r="AA123" s="77"/>
      <c r="AB123" s="77"/>
      <c r="AC123" s="77"/>
      <c r="AD123" s="77"/>
      <c r="AE123" s="84"/>
    </row>
    <row r="124" ht="21.25" customHeight="1">
      <c r="A124" t="s" s="10">
        <v>556</v>
      </c>
      <c r="B124" t="s" s="86">
        <f>VLOOKUP(A124,'Player Data'!A1:B667,2,FALSE)</f>
        <v>908</v>
      </c>
      <c r="C124" s="74">
        <f>((E124)*'Settings'!$C$12)+(F124*'Settings'!$C$2)+(G124*'Settings'!$C$3)+(H124*'Settings'!$C$4)+(I124*'Settings'!$C$5)+(K124*'Settings'!$C$9)+(N124*'Settings'!$C$6)+(J124*'Settings'!$C$8)+(O124*'Settings'!$C$7)+(P124*'Settings'!$C$14)+(Q124*'Settings'!$C$15)+(R124*'Settings'!$C$16)+(S124*'Settings'!$C$17)+(T124*'Settings'!$C$18)+(U124*'Settings'!$C$19)+(L124*'Settings'!$C$10)+('Settings'!$C$11*M124)</f>
        <v>1.24881946298249</v>
      </c>
      <c r="D124" s="79">
        <f>IF('Settings'!$E$12="YES",VLOOKUP(A124,'Player Data'!A1:E667,5,FALSE),82)</f>
        <v>77.755</v>
      </c>
      <c r="E124" s="77">
        <f>(VLOOKUP($A124,'The List'!$B1:$AH665,17,FALSE)-AVERAGE('The List'!R2:R665))/STDEV('The List'!R2:R665)</f>
        <v>-0.233577694975108</v>
      </c>
      <c r="F124" s="77">
        <f>(VLOOKUP($A124,'The List'!$B1:$AH665,18,FALSE)-AVERAGE('The List'!S2:S665))/STDEV('The List'!S2:S665)</f>
        <v>0.298130877473376</v>
      </c>
      <c r="G124" s="77">
        <f>(VLOOKUP($A124,'The List'!$B1:$AH665,19,FALSE)-AVERAGE('The List'!T2:T665))/STDEV('The List'!T2:T665)</f>
        <v>1.17060813881949</v>
      </c>
      <c r="H124" s="77">
        <f>(VLOOKUP($A124,'The List'!$B1:$AH665,20,FALSE)-AVERAGE('The List'!U2:U665))/STDEV('The List'!U2:U665)</f>
        <v>0.862528130404616</v>
      </c>
      <c r="I124" s="77">
        <f>(VLOOKUP($A124,'The List'!$B1:$AH665,21,FALSE)-AVERAGE('The List'!V2:V665))/STDEV('The List'!V2:V665)</f>
        <v>-0.0501630159224805</v>
      </c>
      <c r="J124" s="77">
        <f>(VLOOKUP($A124,'The List'!$B1:$AH665,22,FALSE)-AVERAGE('The List'!W2:W665))/STDEV('The List'!W2:W665)</f>
        <v>-0.101874713338394</v>
      </c>
      <c r="K124" s="77">
        <f>(VLOOKUP($A124,'The List'!$B1:$AH665,23,FALSE)-AVERAGE('The List'!X2:X665))/STDEV('The List'!X2:X665)</f>
        <v>0.561615086714382</v>
      </c>
      <c r="L124" s="77">
        <f>(VLOOKUP($A124,'The List'!$B1:$AH665,24,FALSE)-AVERAGE('The List'!Y2:Y665))/STDEV('The List'!Y2:Y665)</f>
        <v>-0.5421780304982931</v>
      </c>
      <c r="M124" s="77">
        <f>(VLOOKUP($A124,'The List'!$B1:$AH665,25,FALSE)-AVERAGE('The List'!Z2:Z665))/STDEV('The List'!Z2:Z665)</f>
        <v>-0.616922785106605</v>
      </c>
      <c r="N124" s="77">
        <f>(VLOOKUP($A124,'The List'!$B1:$AH665,26,FALSE)-AVERAGE('The List'!AA2:AA665))/STDEV('The List'!AA2:AA665)</f>
        <v>-1.01786396005765</v>
      </c>
      <c r="O124" s="77">
        <f>(VLOOKUP($A124,'The List'!$B1:$AH665,27,FALSE)-AVERAGE('The List'!AB2:AB665))/STDEV('The List'!AB2:AB665)</f>
        <v>-1.25777668189412</v>
      </c>
      <c r="P124" s="77">
        <f>(VLOOKUP($A124,'The List'!$B1:$AH665,28,FALSE)-AVERAGE('The List'!AC2:AC665))/STDEV('The List'!AC2:AC665)</f>
        <v>0.286492335955371</v>
      </c>
      <c r="Q124" s="77">
        <f>(VLOOKUP($A124,'The List'!$B1:$AH665,29,FALSE)-AVERAGE('The List'!AD2:AD665))/STDEV('The List'!AD2:AD665)</f>
        <v>-1.1268940314282</v>
      </c>
      <c r="R124" s="77">
        <f>(VLOOKUP($A124,'The List'!$B1:$AH665,30,FALSE)-AVERAGE('The List'!AE2:AE665))/STDEV('The List'!AE2:AE665)</f>
        <v>0.257460810220474</v>
      </c>
      <c r="S124" s="77">
        <f>(VLOOKUP($A124,'The List'!$B1:$AH665,31,FALSE)-AVERAGE('The List'!AF2:AF665))/STDEV('The List'!AF2:AF665)</f>
        <v>-0.554292889991497</v>
      </c>
      <c r="T124" s="77">
        <f>(VLOOKUP($A124,'The List'!$B1:$AH665,32,FALSE)-AVERAGE('The List'!AG2:AG665))/STDEV('The List'!AG2:AG665)</f>
        <v>-0.575570657947187</v>
      </c>
      <c r="U124" s="77">
        <f>(VLOOKUP($A124,'The List'!$B1:$AH665,33,FALSE)-AVERAGE('The List'!AH2:AH665))/STDEV('The List'!AH2:AH665)</f>
        <v>0.0987699517616218</v>
      </c>
      <c r="V124" s="77"/>
      <c r="W124" s="89"/>
      <c r="X124" s="79"/>
      <c r="Y124" s="79"/>
      <c r="Z124" s="79"/>
      <c r="AA124" s="79"/>
      <c r="AB124" s="79"/>
      <c r="AC124" s="82"/>
      <c r="AD124" s="83"/>
      <c r="AE124" s="84"/>
    </row>
    <row r="125" ht="21.25" customHeight="1">
      <c r="A125" t="s" s="10">
        <v>431</v>
      </c>
      <c r="B125" t="s" s="86">
        <f>VLOOKUP(A125,'Player Data'!A1:B667,2,FALSE)</f>
        <v>905</v>
      </c>
      <c r="C125" s="74">
        <f>((E125)*'Settings'!$C$12)+(F125*'Settings'!$C$2)+(G125*'Settings'!$C$3)+(H125*'Settings'!$C$4)+(I125*'Settings'!$C$5)+(K125*'Settings'!$C$9)+(N125*'Settings'!$C$6)+(J125*'Settings'!$C$8)+(O125*'Settings'!$C$7)+(P125*'Settings'!$C$14)+(Q125*'Settings'!$C$15)+(R125*'Settings'!$C$16)+(S125*'Settings'!$C$17)+(T125*'Settings'!$C$18)+(U125*'Settings'!$C$19)+(L125*'Settings'!$C$10)+('Settings'!$C$11*M125)</f>
        <v>4.08378093813798</v>
      </c>
      <c r="D125" s="79">
        <f>IF('Settings'!$E$12="YES",VLOOKUP(A125,'Player Data'!A1:E667,5,FALSE),82)</f>
        <v>78.54000000000001</v>
      </c>
      <c r="E125" s="77">
        <f>(VLOOKUP($A125,'The List'!$B1:$AH665,17,FALSE)-AVERAGE('The List'!R2:R665))/STDEV('The List'!R2:R665)</f>
        <v>0.589423441326853</v>
      </c>
      <c r="F125" s="77">
        <f>(VLOOKUP($A125,'The List'!$B1:$AH665,18,FALSE)-AVERAGE('The List'!S2:S665))/STDEV('The List'!S2:S665)</f>
        <v>0.88376214395727</v>
      </c>
      <c r="G125" s="77">
        <f>(VLOOKUP($A125,'The List'!$B1:$AH665,19,FALSE)-AVERAGE('The List'!T2:T665))/STDEV('The List'!T2:T665)</f>
        <v>0.744488201185423</v>
      </c>
      <c r="H125" s="77">
        <f>(VLOOKUP($A125,'The List'!$B1:$AH665,20,FALSE)-AVERAGE('The List'!U2:U665))/STDEV('The List'!U2:U665)</f>
        <v>0.864080937118941</v>
      </c>
      <c r="I125" s="77">
        <f>(VLOOKUP($A125,'The List'!$B1:$AH665,21,FALSE)-AVERAGE('The List'!V2:V665))/STDEV('The List'!V2:V665)</f>
        <v>0.804268386962728</v>
      </c>
      <c r="J125" s="77">
        <f>(VLOOKUP($A125,'The List'!$B1:$AH665,22,FALSE)-AVERAGE('The List'!W2:W665))/STDEV('The List'!W2:W665)</f>
        <v>1.57692720717496</v>
      </c>
      <c r="K125" s="77">
        <f>(VLOOKUP($A125,'The List'!$B1:$AH665,23,FALSE)-AVERAGE('The List'!X2:X665))/STDEV('The List'!X2:X665)</f>
        <v>1.17565835051269</v>
      </c>
      <c r="L125" s="77">
        <f>(VLOOKUP($A125,'The List'!$B1:$AH665,24,FALSE)-AVERAGE('The List'!Y2:Y665))/STDEV('The List'!Y2:Y665)</f>
        <v>2.35164743199159</v>
      </c>
      <c r="M125" s="77">
        <f>(VLOOKUP($A125,'The List'!$B1:$AH665,25,FALSE)-AVERAGE('The List'!Z2:Z665))/STDEV('The List'!Z2:Z665)</f>
        <v>3.45483665074889</v>
      </c>
      <c r="N125" s="77">
        <f>(VLOOKUP($A125,'The List'!$B1:$AH665,26,FALSE)-AVERAGE('The List'!AA2:AA665))/STDEV('The List'!AA2:AA665)</f>
        <v>-0.804009773253595</v>
      </c>
      <c r="O125" s="77">
        <f>(VLOOKUP($A125,'The List'!$B1:$AH665,27,FALSE)-AVERAGE('The List'!AB2:AB665))/STDEV('The List'!AB2:AB665)</f>
        <v>-1.38563030245542</v>
      </c>
      <c r="P125" s="77">
        <f>(VLOOKUP($A125,'The List'!$B1:$AH665,28,FALSE)-AVERAGE('The List'!AC2:AC665))/STDEV('The List'!AC2:AC665)</f>
        <v>1.27961362877346</v>
      </c>
      <c r="Q125" s="77">
        <f>(VLOOKUP($A125,'The List'!$B1:$AH665,29,FALSE)-AVERAGE('The List'!AD2:AD665))/STDEV('The List'!AD2:AD665)</f>
        <v>-0.742629748885699</v>
      </c>
      <c r="R125" s="77">
        <f>(VLOOKUP($A125,'The List'!$B1:$AH665,30,FALSE)-AVERAGE('The List'!AE2:AE665))/STDEV('The List'!AE2:AE665)</f>
        <v>0.564234917647687</v>
      </c>
      <c r="S125" s="77">
        <f>(VLOOKUP($A125,'The List'!$B1:$AH665,31,FALSE)-AVERAGE('The List'!AF2:AF665))/STDEV('The List'!AF2:AF665)</f>
        <v>-0.22367987544414</v>
      </c>
      <c r="T125" s="77">
        <f>(VLOOKUP($A125,'The List'!$B1:$AH665,32,FALSE)-AVERAGE('The List'!AG2:AG665))/STDEV('The List'!AG2:AG665)</f>
        <v>-0.304511064270539</v>
      </c>
      <c r="U125" s="77">
        <f>(VLOOKUP($A125,'The List'!$B1:$AH665,33,FALSE)-AVERAGE('The List'!AH2:AH665))/STDEV('The List'!AH2:AH665)</f>
        <v>1.20250898157507</v>
      </c>
      <c r="V125" s="77"/>
      <c r="W125" s="79"/>
      <c r="X125" s="77"/>
      <c r="Y125" s="77"/>
      <c r="Z125" s="77"/>
      <c r="AA125" s="77"/>
      <c r="AB125" s="77"/>
      <c r="AC125" s="77"/>
      <c r="AD125" s="77"/>
      <c r="AE125" s="84"/>
    </row>
    <row r="126" ht="21.25" customHeight="1">
      <c r="A126" t="s" s="10">
        <v>514</v>
      </c>
      <c r="B126" t="s" s="86">
        <f>VLOOKUP(A126,'Player Data'!A1:B667,2,FALSE)</f>
        <v>174</v>
      </c>
      <c r="C126" s="74">
        <f>((E126)*'Settings'!$C$12)+(F126*'Settings'!$C$2)+(G126*'Settings'!$C$3)+(H126*'Settings'!$C$4)+(I126*'Settings'!$C$5)+(K126*'Settings'!$C$9)+(N126*'Settings'!$C$6)+(J126*'Settings'!$C$8)+(O126*'Settings'!$C$7)+(P126*'Settings'!$C$14)+(Q126*'Settings'!$C$15)+(R126*'Settings'!$C$16)+(S126*'Settings'!$C$17)+(T126*'Settings'!$C$18)+(U126*'Settings'!$C$19)+(L126*'Settings'!$C$10)+('Settings'!$C$11*M126)</f>
        <v>2.01861825315289</v>
      </c>
      <c r="D126" s="79">
        <f>IF('Settings'!$E$12="YES",VLOOKUP(A126,'Player Data'!A1:E667,5,FALSE),82)</f>
        <v>79.61750000000001</v>
      </c>
      <c r="E126" s="77">
        <f>(VLOOKUP($A126,'The List'!$B1:$AH665,17,FALSE)-AVERAGE('The List'!R2:R665))/STDEV('The List'!R2:R665)</f>
        <v>-0.36776596150927</v>
      </c>
      <c r="F126" s="77">
        <f>(VLOOKUP($A126,'The List'!$B1:$AH665,18,FALSE)-AVERAGE('The List'!S2:S665))/STDEV('The List'!S2:S665)</f>
        <v>1.36090056472029</v>
      </c>
      <c r="G126" s="77">
        <f>(VLOOKUP($A126,'The List'!$B1:$AH665,19,FALSE)-AVERAGE('The List'!T2:T665))/STDEV('The List'!T2:T665)</f>
        <v>0.448678084502185</v>
      </c>
      <c r="H126" s="77">
        <f>(VLOOKUP($A126,'The List'!$B1:$AH665,20,FALSE)-AVERAGE('The List'!U2:U665))/STDEV('The List'!U2:U665)</f>
        <v>0.8972483142601509</v>
      </c>
      <c r="I126" s="77">
        <f>(VLOOKUP($A126,'The List'!$B1:$AH665,21,FALSE)-AVERAGE('The List'!V2:V665))/STDEV('The List'!V2:V665)</f>
        <v>0.105685485015897</v>
      </c>
      <c r="J126" s="77">
        <f>(VLOOKUP($A126,'The List'!$B1:$AH665,22,FALSE)-AVERAGE('The List'!W2:W665))/STDEV('The List'!W2:W665)</f>
        <v>1.67583906093149</v>
      </c>
      <c r="K126" s="77">
        <f>(VLOOKUP($A126,'The List'!$B1:$AH665,23,FALSE)-AVERAGE('The List'!X2:X665))/STDEV('The List'!X2:X665)</f>
        <v>1.05343019524775</v>
      </c>
      <c r="L126" s="77">
        <f>(VLOOKUP($A126,'The List'!$B1:$AH665,24,FALSE)-AVERAGE('The List'!Y2:Y665))/STDEV('The List'!Y2:Y665)</f>
        <v>-0.579693771759817</v>
      </c>
      <c r="M126" s="77">
        <f>(VLOOKUP($A126,'The List'!$B1:$AH665,25,FALSE)-AVERAGE('The List'!Z2:Z665))/STDEV('The List'!Z2:Z665)</f>
        <v>-0.753536966383672</v>
      </c>
      <c r="N126" s="77">
        <f>(VLOOKUP($A126,'The List'!$B1:$AH665,26,FALSE)-AVERAGE('The List'!AA2:AA665))/STDEV('The List'!AA2:AA665)</f>
        <v>-1.03738543563935</v>
      </c>
      <c r="O126" s="77">
        <f>(VLOOKUP($A126,'The List'!$B1:$AH665,27,FALSE)-AVERAGE('The List'!AB2:AB665))/STDEV('The List'!AB2:AB665)</f>
        <v>-1.39862246032244</v>
      </c>
      <c r="P126" s="77">
        <f>(VLOOKUP($A126,'The List'!$B1:$AH665,28,FALSE)-AVERAGE('The List'!AC2:AC665))/STDEV('The List'!AC2:AC665)</f>
        <v>0.0873093593061144</v>
      </c>
      <c r="Q126" s="77">
        <f>(VLOOKUP($A126,'The List'!$B1:$AH665,29,FALSE)-AVERAGE('The List'!AD2:AD665))/STDEV('The List'!AD2:AD665)</f>
        <v>-1.18254051448307</v>
      </c>
      <c r="R126" s="77">
        <f>(VLOOKUP($A126,'The List'!$B1:$AH665,30,FALSE)-AVERAGE('The List'!AE2:AE665))/STDEV('The List'!AE2:AE665)</f>
        <v>1.23757552122486</v>
      </c>
      <c r="S126" s="77">
        <f>(VLOOKUP($A126,'The List'!$B1:$AH665,31,FALSE)-AVERAGE('The List'!AF2:AF665))/STDEV('The List'!AF2:AF665)</f>
        <v>-0.571241172564159</v>
      </c>
      <c r="T126" s="77">
        <f>(VLOOKUP($A126,'The List'!$B1:$AH665,32,FALSE)-AVERAGE('The List'!AG2:AG665))/STDEV('The List'!AG2:AG665)</f>
        <v>-0.622897268758995</v>
      </c>
      <c r="U126" s="77">
        <f>(VLOOKUP($A126,'The List'!$B1:$AH665,33,FALSE)-AVERAGE('The List'!AH2:AH665))/STDEV('The List'!AH2:AH665)</f>
        <v>1.01463369987358</v>
      </c>
      <c r="V126" s="77"/>
      <c r="W126" s="89"/>
      <c r="X126" s="79"/>
      <c r="Y126" s="79"/>
      <c r="Z126" s="79"/>
      <c r="AA126" s="79"/>
      <c r="AB126" s="79"/>
      <c r="AC126" s="82"/>
      <c r="AD126" s="83"/>
      <c r="AE126" s="84"/>
    </row>
    <row r="127" ht="21.25" customHeight="1">
      <c r="A127" t="s" s="10">
        <v>393</v>
      </c>
      <c r="B127" t="s" s="86">
        <f>VLOOKUP(A127,'Player Data'!A1:B667,2,FALSE)</f>
        <v>911</v>
      </c>
      <c r="C127" s="74">
        <f>((E127)*'Settings'!$C$12)+(F127*'Settings'!$C$2)+(G127*'Settings'!$C$3)+(H127*'Settings'!$C$4)+(I127*'Settings'!$C$5)+(K127*'Settings'!$C$9)+(N127*'Settings'!$C$6)+(J127*'Settings'!$C$8)+(O127*'Settings'!$C$7)+(P127*'Settings'!$C$14)+(Q127*'Settings'!$C$15)+(R127*'Settings'!$C$16)+(S127*'Settings'!$C$17)+(T127*'Settings'!$C$18)+(U127*'Settings'!$C$19)+(L127*'Settings'!$C$10)+('Settings'!$C$11*M127)</f>
        <v>2.24545932200994</v>
      </c>
      <c r="D127" s="79">
        <f>IF('Settings'!$E$12="YES",VLOOKUP(A127,'Player Data'!A1:E667,5,FALSE),82)</f>
        <v>80.1675</v>
      </c>
      <c r="E127" s="77">
        <f>(VLOOKUP($A127,'The List'!$B1:$AH665,17,FALSE)-AVERAGE('The List'!R2:R665))/STDEV('The List'!R2:R665)</f>
        <v>0.464188262666068</v>
      </c>
      <c r="F127" s="77">
        <f>(VLOOKUP($A127,'The List'!$B1:$AH665,18,FALSE)-AVERAGE('The List'!S2:S665))/STDEV('The List'!S2:S665)</f>
        <v>0.973718402748855</v>
      </c>
      <c r="G127" s="77">
        <f>(VLOOKUP($A127,'The List'!$B1:$AH665,19,FALSE)-AVERAGE('The List'!T2:T665))/STDEV('The List'!T2:T665)</f>
        <v>0.715541034249947</v>
      </c>
      <c r="H127" s="77">
        <f>(VLOOKUP($A127,'The List'!$B1:$AH665,20,FALSE)-AVERAGE('The List'!U2:U665))/STDEV('The List'!U2:U665)</f>
        <v>0.886992514392395</v>
      </c>
      <c r="I127" s="77">
        <f>(VLOOKUP($A127,'The List'!$B1:$AH665,21,FALSE)-AVERAGE('The List'!V2:V665))/STDEV('The List'!V2:V665)</f>
        <v>0.328210839056153</v>
      </c>
      <c r="J127" s="77">
        <f>(VLOOKUP($A127,'The List'!$B1:$AH665,22,FALSE)-AVERAGE('The List'!W2:W665))/STDEV('The List'!W2:W665)</f>
        <v>1.14103047868622</v>
      </c>
      <c r="K127" s="77">
        <f>(VLOOKUP($A127,'The List'!$B1:$AH665,23,FALSE)-AVERAGE('The List'!X2:X665))/STDEV('The List'!X2:X665)</f>
        <v>0.743945984887005</v>
      </c>
      <c r="L127" s="77">
        <f>(VLOOKUP($A127,'The List'!$B1:$AH665,24,FALSE)-AVERAGE('The List'!Y2:Y665))/STDEV('The List'!Y2:Y665)</f>
        <v>-0.177413728731361</v>
      </c>
      <c r="M127" s="77">
        <f>(VLOOKUP($A127,'The List'!$B1:$AH665,25,FALSE)-AVERAGE('The List'!Z2:Z665))/STDEV('The List'!Z2:Z665)</f>
        <v>0.258881606356437</v>
      </c>
      <c r="N127" s="77">
        <f>(VLOOKUP($A127,'The List'!$B1:$AH665,26,FALSE)-AVERAGE('The List'!AA2:AA665))/STDEV('The List'!AA2:AA665)</f>
        <v>-0.408168213007571</v>
      </c>
      <c r="O127" s="77">
        <f>(VLOOKUP($A127,'The List'!$B1:$AH665,27,FALSE)-AVERAGE('The List'!AB2:AB665))/STDEV('The List'!AB2:AB665)</f>
        <v>-0.636330023046767</v>
      </c>
      <c r="P127" s="77">
        <f>(VLOOKUP($A127,'The List'!$B1:$AH665,28,FALSE)-AVERAGE('The List'!AC2:AC665))/STDEV('The List'!AC2:AC665)</f>
        <v>-0.107788725924454</v>
      </c>
      <c r="Q127" s="77">
        <f>(VLOOKUP($A127,'The List'!$B1:$AH665,29,FALSE)-AVERAGE('The List'!AD2:AD665))/STDEV('The List'!AD2:AD665)</f>
        <v>-1.01831584259086</v>
      </c>
      <c r="R127" s="77">
        <f>(VLOOKUP($A127,'The List'!$B1:$AH665,30,FALSE)-AVERAGE('The List'!AE2:AE665))/STDEV('The List'!AE2:AE665)</f>
        <v>0.9737204100417191</v>
      </c>
      <c r="S127" s="77">
        <f>(VLOOKUP($A127,'The List'!$B1:$AH665,31,FALSE)-AVERAGE('The List'!AF2:AF665))/STDEV('The List'!AF2:AF665)</f>
        <v>1.9501387989138</v>
      </c>
      <c r="T127" s="77">
        <f>(VLOOKUP($A127,'The List'!$B1:$AH665,32,FALSE)-AVERAGE('The List'!AG2:AG665))/STDEV('The List'!AG2:AG665)</f>
        <v>2.65844900558093</v>
      </c>
      <c r="U127" s="77">
        <f>(VLOOKUP($A127,'The List'!$B1:$AH665,33,FALSE)-AVERAGE('The List'!AH2:AH665))/STDEV('The List'!AH2:AH665)</f>
        <v>0.8074327920134881</v>
      </c>
      <c r="V127" s="77"/>
      <c r="W127" s="89"/>
      <c r="X127" s="79"/>
      <c r="Y127" s="79"/>
      <c r="Z127" s="79"/>
      <c r="AA127" s="79"/>
      <c r="AB127" s="79"/>
      <c r="AC127" s="82"/>
      <c r="AD127" s="83"/>
      <c r="AE127" s="84"/>
    </row>
    <row r="128" ht="21.25" customHeight="1">
      <c r="A128" t="s" s="10">
        <v>338</v>
      </c>
      <c r="B128" t="s" s="86">
        <f>VLOOKUP(A128,'Player Data'!A1:B667,2,FALSE)</f>
        <v>878</v>
      </c>
      <c r="C128" s="74">
        <f>((E128)*'Settings'!$C$12)+(F128*'Settings'!$C$2)+(G128*'Settings'!$C$3)+(H128*'Settings'!$C$4)+(I128*'Settings'!$C$5)+(K128*'Settings'!$C$9)+(N128*'Settings'!$C$6)+(J128*'Settings'!$C$8)+(O128*'Settings'!$C$7)+(P128*'Settings'!$C$14)+(Q128*'Settings'!$C$15)+(R128*'Settings'!$C$16)+(S128*'Settings'!$C$17)+(T128*'Settings'!$C$18)+(U128*'Settings'!$C$19)+(L128*'Settings'!$C$10)+('Settings'!$C$11*M128)</f>
        <v>3.23696397194368</v>
      </c>
      <c r="D128" s="79">
        <f>IF('Settings'!$E$12="YES",VLOOKUP(A128,'Player Data'!A1:E667,5,FALSE),82)</f>
        <v>81.5925</v>
      </c>
      <c r="E128" s="77">
        <f>(VLOOKUP($A128,'The List'!$B1:$AH665,17,FALSE)-AVERAGE('The List'!R2:R665))/STDEV('The List'!R2:R665)</f>
        <v>0.305679831540097</v>
      </c>
      <c r="F128" s="77">
        <f>(VLOOKUP($A128,'The List'!$B1:$AH665,18,FALSE)-AVERAGE('The List'!S2:S665))/STDEV('The List'!S2:S665)</f>
        <v>1.42049811068858</v>
      </c>
      <c r="G128" s="77">
        <f>(VLOOKUP($A128,'The List'!$B1:$AH665,19,FALSE)-AVERAGE('The List'!T2:T665))/STDEV('The List'!T2:T665)</f>
        <v>0.649024690453968</v>
      </c>
      <c r="H128" s="77">
        <f>(VLOOKUP($A128,'The List'!$B1:$AH665,20,FALSE)-AVERAGE('The List'!U2:U665))/STDEV('The List'!U2:U665)</f>
        <v>1.04876473920936</v>
      </c>
      <c r="I128" s="77">
        <f>(VLOOKUP($A128,'The List'!$B1:$AH665,21,FALSE)-AVERAGE('The List'!V2:V665))/STDEV('The List'!V2:V665)</f>
        <v>1.27563418006886</v>
      </c>
      <c r="J128" s="77">
        <f>(VLOOKUP($A128,'The List'!$B1:$AH665,22,FALSE)-AVERAGE('The List'!W2:W665))/STDEV('The List'!W2:W665)</f>
        <v>0.203710856998411</v>
      </c>
      <c r="K128" s="77">
        <f>(VLOOKUP($A128,'The List'!$B1:$AH665,23,FALSE)-AVERAGE('The List'!X2:X665))/STDEV('The List'!X2:X665)</f>
        <v>-0.0871141607300342</v>
      </c>
      <c r="L128" s="77">
        <f>(VLOOKUP($A128,'The List'!$B1:$AH665,24,FALSE)-AVERAGE('The List'!Y2:Y665))/STDEV('The List'!Y2:Y665)</f>
        <v>-0.561890384007377</v>
      </c>
      <c r="M128" s="77">
        <f>(VLOOKUP($A128,'The List'!$B1:$AH665,25,FALSE)-AVERAGE('The List'!Z2:Z665))/STDEV('The List'!Z2:Z665)</f>
        <v>-0.735363406431588</v>
      </c>
      <c r="N128" s="77">
        <f>(VLOOKUP($A128,'The List'!$B1:$AH665,26,FALSE)-AVERAGE('The List'!AA2:AA665))/STDEV('The List'!AA2:AA665)</f>
        <v>-0.931194806075433</v>
      </c>
      <c r="O128" s="77">
        <f>(VLOOKUP($A128,'The List'!$B1:$AH665,27,FALSE)-AVERAGE('The List'!AB2:AB665))/STDEV('The List'!AB2:AB665)</f>
        <v>0.0479825424929092</v>
      </c>
      <c r="P128" s="77">
        <f>(VLOOKUP($A128,'The List'!$B1:$AH665,28,FALSE)-AVERAGE('The List'!AC2:AC665))/STDEV('The List'!AC2:AC665)</f>
        <v>0.910115957537741</v>
      </c>
      <c r="Q128" s="77">
        <f>(VLOOKUP($A128,'The List'!$B1:$AH665,29,FALSE)-AVERAGE('The List'!AD2:AD665))/STDEV('The List'!AD2:AD665)</f>
        <v>0.357452863431578</v>
      </c>
      <c r="R128" s="77">
        <f>(VLOOKUP($A128,'The List'!$B1:$AH665,30,FALSE)-AVERAGE('The List'!AE2:AE665))/STDEV('The List'!AE2:AE665)</f>
        <v>1.61441639217623</v>
      </c>
      <c r="S128" s="77">
        <f>(VLOOKUP($A128,'The List'!$B1:$AH665,31,FALSE)-AVERAGE('The List'!AF2:AF665))/STDEV('The List'!AF2:AF665)</f>
        <v>-0.471012259956764</v>
      </c>
      <c r="T128" s="77">
        <f>(VLOOKUP($A128,'The List'!$B1:$AH665,32,FALSE)-AVERAGE('The List'!AG2:AG665))/STDEV('The List'!AG2:AG665)</f>
        <v>-0.37218718623223</v>
      </c>
      <c r="U128" s="77">
        <f>(VLOOKUP($A128,'The List'!$B1:$AH665,33,FALSE)-AVERAGE('The List'!AH2:AH665))/STDEV('The List'!AH2:AH665)</f>
        <v>0.135050271923929</v>
      </c>
      <c r="V128" s="77"/>
      <c r="W128" s="89"/>
      <c r="X128" s="79"/>
      <c r="Y128" s="79"/>
      <c r="Z128" s="79"/>
      <c r="AA128" s="79"/>
      <c r="AB128" s="79"/>
      <c r="AC128" s="82"/>
      <c r="AD128" s="83"/>
      <c r="AE128" s="84"/>
    </row>
    <row r="129" ht="21.25" customHeight="1">
      <c r="A129" t="s" s="10">
        <v>232</v>
      </c>
      <c r="B129" t="s" s="86">
        <f>VLOOKUP(A129,'Player Data'!A1:B667,2,FALSE)</f>
        <v>192</v>
      </c>
      <c r="C129" s="74">
        <f>((E129)*'Settings'!$C$12)+(F129*'Settings'!$C$2)+(G129*'Settings'!$C$3)+(H129*'Settings'!$C$4)+(I129*'Settings'!$C$5)+(K129*'Settings'!$C$9)+(N129*'Settings'!$C$6)+(J129*'Settings'!$C$8)+(O129*'Settings'!$C$7)+(P129*'Settings'!$C$14)+(Q129*'Settings'!$C$15)+(R129*'Settings'!$C$16)+(S129*'Settings'!$C$17)+(T129*'Settings'!$C$18)+(U129*'Settings'!$C$19)+(L129*'Settings'!$C$10)+('Settings'!$C$11*M129)</f>
        <v>4.82945142632409</v>
      </c>
      <c r="D129" s="79">
        <f>IF('Settings'!$E$12="YES",VLOOKUP(A129,'Player Data'!A1:E667,5,FALSE),82)</f>
        <v>75.855</v>
      </c>
      <c r="E129" s="77">
        <f>(VLOOKUP($A129,'The List'!$B1:$AH665,17,FALSE)-AVERAGE('The List'!R2:R665))/STDEV('The List'!R2:R665)</f>
        <v>2.53842591621423</v>
      </c>
      <c r="F129" s="77">
        <f>(VLOOKUP($A129,'The List'!$B1:$AH665,18,FALSE)-AVERAGE('The List'!S2:S665))/STDEV('The List'!S2:S665)</f>
        <v>-0.13456733509265</v>
      </c>
      <c r="G129" s="77">
        <f>(VLOOKUP($A129,'The List'!$B1:$AH665,19,FALSE)-AVERAGE('The List'!T2:T665))/STDEV('The List'!T2:T665)</f>
        <v>1.28704764361571</v>
      </c>
      <c r="H129" s="77">
        <f>(VLOOKUP($A129,'The List'!$B1:$AH665,20,FALSE)-AVERAGE('The List'!U2:U665))/STDEV('The List'!U2:U665)</f>
        <v>0.738161704648538</v>
      </c>
      <c r="I129" s="77">
        <f>(VLOOKUP($A129,'The List'!$B1:$AH665,21,FALSE)-AVERAGE('The List'!V2:V665))/STDEV('The List'!V2:V665)</f>
        <v>0.73260577014396</v>
      </c>
      <c r="J129" s="77">
        <f>(VLOOKUP($A129,'The List'!$B1:$AH665,22,FALSE)-AVERAGE('The List'!W2:W665))/STDEV('The List'!W2:W665)</f>
        <v>0.566566516670084</v>
      </c>
      <c r="K129" s="77">
        <f>(VLOOKUP($A129,'The List'!$B1:$AH665,23,FALSE)-AVERAGE('The List'!X2:X665))/STDEV('The List'!X2:X665)</f>
        <v>1.12640249139356</v>
      </c>
      <c r="L129" s="77">
        <f>(VLOOKUP($A129,'The List'!$B1:$AH665,24,FALSE)-AVERAGE('The List'!Y2:Y665))/STDEV('The List'!Y2:Y665)</f>
        <v>0.0326257254939785</v>
      </c>
      <c r="M129" s="77">
        <f>(VLOOKUP($A129,'The List'!$B1:$AH665,25,FALSE)-AVERAGE('The List'!Z2:Z665))/STDEV('The List'!Z2:Z665)</f>
        <v>0.373397098358289</v>
      </c>
      <c r="N129" s="77">
        <f>(VLOOKUP($A129,'The List'!$B1:$AH665,26,FALSE)-AVERAGE('The List'!AA2:AA665))/STDEV('The List'!AA2:AA665)</f>
        <v>2.50316759124409</v>
      </c>
      <c r="O129" s="77">
        <f>(VLOOKUP($A129,'The List'!$B1:$AH665,27,FALSE)-AVERAGE('The List'!AB2:AB665))/STDEV('The List'!AB2:AB665)</f>
        <v>-0.38760119245387</v>
      </c>
      <c r="P129" s="77">
        <f>(VLOOKUP($A129,'The List'!$B1:$AH665,28,FALSE)-AVERAGE('The List'!AC2:AC665))/STDEV('The List'!AC2:AC665)</f>
        <v>-0.685204734980578</v>
      </c>
      <c r="Q129" s="77">
        <f>(VLOOKUP($A129,'The List'!$B1:$AH665,29,FALSE)-AVERAGE('The List'!AD2:AD665))/STDEV('The List'!AD2:AD665)</f>
        <v>-0.227283624340016</v>
      </c>
      <c r="R129" s="77">
        <f>(VLOOKUP($A129,'The List'!$B1:$AH665,30,FALSE)-AVERAGE('The List'!AE2:AE665))/STDEV('The List'!AE2:AE665)</f>
        <v>-0.182935844496306</v>
      </c>
      <c r="S129" s="77">
        <f>(VLOOKUP($A129,'The List'!$B1:$AH665,31,FALSE)-AVERAGE('The List'!AF2:AF665))/STDEV('The List'!AF2:AF665)</f>
        <v>-0.573894410680004</v>
      </c>
      <c r="T129" s="77">
        <f>(VLOOKUP($A129,'The List'!$B1:$AH665,32,FALSE)-AVERAGE('The List'!AG2:AG665))/STDEV('The List'!AG2:AG665)</f>
        <v>-0.625770787132651</v>
      </c>
      <c r="U129" s="77">
        <f>(VLOOKUP($A129,'The List'!$B1:$AH665,33,FALSE)-AVERAGE('The List'!AH2:AH665))/STDEV('The List'!AH2:AH665)</f>
        <v>-1.23143509451486</v>
      </c>
      <c r="V129" s="77"/>
      <c r="W129" s="79"/>
      <c r="X129" s="77"/>
      <c r="Y129" s="77"/>
      <c r="Z129" s="77"/>
      <c r="AA129" s="77"/>
      <c r="AB129" s="77"/>
      <c r="AC129" s="77"/>
      <c r="AD129" s="77"/>
      <c r="AE129" s="84"/>
    </row>
    <row r="130" ht="21.25" customHeight="1">
      <c r="A130" t="s" s="10">
        <v>508</v>
      </c>
      <c r="B130" t="s" s="86">
        <f>VLOOKUP(A130,'Player Data'!A1:B667,2,FALSE)</f>
        <v>154</v>
      </c>
      <c r="C130" s="74">
        <f>((E130)*'Settings'!$C$12)+(F130*'Settings'!$C$2)+(G130*'Settings'!$C$3)+(H130*'Settings'!$C$4)+(I130*'Settings'!$C$5)+(K130*'Settings'!$C$9)+(N130*'Settings'!$C$6)+(J130*'Settings'!$C$8)+(O130*'Settings'!$C$7)+(P130*'Settings'!$C$14)+(Q130*'Settings'!$C$15)+(R130*'Settings'!$C$16)+(S130*'Settings'!$C$17)+(T130*'Settings'!$C$18)+(U130*'Settings'!$C$19)+(L130*'Settings'!$C$10)+('Settings'!$C$11*M130)</f>
        <v>0.331288720149234</v>
      </c>
      <c r="D130" s="79">
        <f>IF('Settings'!$E$12="YES",VLOOKUP(A130,'Player Data'!A1:E667,5,FALSE),82)</f>
        <v>68.205</v>
      </c>
      <c r="E130" s="77">
        <f>(VLOOKUP($A130,'The List'!$B1:$AH665,17,FALSE)-AVERAGE('The List'!R2:R665))/STDEV('The List'!R2:R665)</f>
        <v>0.0219314560185179</v>
      </c>
      <c r="F130" s="77">
        <f>(VLOOKUP($A130,'The List'!$B1:$AH665,18,FALSE)-AVERAGE('The List'!S2:S665))/STDEV('The List'!S2:S665)</f>
        <v>0.660227760513191</v>
      </c>
      <c r="G130" s="77">
        <f>(VLOOKUP($A130,'The List'!$B1:$AH665,19,FALSE)-AVERAGE('The List'!T2:T665))/STDEV('The List'!T2:T665)</f>
        <v>0.318069539965498</v>
      </c>
      <c r="H130" s="77">
        <f>(VLOOKUP($A130,'The List'!$B1:$AH665,20,FALSE)-AVERAGE('The List'!U2:U665))/STDEV('The List'!U2:U665)</f>
        <v>0.497643969066771</v>
      </c>
      <c r="I130" s="77">
        <f>(VLOOKUP($A130,'The List'!$B1:$AH665,21,FALSE)-AVERAGE('The List'!V2:V665))/STDEV('The List'!V2:V665)</f>
        <v>0.248942684659852</v>
      </c>
      <c r="J130" s="77">
        <f>(VLOOKUP($A130,'The List'!$B1:$AH665,22,FALSE)-AVERAGE('The List'!W2:W665))/STDEV('The List'!W2:W665)</f>
        <v>0.0596824154460583</v>
      </c>
      <c r="K130" s="77">
        <f>(VLOOKUP($A130,'The List'!$B1:$AH665,23,FALSE)-AVERAGE('The List'!X2:X665))/STDEV('The List'!X2:X665)</f>
        <v>0.0582701561018878</v>
      </c>
      <c r="L130" s="77">
        <f>(VLOOKUP($A130,'The List'!$B1:$AH665,24,FALSE)-AVERAGE('The List'!Y2:Y665))/STDEV('The List'!Y2:Y665)</f>
        <v>-0.324351594057277</v>
      </c>
      <c r="M130" s="77">
        <f>(VLOOKUP($A130,'The List'!$B1:$AH665,25,FALSE)-AVERAGE('The List'!Z2:Z665))/STDEV('The List'!Z2:Z665)</f>
        <v>-0.109214660755462</v>
      </c>
      <c r="N130" s="77">
        <f>(VLOOKUP($A130,'The List'!$B1:$AH665,26,FALSE)-AVERAGE('The List'!AA2:AA665))/STDEV('The List'!AA2:AA665)</f>
        <v>-0.865625838656447</v>
      </c>
      <c r="O130" s="77">
        <f>(VLOOKUP($A130,'The List'!$B1:$AH665,27,FALSE)-AVERAGE('The List'!AB2:AB665))/STDEV('The List'!AB2:AB665)</f>
        <v>-0.576164051416447</v>
      </c>
      <c r="P130" s="77">
        <f>(VLOOKUP($A130,'The List'!$B1:$AH665,28,FALSE)-AVERAGE('The List'!AC2:AC665))/STDEV('The List'!AC2:AC665)</f>
        <v>-0.0885955824347474</v>
      </c>
      <c r="Q130" s="77">
        <f>(VLOOKUP($A130,'The List'!$B1:$AH665,29,FALSE)-AVERAGE('The List'!AD2:AD665))/STDEV('The List'!AD2:AD665)</f>
        <v>-0.738948569226494</v>
      </c>
      <c r="R130" s="77">
        <f>(VLOOKUP($A130,'The List'!$B1:$AH665,30,FALSE)-AVERAGE('The List'!AE2:AE665))/STDEV('The List'!AE2:AE665)</f>
        <v>0.535186773926649</v>
      </c>
      <c r="S130" s="77">
        <f>(VLOOKUP($A130,'The List'!$B1:$AH665,31,FALSE)-AVERAGE('The List'!AF2:AF665))/STDEV('The List'!AF2:AF665)</f>
        <v>-0.528818312471425</v>
      </c>
      <c r="T130" s="77">
        <f>(VLOOKUP($A130,'The List'!$B1:$AH665,32,FALSE)-AVERAGE('The List'!AG2:AG665))/STDEV('The List'!AG2:AG665)</f>
        <v>-0.527920083598384</v>
      </c>
      <c r="U130" s="77">
        <f>(VLOOKUP($A130,'The List'!$B1:$AH665,33,FALSE)-AVERAGE('The List'!AH2:AH665))/STDEV('The List'!AH2:AH665)</f>
        <v>0.259262817492191</v>
      </c>
      <c r="V130" s="77"/>
      <c r="W130" s="89"/>
      <c r="X130" s="79"/>
      <c r="Y130" s="79"/>
      <c r="Z130" s="79"/>
      <c r="AA130" s="79"/>
      <c r="AB130" s="79"/>
      <c r="AC130" s="82"/>
      <c r="AD130" s="83"/>
      <c r="AE130" s="84"/>
    </row>
    <row r="131" ht="21.25" customHeight="1">
      <c r="A131" t="s" s="10">
        <v>566</v>
      </c>
      <c r="B131" t="s" s="86">
        <f>VLOOKUP(A131,'Player Data'!A1:B667,2,FALSE)</f>
        <v>871</v>
      </c>
      <c r="C131" s="74">
        <f>((E131)*'Settings'!$C$12)+(F131*'Settings'!$C$2)+(G131*'Settings'!$C$3)+(H131*'Settings'!$C$4)+(I131*'Settings'!$C$5)+(K131*'Settings'!$C$9)+(N131*'Settings'!$C$6)+(J131*'Settings'!$C$8)+(O131*'Settings'!$C$7)+(P131*'Settings'!$C$14)+(Q131*'Settings'!$C$15)+(R131*'Settings'!$C$16)+(S131*'Settings'!$C$17)+(T131*'Settings'!$C$18)+(U131*'Settings'!$C$19)+(L131*'Settings'!$C$10)+('Settings'!$C$11*M131)</f>
        <v>0.322422876277595</v>
      </c>
      <c r="D131" s="79">
        <f>IF('Settings'!$E$12="YES",VLOOKUP(A131,'Player Data'!A1:E667,5,FALSE),82)</f>
        <v>77.47499999999999</v>
      </c>
      <c r="E131" s="77">
        <f>(VLOOKUP($A131,'The List'!$B1:$AH665,17,FALSE)-AVERAGE('The List'!R2:R665))/STDEV('The List'!R2:R665)</f>
        <v>-0.0112914585423584</v>
      </c>
      <c r="F131" s="77">
        <f>(VLOOKUP($A131,'The List'!$B1:$AH665,18,FALSE)-AVERAGE('The List'!S2:S665))/STDEV('The List'!S2:S665)</f>
        <v>0.299463039771418</v>
      </c>
      <c r="G131" s="77">
        <f>(VLOOKUP($A131,'The List'!$B1:$AH665,19,FALSE)-AVERAGE('The List'!T2:T665))/STDEV('The List'!T2:T665)</f>
        <v>1.04458991365306</v>
      </c>
      <c r="H131" s="77">
        <f>(VLOOKUP($A131,'The List'!$B1:$AH665,20,FALSE)-AVERAGE('The List'!U2:U665))/STDEV('The List'!U2:U665)</f>
        <v>0.784869257896344</v>
      </c>
      <c r="I131" s="77">
        <f>(VLOOKUP($A131,'The List'!$B1:$AH665,21,FALSE)-AVERAGE('The List'!V2:V665))/STDEV('The List'!V2:V665)</f>
        <v>-0.101603595385188</v>
      </c>
      <c r="J131" s="77">
        <f>(VLOOKUP($A131,'The List'!$B1:$AH665,22,FALSE)-AVERAGE('The List'!W2:W665))/STDEV('The List'!W2:W665)</f>
        <v>-0.147209985325589</v>
      </c>
      <c r="K131" s="77">
        <f>(VLOOKUP($A131,'The List'!$B1:$AH665,23,FALSE)-AVERAGE('The List'!X2:X665))/STDEV('The List'!X2:X665)</f>
        <v>-0.0742361085794928</v>
      </c>
      <c r="L131" s="77">
        <f>(VLOOKUP($A131,'The List'!$B1:$AH665,24,FALSE)-AVERAGE('The List'!Y2:Y665))/STDEV('The List'!Y2:Y665)</f>
        <v>-0.417265846419518</v>
      </c>
      <c r="M131" s="77">
        <f>(VLOOKUP($A131,'The List'!$B1:$AH665,25,FALSE)-AVERAGE('The List'!Z2:Z665))/STDEV('The List'!Z2:Z665)</f>
        <v>-0.63581092010109</v>
      </c>
      <c r="N131" s="77">
        <f>(VLOOKUP($A131,'The List'!$B1:$AH665,26,FALSE)-AVERAGE('The List'!AA2:AA665))/STDEV('The List'!AA2:AA665)</f>
        <v>-0.905742796561597</v>
      </c>
      <c r="O131" s="77">
        <f>(VLOOKUP($A131,'The List'!$B1:$AH665,27,FALSE)-AVERAGE('The List'!AB2:AB665))/STDEV('The List'!AB2:AB665)</f>
        <v>-1.27330183730024</v>
      </c>
      <c r="P131" s="77">
        <f>(VLOOKUP($A131,'The List'!$B1:$AH665,28,FALSE)-AVERAGE('The List'!AC2:AC665))/STDEV('The List'!AC2:AC665)</f>
        <v>0.0599524233793951</v>
      </c>
      <c r="Q131" s="77">
        <f>(VLOOKUP($A131,'The List'!$B1:$AH665,29,FALSE)-AVERAGE('The List'!AD2:AD665))/STDEV('The List'!AD2:AD665)</f>
        <v>-0.661434941054127</v>
      </c>
      <c r="R131" s="77">
        <f>(VLOOKUP($A131,'The List'!$B1:$AH665,30,FALSE)-AVERAGE('The List'!AE2:AE665))/STDEV('The List'!AE2:AE665)</f>
        <v>0.291006930305944</v>
      </c>
      <c r="S131" s="77">
        <f>(VLOOKUP($A131,'The List'!$B1:$AH665,31,FALSE)-AVERAGE('The List'!AF2:AF665))/STDEV('The List'!AF2:AF665)</f>
        <v>1.61990328838284</v>
      </c>
      <c r="T131" s="77">
        <f>(VLOOKUP($A131,'The List'!$B1:$AH665,32,FALSE)-AVERAGE('The List'!AG2:AG665))/STDEV('The List'!AG2:AG665)</f>
        <v>2.07790792279819</v>
      </c>
      <c r="U131" s="77">
        <f>(VLOOKUP($A131,'The List'!$B1:$AH665,33,FALSE)-AVERAGE('The List'!AH2:AH665))/STDEV('The List'!AH2:AH665)</f>
        <v>0.868490539483483</v>
      </c>
      <c r="V131" s="77"/>
      <c r="W131" s="79"/>
      <c r="X131" s="77"/>
      <c r="Y131" s="77"/>
      <c r="Z131" s="77"/>
      <c r="AA131" s="77"/>
      <c r="AB131" s="77"/>
      <c r="AC131" s="77"/>
      <c r="AD131" s="77"/>
      <c r="AE131" s="84"/>
    </row>
    <row r="132" ht="21.25" customHeight="1">
      <c r="A132" t="s" s="10">
        <v>447</v>
      </c>
      <c r="B132" t="s" s="86">
        <f>VLOOKUP(A132,'Player Data'!A1:B667,2,FALSE)</f>
        <v>902</v>
      </c>
      <c r="C132" s="74">
        <f>((E132)*'Settings'!$C$12)+(F132*'Settings'!$C$2)+(G132*'Settings'!$C$3)+(H132*'Settings'!$C$4)+(I132*'Settings'!$C$5)+(K132*'Settings'!$C$9)+(N132*'Settings'!$C$6)+(J132*'Settings'!$C$8)+(O132*'Settings'!$C$7)+(P132*'Settings'!$C$14)+(Q132*'Settings'!$C$15)+(R132*'Settings'!$C$16)+(S132*'Settings'!$C$17)+(T132*'Settings'!$C$18)+(U132*'Settings'!$C$19)+(L132*'Settings'!$C$10)+('Settings'!$C$11*M132)</f>
        <v>3.25842229780808</v>
      </c>
      <c r="D132" s="79">
        <f>IF('Settings'!$E$12="YES",VLOOKUP(A132,'Player Data'!A1:E667,5,FALSE),82)</f>
        <v>79.7625</v>
      </c>
      <c r="E132" s="77">
        <f>(VLOOKUP($A132,'The List'!$B1:$AH665,17,FALSE)-AVERAGE('The List'!R2:R665))/STDEV('The List'!R2:R665)</f>
        <v>-0.177938298178451</v>
      </c>
      <c r="F132" s="77">
        <f>(VLOOKUP($A132,'The List'!$B1:$AH665,18,FALSE)-AVERAGE('The List'!S2:S665))/STDEV('The List'!S2:S665)</f>
        <v>0.866129006788676</v>
      </c>
      <c r="G132" s="77">
        <f>(VLOOKUP($A132,'The List'!$B1:$AH665,19,FALSE)-AVERAGE('The List'!T2:T665))/STDEV('The List'!T2:T665)</f>
        <v>0.717638548723224</v>
      </c>
      <c r="H132" s="77">
        <f>(VLOOKUP($A132,'The List'!$B1:$AH665,20,FALSE)-AVERAGE('The List'!U2:U665))/STDEV('The List'!U2:U665)</f>
        <v>0.839390694221179</v>
      </c>
      <c r="I132" s="77">
        <f>(VLOOKUP($A132,'The List'!$B1:$AH665,21,FALSE)-AVERAGE('The List'!V2:V665))/STDEV('The List'!V2:V665)</f>
        <v>0.544599131092923</v>
      </c>
      <c r="J132" s="77">
        <f>(VLOOKUP($A132,'The List'!$B1:$AH665,22,FALSE)-AVERAGE('The List'!W2:W665))/STDEV('The List'!W2:W665)</f>
        <v>0.643459071043415</v>
      </c>
      <c r="K132" s="77">
        <f>(VLOOKUP($A132,'The List'!$B1:$AH665,23,FALSE)-AVERAGE('The List'!X2:X665))/STDEV('The List'!X2:X665)</f>
        <v>0.429156462044713</v>
      </c>
      <c r="L132" s="77">
        <f>(VLOOKUP($A132,'The List'!$B1:$AH665,24,FALSE)-AVERAGE('The List'!Y2:Y665))/STDEV('The List'!Y2:Y665)</f>
        <v>-0.462114454754729</v>
      </c>
      <c r="M132" s="77">
        <f>(VLOOKUP($A132,'The List'!$B1:$AH665,25,FALSE)-AVERAGE('The List'!Z2:Z665))/STDEV('The List'!Z2:Z665)</f>
        <v>-0.631765049534992</v>
      </c>
      <c r="N132" s="77">
        <f>(VLOOKUP($A132,'The List'!$B1:$AH665,26,FALSE)-AVERAGE('The List'!AA2:AA665))/STDEV('The List'!AA2:AA665)</f>
        <v>-0.571885087211837</v>
      </c>
      <c r="O132" s="77">
        <f>(VLOOKUP($A132,'The List'!$B1:$AH665,27,FALSE)-AVERAGE('The List'!AB2:AB665))/STDEV('The List'!AB2:AB665)</f>
        <v>-1.21088115819476</v>
      </c>
      <c r="P132" s="77">
        <f>(VLOOKUP($A132,'The List'!$B1:$AH665,28,FALSE)-AVERAGE('The List'!AC2:AC665))/STDEV('The List'!AC2:AC665)</f>
        <v>1.27278423637038</v>
      </c>
      <c r="Q132" s="77">
        <f>(VLOOKUP($A132,'The List'!$B1:$AH665,29,FALSE)-AVERAGE('The List'!AD2:AD665))/STDEV('The List'!AD2:AD665)</f>
        <v>-0.511179165639967</v>
      </c>
      <c r="R132" s="77">
        <f>(VLOOKUP($A132,'The List'!$B1:$AH665,30,FALSE)-AVERAGE('The List'!AE2:AE665))/STDEV('The List'!AE2:AE665)</f>
        <v>0.982806626553322</v>
      </c>
      <c r="S132" s="77">
        <f>(VLOOKUP($A132,'The List'!$B1:$AH665,31,FALSE)-AVERAGE('The List'!AF2:AF665))/STDEV('The List'!AF2:AF665)</f>
        <v>0.7372932909891</v>
      </c>
      <c r="T132" s="77">
        <f>(VLOOKUP($A132,'The List'!$B1:$AH665,32,FALSE)-AVERAGE('The List'!AG2:AG665))/STDEV('The List'!AG2:AG665)</f>
        <v>0.529777329361631</v>
      </c>
      <c r="U132" s="77">
        <f>(VLOOKUP($A132,'The List'!$B1:$AH665,33,FALSE)-AVERAGE('The List'!AH2:AH665))/STDEV('The List'!AH2:AH665)</f>
        <v>1.24759002213038</v>
      </c>
      <c r="V132" s="77"/>
      <c r="W132" s="79"/>
      <c r="X132" s="77"/>
      <c r="Y132" s="77"/>
      <c r="Z132" s="77"/>
      <c r="AA132" s="77"/>
      <c r="AB132" s="77"/>
      <c r="AC132" s="77"/>
      <c r="AD132" s="77"/>
      <c r="AE132" s="84"/>
    </row>
    <row r="133" ht="21.25" customHeight="1">
      <c r="A133" t="s" s="10">
        <v>409</v>
      </c>
      <c r="B133" t="s" s="86">
        <f>VLOOKUP(A133,'Player Data'!A1:B667,2,FALSE)</f>
        <v>913</v>
      </c>
      <c r="C133" s="74">
        <f>((E133)*'Settings'!$C$12)+(F133*'Settings'!$C$2)+(G133*'Settings'!$C$3)+(H133*'Settings'!$C$4)+(I133*'Settings'!$C$5)+(K133*'Settings'!$C$9)+(N133*'Settings'!$C$6)+(J133*'Settings'!$C$8)+(O133*'Settings'!$C$7)+(P133*'Settings'!$C$14)+(Q133*'Settings'!$C$15)+(R133*'Settings'!$C$16)+(S133*'Settings'!$C$17)+(T133*'Settings'!$C$18)+(U133*'Settings'!$C$19)+(L133*'Settings'!$C$10)+('Settings'!$C$11*M133)</f>
        <v>-0.045481037456045</v>
      </c>
      <c r="D133" s="79">
        <f>IF('Settings'!$E$12="YES",VLOOKUP(A133,'Player Data'!A1:E667,5,FALSE),82)</f>
        <v>68.04000000000001</v>
      </c>
      <c r="E133" s="77">
        <f>(VLOOKUP($A133,'The List'!$B1:$AH665,17,FALSE)-AVERAGE('The List'!R2:R665))/STDEV('The List'!R2:R665)</f>
        <v>0.318346794634953</v>
      </c>
      <c r="F133" s="77">
        <f>(VLOOKUP($A133,'The List'!$B1:$AH665,18,FALSE)-AVERAGE('The List'!S2:S665))/STDEV('The List'!S2:S665)</f>
        <v>0.456856021845668</v>
      </c>
      <c r="G133" s="77">
        <f>(VLOOKUP($A133,'The List'!$B1:$AH665,19,FALSE)-AVERAGE('The List'!T2:T665))/STDEV('The List'!T2:T665)</f>
        <v>0.412625864511577</v>
      </c>
      <c r="H133" s="77">
        <f>(VLOOKUP($A133,'The List'!$B1:$AH665,20,FALSE)-AVERAGE('The List'!U2:U665))/STDEV('The List'!U2:U665)</f>
        <v>0.463926641074584</v>
      </c>
      <c r="I133" s="77">
        <f>(VLOOKUP($A133,'The List'!$B1:$AH665,21,FALSE)-AVERAGE('The List'!V2:V665))/STDEV('The List'!V2:V665)</f>
        <v>0.367248713374645</v>
      </c>
      <c r="J133" s="77">
        <f>(VLOOKUP($A133,'The List'!$B1:$AH665,22,FALSE)-AVERAGE('The List'!W2:W665))/STDEV('The List'!W2:W665)</f>
        <v>0.467284365403156</v>
      </c>
      <c r="K133" s="77">
        <f>(VLOOKUP($A133,'The List'!$B1:$AH665,23,FALSE)-AVERAGE('The List'!X2:X665))/STDEV('The List'!X2:X665)</f>
        <v>0.759556074242803</v>
      </c>
      <c r="L133" s="77">
        <f>(VLOOKUP($A133,'The List'!$B1:$AH665,24,FALSE)-AVERAGE('The List'!Y2:Y665))/STDEV('The List'!Y2:Y665)</f>
        <v>0.237432680721107</v>
      </c>
      <c r="M133" s="77">
        <f>(VLOOKUP($A133,'The List'!$B1:$AH665,25,FALSE)-AVERAGE('The List'!Z2:Z665))/STDEV('The List'!Z2:Z665)</f>
        <v>-0.0743620099739896</v>
      </c>
      <c r="N133" s="77">
        <f>(VLOOKUP($A133,'The List'!$B1:$AH665,26,FALSE)-AVERAGE('The List'!AA2:AA665))/STDEV('The List'!AA2:AA665)</f>
        <v>-0.379376679132808</v>
      </c>
      <c r="O133" s="77">
        <f>(VLOOKUP($A133,'The List'!$B1:$AH665,27,FALSE)-AVERAGE('The List'!AB2:AB665))/STDEV('The List'!AB2:AB665)</f>
        <v>-0.00407930650325794</v>
      </c>
      <c r="P133" s="77">
        <f>(VLOOKUP($A133,'The List'!$B1:$AH665,28,FALSE)-AVERAGE('The List'!AC2:AC665))/STDEV('The List'!AC2:AC665)</f>
        <v>-1.66239103229793</v>
      </c>
      <c r="Q133" s="77">
        <f>(VLOOKUP($A133,'The List'!$B1:$AH665,29,FALSE)-AVERAGE('The List'!AD2:AD665))/STDEV('The List'!AD2:AD665)</f>
        <v>-0.896633959010896</v>
      </c>
      <c r="R133" s="77">
        <f>(VLOOKUP($A133,'The List'!$B1:$AH665,30,FALSE)-AVERAGE('The List'!AE2:AE665))/STDEV('The List'!AE2:AE665)</f>
        <v>-0.0475863810238341</v>
      </c>
      <c r="S133" s="77">
        <f>(VLOOKUP($A133,'The List'!$B1:$AH665,31,FALSE)-AVERAGE('The List'!AF2:AF665))/STDEV('The List'!AF2:AF665)</f>
        <v>1.878533067830</v>
      </c>
      <c r="T133" s="77">
        <f>(VLOOKUP($A133,'The List'!$B1:$AH665,32,FALSE)-AVERAGE('The List'!AG2:AG665))/STDEV('The List'!AG2:AG665)</f>
        <v>2.2065752078784</v>
      </c>
      <c r="U133" s="77">
        <f>(VLOOKUP($A133,'The List'!$B1:$AH665,33,FALSE)-AVERAGE('The List'!AH2:AH665))/STDEV('The List'!AH2:AH665)</f>
        <v>0.941850167587136</v>
      </c>
      <c r="V133" s="77"/>
      <c r="W133" s="89"/>
      <c r="X133" s="79"/>
      <c r="Y133" s="79"/>
      <c r="Z133" s="79"/>
      <c r="AA133" s="79"/>
      <c r="AB133" s="79"/>
      <c r="AC133" s="82"/>
      <c r="AD133" s="83"/>
      <c r="AE133" s="84"/>
    </row>
    <row r="134" ht="21.25" customHeight="1">
      <c r="A134" t="s" s="10">
        <v>248</v>
      </c>
      <c r="B134" t="s" s="86">
        <f>VLOOKUP(A134,'Player Data'!A1:B667,2,FALSE)</f>
        <v>910</v>
      </c>
      <c r="C134" s="74">
        <f>((E134)*'Settings'!$C$12)+(F134*'Settings'!$C$2)+(G134*'Settings'!$C$3)+(H134*'Settings'!$C$4)+(I134*'Settings'!$C$5)+(K134*'Settings'!$C$9)+(N134*'Settings'!$C$6)+(J134*'Settings'!$C$8)+(O134*'Settings'!$C$7)+(P134*'Settings'!$C$14)+(Q134*'Settings'!$C$15)+(R134*'Settings'!$C$16)+(S134*'Settings'!$C$17)+(T134*'Settings'!$C$18)+(U134*'Settings'!$C$19)+(L134*'Settings'!$C$10)+('Settings'!$C$11*M134)</f>
        <v>3.1888434956216</v>
      </c>
      <c r="D134" s="79">
        <f>IF('Settings'!$E$12="YES",VLOOKUP(A134,'Player Data'!A1:E667,5,FALSE),82)</f>
        <v>78.7325</v>
      </c>
      <c r="E134" s="77">
        <f>(VLOOKUP($A134,'The List'!$B1:$AH665,17,FALSE)-AVERAGE('The List'!R2:R665))/STDEV('The List'!R2:R665)</f>
        <v>0.161059288265117</v>
      </c>
      <c r="F134" s="77">
        <f>(VLOOKUP($A134,'The List'!$B1:$AH665,18,FALSE)-AVERAGE('The List'!S2:S665))/STDEV('The List'!S2:S665)</f>
        <v>1.38025839959061</v>
      </c>
      <c r="G134" s="77">
        <f>(VLOOKUP($A134,'The List'!$B1:$AH665,19,FALSE)-AVERAGE('The List'!T2:T665))/STDEV('The List'!T2:T665)</f>
        <v>0.254812681509329</v>
      </c>
      <c r="H134" s="77">
        <f>(VLOOKUP($A134,'The List'!$B1:$AH665,20,FALSE)-AVERAGE('The List'!U2:U665))/STDEV('The List'!U2:U665)</f>
        <v>0.785646054415911</v>
      </c>
      <c r="I134" s="77">
        <f>(VLOOKUP($A134,'The List'!$B1:$AH665,21,FALSE)-AVERAGE('The List'!V2:V665))/STDEV('The List'!V2:V665)</f>
        <v>2.27543008887291</v>
      </c>
      <c r="J134" s="77">
        <f>(VLOOKUP($A134,'The List'!$B1:$AH665,22,FALSE)-AVERAGE('The List'!W2:W665))/STDEV('The List'!W2:W665)</f>
        <v>0.955635711956317</v>
      </c>
      <c r="K134" s="77">
        <f>(VLOOKUP($A134,'The List'!$B1:$AH665,23,FALSE)-AVERAGE('The List'!X2:X665))/STDEV('The List'!X2:X665)</f>
        <v>0.318963951234218</v>
      </c>
      <c r="L134" s="77">
        <f>(VLOOKUP($A134,'The List'!$B1:$AH665,24,FALSE)-AVERAGE('The List'!Y2:Y665))/STDEV('The List'!Y2:Y665)</f>
        <v>-0.564472335795993</v>
      </c>
      <c r="M134" s="77">
        <f>(VLOOKUP($A134,'The List'!$B1:$AH665,25,FALSE)-AVERAGE('The List'!Z2:Z665))/STDEV('The List'!Z2:Z665)</f>
        <v>-0.737973879068068</v>
      </c>
      <c r="N134" s="77">
        <f>(VLOOKUP($A134,'The List'!$B1:$AH665,26,FALSE)-AVERAGE('The List'!AA2:AA665))/STDEV('The List'!AA2:AA665)</f>
        <v>-0.31555351706081</v>
      </c>
      <c r="O134" s="77">
        <f>(VLOOKUP($A134,'The List'!$B1:$AH665,27,FALSE)-AVERAGE('The List'!AB2:AB665))/STDEV('The List'!AB2:AB665)</f>
        <v>1.00225101844765</v>
      </c>
      <c r="P134" s="77">
        <f>(VLOOKUP($A134,'The List'!$B1:$AH665,28,FALSE)-AVERAGE('The List'!AC2:AC665))/STDEV('The List'!AC2:AC665)</f>
        <v>-0.725068108524657</v>
      </c>
      <c r="Q134" s="77">
        <f>(VLOOKUP($A134,'The List'!$B1:$AH665,29,FALSE)-AVERAGE('The List'!AD2:AD665))/STDEV('The List'!AD2:AD665)</f>
        <v>-1.00783250212536</v>
      </c>
      <c r="R134" s="77">
        <f>(VLOOKUP($A134,'The List'!$B1:$AH665,30,FALSE)-AVERAGE('The List'!AE2:AE665))/STDEV('The List'!AE2:AE665)</f>
        <v>1.24980518380743</v>
      </c>
      <c r="S134" s="77">
        <f>(VLOOKUP($A134,'The List'!$B1:$AH665,31,FALSE)-AVERAGE('The List'!AF2:AF665))/STDEV('The List'!AF2:AF665)</f>
        <v>-0.456109543979515</v>
      </c>
      <c r="T134" s="77">
        <f>(VLOOKUP($A134,'The List'!$B1:$AH665,32,FALSE)-AVERAGE('The List'!AG2:AG665))/STDEV('The List'!AG2:AG665)</f>
        <v>-0.498568069398118</v>
      </c>
      <c r="U134" s="77">
        <f>(VLOOKUP($A134,'The List'!$B1:$AH665,33,FALSE)-AVERAGE('The List'!AH2:AH665))/STDEV('The List'!AH2:AH665)</f>
        <v>1.01784531787677</v>
      </c>
      <c r="V134" s="77"/>
      <c r="W134" s="89"/>
      <c r="X134" s="79"/>
      <c r="Y134" s="79"/>
      <c r="Z134" s="79"/>
      <c r="AA134" s="79"/>
      <c r="AB134" s="79"/>
      <c r="AC134" s="82"/>
      <c r="AD134" s="83"/>
      <c r="AE134" s="84"/>
    </row>
    <row r="135" ht="21.25" customHeight="1">
      <c r="A135" t="s" s="10">
        <v>305</v>
      </c>
      <c r="B135" t="s" s="86">
        <f>VLOOKUP(A135,'Player Data'!A1:B667,2,FALSE)</f>
        <v>902</v>
      </c>
      <c r="C135" s="74">
        <f>((E135)*'Settings'!$C$12)+(F135*'Settings'!$C$2)+(G135*'Settings'!$C$3)+(H135*'Settings'!$C$4)+(I135*'Settings'!$C$5)+(K135*'Settings'!$C$9)+(N135*'Settings'!$C$6)+(J135*'Settings'!$C$8)+(O135*'Settings'!$C$7)+(P135*'Settings'!$C$14)+(Q135*'Settings'!$C$15)+(R135*'Settings'!$C$16)+(S135*'Settings'!$C$17)+(T135*'Settings'!$C$18)+(U135*'Settings'!$C$19)+(L135*'Settings'!$C$10)+('Settings'!$C$11*M135)</f>
        <v>4.30058704896177</v>
      </c>
      <c r="D135" s="79">
        <f>IF('Settings'!$E$12="YES",VLOOKUP(A135,'Player Data'!A1:E667,5,FALSE),82)</f>
        <v>82.03</v>
      </c>
      <c r="E135" s="77">
        <f>(VLOOKUP($A135,'The List'!$B1:$AH665,17,FALSE)-AVERAGE('The List'!R2:R665))/STDEV('The List'!R2:R665)</f>
        <v>-0.321874103769786</v>
      </c>
      <c r="F135" s="77">
        <f>(VLOOKUP($A135,'The List'!$B1:$AH665,18,FALSE)-AVERAGE('The List'!S2:S665))/STDEV('The List'!S2:S665)</f>
        <v>0.764881851647454</v>
      </c>
      <c r="G135" s="77">
        <f>(VLOOKUP($A135,'The List'!$B1:$AH665,19,FALSE)-AVERAGE('The List'!T2:T665))/STDEV('The List'!T2:T665)</f>
        <v>0.862582400391203</v>
      </c>
      <c r="H135" s="77">
        <f>(VLOOKUP($A135,'The List'!$B1:$AH665,20,FALSE)-AVERAGE('The List'!U2:U665))/STDEV('The List'!U2:U665)</f>
        <v>0.883387331351132</v>
      </c>
      <c r="I135" s="77">
        <f>(VLOOKUP($A135,'The List'!$B1:$AH665,21,FALSE)-AVERAGE('The List'!V2:V665))/STDEV('The List'!V2:V665)</f>
        <v>0.591633248622324</v>
      </c>
      <c r="J135" s="77">
        <f>(VLOOKUP($A135,'The List'!$B1:$AH665,22,FALSE)-AVERAGE('The List'!W2:W665))/STDEV('The List'!W2:W665)</f>
        <v>1.12842672453646</v>
      </c>
      <c r="K135" s="77">
        <f>(VLOOKUP($A135,'The List'!$B1:$AH665,23,FALSE)-AVERAGE('The List'!X2:X665))/STDEV('The List'!X2:X665)</f>
        <v>1.16814171033251</v>
      </c>
      <c r="L135" s="77">
        <f>(VLOOKUP($A135,'The List'!$B1:$AH665,24,FALSE)-AVERAGE('The List'!Y2:Y665))/STDEV('The List'!Y2:Y665)</f>
        <v>1.53271612657931</v>
      </c>
      <c r="M135" s="77">
        <f>(VLOOKUP($A135,'The List'!$B1:$AH665,25,FALSE)-AVERAGE('The List'!Z2:Z665))/STDEV('The List'!Z2:Z665)</f>
        <v>1.87473321317873</v>
      </c>
      <c r="N135" s="77">
        <f>(VLOOKUP($A135,'The List'!$B1:$AH665,26,FALSE)-AVERAGE('The List'!AA2:AA665))/STDEV('The List'!AA2:AA665)</f>
        <v>-0.424071743484154</v>
      </c>
      <c r="O135" s="77">
        <f>(VLOOKUP($A135,'The List'!$B1:$AH665,27,FALSE)-AVERAGE('The List'!AB2:AB665))/STDEV('The List'!AB2:AB665)</f>
        <v>0.351611011948956</v>
      </c>
      <c r="P135" s="77">
        <f>(VLOOKUP($A135,'The List'!$B1:$AH665,28,FALSE)-AVERAGE('The List'!AC2:AC665))/STDEV('The List'!AC2:AC665)</f>
        <v>1.33741958145243</v>
      </c>
      <c r="Q135" s="77">
        <f>(VLOOKUP($A135,'The List'!$B1:$AH665,29,FALSE)-AVERAGE('The List'!AD2:AD665))/STDEV('The List'!AD2:AD665)</f>
        <v>1.00721419154847</v>
      </c>
      <c r="R135" s="77">
        <f>(VLOOKUP($A135,'The List'!$B1:$AH665,30,FALSE)-AVERAGE('The List'!AE2:AE665))/STDEV('The List'!AE2:AE665)</f>
        <v>0.878879735144376</v>
      </c>
      <c r="S135" s="77">
        <f>(VLOOKUP($A135,'The List'!$B1:$AH665,31,FALSE)-AVERAGE('The List'!AF2:AF665))/STDEV('The List'!AF2:AF665)</f>
        <v>1.63711219374813</v>
      </c>
      <c r="T135" s="77">
        <f>(VLOOKUP($A135,'The List'!$B1:$AH665,32,FALSE)-AVERAGE('The List'!AG2:AG665))/STDEV('The List'!AG2:AG665)</f>
        <v>0.985034675783919</v>
      </c>
      <c r="U135" s="77">
        <f>(VLOOKUP($A135,'The List'!$B1:$AH665,33,FALSE)-AVERAGE('The List'!AH2:AH665))/STDEV('The List'!AH2:AH665)</f>
        <v>1.45889324741658</v>
      </c>
      <c r="V135" s="77"/>
      <c r="W135" s="79"/>
      <c r="X135" s="77"/>
      <c r="Y135" s="77"/>
      <c r="Z135" s="77"/>
      <c r="AA135" s="77"/>
      <c r="AB135" s="77"/>
      <c r="AC135" s="77"/>
      <c r="AD135" s="77"/>
      <c r="AE135" s="84"/>
    </row>
    <row r="136" ht="21.25" customHeight="1">
      <c r="A136" t="s" s="10">
        <v>383</v>
      </c>
      <c r="B136" t="s" s="86">
        <f>VLOOKUP(A136,'Player Data'!A1:B667,2,FALSE)</f>
        <v>913</v>
      </c>
      <c r="C136" s="74">
        <f>((E136)*'Settings'!$C$12)+(F136*'Settings'!$C$2)+(G136*'Settings'!$C$3)+(H136*'Settings'!$C$4)+(I136*'Settings'!$C$5)+(K136*'Settings'!$C$9)+(N136*'Settings'!$C$6)+(J136*'Settings'!$C$8)+(O136*'Settings'!$C$7)+(P136*'Settings'!$C$14)+(Q136*'Settings'!$C$15)+(R136*'Settings'!$C$16)+(S136*'Settings'!$C$17)+(T136*'Settings'!$C$18)+(U136*'Settings'!$C$19)+(L136*'Settings'!$C$10)+('Settings'!$C$11*M136)</f>
        <v>3.41999354821168</v>
      </c>
      <c r="D136" s="79">
        <f>IF('Settings'!$E$12="YES",VLOOKUP(A136,'Player Data'!A1:E667,5,FALSE),82)</f>
        <v>80.69750000000001</v>
      </c>
      <c r="E136" s="77">
        <f>(VLOOKUP($A136,'The List'!$B1:$AH665,17,FALSE)-AVERAGE('The List'!R2:R665))/STDEV('The List'!R2:R665)</f>
        <v>0.100295117600089</v>
      </c>
      <c r="F136" s="77">
        <f>(VLOOKUP($A136,'The List'!$B1:$AH665,18,FALSE)-AVERAGE('The List'!S2:S665))/STDEV('The List'!S2:S665)</f>
        <v>1.42175347954234</v>
      </c>
      <c r="G136" s="77">
        <f>(VLOOKUP($A136,'The List'!$B1:$AH665,19,FALSE)-AVERAGE('The List'!T2:T665))/STDEV('The List'!T2:T665)</f>
        <v>0.286336722250932</v>
      </c>
      <c r="H136" s="77">
        <f>(VLOOKUP($A136,'The List'!$B1:$AH665,20,FALSE)-AVERAGE('The List'!U2:U665))/STDEV('The List'!U2:U665)</f>
        <v>0.824085742511345</v>
      </c>
      <c r="I136" s="77">
        <f>(VLOOKUP($A136,'The List'!$B1:$AH665,21,FALSE)-AVERAGE('The List'!V2:V665))/STDEV('The List'!V2:V665)</f>
        <v>1.70538325913227</v>
      </c>
      <c r="J136" s="77">
        <f>(VLOOKUP($A136,'The List'!$B1:$AH665,22,FALSE)-AVERAGE('The List'!W2:W665))/STDEV('The List'!W2:W665)</f>
        <v>1.6063153593727</v>
      </c>
      <c r="K136" s="77">
        <f>(VLOOKUP($A136,'The List'!$B1:$AH665,23,FALSE)-AVERAGE('The List'!X2:X665))/STDEV('The List'!X2:X665)</f>
        <v>1.02488697011238</v>
      </c>
      <c r="L136" s="77">
        <f>(VLOOKUP($A136,'The List'!$B1:$AH665,24,FALSE)-AVERAGE('The List'!Y2:Y665))/STDEV('The List'!Y2:Y665)</f>
        <v>-0.569901416463467</v>
      </c>
      <c r="M136" s="77">
        <f>(VLOOKUP($A136,'The List'!$B1:$AH665,25,FALSE)-AVERAGE('The List'!Z2:Z665))/STDEV('The List'!Z2:Z665)</f>
        <v>-0.742334933175359</v>
      </c>
      <c r="N136" s="77">
        <f>(VLOOKUP($A136,'The List'!$B1:$AH665,26,FALSE)-AVERAGE('The List'!AA2:AA665))/STDEV('The List'!AA2:AA665)</f>
        <v>-1.15517263931644</v>
      </c>
      <c r="O136" s="77">
        <f>(VLOOKUP($A136,'The List'!$B1:$AH665,27,FALSE)-AVERAGE('The List'!AB2:AB665))/STDEV('The List'!AB2:AB665)</f>
        <v>-0.337910363221253</v>
      </c>
      <c r="P136" s="77">
        <f>(VLOOKUP($A136,'The List'!$B1:$AH665,28,FALSE)-AVERAGE('The List'!AC2:AC665))/STDEV('The List'!AC2:AC665)</f>
        <v>0.136805756490194</v>
      </c>
      <c r="Q136" s="77">
        <f>(VLOOKUP($A136,'The List'!$B1:$AH665,29,FALSE)-AVERAGE('The List'!AD2:AD665))/STDEV('The List'!AD2:AD665)</f>
        <v>-0.733802678202633</v>
      </c>
      <c r="R136" s="77">
        <f>(VLOOKUP($A136,'The List'!$B1:$AH665,30,FALSE)-AVERAGE('The List'!AE2:AE665))/STDEV('The List'!AE2:AE665)</f>
        <v>0.613928175161814</v>
      </c>
      <c r="S136" s="77">
        <f>(VLOOKUP($A136,'The List'!$B1:$AH665,31,FALSE)-AVERAGE('The List'!AF2:AF665))/STDEV('The List'!AF2:AF665)</f>
        <v>-0.433614657793098</v>
      </c>
      <c r="T136" s="77">
        <f>(VLOOKUP($A136,'The List'!$B1:$AH665,32,FALSE)-AVERAGE('The List'!AG2:AG665))/STDEV('The List'!AG2:AG665)</f>
        <v>-0.467783105661649</v>
      </c>
      <c r="U136" s="77">
        <f>(VLOOKUP($A136,'The List'!$B1:$AH665,33,FALSE)-AVERAGE('The List'!AH2:AH665))/STDEV('The List'!AH2:AH665)</f>
        <v>0.970315175316558</v>
      </c>
      <c r="V136" s="77"/>
      <c r="W136" s="89"/>
      <c r="X136" s="79"/>
      <c r="Y136" s="79"/>
      <c r="Z136" s="79"/>
      <c r="AA136" s="79"/>
      <c r="AB136" s="79"/>
      <c r="AC136" s="82"/>
      <c r="AD136" s="83"/>
      <c r="AE136" s="84"/>
    </row>
    <row r="137" ht="21.25" customHeight="1">
      <c r="A137" t="s" s="10">
        <v>382</v>
      </c>
      <c r="B137" t="s" s="86">
        <f>VLOOKUP(A137,'Player Data'!A1:B667,2,FALSE)</f>
        <v>911</v>
      </c>
      <c r="C137" s="74">
        <f>((E137)*'Settings'!$C$12)+(F137*'Settings'!$C$2)+(G137*'Settings'!$C$3)+(H137*'Settings'!$C$4)+(I137*'Settings'!$C$5)+(K137*'Settings'!$C$9)+(N137*'Settings'!$C$6)+(J137*'Settings'!$C$8)+(O137*'Settings'!$C$7)+(P137*'Settings'!$C$14)+(Q137*'Settings'!$C$15)+(R137*'Settings'!$C$16)+(S137*'Settings'!$C$17)+(T137*'Settings'!$C$18)+(U137*'Settings'!$C$19)+(L137*'Settings'!$C$10)+('Settings'!$C$11*M137)</f>
        <v>2.78833506830005</v>
      </c>
      <c r="D137" s="79">
        <f>IF('Settings'!$E$12="YES",VLOOKUP(A137,'Player Data'!A1:E667,5,FALSE),82)</f>
        <v>76.91</v>
      </c>
      <c r="E137" s="77">
        <f>(VLOOKUP($A137,'The List'!$B1:$AH665,17,FALSE)-AVERAGE('The List'!R2:R665))/STDEV('The List'!R2:R665)</f>
        <v>1.58927853558685</v>
      </c>
      <c r="F137" s="77">
        <f>(VLOOKUP($A137,'The List'!$B1:$AH665,18,FALSE)-AVERAGE('The List'!S2:S665))/STDEV('The List'!S2:S665)</f>
        <v>-0.16870014157441</v>
      </c>
      <c r="G137" s="77">
        <f>(VLOOKUP($A137,'The List'!$B1:$AH665,19,FALSE)-AVERAGE('The List'!T2:T665))/STDEV('The List'!T2:T665)</f>
        <v>1.26046669009287</v>
      </c>
      <c r="H137" s="77">
        <f>(VLOOKUP($A137,'The List'!$B1:$AH665,20,FALSE)-AVERAGE('The List'!U2:U665))/STDEV('The List'!U2:U665)</f>
        <v>0.706138454905482</v>
      </c>
      <c r="I137" s="77">
        <f>(VLOOKUP($A137,'The List'!$B1:$AH665,21,FALSE)-AVERAGE('The List'!V2:V665))/STDEV('The List'!V2:V665)</f>
        <v>0.22089270466929</v>
      </c>
      <c r="J137" s="77">
        <f>(VLOOKUP($A137,'The List'!$B1:$AH665,22,FALSE)-AVERAGE('The List'!W2:W665))/STDEV('The List'!W2:W665)</f>
        <v>-0.137597943862128</v>
      </c>
      <c r="K137" s="77">
        <f>(VLOOKUP($A137,'The List'!$B1:$AH665,23,FALSE)-AVERAGE('The List'!X2:X665))/STDEV('The List'!X2:X665)</f>
        <v>0.653079569013238</v>
      </c>
      <c r="L137" s="77">
        <f>(VLOOKUP($A137,'The List'!$B1:$AH665,24,FALSE)-AVERAGE('The List'!Y2:Y665))/STDEV('The List'!Y2:Y665)</f>
        <v>-0.566720220626287</v>
      </c>
      <c r="M137" s="77">
        <f>(VLOOKUP($A137,'The List'!$B1:$AH665,25,FALSE)-AVERAGE('The List'!Z2:Z665))/STDEV('The List'!Z2:Z665)</f>
        <v>-0.5632267051095891</v>
      </c>
      <c r="N137" s="77">
        <f>(VLOOKUP($A137,'The List'!$B1:$AH665,26,FALSE)-AVERAGE('The List'!AA2:AA665))/STDEV('The List'!AA2:AA665)</f>
        <v>0.542046297791181</v>
      </c>
      <c r="O137" s="77">
        <f>(VLOOKUP($A137,'The List'!$B1:$AH665,27,FALSE)-AVERAGE('The List'!AB2:AB665))/STDEV('The List'!AB2:AB665)</f>
        <v>-0.39887962599824</v>
      </c>
      <c r="P137" s="77">
        <f>(VLOOKUP($A137,'The List'!$B1:$AH665,28,FALSE)-AVERAGE('The List'!AC2:AC665))/STDEV('The List'!AC2:AC665)</f>
        <v>0.280549948307881</v>
      </c>
      <c r="Q137" s="77">
        <f>(VLOOKUP($A137,'The List'!$B1:$AH665,29,FALSE)-AVERAGE('The List'!AD2:AD665))/STDEV('The List'!AD2:AD665)</f>
        <v>1.76196553517369</v>
      </c>
      <c r="R137" s="77">
        <f>(VLOOKUP($A137,'The List'!$B1:$AH665,30,FALSE)-AVERAGE('The List'!AE2:AE665))/STDEV('The List'!AE2:AE665)</f>
        <v>-0.139751329326712</v>
      </c>
      <c r="S137" s="77">
        <f>(VLOOKUP($A137,'The List'!$B1:$AH665,31,FALSE)-AVERAGE('The List'!AF2:AF665))/STDEV('The List'!AF2:AF665)</f>
        <v>-0.573894410680004</v>
      </c>
      <c r="T137" s="77">
        <f>(VLOOKUP($A137,'The List'!$B1:$AH665,32,FALSE)-AVERAGE('The List'!AG2:AG665))/STDEV('The List'!AG2:AG665)</f>
        <v>-0.625770787132651</v>
      </c>
      <c r="U137" s="77">
        <f>(VLOOKUP($A137,'The List'!$B1:$AH665,33,FALSE)-AVERAGE('The List'!AH2:AH665))/STDEV('The List'!AH2:AH665)</f>
        <v>-1.23143509451486</v>
      </c>
      <c r="V137" s="77"/>
      <c r="W137" s="89"/>
      <c r="X137" s="79"/>
      <c r="Y137" s="79"/>
      <c r="Z137" s="79"/>
      <c r="AA137" s="79"/>
      <c r="AB137" s="79"/>
      <c r="AC137" s="82"/>
      <c r="AD137" s="83"/>
      <c r="AE137" s="84"/>
    </row>
    <row r="138" ht="21.25" customHeight="1">
      <c r="A138" t="s" s="10">
        <v>808</v>
      </c>
      <c r="B138" t="s" s="86">
        <f>VLOOKUP(A138,'Player Data'!A1:B667,2,FALSE)</f>
        <v>871</v>
      </c>
      <c r="C138" s="74">
        <f>((E138)*'Settings'!$C$12)+(F138*'Settings'!$C$2)+(G138*'Settings'!$C$3)+(H138*'Settings'!$C$4)+(I138*'Settings'!$C$5)+(K138*'Settings'!$C$9)+(N138*'Settings'!$C$6)+(J138*'Settings'!$C$8)+(O138*'Settings'!$C$7)+(P138*'Settings'!$C$14)+(Q138*'Settings'!$C$15)+(R138*'Settings'!$C$16)+(S138*'Settings'!$C$17)+(T138*'Settings'!$C$18)+(U138*'Settings'!$C$19)+(L138*'Settings'!$C$10)+('Settings'!$C$11*M138)</f>
        <v>-2.97787233210685</v>
      </c>
      <c r="D138" s="79">
        <f>IF('Settings'!$E$12="YES",VLOOKUP(A138,'Player Data'!A1:E667,5,FALSE),82)</f>
        <v>41</v>
      </c>
      <c r="E138" s="77">
        <f>(VLOOKUP($A138,'The List'!$B1:$AH665,17,FALSE)-AVERAGE('The List'!R2:R665))/STDEV('The List'!R2:R665)</f>
        <v>-0.28838875954309</v>
      </c>
      <c r="F138" s="77">
        <f>(VLOOKUP($A138,'The List'!$B1:$AH665,18,FALSE)-AVERAGE('The List'!S2:S665))/STDEV('The List'!S2:S665)</f>
        <v>-0.0452508511221282</v>
      </c>
      <c r="G138" s="77">
        <f>(VLOOKUP($A138,'The List'!$B1:$AH665,19,FALSE)-AVERAGE('The List'!T2:T665))/STDEV('The List'!T2:T665)</f>
        <v>-0.618176742616136</v>
      </c>
      <c r="H138" s="77">
        <f>(VLOOKUP($A138,'The List'!$B1:$AH665,20,FALSE)-AVERAGE('The List'!U2:U665))/STDEV('The List'!U2:U665)</f>
        <v>-0.404491178857617</v>
      </c>
      <c r="I138" s="77">
        <f>(VLOOKUP($A138,'The List'!$B1:$AH665,21,FALSE)-AVERAGE('The List'!V2:V665))/STDEV('The List'!V2:V665)</f>
        <v>-0.795543304552232</v>
      </c>
      <c r="J138" s="77">
        <f>(VLOOKUP($A138,'The List'!$B1:$AH665,22,FALSE)-AVERAGE('The List'!W2:W665))/STDEV('The List'!W2:W665)</f>
        <v>-0.286482944891279</v>
      </c>
      <c r="K138" s="77">
        <f>(VLOOKUP($A138,'The List'!$B1:$AH665,23,FALSE)-AVERAGE('The List'!X2:X665))/STDEV('The List'!X2:X665)</f>
        <v>-0.430255303595962</v>
      </c>
      <c r="L138" s="77">
        <f>(VLOOKUP($A138,'The List'!$B1:$AH665,24,FALSE)-AVERAGE('The List'!Y2:Y665))/STDEV('The List'!Y2:Y665)</f>
        <v>-0.580182913902084</v>
      </c>
      <c r="M138" s="77">
        <f>(VLOOKUP($A138,'The List'!$B1:$AH665,25,FALSE)-AVERAGE('The List'!Z2:Z665))/STDEV('The List'!Z2:Z665)</f>
        <v>-0.754036664989997</v>
      </c>
      <c r="N138" s="77">
        <f>(VLOOKUP($A138,'The List'!$B1:$AH665,26,FALSE)-AVERAGE('The List'!AA2:AA665))/STDEV('The List'!AA2:AA665)</f>
        <v>-1.0607634293268</v>
      </c>
      <c r="O138" s="77">
        <f>(VLOOKUP($A138,'The List'!$B1:$AH665,27,FALSE)-AVERAGE('The List'!AB2:AB665))/STDEV('The List'!AB2:AB665)</f>
        <v>-0.953090655635671</v>
      </c>
      <c r="P138" s="77">
        <f>(VLOOKUP($A138,'The List'!$B1:$AH665,28,FALSE)-AVERAGE('The List'!AC2:AC665))/STDEV('The List'!AC2:AC665)</f>
        <v>-0.0278827008935922</v>
      </c>
      <c r="Q138" s="77">
        <f>(VLOOKUP($A138,'The List'!$B1:$AH665,29,FALSE)-AVERAGE('The List'!AD2:AD665))/STDEV('The List'!AD2:AD665)</f>
        <v>-0.37248830836457</v>
      </c>
      <c r="R138" s="77">
        <f>(VLOOKUP($A138,'The List'!$B1:$AH665,30,FALSE)-AVERAGE('The List'!AE2:AE665))/STDEV('The List'!AE2:AE665)</f>
        <v>-0.039580375356589</v>
      </c>
      <c r="S138" s="77">
        <f>(VLOOKUP($A138,'The List'!$B1:$AH665,31,FALSE)-AVERAGE('The List'!AF2:AF665))/STDEV('The List'!AF2:AF665)</f>
        <v>0.153439328258497</v>
      </c>
      <c r="T138" s="77">
        <f>(VLOOKUP($A138,'The List'!$B1:$AH665,32,FALSE)-AVERAGE('The List'!AG2:AG665))/STDEV('The List'!AG2:AG665)</f>
        <v>0.00982127190678277</v>
      </c>
      <c r="U138" s="77">
        <f>(VLOOKUP($A138,'The List'!$B1:$AH665,33,FALSE)-AVERAGE('The List'!AH2:AH665))/STDEV('The List'!AH2:AH665)</f>
        <v>1.25710047607963</v>
      </c>
      <c r="V138" s="77"/>
      <c r="W138" s="79"/>
      <c r="X138" s="77"/>
      <c r="Y138" s="77"/>
      <c r="Z138" s="77"/>
      <c r="AA138" s="77"/>
      <c r="AB138" s="77"/>
      <c r="AC138" s="77"/>
      <c r="AD138" s="77"/>
      <c r="AE138" s="84"/>
    </row>
    <row r="139" ht="21.25" customHeight="1">
      <c r="A139" t="s" s="10">
        <v>564</v>
      </c>
      <c r="B139" t="s" s="86">
        <f>VLOOKUP(A139,'Player Data'!A1:B667,2,FALSE)</f>
        <v>871</v>
      </c>
      <c r="C139" s="74">
        <f>((E139)*'Settings'!$C$12)+(F139*'Settings'!$C$2)+(G139*'Settings'!$C$3)+(H139*'Settings'!$C$4)+(I139*'Settings'!$C$5)+(K139*'Settings'!$C$9)+(N139*'Settings'!$C$6)+(J139*'Settings'!$C$8)+(O139*'Settings'!$C$7)+(P139*'Settings'!$C$14)+(Q139*'Settings'!$C$15)+(R139*'Settings'!$C$16)+(S139*'Settings'!$C$17)+(T139*'Settings'!$C$18)+(U139*'Settings'!$C$19)+(L139*'Settings'!$C$10)+('Settings'!$C$11*M139)</f>
        <v>1.05813692743145</v>
      </c>
      <c r="D139" s="79">
        <f>IF('Settings'!$E$12="YES",VLOOKUP(A139,'Player Data'!A1:E667,5,FALSE),82)</f>
        <v>73.39749999999999</v>
      </c>
      <c r="E139" s="77">
        <f>(VLOOKUP($A139,'The List'!$B1:$AH665,17,FALSE)-AVERAGE('The List'!R2:R665))/STDEV('The List'!R2:R665)</f>
        <v>0.0372446927956883</v>
      </c>
      <c r="F139" s="77">
        <f>(VLOOKUP($A139,'The List'!$B1:$AH665,18,FALSE)-AVERAGE('The List'!S2:S665))/STDEV('The List'!S2:S665)</f>
        <v>0.170011699959565</v>
      </c>
      <c r="G139" s="77">
        <f>(VLOOKUP($A139,'The List'!$B1:$AH665,19,FALSE)-AVERAGE('The List'!T2:T665))/STDEV('The List'!T2:T665)</f>
        <v>0.975080642540447</v>
      </c>
      <c r="H139" s="77">
        <f>(VLOOKUP($A139,'The List'!$B1:$AH665,20,FALSE)-AVERAGE('The List'!U2:U665))/STDEV('The List'!U2:U665)</f>
        <v>0.682858304899591</v>
      </c>
      <c r="I139" s="77">
        <f>(VLOOKUP($A139,'The List'!$B1:$AH665,21,FALSE)-AVERAGE('The List'!V2:V665))/STDEV('The List'!V2:V665)</f>
        <v>-0.250207649462304</v>
      </c>
      <c r="J139" s="77">
        <f>(VLOOKUP($A139,'The List'!$B1:$AH665,22,FALSE)-AVERAGE('The List'!W2:W665))/STDEV('The List'!W2:W665)</f>
        <v>0.262250397079404</v>
      </c>
      <c r="K139" s="77">
        <f>(VLOOKUP($A139,'The List'!$B1:$AH665,23,FALSE)-AVERAGE('The List'!X2:X665))/STDEV('The List'!X2:X665)</f>
        <v>0.865674309660145</v>
      </c>
      <c r="L139" s="77">
        <f>(VLOOKUP($A139,'The List'!$B1:$AH665,24,FALSE)-AVERAGE('The List'!Y2:Y665))/STDEV('The List'!Y2:Y665)</f>
        <v>-0.5749181357265311</v>
      </c>
      <c r="M139" s="77">
        <f>(VLOOKUP($A139,'The List'!$B1:$AH665,25,FALSE)-AVERAGE('The List'!Z2:Z665))/STDEV('The List'!Z2:Z665)</f>
        <v>-0.748528338317206</v>
      </c>
      <c r="N139" s="77">
        <f>(VLOOKUP($A139,'The List'!$B1:$AH665,26,FALSE)-AVERAGE('The List'!AA2:AA665))/STDEV('The List'!AA2:AA665)</f>
        <v>-0.826594913900945</v>
      </c>
      <c r="O139" s="77">
        <f>(VLOOKUP($A139,'The List'!$B1:$AH665,27,FALSE)-AVERAGE('The List'!AB2:AB665))/STDEV('The List'!AB2:AB665)</f>
        <v>-1.04856266288617</v>
      </c>
      <c r="P139" s="77">
        <f>(VLOOKUP($A139,'The List'!$B1:$AH665,28,FALSE)-AVERAGE('The List'!AC2:AC665))/STDEV('The List'!AC2:AC665)</f>
        <v>0.12417283863454</v>
      </c>
      <c r="Q139" s="77">
        <f>(VLOOKUP($A139,'The List'!$B1:$AH665,29,FALSE)-AVERAGE('The List'!AD2:AD665))/STDEV('The List'!AD2:AD665)</f>
        <v>-0.322441372233096</v>
      </c>
      <c r="R139" s="77">
        <f>(VLOOKUP($A139,'The List'!$B1:$AH665,30,FALSE)-AVERAGE('The List'!AE2:AE665))/STDEV('The List'!AE2:AE665)</f>
        <v>0.16686058525476</v>
      </c>
      <c r="S139" s="77">
        <f>(VLOOKUP($A139,'The List'!$B1:$AH665,31,FALSE)-AVERAGE('The List'!AF2:AF665))/STDEV('The List'!AF2:AF665)</f>
        <v>-0.273294823354933</v>
      </c>
      <c r="T139" s="77">
        <f>(VLOOKUP($A139,'The List'!$B1:$AH665,32,FALSE)-AVERAGE('The List'!AG2:AG665))/STDEV('The List'!AG2:AG665)</f>
        <v>-0.293605779048943</v>
      </c>
      <c r="U139" s="77">
        <f>(VLOOKUP($A139,'The List'!$B1:$AH665,33,FALSE)-AVERAGE('The List'!AH2:AH665))/STDEV('The List'!AH2:AH665)</f>
        <v>0.991863865388187</v>
      </c>
      <c r="V139" s="77"/>
      <c r="W139" s="79"/>
      <c r="X139" s="77"/>
      <c r="Y139" s="77"/>
      <c r="Z139" s="77"/>
      <c r="AA139" s="77"/>
      <c r="AB139" s="77"/>
      <c r="AC139" s="77"/>
      <c r="AD139" s="77"/>
      <c r="AE139" s="84"/>
    </row>
    <row r="140" ht="21.25" customHeight="1">
      <c r="A140" t="s" s="10">
        <v>482</v>
      </c>
      <c r="B140" t="s" s="86">
        <f>VLOOKUP(A140,'Player Data'!A1:B667,2,FALSE)</f>
        <v>275</v>
      </c>
      <c r="C140" s="74">
        <f>((E140)*'Settings'!$C$12)+(F140*'Settings'!$C$2)+(G140*'Settings'!$C$3)+(H140*'Settings'!$C$4)+(I140*'Settings'!$C$5)+(K140*'Settings'!$C$9)+(N140*'Settings'!$C$6)+(J140*'Settings'!$C$8)+(O140*'Settings'!$C$7)+(P140*'Settings'!$C$14)+(Q140*'Settings'!$C$15)+(R140*'Settings'!$C$16)+(S140*'Settings'!$C$17)+(T140*'Settings'!$C$18)+(U140*'Settings'!$C$19)+(L140*'Settings'!$C$10)+('Settings'!$C$11*M140)</f>
        <v>2.65421783317857</v>
      </c>
      <c r="D140" s="79">
        <f>IF('Settings'!$E$12="YES",VLOOKUP(A140,'Player Data'!A1:E667,5,FALSE),82)</f>
        <v>77.9725</v>
      </c>
      <c r="E140" s="77">
        <f>(VLOOKUP($A140,'The List'!$B1:$AH665,17,FALSE)-AVERAGE('The List'!R2:R665))/STDEV('The List'!R2:R665)</f>
        <v>0.0100931410446545</v>
      </c>
      <c r="F140" s="77">
        <f>(VLOOKUP($A140,'The List'!$B1:$AH665,18,FALSE)-AVERAGE('The List'!S2:S665))/STDEV('The List'!S2:S665)</f>
        <v>-0.0183108650031819</v>
      </c>
      <c r="G140" s="77">
        <f>(VLOOKUP($A140,'The List'!$B1:$AH665,19,FALSE)-AVERAGE('The List'!T2:T665))/STDEV('The List'!T2:T665)</f>
        <v>1.13599729235351</v>
      </c>
      <c r="H140" s="77">
        <f>(VLOOKUP($A140,'The List'!$B1:$AH665,20,FALSE)-AVERAGE('The List'!U2:U665))/STDEV('The List'!U2:U665)</f>
        <v>0.697195035007603</v>
      </c>
      <c r="I140" s="77">
        <f>(VLOOKUP($A140,'The List'!$B1:$AH665,21,FALSE)-AVERAGE('The List'!V2:V665))/STDEV('The List'!V2:V665)</f>
        <v>0.499919964498368</v>
      </c>
      <c r="J140" s="77">
        <f>(VLOOKUP($A140,'The List'!$B1:$AH665,22,FALSE)-AVERAGE('The List'!W2:W665))/STDEV('The List'!W2:W665)</f>
        <v>0.498603021528615</v>
      </c>
      <c r="K140" s="77">
        <f>(VLOOKUP($A140,'The List'!$B1:$AH665,23,FALSE)-AVERAGE('The List'!X2:X665))/STDEV('The List'!X2:X665)</f>
        <v>1.44387154370103</v>
      </c>
      <c r="L140" s="77">
        <f>(VLOOKUP($A140,'The List'!$B1:$AH665,24,FALSE)-AVERAGE('The List'!Y2:Y665))/STDEV('The List'!Y2:Y665)</f>
        <v>-0.563003301435239</v>
      </c>
      <c r="M140" s="77">
        <f>(VLOOKUP($A140,'The List'!$B1:$AH665,25,FALSE)-AVERAGE('The List'!Z2:Z665))/STDEV('The List'!Z2:Z665)</f>
        <v>-0.735159885206688</v>
      </c>
      <c r="N140" s="77">
        <f>(VLOOKUP($A140,'The List'!$B1:$AH665,26,FALSE)-AVERAGE('The List'!AA2:AA665))/STDEV('The List'!AA2:AA665)</f>
        <v>-0.434513053240489</v>
      </c>
      <c r="O140" s="77">
        <f>(VLOOKUP($A140,'The List'!$B1:$AH665,27,FALSE)-AVERAGE('The List'!AB2:AB665))/STDEV('The List'!AB2:AB665)</f>
        <v>-1.15577734756048</v>
      </c>
      <c r="P140" s="77">
        <f>(VLOOKUP($A140,'The List'!$B1:$AH665,28,FALSE)-AVERAGE('The List'!AC2:AC665))/STDEV('The List'!AC2:AC665)</f>
        <v>0.0272529508693334</v>
      </c>
      <c r="Q140" s="77">
        <f>(VLOOKUP($A140,'The List'!$B1:$AH665,29,FALSE)-AVERAGE('The List'!AD2:AD665))/STDEV('The List'!AD2:AD665)</f>
        <v>-0.38682494706358</v>
      </c>
      <c r="R140" s="77">
        <f>(VLOOKUP($A140,'The List'!$B1:$AH665,30,FALSE)-AVERAGE('The List'!AE2:AE665))/STDEV('The List'!AE2:AE665)</f>
        <v>0.118519015574845</v>
      </c>
      <c r="S140" s="77">
        <f>(VLOOKUP($A140,'The List'!$B1:$AH665,31,FALSE)-AVERAGE('The List'!AF2:AF665))/STDEV('The List'!AF2:AF665)</f>
        <v>-0.449999602512382</v>
      </c>
      <c r="T140" s="77">
        <f>(VLOOKUP($A140,'The List'!$B1:$AH665,32,FALSE)-AVERAGE('The List'!AG2:AG665))/STDEV('The List'!AG2:AG665)</f>
        <v>-0.416346250130222</v>
      </c>
      <c r="U140" s="77">
        <f>(VLOOKUP($A140,'The List'!$B1:$AH665,33,FALSE)-AVERAGE('The List'!AH2:AH665))/STDEV('The List'!AH2:AH665)</f>
        <v>0.519323032582413</v>
      </c>
      <c r="V140" s="77"/>
      <c r="W140" s="89"/>
      <c r="X140" s="79"/>
      <c r="Y140" s="79"/>
      <c r="Z140" s="79"/>
      <c r="AA140" s="79"/>
      <c r="AB140" s="79"/>
      <c r="AC140" s="82"/>
      <c r="AD140" s="83"/>
      <c r="AE140" s="84"/>
    </row>
    <row r="141" ht="21.25" customHeight="1">
      <c r="A141" t="s" s="10">
        <v>412</v>
      </c>
      <c r="B141" t="s" s="86">
        <f>VLOOKUP(A141,'Player Data'!A1:B667,2,FALSE)</f>
        <v>871</v>
      </c>
      <c r="C141" s="74">
        <f>((E141)*'Settings'!$C$12)+(F141*'Settings'!$C$2)+(G141*'Settings'!$C$3)+(H141*'Settings'!$C$4)+(I141*'Settings'!$C$5)+(K141*'Settings'!$C$9)+(N141*'Settings'!$C$6)+(J141*'Settings'!$C$8)+(O141*'Settings'!$C$7)+(P141*'Settings'!$C$14)+(Q141*'Settings'!$C$15)+(R141*'Settings'!$C$16)+(S141*'Settings'!$C$17)+(T141*'Settings'!$C$18)+(U141*'Settings'!$C$19)+(L141*'Settings'!$C$10)+('Settings'!$C$11*M141)</f>
        <v>2.80128135142334</v>
      </c>
      <c r="D141" s="79">
        <f>IF('Settings'!$E$12="YES",VLOOKUP(A141,'Player Data'!A1:E667,5,FALSE),82)</f>
        <v>72.1875</v>
      </c>
      <c r="E141" s="77">
        <f>(VLOOKUP($A141,'The List'!$B1:$AH665,17,FALSE)-AVERAGE('The List'!R2:R665))/STDEV('The List'!R2:R665)</f>
        <v>0.350889870163778</v>
      </c>
      <c r="F141" s="77">
        <f>(VLOOKUP($A141,'The List'!$B1:$AH665,18,FALSE)-AVERAGE('The List'!S2:S665))/STDEV('The List'!S2:S665)</f>
        <v>0.86720623671262</v>
      </c>
      <c r="G141" s="77">
        <f>(VLOOKUP($A141,'The List'!$B1:$AH665,19,FALSE)-AVERAGE('The List'!T2:T665))/STDEV('The List'!T2:T665)</f>
        <v>0.36741813931017</v>
      </c>
      <c r="H141" s="77">
        <f>(VLOOKUP($A141,'The List'!$B1:$AH665,20,FALSE)-AVERAGE('The List'!U2:U665))/STDEV('The List'!U2:U665)</f>
        <v>0.622373779947834</v>
      </c>
      <c r="I141" s="77">
        <f>(VLOOKUP($A141,'The List'!$B1:$AH665,21,FALSE)-AVERAGE('The List'!V2:V665))/STDEV('The List'!V2:V665)</f>
        <v>0.547061815897194</v>
      </c>
      <c r="J141" s="77">
        <f>(VLOOKUP($A141,'The List'!$B1:$AH665,22,FALSE)-AVERAGE('The List'!W2:W665))/STDEV('The List'!W2:W665)</f>
        <v>1.18700684688768</v>
      </c>
      <c r="K141" s="77">
        <f>(VLOOKUP($A141,'The List'!$B1:$AH665,23,FALSE)-AVERAGE('The List'!X2:X665))/STDEV('The List'!X2:X665)</f>
        <v>0.682872607455136</v>
      </c>
      <c r="L141" s="77">
        <f>(VLOOKUP($A141,'The List'!$B1:$AH665,24,FALSE)-AVERAGE('The List'!Y2:Y665))/STDEV('The List'!Y2:Y665)</f>
        <v>0.680456971008302</v>
      </c>
      <c r="M141" s="77">
        <f>(VLOOKUP($A141,'The List'!$B1:$AH665,25,FALSE)-AVERAGE('The List'!Z2:Z665))/STDEV('The List'!Z2:Z665)</f>
        <v>0.0982201479569559</v>
      </c>
      <c r="N141" s="77">
        <f>(VLOOKUP($A141,'The List'!$B1:$AH665,26,FALSE)-AVERAGE('The List'!AA2:AA665))/STDEV('The List'!AA2:AA665)</f>
        <v>-0.688879157427808</v>
      </c>
      <c r="O141" s="77">
        <f>(VLOOKUP($A141,'The List'!$B1:$AH665,27,FALSE)-AVERAGE('The List'!AB2:AB665))/STDEV('The List'!AB2:AB665)</f>
        <v>-0.177901385869899</v>
      </c>
      <c r="P141" s="77">
        <f>(VLOOKUP($A141,'The List'!$B1:$AH665,28,FALSE)-AVERAGE('The List'!AC2:AC665))/STDEV('The List'!AC2:AC665)</f>
        <v>1.02560170947603</v>
      </c>
      <c r="Q141" s="77">
        <f>(VLOOKUP($A141,'The List'!$B1:$AH665,29,FALSE)-AVERAGE('The List'!AD2:AD665))/STDEV('The List'!AD2:AD665)</f>
        <v>-0.279515005664908</v>
      </c>
      <c r="R141" s="77">
        <f>(VLOOKUP($A141,'The List'!$B1:$AH665,30,FALSE)-AVERAGE('The List'!AE2:AE665))/STDEV('The List'!AE2:AE665)</f>
        <v>0.835483665196185</v>
      </c>
      <c r="S141" s="77">
        <f>(VLOOKUP($A141,'The List'!$B1:$AH665,31,FALSE)-AVERAGE('The List'!AF2:AF665))/STDEV('The List'!AF2:AF665)</f>
        <v>-0.525796471598638</v>
      </c>
      <c r="T141" s="77">
        <f>(VLOOKUP($A141,'The List'!$B1:$AH665,32,FALSE)-AVERAGE('The List'!AG2:AG665))/STDEV('The List'!AG2:AG665)</f>
        <v>-0.456275385256402</v>
      </c>
      <c r="U141" s="77">
        <f>(VLOOKUP($A141,'The List'!$B1:$AH665,33,FALSE)-AVERAGE('The List'!AH2:AH665))/STDEV('The List'!AH2:AH665)</f>
        <v>-0.180437908806095</v>
      </c>
      <c r="V141" s="77"/>
      <c r="W141" s="79"/>
      <c r="X141" s="79"/>
      <c r="Y141" s="79"/>
      <c r="Z141" s="79"/>
      <c r="AA141" s="79"/>
      <c r="AB141" s="79"/>
      <c r="AC141" s="82"/>
      <c r="AD141" s="83"/>
      <c r="AE141" s="84"/>
    </row>
    <row r="142" ht="21.25" customHeight="1">
      <c r="A142" t="s" s="10">
        <v>381</v>
      </c>
      <c r="B142" t="s" s="86">
        <f>VLOOKUP(A142,'Player Data'!A1:B667,2,FALSE)</f>
        <v>903</v>
      </c>
      <c r="C142" s="74">
        <f>((E142)*'Settings'!$C$12)+(F142*'Settings'!$C$2)+(G142*'Settings'!$C$3)+(H142*'Settings'!$C$4)+(I142*'Settings'!$C$5)+(K142*'Settings'!$C$9)+(N142*'Settings'!$C$6)+(J142*'Settings'!$C$8)+(O142*'Settings'!$C$7)+(P142*'Settings'!$C$14)+(Q142*'Settings'!$C$15)+(R142*'Settings'!$C$16)+(S142*'Settings'!$C$17)+(T142*'Settings'!$C$18)+(U142*'Settings'!$C$19)+(L142*'Settings'!$C$10)+('Settings'!$C$11*M142)</f>
        <v>2.77525046723824</v>
      </c>
      <c r="D142" s="79">
        <f>IF('Settings'!$E$12="YES",VLOOKUP(A142,'Player Data'!A1:E667,5,FALSE),82)</f>
        <v>78.40000000000001</v>
      </c>
      <c r="E142" s="77">
        <f>(VLOOKUP($A142,'The List'!$B1:$AH665,17,FALSE)-AVERAGE('The List'!R2:R665))/STDEV('The List'!R2:R665)</f>
        <v>0.257643004941882</v>
      </c>
      <c r="F142" s="77">
        <f>(VLOOKUP($A142,'The List'!$B1:$AH665,18,FALSE)-AVERAGE('The List'!S2:S665))/STDEV('The List'!S2:S665)</f>
        <v>0.73452629667286</v>
      </c>
      <c r="G142" s="77">
        <f>(VLOOKUP($A142,'The List'!$B1:$AH665,19,FALSE)-AVERAGE('The List'!T2:T665))/STDEV('The List'!T2:T665)</f>
        <v>0.581864688166854</v>
      </c>
      <c r="H142" s="77">
        <f>(VLOOKUP($A142,'The List'!$B1:$AH665,20,FALSE)-AVERAGE('The List'!U2:U665))/STDEV('The List'!U2:U665)</f>
        <v>0.695247805180972</v>
      </c>
      <c r="I142" s="77">
        <f>(VLOOKUP($A142,'The List'!$B1:$AH665,21,FALSE)-AVERAGE('The List'!V2:V665))/STDEV('The List'!V2:V665)</f>
        <v>0.70831826612834</v>
      </c>
      <c r="J142" s="77">
        <f>(VLOOKUP($A142,'The List'!$B1:$AH665,22,FALSE)-AVERAGE('The List'!W2:W665))/STDEV('The List'!W2:W665)</f>
        <v>0.395753256335148</v>
      </c>
      <c r="K142" s="77">
        <f>(VLOOKUP($A142,'The List'!$B1:$AH665,23,FALSE)-AVERAGE('The List'!X2:X665))/STDEV('The List'!X2:X665)</f>
        <v>0.297211097809009</v>
      </c>
      <c r="L142" s="77">
        <f>(VLOOKUP($A142,'The List'!$B1:$AH665,24,FALSE)-AVERAGE('The List'!Y2:Y665))/STDEV('The List'!Y2:Y665)</f>
        <v>2.02854396412392</v>
      </c>
      <c r="M142" s="77">
        <f>(VLOOKUP($A142,'The List'!$B1:$AH665,25,FALSE)-AVERAGE('The List'!Z2:Z665))/STDEV('The List'!Z2:Z665)</f>
        <v>2.60050540867685</v>
      </c>
      <c r="N142" s="77">
        <f>(VLOOKUP($A142,'The List'!$B1:$AH665,26,FALSE)-AVERAGE('The List'!AA2:AA665))/STDEV('The List'!AA2:AA665)</f>
        <v>-0.347749001586635</v>
      </c>
      <c r="O142" s="77">
        <f>(VLOOKUP($A142,'The List'!$B1:$AH665,27,FALSE)-AVERAGE('The List'!AB2:AB665))/STDEV('The List'!AB2:AB665)</f>
        <v>-0.873922598569385</v>
      </c>
      <c r="P142" s="77">
        <f>(VLOOKUP($A142,'The List'!$B1:$AH665,28,FALSE)-AVERAGE('The List'!AC2:AC665))/STDEV('The List'!AC2:AC665)</f>
        <v>0.801079120047811</v>
      </c>
      <c r="Q142" s="77">
        <f>(VLOOKUP($A142,'The List'!$B1:$AH665,29,FALSE)-AVERAGE('The List'!AD2:AD665))/STDEV('The List'!AD2:AD665)</f>
        <v>-1.16795432455641</v>
      </c>
      <c r="R142" s="77">
        <f>(VLOOKUP($A142,'The List'!$B1:$AH665,30,FALSE)-AVERAGE('The List'!AE2:AE665))/STDEV('The List'!AE2:AE665)</f>
        <v>0.743955420296436</v>
      </c>
      <c r="S142" s="77">
        <f>(VLOOKUP($A142,'The List'!$B1:$AH665,31,FALSE)-AVERAGE('The List'!AF2:AF665))/STDEV('The List'!AF2:AF665)</f>
        <v>2.35397170128919</v>
      </c>
      <c r="T142" s="77">
        <f>(VLOOKUP($A142,'The List'!$B1:$AH665,32,FALSE)-AVERAGE('The List'!AG2:AG665))/STDEV('The List'!AG2:AG665)</f>
        <v>1.9324529343322</v>
      </c>
      <c r="U142" s="77">
        <f>(VLOOKUP($A142,'The List'!$B1:$AH665,33,FALSE)-AVERAGE('The List'!AH2:AH665))/STDEV('The List'!AH2:AH665)</f>
        <v>1.25724887212221</v>
      </c>
      <c r="V142" s="77"/>
      <c r="W142" s="89"/>
      <c r="X142" s="79"/>
      <c r="Y142" s="79"/>
      <c r="Z142" s="79"/>
      <c r="AA142" s="79"/>
      <c r="AB142" s="79"/>
      <c r="AC142" s="82"/>
      <c r="AD142" s="83"/>
      <c r="AE142" s="84"/>
    </row>
    <row r="143" ht="21.25" customHeight="1">
      <c r="A143" t="s" s="10">
        <v>516</v>
      </c>
      <c r="B143" t="s" s="86">
        <f>VLOOKUP(A143,'Player Data'!A1:B667,2,FALSE)</f>
        <v>129</v>
      </c>
      <c r="C143" s="74">
        <f>((E143)*'Settings'!$C$12)+(F143*'Settings'!$C$2)+(G143*'Settings'!$C$3)+(H143*'Settings'!$C$4)+(I143*'Settings'!$C$5)+(K143*'Settings'!$C$9)+(N143*'Settings'!$C$6)+(J143*'Settings'!$C$8)+(O143*'Settings'!$C$7)+(P143*'Settings'!$C$14)+(Q143*'Settings'!$C$15)+(R143*'Settings'!$C$16)+(S143*'Settings'!$C$17)+(T143*'Settings'!$C$18)+(U143*'Settings'!$C$19)+(L143*'Settings'!$C$10)+('Settings'!$C$11*M143)</f>
        <v>1.17291088746866</v>
      </c>
      <c r="D143" s="79">
        <f>IF('Settings'!$E$12="YES",VLOOKUP(A143,'Player Data'!A1:E667,5,FALSE),82)</f>
        <v>79.9975</v>
      </c>
      <c r="E143" s="77">
        <f>(VLOOKUP($A143,'The List'!$B1:$AH665,17,FALSE)-AVERAGE('The List'!R2:R665))/STDEV('The List'!R2:R665)</f>
        <v>-0.63202896212677</v>
      </c>
      <c r="F143" s="77">
        <f>(VLOOKUP($A143,'The List'!$B1:$AH665,18,FALSE)-AVERAGE('The List'!S2:S665))/STDEV('The List'!S2:S665)</f>
        <v>1.094409829714</v>
      </c>
      <c r="G143" s="77">
        <f>(VLOOKUP($A143,'The List'!$B1:$AH665,19,FALSE)-AVERAGE('The List'!T2:T665))/STDEV('The List'!T2:T665)</f>
        <v>0.385564939954676</v>
      </c>
      <c r="H143" s="77">
        <f>(VLOOKUP($A143,'The List'!$B1:$AH665,20,FALSE)-AVERAGE('The List'!U2:U665))/STDEV('The List'!U2:U665)</f>
        <v>0.736918796381258</v>
      </c>
      <c r="I143" s="77">
        <f>(VLOOKUP($A143,'The List'!$B1:$AH665,21,FALSE)-AVERAGE('The List'!V2:V665))/STDEV('The List'!V2:V665)</f>
        <v>0.986272845712608</v>
      </c>
      <c r="J143" s="77">
        <f>(VLOOKUP($A143,'The List'!$B1:$AH665,22,FALSE)-AVERAGE('The List'!W2:W665))/STDEV('The List'!W2:W665)</f>
        <v>0.104560105795549</v>
      </c>
      <c r="K143" s="77">
        <f>(VLOOKUP($A143,'The List'!$B1:$AH665,23,FALSE)-AVERAGE('The List'!X2:X665))/STDEV('The List'!X2:X665)</f>
        <v>-0.19122227988284</v>
      </c>
      <c r="L143" s="77">
        <f>(VLOOKUP($A143,'The List'!$B1:$AH665,24,FALSE)-AVERAGE('The List'!Y2:Y665))/STDEV('The List'!Y2:Y665)</f>
        <v>-0.551767662455149</v>
      </c>
      <c r="M143" s="77">
        <f>(VLOOKUP($A143,'The List'!$B1:$AH665,25,FALSE)-AVERAGE('The List'!Z2:Z665))/STDEV('The List'!Z2:Z665)</f>
        <v>-0.724931685674885</v>
      </c>
      <c r="N143" s="77">
        <f>(VLOOKUP($A143,'The List'!$B1:$AH665,26,FALSE)-AVERAGE('The List'!AA2:AA665))/STDEV('The List'!AA2:AA665)</f>
        <v>-1.13671090416708</v>
      </c>
      <c r="O143" s="77">
        <f>(VLOOKUP($A143,'The List'!$B1:$AH665,27,FALSE)-AVERAGE('The List'!AB2:AB665))/STDEV('The List'!AB2:AB665)</f>
        <v>-1.24433664277742</v>
      </c>
      <c r="P143" s="77">
        <f>(VLOOKUP($A143,'The List'!$B1:$AH665,28,FALSE)-AVERAGE('The List'!AC2:AC665))/STDEV('The List'!AC2:AC665)</f>
        <v>0.0345964561372963</v>
      </c>
      <c r="Q143" s="77">
        <f>(VLOOKUP($A143,'The List'!$B1:$AH665,29,FALSE)-AVERAGE('The List'!AD2:AD665))/STDEV('The List'!AD2:AD665)</f>
        <v>-0.487694100245009</v>
      </c>
      <c r="R143" s="77">
        <f>(VLOOKUP($A143,'The List'!$B1:$AH665,30,FALSE)-AVERAGE('The List'!AE2:AE665))/STDEV('The List'!AE2:AE665)</f>
        <v>1.24138437487198</v>
      </c>
      <c r="S143" s="77">
        <f>(VLOOKUP($A143,'The List'!$B1:$AH665,31,FALSE)-AVERAGE('The List'!AF2:AF665))/STDEV('The List'!AF2:AF665)</f>
        <v>-0.24914108614913</v>
      </c>
      <c r="T143" s="77">
        <f>(VLOOKUP($A143,'The List'!$B1:$AH665,32,FALSE)-AVERAGE('The List'!AG2:AG665))/STDEV('The List'!AG2:AG665)</f>
        <v>-0.178328876473277</v>
      </c>
      <c r="U143" s="77">
        <f>(VLOOKUP($A143,'The List'!$B1:$AH665,33,FALSE)-AVERAGE('The List'!AH2:AH665))/STDEV('The List'!AH2:AH665)</f>
        <v>0.743454328549267</v>
      </c>
      <c r="V143" s="77"/>
      <c r="W143" s="89"/>
      <c r="X143" s="79"/>
      <c r="Y143" s="79"/>
      <c r="Z143" s="79"/>
      <c r="AA143" s="79"/>
      <c r="AB143" s="79"/>
      <c r="AC143" s="82"/>
      <c r="AD143" s="83"/>
      <c r="AE143" s="84"/>
    </row>
    <row r="144" ht="21.25" customHeight="1">
      <c r="A144" t="s" s="10">
        <v>438</v>
      </c>
      <c r="B144" t="s" s="86">
        <f>VLOOKUP(A144,'Player Data'!A1:B667,2,FALSE)</f>
        <v>913</v>
      </c>
      <c r="C144" s="74">
        <f>((E144)*'Settings'!$C$12)+(F144*'Settings'!$C$2)+(G144*'Settings'!$C$3)+(H144*'Settings'!$C$4)+(I144*'Settings'!$C$5)+(K144*'Settings'!$C$9)+(N144*'Settings'!$C$6)+(J144*'Settings'!$C$8)+(O144*'Settings'!$C$7)+(P144*'Settings'!$C$14)+(Q144*'Settings'!$C$15)+(R144*'Settings'!$C$16)+(S144*'Settings'!$C$17)+(T144*'Settings'!$C$18)+(U144*'Settings'!$C$19)+(L144*'Settings'!$C$10)+('Settings'!$C$11*M144)</f>
        <v>-0.160936404009059</v>
      </c>
      <c r="D144" s="79">
        <f>IF('Settings'!$E$12="YES",VLOOKUP(A144,'Player Data'!A1:E667,5,FALSE),82)</f>
        <v>79.84999999999999</v>
      </c>
      <c r="E144" s="77">
        <f>(VLOOKUP($A144,'The List'!$B1:$AH665,17,FALSE)-AVERAGE('The List'!R2:R665))/STDEV('The List'!R2:R665)</f>
        <v>0.253653082816073</v>
      </c>
      <c r="F144" s="77">
        <f>(VLOOKUP($A144,'The List'!$B1:$AH665,18,FALSE)-AVERAGE('The List'!S2:S665))/STDEV('The List'!S2:S665)</f>
        <v>0.656660352779177</v>
      </c>
      <c r="G144" s="77">
        <f>(VLOOKUP($A144,'The List'!$B1:$AH665,19,FALSE)-AVERAGE('The List'!T2:T665))/STDEV('The List'!T2:T665)</f>
        <v>0.646916114039253</v>
      </c>
      <c r="H144" s="77">
        <f>(VLOOKUP($A144,'The List'!$B1:$AH665,20,FALSE)-AVERAGE('The List'!U2:U665))/STDEV('The List'!U2:U665)</f>
        <v>0.70025462560163</v>
      </c>
      <c r="I144" s="77">
        <f>(VLOOKUP($A144,'The List'!$B1:$AH665,21,FALSE)-AVERAGE('The List'!V2:V665))/STDEV('The List'!V2:V665)</f>
        <v>0.0291231251103804</v>
      </c>
      <c r="J144" s="77">
        <f>(VLOOKUP($A144,'The List'!$B1:$AH665,22,FALSE)-AVERAGE('The List'!W2:W665))/STDEV('The List'!W2:W665)</f>
        <v>1.74079895617206</v>
      </c>
      <c r="K144" s="77">
        <f>(VLOOKUP($A144,'The List'!$B1:$AH665,23,FALSE)-AVERAGE('The List'!X2:X665))/STDEV('The List'!X2:X665)</f>
        <v>1.29701806594149</v>
      </c>
      <c r="L144" s="77">
        <f>(VLOOKUP($A144,'The List'!$B1:$AH665,24,FALSE)-AVERAGE('The List'!Y2:Y665))/STDEV('The List'!Y2:Y665)</f>
        <v>-0.486607295501768</v>
      </c>
      <c r="M144" s="77">
        <f>(VLOOKUP($A144,'The List'!$B1:$AH665,25,FALSE)-AVERAGE('The List'!Z2:Z665))/STDEV('The List'!Z2:Z665)</f>
        <v>-0.41487107357877</v>
      </c>
      <c r="N144" s="77">
        <f>(VLOOKUP($A144,'The List'!$B1:$AH665,26,FALSE)-AVERAGE('The List'!AA2:AA665))/STDEV('The List'!AA2:AA665)</f>
        <v>-0.06457139463868961</v>
      </c>
      <c r="O144" s="77">
        <f>(VLOOKUP($A144,'The List'!$B1:$AH665,27,FALSE)-AVERAGE('The List'!AB2:AB665))/STDEV('The List'!AB2:AB665)</f>
        <v>-1.06246259249027</v>
      </c>
      <c r="P144" s="77">
        <f>(VLOOKUP($A144,'The List'!$B1:$AH665,28,FALSE)-AVERAGE('The List'!AC2:AC665))/STDEV('The List'!AC2:AC665)</f>
        <v>-2.72608266724067</v>
      </c>
      <c r="Q144" s="77">
        <f>(VLOOKUP($A144,'The List'!$B1:$AH665,29,FALSE)-AVERAGE('The List'!AD2:AD665))/STDEV('The List'!AD2:AD665)</f>
        <v>0.0345079790315244</v>
      </c>
      <c r="R144" s="77">
        <f>(VLOOKUP($A144,'The List'!$B1:$AH665,30,FALSE)-AVERAGE('The List'!AE2:AE665))/STDEV('The List'!AE2:AE665)</f>
        <v>0.08939550471660621</v>
      </c>
      <c r="S144" s="77">
        <f>(VLOOKUP($A144,'The List'!$B1:$AH665,31,FALSE)-AVERAGE('The List'!AF2:AF665))/STDEV('The List'!AF2:AF665)</f>
        <v>-0.247685411239917</v>
      </c>
      <c r="T144" s="77">
        <f>(VLOOKUP($A144,'The List'!$B1:$AH665,32,FALSE)-AVERAGE('The List'!AG2:AG665))/STDEV('The List'!AG2:AG665)</f>
        <v>0.120499965664321</v>
      </c>
      <c r="U144" s="77">
        <f>(VLOOKUP($A144,'The List'!$B1:$AH665,33,FALSE)-AVERAGE('The List'!AH2:AH665))/STDEV('The List'!AH2:AH665)</f>
        <v>0.207256976662984</v>
      </c>
      <c r="V144" s="77"/>
      <c r="W144" s="89"/>
      <c r="X144" s="79"/>
      <c r="Y144" s="79"/>
      <c r="Z144" s="79"/>
      <c r="AA144" s="79"/>
      <c r="AB144" s="79"/>
      <c r="AC144" s="82"/>
      <c r="AD144" s="83"/>
      <c r="AE144" s="84"/>
    </row>
    <row r="145" ht="21.25" customHeight="1">
      <c r="A145" t="s" s="10">
        <v>328</v>
      </c>
      <c r="B145" t="s" s="86">
        <f>VLOOKUP(A145,'Player Data'!A1:B667,2,FALSE)</f>
        <v>907</v>
      </c>
      <c r="C145" s="74">
        <f>((E145)*'Settings'!$C$12)+(F145*'Settings'!$C$2)+(G145*'Settings'!$C$3)+(H145*'Settings'!$C$4)+(I145*'Settings'!$C$5)+(K145*'Settings'!$C$9)+(N145*'Settings'!$C$6)+(J145*'Settings'!$C$8)+(O145*'Settings'!$C$7)+(P145*'Settings'!$C$14)+(Q145*'Settings'!$C$15)+(R145*'Settings'!$C$16)+(S145*'Settings'!$C$17)+(T145*'Settings'!$C$18)+(U145*'Settings'!$C$19)+(L145*'Settings'!$C$10)+('Settings'!$C$11*M145)</f>
        <v>0.88808862255828</v>
      </c>
      <c r="D145" s="79">
        <f>IF('Settings'!$E$12="YES",VLOOKUP(A145,'Player Data'!A1:E667,5,FALSE),82)</f>
        <v>74.63</v>
      </c>
      <c r="E145" s="77">
        <f>(VLOOKUP($A145,'The List'!$B1:$AH665,17,FALSE)-AVERAGE('The List'!R2:R665))/STDEV('The List'!R2:R665)</f>
        <v>0.196418825321913</v>
      </c>
      <c r="F145" s="77">
        <f>(VLOOKUP($A145,'The List'!$B1:$AH665,18,FALSE)-AVERAGE('The List'!S2:S665))/STDEV('The List'!S2:S665)</f>
        <v>1.54033930443877</v>
      </c>
      <c r="G145" s="77">
        <f>(VLOOKUP($A145,'The List'!$B1:$AH665,19,FALSE)-AVERAGE('The List'!T2:T665))/STDEV('The List'!T2:T665)</f>
        <v>-0.250273361414591</v>
      </c>
      <c r="H145" s="77">
        <f>(VLOOKUP($A145,'The List'!$B1:$AH665,20,FALSE)-AVERAGE('The List'!U2:U665))/STDEV('The List'!U2:U665)</f>
        <v>0.544723602234228</v>
      </c>
      <c r="I145" s="77">
        <f>(VLOOKUP($A145,'The List'!$B1:$AH665,21,FALSE)-AVERAGE('The List'!V2:V665))/STDEV('The List'!V2:V665)</f>
        <v>0.430578378582117</v>
      </c>
      <c r="J145" s="77">
        <f>(VLOOKUP($A145,'The List'!$B1:$AH665,22,FALSE)-AVERAGE('The List'!W2:W665))/STDEV('The List'!W2:W665)</f>
        <v>1.86158397144356</v>
      </c>
      <c r="K145" s="77">
        <f>(VLOOKUP($A145,'The List'!$B1:$AH665,23,FALSE)-AVERAGE('The List'!X2:X665))/STDEV('The List'!X2:X665)</f>
        <v>1.09799920680235</v>
      </c>
      <c r="L145" s="77">
        <f>(VLOOKUP($A145,'The List'!$B1:$AH665,24,FALSE)-AVERAGE('The List'!Y2:Y665))/STDEV('The List'!Y2:Y665)</f>
        <v>-0.367448279587317</v>
      </c>
      <c r="M145" s="77">
        <f>(VLOOKUP($A145,'The List'!$B1:$AH665,25,FALSE)-AVERAGE('The List'!Z2:Z665))/STDEV('The List'!Z2:Z665)</f>
        <v>-0.534577016783203</v>
      </c>
      <c r="N145" s="77">
        <f>(VLOOKUP($A145,'The List'!$B1:$AH665,26,FALSE)-AVERAGE('The List'!AA2:AA665))/STDEV('The List'!AA2:AA665)</f>
        <v>-0.458754269313106</v>
      </c>
      <c r="O145" s="77">
        <f>(VLOOKUP($A145,'The List'!$B1:$AH665,27,FALSE)-AVERAGE('The List'!AB2:AB665))/STDEV('The List'!AB2:AB665)</f>
        <v>0.949732618940485</v>
      </c>
      <c r="P145" s="77">
        <f>(VLOOKUP($A145,'The List'!$B1:$AH665,28,FALSE)-AVERAGE('The List'!AC2:AC665))/STDEV('The List'!AC2:AC665)</f>
        <v>-1.47180063653726</v>
      </c>
      <c r="Q145" s="77">
        <f>(VLOOKUP($A145,'The List'!$B1:$AH665,29,FALSE)-AVERAGE('The List'!AD2:AD665))/STDEV('The List'!AD2:AD665)</f>
        <v>-0.143565096034405</v>
      </c>
      <c r="R145" s="77">
        <f>(VLOOKUP($A145,'The List'!$B1:$AH665,30,FALSE)-AVERAGE('The List'!AE2:AE665))/STDEV('The List'!AE2:AE665)</f>
        <v>0.945796135216863</v>
      </c>
      <c r="S145" s="77">
        <f>(VLOOKUP($A145,'The List'!$B1:$AH665,31,FALSE)-AVERAGE('The List'!AF2:AF665))/STDEV('The List'!AF2:AF665)</f>
        <v>-0.5143524554197491</v>
      </c>
      <c r="T145" s="77">
        <f>(VLOOKUP($A145,'The List'!$B1:$AH665,32,FALSE)-AVERAGE('The List'!AG2:AG665))/STDEV('The List'!AG2:AG665)</f>
        <v>-0.5202821607490959</v>
      </c>
      <c r="U145" s="77">
        <f>(VLOOKUP($A145,'The List'!$B1:$AH665,33,FALSE)-AVERAGE('The List'!AH2:AH665))/STDEV('The List'!AH2:AH665)</f>
        <v>0.469104786595216</v>
      </c>
      <c r="V145" s="77"/>
      <c r="W145" s="79"/>
      <c r="X145" s="77"/>
      <c r="Y145" s="77"/>
      <c r="Z145" s="77"/>
      <c r="AA145" s="77"/>
      <c r="AB145" s="77"/>
      <c r="AC145" s="77"/>
      <c r="AD145" s="77"/>
      <c r="AE145" s="84"/>
    </row>
    <row r="146" ht="21.25" customHeight="1">
      <c r="A146" t="s" s="10">
        <v>531</v>
      </c>
      <c r="B146" t="s" s="86">
        <f>VLOOKUP(A146,'Player Data'!A1:B667,2,FALSE)</f>
        <v>207</v>
      </c>
      <c r="C146" s="74">
        <f>((E146)*'Settings'!$C$12)+(F146*'Settings'!$C$2)+(G146*'Settings'!$C$3)+(H146*'Settings'!$C$4)+(I146*'Settings'!$C$5)+(K146*'Settings'!$C$9)+(N146*'Settings'!$C$6)+(J146*'Settings'!$C$8)+(O146*'Settings'!$C$7)+(P146*'Settings'!$C$14)+(Q146*'Settings'!$C$15)+(R146*'Settings'!$C$16)+(S146*'Settings'!$C$17)+(T146*'Settings'!$C$18)+(U146*'Settings'!$C$19)+(L146*'Settings'!$C$10)+('Settings'!$C$11*M146)</f>
        <v>1.18728802054717</v>
      </c>
      <c r="D146" s="79">
        <f>IF('Settings'!$E$12="YES",VLOOKUP(A146,'Player Data'!A1:E667,5,FALSE),82)</f>
        <v>71.1075</v>
      </c>
      <c r="E146" s="77">
        <f>(VLOOKUP($A146,'The List'!$B1:$AH665,17,FALSE)-AVERAGE('The List'!R2:R665))/STDEV('The List'!R2:R665)</f>
        <v>-0.09800644070060981</v>
      </c>
      <c r="F146" s="77">
        <f>(VLOOKUP($A146,'The List'!$B1:$AH665,18,FALSE)-AVERAGE('The List'!S2:S665))/STDEV('The List'!S2:S665)</f>
        <v>0.949026935004699</v>
      </c>
      <c r="G146" s="77">
        <f>(VLOOKUP($A146,'The List'!$B1:$AH665,19,FALSE)-AVERAGE('The List'!T2:T665))/STDEV('The List'!T2:T665)</f>
        <v>-0.009734605402584289</v>
      </c>
      <c r="H146" s="77">
        <f>(VLOOKUP($A146,'The List'!$B1:$AH665,20,FALSE)-AVERAGE('The List'!U2:U665))/STDEV('The List'!U2:U665)</f>
        <v>0.425332115517406</v>
      </c>
      <c r="I146" s="77">
        <f>(VLOOKUP($A146,'The List'!$B1:$AH665,21,FALSE)-AVERAGE('The List'!V2:V665))/STDEV('The List'!V2:V665)</f>
        <v>0.19495320573231</v>
      </c>
      <c r="J146" s="77">
        <f>(VLOOKUP($A146,'The List'!$B1:$AH665,22,FALSE)-AVERAGE('The List'!W2:W665))/STDEV('The List'!W2:W665)</f>
        <v>0.931813867342446</v>
      </c>
      <c r="K146" s="77">
        <f>(VLOOKUP($A146,'The List'!$B1:$AH665,23,FALSE)-AVERAGE('The List'!X2:X665))/STDEV('The List'!X2:X665)</f>
        <v>0.696041072527892</v>
      </c>
      <c r="L146" s="77">
        <f>(VLOOKUP($A146,'The List'!$B1:$AH665,24,FALSE)-AVERAGE('The List'!Y2:Y665))/STDEV('The List'!Y2:Y665)</f>
        <v>-0.530751617016831</v>
      </c>
      <c r="M146" s="77">
        <f>(VLOOKUP($A146,'The List'!$B1:$AH665,25,FALSE)-AVERAGE('The List'!Z2:Z665))/STDEV('The List'!Z2:Z665)</f>
        <v>-0.703532935794014</v>
      </c>
      <c r="N146" s="77">
        <f>(VLOOKUP($A146,'The List'!$B1:$AH665,26,FALSE)-AVERAGE('The List'!AA2:AA665))/STDEV('The List'!AA2:AA665)</f>
        <v>-0.765877192809884</v>
      </c>
      <c r="O146" s="77">
        <f>(VLOOKUP($A146,'The List'!$B1:$AH665,27,FALSE)-AVERAGE('The List'!AB2:AB665))/STDEV('The List'!AB2:AB665)</f>
        <v>-0.824073993731154</v>
      </c>
      <c r="P146" s="77">
        <f>(VLOOKUP($A146,'The List'!$B1:$AH665,28,FALSE)-AVERAGE('The List'!AC2:AC665))/STDEV('The List'!AC2:AC665)</f>
        <v>0.122878605494733</v>
      </c>
      <c r="Q146" s="77">
        <f>(VLOOKUP($A146,'The List'!$B1:$AH665,29,FALSE)-AVERAGE('The List'!AD2:AD665))/STDEV('The List'!AD2:AD665)</f>
        <v>-0.636949345932062</v>
      </c>
      <c r="R146" s="77">
        <f>(VLOOKUP($A146,'The List'!$B1:$AH665,30,FALSE)-AVERAGE('The List'!AE2:AE665))/STDEV('The List'!AE2:AE665)</f>
        <v>1.02746680438154</v>
      </c>
      <c r="S146" s="77">
        <f>(VLOOKUP($A146,'The List'!$B1:$AH665,31,FALSE)-AVERAGE('The List'!AF2:AF665))/STDEV('The List'!AF2:AF665)</f>
        <v>-0.5070406606507299</v>
      </c>
      <c r="T146" s="77">
        <f>(VLOOKUP($A146,'The List'!$B1:$AH665,32,FALSE)-AVERAGE('The List'!AG2:AG665))/STDEV('The List'!AG2:AG665)</f>
        <v>-0.502957533731256</v>
      </c>
      <c r="U146" s="77">
        <f>(VLOOKUP($A146,'The List'!$B1:$AH665,33,FALSE)-AVERAGE('The List'!AH2:AH665))/STDEV('The List'!AH2:AH665)</f>
        <v>0.430778575347469</v>
      </c>
      <c r="V146" s="77"/>
      <c r="W146" s="79"/>
      <c r="X146" s="77"/>
      <c r="Y146" s="77"/>
      <c r="Z146" s="77"/>
      <c r="AA146" s="77"/>
      <c r="AB146" s="77"/>
      <c r="AC146" s="77"/>
      <c r="AD146" s="77"/>
      <c r="AE146" s="84"/>
    </row>
    <row r="147" ht="21.25" customHeight="1">
      <c r="A147" t="s" s="10">
        <v>430</v>
      </c>
      <c r="B147" t="s" s="86">
        <f>VLOOKUP(A147,'Player Data'!A1:B667,2,FALSE)</f>
        <v>910</v>
      </c>
      <c r="C147" s="74">
        <f>((E147)*'Settings'!$C$12)+(F147*'Settings'!$C$2)+(G147*'Settings'!$C$3)+(H147*'Settings'!$C$4)+(I147*'Settings'!$C$5)+(K147*'Settings'!$C$9)+(N147*'Settings'!$C$6)+(J147*'Settings'!$C$8)+(O147*'Settings'!$C$7)+(P147*'Settings'!$C$14)+(Q147*'Settings'!$C$15)+(R147*'Settings'!$C$16)+(S147*'Settings'!$C$17)+(T147*'Settings'!$C$18)+(U147*'Settings'!$C$19)+(L147*'Settings'!$C$10)+('Settings'!$C$11*M147)</f>
        <v>0.656076262196864</v>
      </c>
      <c r="D147" s="79">
        <f>IF('Settings'!$E$12="YES",VLOOKUP(A147,'Player Data'!A1:E667,5,FALSE),82)</f>
        <v>76</v>
      </c>
      <c r="E147" s="77">
        <f>(VLOOKUP($A147,'The List'!$B1:$AH665,17,FALSE)-AVERAGE('The List'!R2:R665))/STDEV('The List'!R2:R665)</f>
        <v>-0.243400789607013</v>
      </c>
      <c r="F147" s="77">
        <f>(VLOOKUP($A147,'The List'!$B1:$AH665,18,FALSE)-AVERAGE('The List'!S2:S665))/STDEV('The List'!S2:S665)</f>
        <v>0.770068164993625</v>
      </c>
      <c r="G147" s="77">
        <f>(VLOOKUP($A147,'The List'!$B1:$AH665,19,FALSE)-AVERAGE('The List'!T2:T665))/STDEV('The List'!T2:T665)</f>
        <v>0.34825449406555</v>
      </c>
      <c r="H147" s="77">
        <f>(VLOOKUP($A147,'The List'!$B1:$AH665,20,FALSE)-AVERAGE('The List'!U2:U665))/STDEV('The List'!U2:U665)</f>
        <v>0.566318207775828</v>
      </c>
      <c r="I147" s="77">
        <f>(VLOOKUP($A147,'The List'!$B1:$AH665,21,FALSE)-AVERAGE('The List'!V2:V665))/STDEV('The List'!V2:V665)</f>
        <v>0.418402422481051</v>
      </c>
      <c r="J147" s="77">
        <f>(VLOOKUP($A147,'The List'!$B1:$AH665,22,FALSE)-AVERAGE('The List'!W2:W665))/STDEV('The List'!W2:W665)</f>
        <v>0.838190817776045</v>
      </c>
      <c r="K147" s="77">
        <f>(VLOOKUP($A147,'The List'!$B1:$AH665,23,FALSE)-AVERAGE('The List'!X2:X665))/STDEV('The List'!X2:X665)</f>
        <v>0.551307837674551</v>
      </c>
      <c r="L147" s="77">
        <f>(VLOOKUP($A147,'The List'!$B1:$AH665,24,FALSE)-AVERAGE('The List'!Y2:Y665))/STDEV('The List'!Y2:Y665)</f>
        <v>-0.580182913902084</v>
      </c>
      <c r="M147" s="77">
        <f>(VLOOKUP($A147,'The List'!$B1:$AH665,25,FALSE)-AVERAGE('The List'!Z2:Z665))/STDEV('The List'!Z2:Z665)</f>
        <v>-0.754036664989997</v>
      </c>
      <c r="N147" s="77">
        <f>(VLOOKUP($A147,'The List'!$B1:$AH665,26,FALSE)-AVERAGE('The List'!AA2:AA665))/STDEV('The List'!AA2:AA665)</f>
        <v>-0.7690845651317439</v>
      </c>
      <c r="O147" s="77">
        <f>(VLOOKUP($A147,'The List'!$B1:$AH665,27,FALSE)-AVERAGE('The List'!AB2:AB665))/STDEV('The List'!AB2:AB665)</f>
        <v>-0.0395935585550529</v>
      </c>
      <c r="P147" s="77">
        <f>(VLOOKUP($A147,'The List'!$B1:$AH665,28,FALSE)-AVERAGE('The List'!AC2:AC665))/STDEV('The List'!AC2:AC665)</f>
        <v>-0.662872091886169</v>
      </c>
      <c r="Q147" s="77">
        <f>(VLOOKUP($A147,'The List'!$B1:$AH665,29,FALSE)-AVERAGE('The List'!AD2:AD665))/STDEV('The List'!AD2:AD665)</f>
        <v>-0.157388109704426</v>
      </c>
      <c r="R147" s="77">
        <f>(VLOOKUP($A147,'The List'!$B1:$AH665,30,FALSE)-AVERAGE('The List'!AE2:AE665))/STDEV('The List'!AE2:AE665)</f>
        <v>0.682093443748703</v>
      </c>
      <c r="S147" s="77">
        <f>(VLOOKUP($A147,'The List'!$B1:$AH665,31,FALSE)-AVERAGE('The List'!AF2:AF665))/STDEV('The List'!AF2:AF665)</f>
        <v>-0.573894410680004</v>
      </c>
      <c r="T147" s="77">
        <f>(VLOOKUP($A147,'The List'!$B1:$AH665,32,FALSE)-AVERAGE('The List'!AG2:AG665))/STDEV('The List'!AG2:AG665)</f>
        <v>-0.625770787132651</v>
      </c>
      <c r="U147" s="77">
        <f>(VLOOKUP($A147,'The List'!$B1:$AH665,33,FALSE)-AVERAGE('The List'!AH2:AH665))/STDEV('The List'!AH2:AH665)</f>
        <v>-1.23143509451486</v>
      </c>
      <c r="V147" s="77"/>
      <c r="W147" s="89"/>
      <c r="X147" s="79"/>
      <c r="Y147" s="79"/>
      <c r="Z147" s="79"/>
      <c r="AA147" s="79"/>
      <c r="AB147" s="79"/>
      <c r="AC147" s="82"/>
      <c r="AD147" s="83"/>
      <c r="AE147" s="84"/>
    </row>
    <row r="148" ht="21.25" customHeight="1">
      <c r="A148" t="s" s="10">
        <v>155</v>
      </c>
      <c r="B148" t="s" s="86">
        <f>VLOOKUP(A148,'Player Data'!A1:B667,2,FALSE)</f>
        <v>156</v>
      </c>
      <c r="C148" s="74">
        <f>((E148)*'Settings'!$C$12)+(F148*'Settings'!$C$2)+(G148*'Settings'!$C$3)+(H148*'Settings'!$C$4)+(I148*'Settings'!$C$5)+(K148*'Settings'!$C$9)+(N148*'Settings'!$C$6)+(J148*'Settings'!$C$8)+(O148*'Settings'!$C$7)+(P148*'Settings'!$C$14)+(Q148*'Settings'!$C$15)+(R148*'Settings'!$C$16)+(S148*'Settings'!$C$17)+(T148*'Settings'!$C$18)+(U148*'Settings'!$C$19)+(L148*'Settings'!$C$10)+('Settings'!$C$11*M148)</f>
        <v>4.75279409347665</v>
      </c>
      <c r="D148" s="79">
        <f>IF('Settings'!$E$12="YES",VLOOKUP(A148,'Player Data'!A1:E667,5,FALSE),82)</f>
        <v>82.03</v>
      </c>
      <c r="E148" s="77">
        <f>(VLOOKUP($A148,'The List'!$B1:$AH665,17,FALSE)-AVERAGE('The List'!R2:R665))/STDEV('The List'!R2:R665)</f>
        <v>2.17915798408727</v>
      </c>
      <c r="F148" s="77">
        <f>(VLOOKUP($A148,'The List'!$B1:$AH665,18,FALSE)-AVERAGE('The List'!S2:S665))/STDEV('The List'!S2:S665)</f>
        <v>-0.422207934622784</v>
      </c>
      <c r="G148" s="77">
        <f>(VLOOKUP($A148,'The List'!$B1:$AH665,19,FALSE)-AVERAGE('The List'!T2:T665))/STDEV('The List'!T2:T665)</f>
        <v>1.4950442007969</v>
      </c>
      <c r="H148" s="77">
        <f>(VLOOKUP($A148,'The List'!$B1:$AH665,20,FALSE)-AVERAGE('The List'!U2:U665))/STDEV('The List'!U2:U665)</f>
        <v>0.736592936770546</v>
      </c>
      <c r="I148" s="77">
        <f>(VLOOKUP($A148,'The List'!$B1:$AH665,21,FALSE)-AVERAGE('The List'!V2:V665))/STDEV('The List'!V2:V665)</f>
        <v>0.528995060919746</v>
      </c>
      <c r="J148" s="77">
        <f>(VLOOKUP($A148,'The List'!$B1:$AH665,22,FALSE)-AVERAGE('The List'!W2:W665))/STDEV('The List'!W2:W665)</f>
        <v>0.0590327074344264</v>
      </c>
      <c r="K148" s="77">
        <f>(VLOOKUP($A148,'The List'!$B1:$AH665,23,FALSE)-AVERAGE('The List'!X2:X665))/STDEV('The List'!X2:X665)</f>
        <v>1.36222225926464</v>
      </c>
      <c r="L148" s="77">
        <f>(VLOOKUP($A148,'The List'!$B1:$AH665,24,FALSE)-AVERAGE('The List'!Y2:Y665))/STDEV('The List'!Y2:Y665)</f>
        <v>-0.141448444026826</v>
      </c>
      <c r="M148" s="77">
        <f>(VLOOKUP($A148,'The List'!$B1:$AH665,25,FALSE)-AVERAGE('The List'!Z2:Z665))/STDEV('The List'!Z2:Z665)</f>
        <v>0.539876087954306</v>
      </c>
      <c r="N148" s="77">
        <f>(VLOOKUP($A148,'The List'!$B1:$AH665,26,FALSE)-AVERAGE('The List'!AA2:AA665))/STDEV('The List'!AA2:AA665)</f>
        <v>3.1327599759658</v>
      </c>
      <c r="O148" s="77">
        <f>(VLOOKUP($A148,'The List'!$B1:$AH665,27,FALSE)-AVERAGE('The List'!AB2:AB665))/STDEV('The List'!AB2:AB665)</f>
        <v>2.1635302231098</v>
      </c>
      <c r="P148" s="77">
        <f>(VLOOKUP($A148,'The List'!$B1:$AH665,28,FALSE)-AVERAGE('The List'!AC2:AC665))/STDEV('The List'!AC2:AC665)</f>
        <v>-1.34401946884765</v>
      </c>
      <c r="Q148" s="77">
        <f>(VLOOKUP($A148,'The List'!$B1:$AH665,29,FALSE)-AVERAGE('The List'!AD2:AD665))/STDEV('The List'!AD2:AD665)</f>
        <v>1.10892764238548</v>
      </c>
      <c r="R148" s="77">
        <f>(VLOOKUP($A148,'The List'!$B1:$AH665,30,FALSE)-AVERAGE('The List'!AE2:AE665))/STDEV('The List'!AE2:AE665)</f>
        <v>-0.471673828968025</v>
      </c>
      <c r="S148" s="77">
        <f>(VLOOKUP($A148,'The List'!$B1:$AH665,31,FALSE)-AVERAGE('The List'!AF2:AF665))/STDEV('The List'!AF2:AF665)</f>
        <v>-0.573894410680004</v>
      </c>
      <c r="T148" s="77">
        <f>(VLOOKUP($A148,'The List'!$B1:$AH665,32,FALSE)-AVERAGE('The List'!AG2:AG665))/STDEV('The List'!AG2:AG665)</f>
        <v>-0.625770787132651</v>
      </c>
      <c r="U148" s="77">
        <f>(VLOOKUP($A148,'The List'!$B1:$AH665,33,FALSE)-AVERAGE('The List'!AH2:AH665))/STDEV('The List'!AH2:AH665)</f>
        <v>-1.23143509451486</v>
      </c>
      <c r="V148" s="77"/>
      <c r="W148" s="89"/>
      <c r="X148" s="79"/>
      <c r="Y148" s="79"/>
      <c r="Z148" s="79"/>
      <c r="AA148" s="79"/>
      <c r="AB148" s="79"/>
      <c r="AC148" s="82"/>
      <c r="AD148" s="83"/>
      <c r="AE148" s="84"/>
    </row>
    <row r="149" ht="21.25" customHeight="1">
      <c r="A149" t="s" s="10">
        <v>387</v>
      </c>
      <c r="B149" t="s" s="86">
        <f>VLOOKUP(A149,'Player Data'!A1:B667,2,FALSE)</f>
        <v>905</v>
      </c>
      <c r="C149" s="74">
        <f>((E149)*'Settings'!$C$12)+(F149*'Settings'!$C$2)+(G149*'Settings'!$C$3)+(H149*'Settings'!$C$4)+(I149*'Settings'!$C$5)+(K149*'Settings'!$C$9)+(N149*'Settings'!$C$6)+(J149*'Settings'!$C$8)+(O149*'Settings'!$C$7)+(P149*'Settings'!$C$14)+(Q149*'Settings'!$C$15)+(R149*'Settings'!$C$16)+(S149*'Settings'!$C$17)+(T149*'Settings'!$C$18)+(U149*'Settings'!$C$19)+(L149*'Settings'!$C$10)+('Settings'!$C$11*M149)</f>
        <v>2.43304199853305</v>
      </c>
      <c r="D149" s="79">
        <f>IF('Settings'!$E$12="YES",VLOOKUP(A149,'Player Data'!A1:E667,5,FALSE),82)</f>
        <v>75.875</v>
      </c>
      <c r="E149" s="77">
        <f>(VLOOKUP($A149,'The List'!$B1:$AH665,17,FALSE)-AVERAGE('The List'!R2:R665))/STDEV('The List'!R2:R665)</f>
        <v>0.301404055261466</v>
      </c>
      <c r="F149" s="77">
        <f>(VLOOKUP($A149,'The List'!$B1:$AH665,18,FALSE)-AVERAGE('The List'!S2:S665))/STDEV('The List'!S2:S665)</f>
        <v>0.877628138561789</v>
      </c>
      <c r="G149" s="77">
        <f>(VLOOKUP($A149,'The List'!$B1:$AH665,19,FALSE)-AVERAGE('The List'!T2:T665))/STDEV('The List'!T2:T665)</f>
        <v>0.430527060135837</v>
      </c>
      <c r="H149" s="77">
        <f>(VLOOKUP($A149,'The List'!$B1:$AH665,20,FALSE)-AVERAGE('The List'!U2:U665))/STDEV('The List'!U2:U665)</f>
        <v>0.666305218059378</v>
      </c>
      <c r="I149" s="77">
        <f>(VLOOKUP($A149,'The List'!$B1:$AH665,21,FALSE)-AVERAGE('The List'!V2:V665))/STDEV('The List'!V2:V665)</f>
        <v>0.811288449580565</v>
      </c>
      <c r="J149" s="77">
        <f>(VLOOKUP($A149,'The List'!$B1:$AH665,22,FALSE)-AVERAGE('The List'!W2:W665))/STDEV('The List'!W2:W665)</f>
        <v>1.30119433024959</v>
      </c>
      <c r="K149" s="77">
        <f>(VLOOKUP($A149,'The List'!$B1:$AH665,23,FALSE)-AVERAGE('The List'!X2:X665))/STDEV('The List'!X2:X665)</f>
        <v>0.694878171062477</v>
      </c>
      <c r="L149" s="77">
        <f>(VLOOKUP($A149,'The List'!$B1:$AH665,24,FALSE)-AVERAGE('The List'!Y2:Y665))/STDEV('The List'!Y2:Y665)</f>
        <v>-0.5647280313112359</v>
      </c>
      <c r="M149" s="77">
        <f>(VLOOKUP($A149,'The List'!$B1:$AH665,25,FALSE)-AVERAGE('The List'!Z2:Z665))/STDEV('The List'!Z2:Z665)</f>
        <v>-0.736309893283365</v>
      </c>
      <c r="N149" s="77">
        <f>(VLOOKUP($A149,'The List'!$B1:$AH665,26,FALSE)-AVERAGE('The List'!AA2:AA665))/STDEV('The List'!AA2:AA665)</f>
        <v>-0.580528306070166</v>
      </c>
      <c r="O149" s="77">
        <f>(VLOOKUP($A149,'The List'!$B1:$AH665,27,FALSE)-AVERAGE('The List'!AB2:AB665))/STDEV('The List'!AB2:AB665)</f>
        <v>-0.023189500135049</v>
      </c>
      <c r="P149" s="77">
        <f>(VLOOKUP($A149,'The List'!$B1:$AH665,28,FALSE)-AVERAGE('The List'!AC2:AC665))/STDEV('The List'!AC2:AC665)</f>
        <v>0.199248485262545</v>
      </c>
      <c r="Q149" s="77">
        <f>(VLOOKUP($A149,'The List'!$B1:$AH665,29,FALSE)-AVERAGE('The List'!AD2:AD665))/STDEV('The List'!AD2:AD665)</f>
        <v>0.466783158689434</v>
      </c>
      <c r="R149" s="77">
        <f>(VLOOKUP($A149,'The List'!$B1:$AH665,30,FALSE)-AVERAGE('The List'!AE2:AE665))/STDEV('The List'!AE2:AE665)</f>
        <v>0.559146638312449</v>
      </c>
      <c r="S149" s="77">
        <f>(VLOOKUP($A149,'The List'!$B1:$AH665,31,FALSE)-AVERAGE('The List'!AF2:AF665))/STDEV('The List'!AF2:AF665)</f>
        <v>-0.551620336223245</v>
      </c>
      <c r="T149" s="77">
        <f>(VLOOKUP($A149,'The List'!$B1:$AH665,32,FALSE)-AVERAGE('The List'!AG2:AG665))/STDEV('The List'!AG2:AG665)</f>
        <v>-0.563715969615727</v>
      </c>
      <c r="U149" s="77">
        <f>(VLOOKUP($A149,'The List'!$B1:$AH665,33,FALSE)-AVERAGE('The List'!AH2:AH665))/STDEV('The List'!AH2:AH665)</f>
        <v>0.0210457221126145</v>
      </c>
      <c r="V149" s="77"/>
      <c r="W149" s="89"/>
      <c r="X149" s="79"/>
      <c r="Y149" s="79"/>
      <c r="Z149" s="79"/>
      <c r="AA149" s="79"/>
      <c r="AB149" s="79"/>
      <c r="AC149" s="82"/>
      <c r="AD149" s="83"/>
      <c r="AE149" s="84"/>
    </row>
    <row r="150" ht="21.25" customHeight="1">
      <c r="A150" t="s" s="10">
        <v>329</v>
      </c>
      <c r="B150" t="s" s="86">
        <f>VLOOKUP(A150,'Player Data'!A1:B667,2,FALSE)</f>
        <v>907</v>
      </c>
      <c r="C150" s="74">
        <f>((E150)*'Settings'!$C$12)+(F150*'Settings'!$C$2)+(G150*'Settings'!$C$3)+(H150*'Settings'!$C$4)+(I150*'Settings'!$C$5)+(K150*'Settings'!$C$9)+(N150*'Settings'!$C$6)+(J150*'Settings'!$C$8)+(O150*'Settings'!$C$7)+(P150*'Settings'!$C$14)+(Q150*'Settings'!$C$15)+(R150*'Settings'!$C$16)+(S150*'Settings'!$C$17)+(T150*'Settings'!$C$18)+(U150*'Settings'!$C$19)+(L150*'Settings'!$C$10)+('Settings'!$C$11*M150)</f>
        <v>0.466865306476788</v>
      </c>
      <c r="D150" s="79">
        <f>IF('Settings'!$E$12="YES",VLOOKUP(A150,'Player Data'!A1:E667,5,FALSE),82)</f>
        <v>80.03</v>
      </c>
      <c r="E150" s="77">
        <f>(VLOOKUP($A150,'The List'!$B1:$AH665,17,FALSE)-AVERAGE('The List'!R2:R665))/STDEV('The List'!R2:R665)</f>
        <v>0.259851945612998</v>
      </c>
      <c r="F150" s="77">
        <f>(VLOOKUP($A150,'The List'!$B1:$AH665,18,FALSE)-AVERAGE('The List'!S2:S665))/STDEV('The List'!S2:S665)</f>
        <v>0.5915902415651449</v>
      </c>
      <c r="G150" s="77">
        <f>(VLOOKUP($A150,'The List'!$B1:$AH665,19,FALSE)-AVERAGE('The List'!T2:T665))/STDEV('The List'!T2:T665)</f>
        <v>0.645237714053399</v>
      </c>
      <c r="H150" s="77">
        <f>(VLOOKUP($A150,'The List'!$B1:$AH665,20,FALSE)-AVERAGE('The List'!U2:U665))/STDEV('The List'!U2:U665)</f>
        <v>0.669634786259708</v>
      </c>
      <c r="I150" s="77">
        <f>(VLOOKUP($A150,'The List'!$B1:$AH665,21,FALSE)-AVERAGE('The List'!V2:V665))/STDEV('The List'!V2:V665)</f>
        <v>0.419604999132666</v>
      </c>
      <c r="J150" s="77">
        <f>(VLOOKUP($A150,'The List'!$B1:$AH665,22,FALSE)-AVERAGE('The List'!W2:W665))/STDEV('The List'!W2:W665)</f>
        <v>0.711940039741752</v>
      </c>
      <c r="K150" s="77">
        <f>(VLOOKUP($A150,'The List'!$B1:$AH665,23,FALSE)-AVERAGE('The List'!X2:X665))/STDEV('The List'!X2:X665)</f>
        <v>0.676118086729654</v>
      </c>
      <c r="L150" s="77">
        <f>(VLOOKUP($A150,'The List'!$B1:$AH665,24,FALSE)-AVERAGE('The List'!Y2:Y665))/STDEV('The List'!Y2:Y665)</f>
        <v>0.253874327736606</v>
      </c>
      <c r="M150" s="77">
        <f>(VLOOKUP($A150,'The List'!$B1:$AH665,25,FALSE)-AVERAGE('The List'!Z2:Z665))/STDEV('The List'!Z2:Z665)</f>
        <v>-0.168890621977956</v>
      </c>
      <c r="N150" s="77">
        <f>(VLOOKUP($A150,'The List'!$B1:$AH665,26,FALSE)-AVERAGE('The List'!AA2:AA665))/STDEV('The List'!AA2:AA665)</f>
        <v>-0.502807049377446</v>
      </c>
      <c r="O150" s="77">
        <f>(VLOOKUP($A150,'The List'!$B1:$AH665,27,FALSE)-AVERAGE('The List'!AB2:AB665))/STDEV('The List'!AB2:AB665)</f>
        <v>1.11753904890743</v>
      </c>
      <c r="P150" s="77">
        <f>(VLOOKUP($A150,'The List'!$B1:$AH665,28,FALSE)-AVERAGE('The List'!AC2:AC665))/STDEV('The List'!AC2:AC665)</f>
        <v>-1.36287868562663</v>
      </c>
      <c r="Q150" s="77">
        <f>(VLOOKUP($A150,'The List'!$B1:$AH665,29,FALSE)-AVERAGE('The List'!AD2:AD665))/STDEV('The List'!AD2:AD665)</f>
        <v>0.855320531891219</v>
      </c>
      <c r="R150" s="77">
        <f>(VLOOKUP($A150,'The List'!$B1:$AH665,30,FALSE)-AVERAGE('The List'!AE2:AE665))/STDEV('The List'!AE2:AE665)</f>
        <v>0.212630061562945</v>
      </c>
      <c r="S150" s="77">
        <f>(VLOOKUP($A150,'The List'!$B1:$AH665,31,FALSE)-AVERAGE('The List'!AF2:AF665))/STDEV('The List'!AF2:AF665)</f>
        <v>1.50361689362806</v>
      </c>
      <c r="T150" s="77">
        <f>(VLOOKUP($A150,'The List'!$B1:$AH665,32,FALSE)-AVERAGE('The List'!AG2:AG665))/STDEV('The List'!AG2:AG665)</f>
        <v>1.73742884984637</v>
      </c>
      <c r="U150" s="77">
        <f>(VLOOKUP($A150,'The List'!$B1:$AH665,33,FALSE)-AVERAGE('The List'!AH2:AH665))/STDEV('The List'!AH2:AH665)</f>
        <v>0.959030413340081</v>
      </c>
      <c r="V150" s="77"/>
      <c r="W150" s="89"/>
      <c r="X150" s="79"/>
      <c r="Y150" s="79"/>
      <c r="Z150" s="79"/>
      <c r="AA150" s="79"/>
      <c r="AB150" s="79"/>
      <c r="AC150" s="82"/>
      <c r="AD150" s="83"/>
      <c r="AE150" s="84"/>
    </row>
    <row r="151" ht="21.25" customHeight="1">
      <c r="A151" t="s" s="10">
        <v>501</v>
      </c>
      <c r="B151" t="s" s="86">
        <f>VLOOKUP(A151,'Player Data'!A1:B667,2,FALSE)</f>
        <v>902</v>
      </c>
      <c r="C151" s="74">
        <f>((E151)*'Settings'!$C$12)+(F151*'Settings'!$C$2)+(G151*'Settings'!$C$3)+(H151*'Settings'!$C$4)+(I151*'Settings'!$C$5)+(K151*'Settings'!$C$9)+(N151*'Settings'!$C$6)+(J151*'Settings'!$C$8)+(O151*'Settings'!$C$7)+(P151*'Settings'!$C$14)+(Q151*'Settings'!$C$15)+(R151*'Settings'!$C$16)+(S151*'Settings'!$C$17)+(T151*'Settings'!$C$18)+(U151*'Settings'!$C$19)+(L151*'Settings'!$C$10)+('Settings'!$C$11*M151)</f>
        <v>1.49964573984896</v>
      </c>
      <c r="D151" s="79">
        <f>IF('Settings'!$E$12="YES",VLOOKUP(A151,'Player Data'!A1:E667,5,FALSE),82)</f>
        <v>70.3</v>
      </c>
      <c r="E151" s="77">
        <f>(VLOOKUP($A151,'The List'!$B1:$AH665,17,FALSE)-AVERAGE('The List'!R2:R665))/STDEV('The List'!R2:R665)</f>
        <v>-0.490089355283432</v>
      </c>
      <c r="F151" s="77">
        <f>(VLOOKUP($A151,'The List'!$B1:$AH665,18,FALSE)-AVERAGE('The List'!S2:S665))/STDEV('The List'!S2:S665)</f>
        <v>0.558831655677135</v>
      </c>
      <c r="G151" s="77">
        <f>(VLOOKUP($A151,'The List'!$B1:$AH665,19,FALSE)-AVERAGE('The List'!T2:T665))/STDEV('The List'!T2:T665)</f>
        <v>0.197243184377029</v>
      </c>
      <c r="H151" s="77">
        <f>(VLOOKUP($A151,'The List'!$B1:$AH665,20,FALSE)-AVERAGE('The List'!U2:U665))/STDEV('The List'!U2:U665)</f>
        <v>0.3765146590165</v>
      </c>
      <c r="I151" s="77">
        <f>(VLOOKUP($A151,'The List'!$B1:$AH665,21,FALSE)-AVERAGE('The List'!V2:V665))/STDEV('The List'!V2:V665)</f>
        <v>0.221492400377836</v>
      </c>
      <c r="J151" s="77">
        <f>(VLOOKUP($A151,'The List'!$B1:$AH665,22,FALSE)-AVERAGE('The List'!W2:W665))/STDEV('The List'!W2:W665)</f>
        <v>0.281702536388945</v>
      </c>
      <c r="K151" s="77">
        <f>(VLOOKUP($A151,'The List'!$B1:$AH665,23,FALSE)-AVERAGE('The List'!X2:X665))/STDEV('The List'!X2:X665)</f>
        <v>0.0652360112510988</v>
      </c>
      <c r="L151" s="77">
        <f>(VLOOKUP($A151,'The List'!$B1:$AH665,24,FALSE)-AVERAGE('The List'!Y2:Y665))/STDEV('The List'!Y2:Y665)</f>
        <v>-0.571274187785522</v>
      </c>
      <c r="M151" s="77">
        <f>(VLOOKUP($A151,'The List'!$B1:$AH665,25,FALSE)-AVERAGE('The List'!Z2:Z665))/STDEV('The List'!Z2:Z665)</f>
        <v>-0.744987629902001</v>
      </c>
      <c r="N151" s="77">
        <f>(VLOOKUP($A151,'The List'!$B1:$AH665,26,FALSE)-AVERAGE('The List'!AA2:AA665))/STDEV('The List'!AA2:AA665)</f>
        <v>-0.772971134185359</v>
      </c>
      <c r="O151" s="77">
        <f>(VLOOKUP($A151,'The List'!$B1:$AH665,27,FALSE)-AVERAGE('The List'!AB2:AB665))/STDEV('The List'!AB2:AB665)</f>
        <v>-0.478717484934001</v>
      </c>
      <c r="P151" s="77">
        <f>(VLOOKUP($A151,'The List'!$B1:$AH665,28,FALSE)-AVERAGE('The List'!AC2:AC665))/STDEV('The List'!AC2:AC665)</f>
        <v>1.22981362235122</v>
      </c>
      <c r="Q151" s="77">
        <f>(VLOOKUP($A151,'The List'!$B1:$AH665,29,FALSE)-AVERAGE('The List'!AD2:AD665))/STDEV('The List'!AD2:AD665)</f>
        <v>-0.731894766803511</v>
      </c>
      <c r="R151" s="77">
        <f>(VLOOKUP($A151,'The List'!$B1:$AH665,30,FALSE)-AVERAGE('The List'!AE2:AE665))/STDEV('The List'!AE2:AE665)</f>
        <v>0.667375952035322</v>
      </c>
      <c r="S151" s="77">
        <f>(VLOOKUP($A151,'The List'!$B1:$AH665,31,FALSE)-AVERAGE('The List'!AF2:AF665))/STDEV('The List'!AF2:AF665)</f>
        <v>-0.414174233447437</v>
      </c>
      <c r="T151" s="77">
        <f>(VLOOKUP($A151,'The List'!$B1:$AH665,32,FALSE)-AVERAGE('The List'!AG2:AG665))/STDEV('The List'!AG2:AG665)</f>
        <v>-0.53310595683096</v>
      </c>
      <c r="U151" s="77">
        <f>(VLOOKUP($A151,'The List'!$B1:$AH665,33,FALSE)-AVERAGE('The List'!AH2:AH665))/STDEV('The List'!AH2:AH665)</f>
        <v>1.70172043613137</v>
      </c>
      <c r="V151" s="77"/>
      <c r="W151" s="89"/>
      <c r="X151" s="79"/>
      <c r="Y151" s="79"/>
      <c r="Z151" s="79"/>
      <c r="AA151" s="79"/>
      <c r="AB151" s="79"/>
      <c r="AC151" s="82"/>
      <c r="AD151" s="83"/>
      <c r="AE151" s="84"/>
    </row>
    <row r="152" ht="21.25" customHeight="1">
      <c r="A152" t="s" s="10">
        <v>632</v>
      </c>
      <c r="B152" t="s" s="86">
        <f>VLOOKUP(A152,'Player Data'!A1:B667,2,FALSE)</f>
        <v>165</v>
      </c>
      <c r="C152" s="74">
        <f>((E152)*'Settings'!$C$12)+(F152*'Settings'!$C$2)+(G152*'Settings'!$C$3)+(H152*'Settings'!$C$4)+(I152*'Settings'!$C$5)+(K152*'Settings'!$C$9)+(N152*'Settings'!$C$6)+(J152*'Settings'!$C$8)+(O152*'Settings'!$C$7)+(P152*'Settings'!$C$14)+(Q152*'Settings'!$C$15)+(R152*'Settings'!$C$16)+(S152*'Settings'!$C$17)+(T152*'Settings'!$C$18)+(U152*'Settings'!$C$19)+(L152*'Settings'!$C$10)+('Settings'!$C$11*M152)</f>
        <v>0.809730355866612</v>
      </c>
      <c r="D152" s="79">
        <f>IF('Settings'!$E$12="YES",VLOOKUP(A152,'Player Data'!A1:E667,5,FALSE),82)</f>
        <v>70.315</v>
      </c>
      <c r="E152" s="77">
        <f>(VLOOKUP($A152,'The List'!$B1:$AH665,17,FALSE)-AVERAGE('The List'!R2:R665))/STDEV('The List'!R2:R665)</f>
        <v>-0.399031226232116</v>
      </c>
      <c r="F152" s="77">
        <f>(VLOOKUP($A152,'The List'!$B1:$AH665,18,FALSE)-AVERAGE('The List'!S2:S665))/STDEV('The List'!S2:S665)</f>
        <v>0.4785604609019</v>
      </c>
      <c r="G152" s="77">
        <f>(VLOOKUP($A152,'The List'!$B1:$AH665,19,FALSE)-AVERAGE('The List'!T2:T665))/STDEV('The List'!T2:T665)</f>
        <v>0.418727428336907</v>
      </c>
      <c r="H152" s="77">
        <f>(VLOOKUP($A152,'The List'!$B1:$AH665,20,FALSE)-AVERAGE('The List'!U2:U665))/STDEV('The List'!U2:U665)</f>
        <v>0.4775817545354</v>
      </c>
      <c r="I152" s="77">
        <f>(VLOOKUP($A152,'The List'!$B1:$AH665,21,FALSE)-AVERAGE('The List'!V2:V665))/STDEV('The List'!V2:V665)</f>
        <v>-0.166553248344857</v>
      </c>
      <c r="J152" s="77">
        <f>(VLOOKUP($A152,'The List'!$B1:$AH665,22,FALSE)-AVERAGE('The List'!W2:W665))/STDEV('The List'!W2:W665)</f>
        <v>0.519313205774137</v>
      </c>
      <c r="K152" s="77">
        <f>(VLOOKUP($A152,'The List'!$B1:$AH665,23,FALSE)-AVERAGE('The List'!X2:X665))/STDEV('The List'!X2:X665)</f>
        <v>0.251338606629784</v>
      </c>
      <c r="L152" s="77">
        <f>(VLOOKUP($A152,'The List'!$B1:$AH665,24,FALSE)-AVERAGE('The List'!Y2:Y665))/STDEV('The List'!Y2:Y665)</f>
        <v>-0.56188220977318</v>
      </c>
      <c r="M152" s="77">
        <f>(VLOOKUP($A152,'The List'!$B1:$AH665,25,FALSE)-AVERAGE('The List'!Z2:Z665))/STDEV('The List'!Z2:Z665)</f>
        <v>-0.735277787351449</v>
      </c>
      <c r="N152" s="77">
        <f>(VLOOKUP($A152,'The List'!$B1:$AH665,26,FALSE)-AVERAGE('The List'!AA2:AA665))/STDEV('The List'!AA2:AA665)</f>
        <v>-0.74551125851323</v>
      </c>
      <c r="O152" s="77">
        <f>(VLOOKUP($A152,'The List'!$B1:$AH665,27,FALSE)-AVERAGE('The List'!AB2:AB665))/STDEV('The List'!AB2:AB665)</f>
        <v>-1.58144350739791</v>
      </c>
      <c r="P152" s="77">
        <f>(VLOOKUP($A152,'The List'!$B1:$AH665,28,FALSE)-AVERAGE('The List'!AC2:AC665))/STDEV('The List'!AC2:AC665)</f>
        <v>0.5731683668561079</v>
      </c>
      <c r="Q152" s="77">
        <f>(VLOOKUP($A152,'The List'!$B1:$AH665,29,FALSE)-AVERAGE('The List'!AD2:AD665))/STDEV('The List'!AD2:AD665)</f>
        <v>-1.37100853356651</v>
      </c>
      <c r="R152" s="77">
        <f>(VLOOKUP($A152,'The List'!$B1:$AH665,30,FALSE)-AVERAGE('The List'!AE2:AE665))/STDEV('The List'!AE2:AE665)</f>
        <v>0.371838473725225</v>
      </c>
      <c r="S152" s="77">
        <f>(VLOOKUP($A152,'The List'!$B1:$AH665,31,FALSE)-AVERAGE('The List'!AF2:AF665))/STDEV('The List'!AF2:AF665)</f>
        <v>0.550712089896796</v>
      </c>
      <c r="T152" s="77">
        <f>(VLOOKUP($A152,'The List'!$B1:$AH665,32,FALSE)-AVERAGE('The List'!AG2:AG665))/STDEV('The List'!AG2:AG665)</f>
        <v>0.948431832996307</v>
      </c>
      <c r="U152" s="77">
        <f>(VLOOKUP($A152,'The List'!$B1:$AH665,33,FALSE)-AVERAGE('The List'!AH2:AH665))/STDEV('The List'!AH2:AH665)</f>
        <v>0.725824695561165</v>
      </c>
      <c r="V152" s="77"/>
      <c r="W152" s="89"/>
      <c r="X152" s="79"/>
      <c r="Y152" s="79"/>
      <c r="Z152" s="79"/>
      <c r="AA152" s="79"/>
      <c r="AB152" s="79"/>
      <c r="AC152" s="82"/>
      <c r="AD152" s="83"/>
      <c r="AE152" s="84"/>
    </row>
    <row r="153" ht="21.25" customHeight="1">
      <c r="A153" t="s" s="10">
        <v>322</v>
      </c>
      <c r="B153" t="s" s="86">
        <f>VLOOKUP(A153,'Player Data'!A1:B667,2,FALSE)</f>
        <v>132</v>
      </c>
      <c r="C153" s="74">
        <f>((E153)*'Settings'!$C$12)+(F153*'Settings'!$C$2)+(G153*'Settings'!$C$3)+(H153*'Settings'!$C$4)+(I153*'Settings'!$C$5)+(K153*'Settings'!$C$9)+(N153*'Settings'!$C$6)+(J153*'Settings'!$C$8)+(O153*'Settings'!$C$7)+(P153*'Settings'!$C$14)+(Q153*'Settings'!$C$15)+(R153*'Settings'!$C$16)+(S153*'Settings'!$C$17)+(T153*'Settings'!$C$18)+(U153*'Settings'!$C$19)+(L153*'Settings'!$C$10)+('Settings'!$C$11*M153)</f>
        <v>1.97862798627425</v>
      </c>
      <c r="D153" s="79">
        <f>IF('Settings'!$E$12="YES",VLOOKUP(A153,'Player Data'!A1:E667,5,FALSE),82)</f>
        <v>79.84999999999999</v>
      </c>
      <c r="E153" s="77">
        <f>(VLOOKUP($A153,'The List'!$B1:$AH665,17,FALSE)-AVERAGE('The List'!R2:R665))/STDEV('The List'!R2:R665)</f>
        <v>-0.142926888058564</v>
      </c>
      <c r="F153" s="77">
        <f>(VLOOKUP($A153,'The List'!$B1:$AH665,18,FALSE)-AVERAGE('The List'!S2:S665))/STDEV('The List'!S2:S665)</f>
        <v>0.750017072671141</v>
      </c>
      <c r="G153" s="77">
        <f>(VLOOKUP($A153,'The List'!$B1:$AH665,19,FALSE)-AVERAGE('The List'!T2:T665))/STDEV('The List'!T2:T665)</f>
        <v>0.46386241375669</v>
      </c>
      <c r="H153" s="77">
        <f>(VLOOKUP($A153,'The List'!$B1:$AH665,20,FALSE)-AVERAGE('The List'!U2:U665))/STDEV('The List'!U2:U665)</f>
        <v>0.629003051753825</v>
      </c>
      <c r="I153" s="77">
        <f>(VLOOKUP($A153,'The List'!$B1:$AH665,21,FALSE)-AVERAGE('The List'!V2:V665))/STDEV('The List'!V2:V665)</f>
        <v>0.203862497785003</v>
      </c>
      <c r="J153" s="77">
        <f>(VLOOKUP($A153,'The List'!$B1:$AH665,22,FALSE)-AVERAGE('The List'!W2:W665))/STDEV('The List'!W2:W665)</f>
        <v>-0.252323275816645</v>
      </c>
      <c r="K153" s="77">
        <f>(VLOOKUP($A153,'The List'!$B1:$AH665,23,FALSE)-AVERAGE('The List'!X2:X665))/STDEV('The List'!X2:X665)</f>
        <v>-0.1141002355603</v>
      </c>
      <c r="L153" s="77">
        <f>(VLOOKUP($A153,'The List'!$B1:$AH665,24,FALSE)-AVERAGE('The List'!Y2:Y665))/STDEV('The List'!Y2:Y665)</f>
        <v>-0.378811189886045</v>
      </c>
      <c r="M153" s="77">
        <f>(VLOOKUP($A153,'The List'!$B1:$AH665,25,FALSE)-AVERAGE('The List'!Z2:Z665))/STDEV('The List'!Z2:Z665)</f>
        <v>-0.54972662911976</v>
      </c>
      <c r="N153" s="77">
        <f>(VLOOKUP($A153,'The List'!$B1:$AH665,26,FALSE)-AVERAGE('The List'!AA2:AA665))/STDEV('The List'!AA2:AA665)</f>
        <v>-0.705319047460833</v>
      </c>
      <c r="O153" s="77">
        <f>(VLOOKUP($A153,'The List'!$B1:$AH665,27,FALSE)-AVERAGE('The List'!AB2:AB665))/STDEV('The List'!AB2:AB665)</f>
        <v>1.75892992341833</v>
      </c>
      <c r="P153" s="77">
        <f>(VLOOKUP($A153,'The List'!$B1:$AH665,28,FALSE)-AVERAGE('The List'!AC2:AC665))/STDEV('The List'!AC2:AC665)</f>
        <v>1.38030528508255</v>
      </c>
      <c r="Q153" s="77">
        <f>(VLOOKUP($A153,'The List'!$B1:$AH665,29,FALSE)-AVERAGE('The List'!AD2:AD665))/STDEV('The List'!AD2:AD665)</f>
        <v>1.00680154372616</v>
      </c>
      <c r="R153" s="77">
        <f>(VLOOKUP($A153,'The List'!$B1:$AH665,30,FALSE)-AVERAGE('The List'!AE2:AE665))/STDEV('The List'!AE2:AE665)</f>
        <v>0.864468849171128</v>
      </c>
      <c r="S153" s="77">
        <f>(VLOOKUP($A153,'The List'!$B1:$AH665,31,FALSE)-AVERAGE('The List'!AF2:AF665))/STDEV('The List'!AF2:AF665)</f>
        <v>-0.573894410680004</v>
      </c>
      <c r="T153" s="77">
        <f>(VLOOKUP($A153,'The List'!$B1:$AH665,32,FALSE)-AVERAGE('The List'!AG2:AG665))/STDEV('The List'!AG2:AG665)</f>
        <v>-0.619697193167862</v>
      </c>
      <c r="U153" s="77">
        <f>(VLOOKUP($A153,'The List'!$B1:$AH665,33,FALSE)-AVERAGE('The List'!AH2:AH665))/STDEV('The List'!AH2:AH665)</f>
        <v>-1.23143509451486</v>
      </c>
      <c r="V153" s="77"/>
      <c r="W153" s="79"/>
      <c r="X153" s="77"/>
      <c r="Y153" s="77"/>
      <c r="Z153" s="77"/>
      <c r="AA153" s="77"/>
      <c r="AB153" s="77"/>
      <c r="AC153" s="77"/>
      <c r="AD153" s="77"/>
      <c r="AE153" s="84"/>
    </row>
    <row r="154" ht="21.25" customHeight="1">
      <c r="A154" t="s" s="10">
        <v>510</v>
      </c>
      <c r="B154" t="s" s="86">
        <f>VLOOKUP(A154,'Player Data'!A1:B667,2,FALSE)</f>
        <v>914</v>
      </c>
      <c r="C154" s="74">
        <f>((E154)*'Settings'!$C$12)+(F154*'Settings'!$C$2)+(G154*'Settings'!$C$3)+(H154*'Settings'!$C$4)+(I154*'Settings'!$C$5)+(K154*'Settings'!$C$9)+(N154*'Settings'!$C$6)+(J154*'Settings'!$C$8)+(O154*'Settings'!$C$7)+(P154*'Settings'!$C$14)+(Q154*'Settings'!$C$15)+(R154*'Settings'!$C$16)+(S154*'Settings'!$C$17)+(T154*'Settings'!$C$18)+(U154*'Settings'!$C$19)+(L154*'Settings'!$C$10)+('Settings'!$C$11*M154)</f>
        <v>0.928334880530311</v>
      </c>
      <c r="D154" s="79">
        <f>IF('Settings'!$E$12="YES",VLOOKUP(A154,'Player Data'!A1:E667,5,FALSE),82)</f>
        <v>72.67</v>
      </c>
      <c r="E154" s="77">
        <f>(VLOOKUP($A154,'The List'!$B1:$AH665,17,FALSE)-AVERAGE('The List'!R2:R665))/STDEV('The List'!R2:R665)</f>
        <v>0.266336828934002</v>
      </c>
      <c r="F154" s="77">
        <f>(VLOOKUP($A154,'The List'!$B1:$AH665,18,FALSE)-AVERAGE('The List'!S2:S665))/STDEV('The List'!S2:S665)</f>
        <v>0.552736674359507</v>
      </c>
      <c r="G154" s="77">
        <f>(VLOOKUP($A154,'The List'!$B1:$AH665,19,FALSE)-AVERAGE('The List'!T2:T665))/STDEV('The List'!T2:T665)</f>
        <v>0.276858214905002</v>
      </c>
      <c r="H154" s="77">
        <f>(VLOOKUP($A154,'The List'!$B1:$AH665,20,FALSE)-AVERAGE('The List'!U2:U665))/STDEV('The List'!U2:U665)</f>
        <v>0.423189610850807</v>
      </c>
      <c r="I154" s="77">
        <f>(VLOOKUP($A154,'The List'!$B1:$AH665,21,FALSE)-AVERAGE('The List'!V2:V665))/STDEV('The List'!V2:V665)</f>
        <v>0.24177114476598</v>
      </c>
      <c r="J154" s="77">
        <f>(VLOOKUP($A154,'The List'!$B1:$AH665,22,FALSE)-AVERAGE('The List'!W2:W665))/STDEV('The List'!W2:W665)</f>
        <v>0.850543323928255</v>
      </c>
      <c r="K154" s="77">
        <f>(VLOOKUP($A154,'The List'!$B1:$AH665,23,FALSE)-AVERAGE('The List'!X2:X665))/STDEV('The List'!X2:X665)</f>
        <v>0.6841145027880799</v>
      </c>
      <c r="L154" s="77">
        <f>(VLOOKUP($A154,'The List'!$B1:$AH665,24,FALSE)-AVERAGE('The List'!Y2:Y665))/STDEV('The List'!Y2:Y665)</f>
        <v>1.60793017925076</v>
      </c>
      <c r="M154" s="77">
        <f>(VLOOKUP($A154,'The List'!$B1:$AH665,25,FALSE)-AVERAGE('The List'!Z2:Z665))/STDEV('The List'!Z2:Z665)</f>
        <v>0.685408770770133</v>
      </c>
      <c r="N154" s="77">
        <f>(VLOOKUP($A154,'The List'!$B1:$AH665,26,FALSE)-AVERAGE('The List'!AA2:AA665))/STDEV('The List'!AA2:AA665)</f>
        <v>-0.651847272310238</v>
      </c>
      <c r="O154" s="77">
        <f>(VLOOKUP($A154,'The List'!$B1:$AH665,27,FALSE)-AVERAGE('The List'!AB2:AB665))/STDEV('The List'!AB2:AB665)</f>
        <v>-1.20112744812137</v>
      </c>
      <c r="P154" s="77">
        <f>(VLOOKUP($A154,'The List'!$B1:$AH665,28,FALSE)-AVERAGE('The List'!AC2:AC665))/STDEV('The List'!AC2:AC665)</f>
        <v>-0.17529838397802</v>
      </c>
      <c r="Q154" s="77">
        <f>(VLOOKUP($A154,'The List'!$B1:$AH665,29,FALSE)-AVERAGE('The List'!AD2:AD665))/STDEV('The List'!AD2:AD665)</f>
        <v>-0.877539370087109</v>
      </c>
      <c r="R154" s="77">
        <f>(VLOOKUP($A154,'The List'!$B1:$AH665,30,FALSE)-AVERAGE('The List'!AE2:AE665))/STDEV('The List'!AE2:AE665)</f>
        <v>0.0638410637614242</v>
      </c>
      <c r="S154" s="77">
        <f>(VLOOKUP($A154,'The List'!$B1:$AH665,31,FALSE)-AVERAGE('The List'!AF2:AF665))/STDEV('The List'!AF2:AF665)</f>
        <v>2.29628704052447</v>
      </c>
      <c r="T154" s="77">
        <f>(VLOOKUP($A154,'The List'!$B1:$AH665,32,FALSE)-AVERAGE('The List'!AG2:AG665))/STDEV('The List'!AG2:AG665)</f>
        <v>1.92020250800312</v>
      </c>
      <c r="U154" s="77">
        <f>(VLOOKUP($A154,'The List'!$B1:$AH665,33,FALSE)-AVERAGE('The List'!AH2:AH665))/STDEV('The List'!AH2:AH665)</f>
        <v>1.24029046603606</v>
      </c>
      <c r="V154" s="77"/>
      <c r="W154" s="79"/>
      <c r="X154" s="77"/>
      <c r="Y154" s="77"/>
      <c r="Z154" s="77"/>
      <c r="AA154" s="77"/>
      <c r="AB154" s="77"/>
      <c r="AC154" s="77"/>
      <c r="AD154" s="77"/>
      <c r="AE154" s="84"/>
    </row>
    <row r="155" ht="21.25" customHeight="1">
      <c r="A155" t="s" s="10">
        <v>419</v>
      </c>
      <c r="B155" t="s" s="86">
        <f>VLOOKUP(A155,'Player Data'!A1:B667,2,FALSE)</f>
        <v>902</v>
      </c>
      <c r="C155" s="74">
        <f>((E155)*'Settings'!$C$12)+(F155*'Settings'!$C$2)+(G155*'Settings'!$C$3)+(H155*'Settings'!$C$4)+(I155*'Settings'!$C$5)+(K155*'Settings'!$C$9)+(N155*'Settings'!$C$6)+(J155*'Settings'!$C$8)+(O155*'Settings'!$C$7)+(P155*'Settings'!$C$14)+(Q155*'Settings'!$C$15)+(R155*'Settings'!$C$16)+(S155*'Settings'!$C$17)+(T155*'Settings'!$C$18)+(U155*'Settings'!$C$19)+(L155*'Settings'!$C$10)+('Settings'!$C$11*M155)</f>
        <v>2.14603922350914</v>
      </c>
      <c r="D155" s="79">
        <f>IF('Settings'!$E$12="YES",VLOOKUP(A155,'Player Data'!A1:E667,5,FALSE),82)</f>
        <v>78.62</v>
      </c>
      <c r="E155" s="77">
        <f>(VLOOKUP($A155,'The List'!$B1:$AH665,17,FALSE)-AVERAGE('The List'!R2:R665))/STDEV('The List'!R2:R665)</f>
        <v>-0.0480044156296192</v>
      </c>
      <c r="F155" s="77">
        <f>(VLOOKUP($A155,'The List'!$B1:$AH665,18,FALSE)-AVERAGE('The List'!S2:S665))/STDEV('The List'!S2:S665)</f>
        <v>0.851683041647059</v>
      </c>
      <c r="G155" s="77">
        <f>(VLOOKUP($A155,'The List'!$B1:$AH665,19,FALSE)-AVERAGE('The List'!T2:T665))/STDEV('The List'!T2:T665)</f>
        <v>0.328959290233295</v>
      </c>
      <c r="H155" s="77">
        <f>(VLOOKUP($A155,'The List'!$B1:$AH665,20,FALSE)-AVERAGE('The List'!U2:U665))/STDEV('The List'!U2:U665)</f>
        <v>0.591432642168555</v>
      </c>
      <c r="I155" s="77">
        <f>(VLOOKUP($A155,'The List'!$B1:$AH665,21,FALSE)-AVERAGE('The List'!V2:V665))/STDEV('The List'!V2:V665)</f>
        <v>0.770999200075844</v>
      </c>
      <c r="J155" s="77">
        <f>(VLOOKUP($A155,'The List'!$B1:$AH665,22,FALSE)-AVERAGE('The List'!W2:W665))/STDEV('The List'!W2:W665)</f>
        <v>0.324851771073089</v>
      </c>
      <c r="K155" s="77">
        <f>(VLOOKUP($A155,'The List'!$B1:$AH665,23,FALSE)-AVERAGE('The List'!X2:X665))/STDEV('The List'!X2:X665)</f>
        <v>0.123960957545507</v>
      </c>
      <c r="L155" s="77">
        <f>(VLOOKUP($A155,'The List'!$B1:$AH665,24,FALSE)-AVERAGE('The List'!Y2:Y665))/STDEV('The List'!Y2:Y665)</f>
        <v>0.155409279375001</v>
      </c>
      <c r="M155" s="77">
        <f>(VLOOKUP($A155,'The List'!$B1:$AH665,25,FALSE)-AVERAGE('The List'!Z2:Z665))/STDEV('The List'!Z2:Z665)</f>
        <v>0.669930225813189</v>
      </c>
      <c r="N155" s="77">
        <f>(VLOOKUP($A155,'The List'!$B1:$AH665,26,FALSE)-AVERAGE('The List'!AA2:AA665))/STDEV('The List'!AA2:AA665)</f>
        <v>-0.891281044908411</v>
      </c>
      <c r="O155" s="77">
        <f>(VLOOKUP($A155,'The List'!$B1:$AH665,27,FALSE)-AVERAGE('The List'!AB2:AB665))/STDEV('The List'!AB2:AB665)</f>
        <v>-0.330187893855111</v>
      </c>
      <c r="P155" s="77">
        <f>(VLOOKUP($A155,'The List'!$B1:$AH665,28,FALSE)-AVERAGE('The List'!AC2:AC665))/STDEV('The List'!AC2:AC665)</f>
        <v>0.961717778915848</v>
      </c>
      <c r="Q155" s="77">
        <f>(VLOOKUP($A155,'The List'!$B1:$AH665,29,FALSE)-AVERAGE('The List'!AD2:AD665))/STDEV('The List'!AD2:AD665)</f>
        <v>-0.268856186116662</v>
      </c>
      <c r="R155" s="77">
        <f>(VLOOKUP($A155,'The List'!$B1:$AH665,30,FALSE)-AVERAGE('The List'!AE2:AE665))/STDEV('The List'!AE2:AE665)</f>
        <v>0.967978316083993</v>
      </c>
      <c r="S155" s="77">
        <f>(VLOOKUP($A155,'The List'!$B1:$AH665,31,FALSE)-AVERAGE('The List'!AF2:AF665))/STDEV('The List'!AF2:AF665)</f>
        <v>1.43117565497116</v>
      </c>
      <c r="T155" s="77">
        <f>(VLOOKUP($A155,'The List'!$B1:$AH665,32,FALSE)-AVERAGE('The List'!AG2:AG665))/STDEV('The List'!AG2:AG665)</f>
        <v>1.07333377151729</v>
      </c>
      <c r="U155" s="77">
        <f>(VLOOKUP($A155,'The List'!$B1:$AH665,33,FALSE)-AVERAGE('The List'!AH2:AH665))/STDEV('The List'!AH2:AH665)</f>
        <v>1.29155844268907</v>
      </c>
      <c r="V155" s="77"/>
      <c r="W155" s="79"/>
      <c r="X155" s="77"/>
      <c r="Y155" s="77"/>
      <c r="Z155" s="77"/>
      <c r="AA155" s="77"/>
      <c r="AB155" s="77"/>
      <c r="AC155" s="77"/>
      <c r="AD155" s="77"/>
      <c r="AE155" s="84"/>
    </row>
    <row r="156" ht="21.25" customHeight="1">
      <c r="A156" t="s" s="10">
        <v>314</v>
      </c>
      <c r="B156" t="s" s="86">
        <f>VLOOKUP(A156,'Player Data'!A1:B667,2,FALSE)</f>
        <v>275</v>
      </c>
      <c r="C156" s="74">
        <f>((E156)*'Settings'!$C$12)+(F156*'Settings'!$C$2)+(G156*'Settings'!$C$3)+(H156*'Settings'!$C$4)+(I156*'Settings'!$C$5)+(K156*'Settings'!$C$9)+(N156*'Settings'!$C$6)+(J156*'Settings'!$C$8)+(O156*'Settings'!$C$7)+(P156*'Settings'!$C$14)+(Q156*'Settings'!$C$15)+(R156*'Settings'!$C$16)+(S156*'Settings'!$C$17)+(T156*'Settings'!$C$18)+(U156*'Settings'!$C$19)+(L156*'Settings'!$C$10)+('Settings'!$C$11*M156)</f>
        <v>3.82399600792333</v>
      </c>
      <c r="D156" s="79">
        <f>IF('Settings'!$E$12="YES",VLOOKUP(A156,'Player Data'!A1:E667,5,FALSE),82)</f>
        <v>80.68000000000001</v>
      </c>
      <c r="E156" s="77">
        <f>(VLOOKUP($A156,'The List'!$B1:$AH665,17,FALSE)-AVERAGE('The List'!R2:R665))/STDEV('The List'!R2:R665)</f>
        <v>2.03469658631144</v>
      </c>
      <c r="F156" s="77">
        <f>(VLOOKUP($A156,'The List'!$B1:$AH665,18,FALSE)-AVERAGE('The List'!S2:S665))/STDEV('The List'!S2:S665)</f>
        <v>-0.423033963082538</v>
      </c>
      <c r="G156" s="77">
        <f>(VLOOKUP($A156,'The List'!$B1:$AH665,19,FALSE)-AVERAGE('The List'!T2:T665))/STDEV('The List'!T2:T665)</f>
        <v>1.34909508681396</v>
      </c>
      <c r="H156" s="77">
        <f>(VLOOKUP($A156,'The List'!$B1:$AH665,20,FALSE)-AVERAGE('The List'!U2:U665))/STDEV('The List'!U2:U665)</f>
        <v>0.6455748613444759</v>
      </c>
      <c r="I156" s="77">
        <f>(VLOOKUP($A156,'The List'!$B1:$AH665,21,FALSE)-AVERAGE('The List'!V2:V665))/STDEV('The List'!V2:V665)</f>
        <v>0.17492542626646</v>
      </c>
      <c r="J156" s="77">
        <f>(VLOOKUP($A156,'The List'!$B1:$AH665,22,FALSE)-AVERAGE('The List'!W2:W665))/STDEV('The List'!W2:W665)</f>
        <v>-0.0562793570128899</v>
      </c>
      <c r="K156" s="77">
        <f>(VLOOKUP($A156,'The List'!$B1:$AH665,23,FALSE)-AVERAGE('The List'!X2:X665))/STDEV('The List'!X2:X665)</f>
        <v>1.02230625723865</v>
      </c>
      <c r="L156" s="77">
        <f>(VLOOKUP($A156,'The List'!$B1:$AH665,24,FALSE)-AVERAGE('The List'!Y2:Y665))/STDEV('The List'!Y2:Y665)</f>
        <v>-0.512501230371687</v>
      </c>
      <c r="M156" s="77">
        <f>(VLOOKUP($A156,'The List'!$B1:$AH665,25,FALSE)-AVERAGE('The List'!Z2:Z665))/STDEV('The List'!Z2:Z665)</f>
        <v>-0.579036624957339</v>
      </c>
      <c r="N156" s="77">
        <f>(VLOOKUP($A156,'The List'!$B1:$AH665,26,FALSE)-AVERAGE('The List'!AA2:AA665))/STDEV('The List'!AA2:AA665)</f>
        <v>1.75991904950769</v>
      </c>
      <c r="O156" s="77">
        <f>(VLOOKUP($A156,'The List'!$B1:$AH665,27,FALSE)-AVERAGE('The List'!AB2:AB665))/STDEV('The List'!AB2:AB665)</f>
        <v>-0.484134370892003</v>
      </c>
      <c r="P156" s="77">
        <f>(VLOOKUP($A156,'The List'!$B1:$AH665,28,FALSE)-AVERAGE('The List'!AC2:AC665))/STDEV('The List'!AC2:AC665)</f>
        <v>-0.059215848820894</v>
      </c>
      <c r="Q156" s="77">
        <f>(VLOOKUP($A156,'The List'!$B1:$AH665,29,FALSE)-AVERAGE('The List'!AD2:AD665))/STDEV('The List'!AD2:AD665)</f>
        <v>-0.114651408764512</v>
      </c>
      <c r="R156" s="77">
        <f>(VLOOKUP($A156,'The List'!$B1:$AH665,30,FALSE)-AVERAGE('The List'!AE2:AE665))/STDEV('The List'!AE2:AE665)</f>
        <v>-0.310321662807102</v>
      </c>
      <c r="S156" s="77">
        <f>(VLOOKUP($A156,'The List'!$B1:$AH665,31,FALSE)-AVERAGE('The List'!AF2:AF665))/STDEV('The List'!AF2:AF665)</f>
        <v>-0.573894410680004</v>
      </c>
      <c r="T156" s="77">
        <f>(VLOOKUP($A156,'The List'!$B1:$AH665,32,FALSE)-AVERAGE('The List'!AG2:AG665))/STDEV('The List'!AG2:AG665)</f>
        <v>-0.625770787132651</v>
      </c>
      <c r="U156" s="77">
        <f>(VLOOKUP($A156,'The List'!$B1:$AH665,33,FALSE)-AVERAGE('The List'!AH2:AH665))/STDEV('The List'!AH2:AH665)</f>
        <v>-1.23143509451486</v>
      </c>
      <c r="V156" s="77"/>
      <c r="W156" s="89"/>
      <c r="X156" s="79"/>
      <c r="Y156" s="79"/>
      <c r="Z156" s="79"/>
      <c r="AA156" s="79"/>
      <c r="AB156" s="79"/>
      <c r="AC156" s="82"/>
      <c r="AD156" s="83"/>
      <c r="AE156" s="84"/>
    </row>
    <row r="157" ht="21.25" customHeight="1">
      <c r="A157" t="s" s="10">
        <v>282</v>
      </c>
      <c r="B157" t="s" s="86">
        <f>VLOOKUP(A157,'Player Data'!A1:B667,2,FALSE)</f>
        <v>909</v>
      </c>
      <c r="C157" s="74">
        <f>((E157)*'Settings'!$C$12)+(F157*'Settings'!$C$2)+(G157*'Settings'!$C$3)+(H157*'Settings'!$C$4)+(I157*'Settings'!$C$5)+(K157*'Settings'!$C$9)+(N157*'Settings'!$C$6)+(J157*'Settings'!$C$8)+(O157*'Settings'!$C$7)+(P157*'Settings'!$C$14)+(Q157*'Settings'!$C$15)+(R157*'Settings'!$C$16)+(S157*'Settings'!$C$17)+(T157*'Settings'!$C$18)+(U157*'Settings'!$C$19)+(L157*'Settings'!$C$10)+('Settings'!$C$11*M157)</f>
        <v>2.90916116803545</v>
      </c>
      <c r="D157" s="79">
        <f>IF('Settings'!$E$12="YES",VLOOKUP(A157,'Player Data'!A1:E667,5,FALSE),82)</f>
        <v>76.55500000000001</v>
      </c>
      <c r="E157" s="77">
        <f>(VLOOKUP($A157,'The List'!$B1:$AH665,17,FALSE)-AVERAGE('The List'!R2:R665))/STDEV('The List'!R2:R665)</f>
        <v>2.07587837032864</v>
      </c>
      <c r="F157" s="77">
        <f>(VLOOKUP($A157,'The List'!$B1:$AH665,18,FALSE)-AVERAGE('The List'!S2:S665))/STDEV('The List'!S2:S665)</f>
        <v>-0.241130580598231</v>
      </c>
      <c r="G157" s="77">
        <f>(VLOOKUP($A157,'The List'!$B1:$AH665,19,FALSE)-AVERAGE('The List'!T2:T665))/STDEV('The List'!T2:T665)</f>
        <v>1.0219936919837</v>
      </c>
      <c r="H157" s="77">
        <f>(VLOOKUP($A157,'The List'!$B1:$AH665,20,FALSE)-AVERAGE('The List'!U2:U665))/STDEV('The List'!U2:U665)</f>
        <v>0.525110236761301</v>
      </c>
      <c r="I157" s="77">
        <f>(VLOOKUP($A157,'The List'!$B1:$AH665,21,FALSE)-AVERAGE('The List'!V2:V665))/STDEV('The List'!V2:V665)</f>
        <v>0.558857067232541</v>
      </c>
      <c r="J157" s="77">
        <f>(VLOOKUP($A157,'The List'!$B1:$AH665,22,FALSE)-AVERAGE('The List'!W2:W665))/STDEV('The List'!W2:W665)</f>
        <v>-0.22965424881396</v>
      </c>
      <c r="K157" s="77">
        <f>(VLOOKUP($A157,'The List'!$B1:$AH665,23,FALSE)-AVERAGE('The List'!X2:X665))/STDEV('The List'!X2:X665)</f>
        <v>0.764918509817388</v>
      </c>
      <c r="L157" s="77">
        <f>(VLOOKUP($A157,'The List'!$B1:$AH665,24,FALSE)-AVERAGE('The List'!Y2:Y665))/STDEV('The List'!Y2:Y665)</f>
        <v>1.49725892523825</v>
      </c>
      <c r="M157" s="77">
        <f>(VLOOKUP($A157,'The List'!$B1:$AH665,25,FALSE)-AVERAGE('The List'!Z2:Z665))/STDEV('The List'!Z2:Z665)</f>
        <v>1.35528604248026</v>
      </c>
      <c r="N157" s="77">
        <f>(VLOOKUP($A157,'The List'!$B1:$AH665,26,FALSE)-AVERAGE('The List'!AA2:AA665))/STDEV('The List'!AA2:AA665)</f>
        <v>2.11917777717592</v>
      </c>
      <c r="O157" s="77">
        <f>(VLOOKUP($A157,'The List'!$B1:$AH665,27,FALSE)-AVERAGE('The List'!AB2:AB665))/STDEV('The List'!AB2:AB665)</f>
        <v>-0.422363629266126</v>
      </c>
      <c r="P157" s="77">
        <f>(VLOOKUP($A157,'The List'!$B1:$AH665,28,FALSE)-AVERAGE('The List'!AC2:AC665))/STDEV('The List'!AC2:AC665)</f>
        <v>-1.31465529757587</v>
      </c>
      <c r="Q157" s="77">
        <f>(VLOOKUP($A157,'The List'!$B1:$AH665,29,FALSE)-AVERAGE('The List'!AD2:AD665))/STDEV('The List'!AD2:AD665)</f>
        <v>1.20804676393339</v>
      </c>
      <c r="R157" s="77">
        <f>(VLOOKUP($A157,'The List'!$B1:$AH665,30,FALSE)-AVERAGE('The List'!AE2:AE665))/STDEV('The List'!AE2:AE665)</f>
        <v>-0.462372618580067</v>
      </c>
      <c r="S157" s="77">
        <f>(VLOOKUP($A157,'The List'!$B1:$AH665,31,FALSE)-AVERAGE('The List'!AF2:AF665))/STDEV('The List'!AF2:AF665)</f>
        <v>-0.573894410680004</v>
      </c>
      <c r="T157" s="77">
        <f>(VLOOKUP($A157,'The List'!$B1:$AH665,32,FALSE)-AVERAGE('The List'!AG2:AG665))/STDEV('The List'!AG2:AG665)</f>
        <v>-0.625770787132651</v>
      </c>
      <c r="U157" s="77">
        <f>(VLOOKUP($A157,'The List'!$B1:$AH665,33,FALSE)-AVERAGE('The List'!AH2:AH665))/STDEV('The List'!AH2:AH665)</f>
        <v>-1.23143509451486</v>
      </c>
      <c r="V157" s="77"/>
      <c r="W157" s="89"/>
      <c r="X157" s="79"/>
      <c r="Y157" s="79"/>
      <c r="Z157" s="79"/>
      <c r="AA157" s="79"/>
      <c r="AB157" s="79"/>
      <c r="AC157" s="82"/>
      <c r="AD157" s="83"/>
      <c r="AE157" s="84"/>
    </row>
    <row r="158" ht="21.25" customHeight="1">
      <c r="A158" t="s" s="10">
        <v>585</v>
      </c>
      <c r="B158" t="s" s="86">
        <f>VLOOKUP(A158,'Player Data'!A1:B667,2,FALSE)</f>
        <v>905</v>
      </c>
      <c r="C158" s="74">
        <f>((E158)*'Settings'!$C$12)+(F158*'Settings'!$C$2)+(G158*'Settings'!$C$3)+(H158*'Settings'!$C$4)+(I158*'Settings'!$C$5)+(K158*'Settings'!$C$9)+(N158*'Settings'!$C$6)+(J158*'Settings'!$C$8)+(O158*'Settings'!$C$7)+(P158*'Settings'!$C$14)+(Q158*'Settings'!$C$15)+(R158*'Settings'!$C$16)+(S158*'Settings'!$C$17)+(T158*'Settings'!$C$18)+(U158*'Settings'!$C$19)+(L158*'Settings'!$C$10)+('Settings'!$C$11*M158)</f>
        <v>-0.405682593774033</v>
      </c>
      <c r="D158" s="79">
        <f>IF('Settings'!$E$12="YES",VLOOKUP(A158,'Player Data'!A1:E667,5,FALSE),82)</f>
        <v>66.2625</v>
      </c>
      <c r="E158" s="77">
        <f>(VLOOKUP($A158,'The List'!$B1:$AH665,17,FALSE)-AVERAGE('The List'!R2:R665))/STDEV('The List'!R2:R665)</f>
        <v>0.0916986747800798</v>
      </c>
      <c r="F158" s="77">
        <f>(VLOOKUP($A158,'The List'!$B1:$AH665,18,FALSE)-AVERAGE('The List'!S2:S665))/STDEV('The List'!S2:S665)</f>
        <v>0.323212188565556</v>
      </c>
      <c r="G158" s="77">
        <f>(VLOOKUP($A158,'The List'!$B1:$AH665,19,FALSE)-AVERAGE('The List'!T2:T665))/STDEV('The List'!T2:T665)</f>
        <v>0.107515402442187</v>
      </c>
      <c r="H158" s="77">
        <f>(VLOOKUP($A158,'The List'!$B1:$AH665,20,FALSE)-AVERAGE('The List'!U2:U665))/STDEV('The List'!U2:U665)</f>
        <v>0.213688413516506</v>
      </c>
      <c r="I158" s="77">
        <f>(VLOOKUP($A158,'The List'!$B1:$AH665,21,FALSE)-AVERAGE('The List'!V2:V665))/STDEV('The List'!V2:V665)</f>
        <v>0.570274502952941</v>
      </c>
      <c r="J158" s="77">
        <f>(VLOOKUP($A158,'The List'!$B1:$AH665,22,FALSE)-AVERAGE('The List'!W2:W665))/STDEV('The List'!W2:W665)</f>
        <v>0.6298107657707041</v>
      </c>
      <c r="K158" s="77">
        <f>(VLOOKUP($A158,'The List'!$B1:$AH665,23,FALSE)-AVERAGE('The List'!X2:X665))/STDEV('The List'!X2:X665)</f>
        <v>0.428889618525774</v>
      </c>
      <c r="L158" s="77">
        <f>(VLOOKUP($A158,'The List'!$B1:$AH665,24,FALSE)-AVERAGE('The List'!Y2:Y665))/STDEV('The List'!Y2:Y665)</f>
        <v>-0.574609136808728</v>
      </c>
      <c r="M158" s="77">
        <f>(VLOOKUP($A158,'The List'!$B1:$AH665,25,FALSE)-AVERAGE('The List'!Z2:Z665))/STDEV('The List'!Z2:Z665)</f>
        <v>-0.748253329316665</v>
      </c>
      <c r="N158" s="77">
        <f>(VLOOKUP($A158,'The List'!$B1:$AH665,26,FALSE)-AVERAGE('The List'!AA2:AA665))/STDEV('The List'!AA2:AA665)</f>
        <v>-0.788105946740951</v>
      </c>
      <c r="O158" s="77">
        <f>(VLOOKUP($A158,'The List'!$B1:$AH665,27,FALSE)-AVERAGE('The List'!AB2:AB665))/STDEV('The List'!AB2:AB665)</f>
        <v>-0.891459497048657</v>
      </c>
      <c r="P158" s="77">
        <f>(VLOOKUP($A158,'The List'!$B1:$AH665,28,FALSE)-AVERAGE('The List'!AC2:AC665))/STDEV('The List'!AC2:AC665)</f>
        <v>-1.04746835951954</v>
      </c>
      <c r="Q158" s="77">
        <f>(VLOOKUP($A158,'The List'!$B1:$AH665,29,FALSE)-AVERAGE('The List'!AD2:AD665))/STDEV('The List'!AD2:AD665)</f>
        <v>-0.101776419285412</v>
      </c>
      <c r="R158" s="77">
        <f>(VLOOKUP($A158,'The List'!$B1:$AH665,30,FALSE)-AVERAGE('The List'!AE2:AE665))/STDEV('The List'!AE2:AE665)</f>
        <v>0.0992475936250246</v>
      </c>
      <c r="S158" s="77">
        <f>(VLOOKUP($A158,'The List'!$B1:$AH665,31,FALSE)-AVERAGE('The List'!AF2:AF665))/STDEV('The List'!AF2:AF665)</f>
        <v>-0.496874425797634</v>
      </c>
      <c r="T158" s="77">
        <f>(VLOOKUP($A158,'The List'!$B1:$AH665,32,FALSE)-AVERAGE('The List'!AG2:AG665))/STDEV('The List'!AG2:AG665)</f>
        <v>-0.534423019183518</v>
      </c>
      <c r="U158" s="77">
        <f>(VLOOKUP($A158,'The List'!$B1:$AH665,33,FALSE)-AVERAGE('The List'!AH2:AH665))/STDEV('The List'!AH2:AH665)</f>
        <v>0.911795009726643</v>
      </c>
      <c r="V158" s="77"/>
      <c r="W158" s="79"/>
      <c r="X158" s="77"/>
      <c r="Y158" s="77"/>
      <c r="Z158" s="77"/>
      <c r="AA158" s="77"/>
      <c r="AB158" s="77"/>
      <c r="AC158" s="77"/>
      <c r="AD158" s="77"/>
      <c r="AE158" s="84"/>
    </row>
    <row r="159" ht="21.25" customHeight="1">
      <c r="A159" t="s" s="10">
        <v>568</v>
      </c>
      <c r="B159" t="s" s="86">
        <f>VLOOKUP(A159,'Player Data'!A1:B667,2,FALSE)</f>
        <v>129</v>
      </c>
      <c r="C159" s="74">
        <f>((E159)*'Settings'!$C$12)+(F159*'Settings'!$C$2)+(G159*'Settings'!$C$3)+(H159*'Settings'!$C$4)+(I159*'Settings'!$C$5)+(K159*'Settings'!$C$9)+(N159*'Settings'!$C$6)+(J159*'Settings'!$C$8)+(O159*'Settings'!$C$7)+(P159*'Settings'!$C$14)+(Q159*'Settings'!$C$15)+(R159*'Settings'!$C$16)+(S159*'Settings'!$C$17)+(T159*'Settings'!$C$18)+(U159*'Settings'!$C$19)+(L159*'Settings'!$C$10)+('Settings'!$C$11*M159)</f>
        <v>1.16708748369192</v>
      </c>
      <c r="D159" s="79">
        <f>IF('Settings'!$E$12="YES",VLOOKUP(A159,'Player Data'!A1:E667,5,FALSE),82)</f>
        <v>68.38249999999999</v>
      </c>
      <c r="E159" s="77">
        <f>(VLOOKUP($A159,'The List'!$B1:$AH665,17,FALSE)-AVERAGE('The List'!R2:R665))/STDEV('The List'!R2:R665)</f>
        <v>-0.605022724522297</v>
      </c>
      <c r="F159" s="77">
        <f>(VLOOKUP($A159,'The List'!$B1:$AH665,18,FALSE)-AVERAGE('The List'!S2:S665))/STDEV('The List'!S2:S665)</f>
        <v>0.466750842837853</v>
      </c>
      <c r="G159" s="77">
        <f>(VLOOKUP($A159,'The List'!$B1:$AH665,19,FALSE)-AVERAGE('The List'!T2:T665))/STDEV('The List'!T2:T665)</f>
        <v>0.09817345576609821</v>
      </c>
      <c r="H159" s="77">
        <f>(VLOOKUP($A159,'The List'!$B1:$AH665,20,FALSE)-AVERAGE('The List'!U2:U665))/STDEV('The List'!U2:U665)</f>
        <v>0.273131680657287</v>
      </c>
      <c r="I159" s="77">
        <f>(VLOOKUP($A159,'The List'!$B1:$AH665,21,FALSE)-AVERAGE('The List'!V2:V665))/STDEV('The List'!V2:V665)</f>
        <v>0.709852079671679</v>
      </c>
      <c r="J159" s="77">
        <f>(VLOOKUP($A159,'The List'!$B1:$AH665,22,FALSE)-AVERAGE('The List'!W2:W665))/STDEV('The List'!W2:W665)</f>
        <v>-0.0646899209380034</v>
      </c>
      <c r="K159" s="77">
        <f>(VLOOKUP($A159,'The List'!$B1:$AH665,23,FALSE)-AVERAGE('The List'!X2:X665))/STDEV('The List'!X2:X665)</f>
        <v>-0.08346105549714079</v>
      </c>
      <c r="L159" s="77">
        <f>(VLOOKUP($A159,'The List'!$B1:$AH665,24,FALSE)-AVERAGE('The List'!Y2:Y665))/STDEV('The List'!Y2:Y665)</f>
        <v>-0.507243832695787</v>
      </c>
      <c r="M159" s="77">
        <f>(VLOOKUP($A159,'The List'!$B1:$AH665,25,FALSE)-AVERAGE('The List'!Z2:Z665))/STDEV('The List'!Z2:Z665)</f>
        <v>-0.700582688082274</v>
      </c>
      <c r="N159" s="77">
        <f>(VLOOKUP($A159,'The List'!$B1:$AH665,26,FALSE)-AVERAGE('The List'!AA2:AA665))/STDEV('The List'!AA2:AA665)</f>
        <v>-0.49916963095511</v>
      </c>
      <c r="O159" s="77">
        <f>(VLOOKUP($A159,'The List'!$B1:$AH665,27,FALSE)-AVERAGE('The List'!AB2:AB665))/STDEV('The List'!AB2:AB665)</f>
        <v>-1.27026221332853</v>
      </c>
      <c r="P159" s="77">
        <f>(VLOOKUP($A159,'The List'!$B1:$AH665,28,FALSE)-AVERAGE('The List'!AC2:AC665))/STDEV('The List'!AC2:AC665)</f>
        <v>0.474941791868541</v>
      </c>
      <c r="Q159" s="77">
        <f>(VLOOKUP($A159,'The List'!$B1:$AH665,29,FALSE)-AVERAGE('The List'!AD2:AD665))/STDEV('The List'!AD2:AD665)</f>
        <v>-0.625903529599506</v>
      </c>
      <c r="R159" s="77">
        <f>(VLOOKUP($A159,'The List'!$B1:$AH665,30,FALSE)-AVERAGE('The List'!AE2:AE665))/STDEV('The List'!AE2:AE665)</f>
        <v>0.590842453272431</v>
      </c>
      <c r="S159" s="77">
        <f>(VLOOKUP($A159,'The List'!$B1:$AH665,31,FALSE)-AVERAGE('The List'!AF2:AF665))/STDEV('The List'!AF2:AF665)</f>
        <v>-0.507426784943891</v>
      </c>
      <c r="T159" s="77">
        <f>(VLOOKUP($A159,'The List'!$B1:$AH665,32,FALSE)-AVERAGE('The List'!AG2:AG665))/STDEV('The List'!AG2:AG665)</f>
        <v>-0.508106899924009</v>
      </c>
      <c r="U159" s="77">
        <f>(VLOOKUP($A159,'The List'!$B1:$AH665,33,FALSE)-AVERAGE('The List'!AH2:AH665))/STDEV('The List'!AH2:AH665)</f>
        <v>0.469960047158715</v>
      </c>
      <c r="V159" s="77"/>
      <c r="W159" s="89"/>
      <c r="X159" s="79"/>
      <c r="Y159" s="79"/>
      <c r="Z159" s="79"/>
      <c r="AA159" s="79"/>
      <c r="AB159" s="79"/>
      <c r="AC159" s="82"/>
      <c r="AD159" s="83"/>
      <c r="AE159" s="84"/>
    </row>
    <row r="160" ht="21.25" customHeight="1">
      <c r="A160" t="s" s="10">
        <v>280</v>
      </c>
      <c r="B160" t="s" s="86">
        <f>VLOOKUP(A160,'Player Data'!A1:B667,2,FALSE)</f>
        <v>914</v>
      </c>
      <c r="C160" s="74">
        <f>((E160)*'Settings'!$C$12)+(F160*'Settings'!$C$2)+(G160*'Settings'!$C$3)+(H160*'Settings'!$C$4)+(I160*'Settings'!$C$5)+(K160*'Settings'!$C$9)+(N160*'Settings'!$C$6)+(J160*'Settings'!$C$8)+(O160*'Settings'!$C$7)+(P160*'Settings'!$C$14)+(Q160*'Settings'!$C$15)+(R160*'Settings'!$C$16)+(S160*'Settings'!$C$17)+(T160*'Settings'!$C$18)+(U160*'Settings'!$C$19)+(L160*'Settings'!$C$10)+('Settings'!$C$11*M160)</f>
        <v>0.958323956213622</v>
      </c>
      <c r="D160" s="79">
        <f>IF('Settings'!$E$12="YES",VLOOKUP(A160,'Player Data'!A1:E667,5,FALSE),82)</f>
        <v>73.545</v>
      </c>
      <c r="E160" s="77">
        <f>(VLOOKUP($A160,'The List'!$B1:$AH665,17,FALSE)-AVERAGE('The List'!R2:R665))/STDEV('The List'!R2:R665)</f>
        <v>0.874983663277037</v>
      </c>
      <c r="F160" s="77">
        <f>(VLOOKUP($A160,'The List'!$B1:$AH665,18,FALSE)-AVERAGE('The List'!S2:S665))/STDEV('The List'!S2:S665)</f>
        <v>1.16034282972505</v>
      </c>
      <c r="G160" s="77">
        <f>(VLOOKUP($A160,'The List'!$B1:$AH665,19,FALSE)-AVERAGE('The List'!T2:T665))/STDEV('The List'!T2:T665)</f>
        <v>-0.183472689800613</v>
      </c>
      <c r="H160" s="77">
        <f>(VLOOKUP($A160,'The List'!$B1:$AH665,20,FALSE)-AVERAGE('The List'!U2:U665))/STDEV('The List'!U2:U665)</f>
        <v>0.41348411494257</v>
      </c>
      <c r="I160" s="77">
        <f>(VLOOKUP($A160,'The List'!$B1:$AH665,21,FALSE)-AVERAGE('The List'!V2:V665))/STDEV('The List'!V2:V665)</f>
        <v>1.09445832685249</v>
      </c>
      <c r="J160" s="77">
        <f>(VLOOKUP($A160,'The List'!$B1:$AH665,22,FALSE)-AVERAGE('The List'!W2:W665))/STDEV('The List'!W2:W665)</f>
        <v>0.993923749210374</v>
      </c>
      <c r="K160" s="77">
        <f>(VLOOKUP($A160,'The List'!$B1:$AH665,23,FALSE)-AVERAGE('The List'!X2:X665))/STDEV('The List'!X2:X665)</f>
        <v>0.271021484286109</v>
      </c>
      <c r="L160" s="77">
        <f>(VLOOKUP($A160,'The List'!$B1:$AH665,24,FALSE)-AVERAGE('The List'!Y2:Y665))/STDEV('The List'!Y2:Y665)</f>
        <v>-0.255015543229396</v>
      </c>
      <c r="M160" s="77">
        <f>(VLOOKUP($A160,'The List'!$B1:$AH665,25,FALSE)-AVERAGE('The List'!Z2:Z665))/STDEV('The List'!Z2:Z665)</f>
        <v>-0.392503252968884</v>
      </c>
      <c r="N160" s="77">
        <f>(VLOOKUP($A160,'The List'!$B1:$AH665,26,FALSE)-AVERAGE('The List'!AA2:AA665))/STDEV('The List'!AA2:AA665)</f>
        <v>0.375692261666376</v>
      </c>
      <c r="O160" s="77">
        <f>(VLOOKUP($A160,'The List'!$B1:$AH665,27,FALSE)-AVERAGE('The List'!AB2:AB665))/STDEV('The List'!AB2:AB665)</f>
        <v>0.79839671916009</v>
      </c>
      <c r="P160" s="77">
        <f>(VLOOKUP($A160,'The List'!$B1:$AH665,28,FALSE)-AVERAGE('The List'!AC2:AC665))/STDEV('The List'!AC2:AC665)</f>
        <v>-1.75971825651579</v>
      </c>
      <c r="Q160" s="77">
        <f>(VLOOKUP($A160,'The List'!$B1:$AH665,29,FALSE)-AVERAGE('The List'!AD2:AD665))/STDEV('The List'!AD2:AD665)</f>
        <v>0.277744882487865</v>
      </c>
      <c r="R160" s="77">
        <f>(VLOOKUP($A160,'The List'!$B1:$AH665,30,FALSE)-AVERAGE('The List'!AE2:AE665))/STDEV('The List'!AE2:AE665)</f>
        <v>0.495123379621193</v>
      </c>
      <c r="S160" s="77">
        <f>(VLOOKUP($A160,'The List'!$B1:$AH665,31,FALSE)-AVERAGE('The List'!AF2:AF665))/STDEV('The List'!AF2:AF665)</f>
        <v>3.16719149183733</v>
      </c>
      <c r="T160" s="77">
        <f>(VLOOKUP($A160,'The List'!$B1:$AH665,32,FALSE)-AVERAGE('The List'!AG2:AG665))/STDEV('The List'!AG2:AG665)</f>
        <v>2.72758921558597</v>
      </c>
      <c r="U160" s="77">
        <f>(VLOOKUP($A160,'The List'!$B1:$AH665,33,FALSE)-AVERAGE('The List'!AH2:AH665))/STDEV('The List'!AH2:AH665)</f>
        <v>1.22854041864162</v>
      </c>
      <c r="V160" s="77"/>
      <c r="W160" s="89"/>
      <c r="X160" s="79"/>
      <c r="Y160" s="79"/>
      <c r="Z160" s="79"/>
      <c r="AA160" s="79"/>
      <c r="AB160" s="79"/>
      <c r="AC160" s="82"/>
      <c r="AD160" s="83"/>
      <c r="AE160" s="84"/>
    </row>
    <row r="161" ht="21.25" customHeight="1">
      <c r="A161" t="s" s="10">
        <v>173</v>
      </c>
      <c r="B161" t="s" s="86">
        <f>VLOOKUP(A161,'Player Data'!A1:B667,2,FALSE)</f>
        <v>174</v>
      </c>
      <c r="C161" s="74">
        <f>((E161)*'Settings'!$C$12)+(F161*'Settings'!$C$2)+(G161*'Settings'!$C$3)+(H161*'Settings'!$C$4)+(I161*'Settings'!$C$5)+(K161*'Settings'!$C$9)+(N161*'Settings'!$C$6)+(J161*'Settings'!$C$8)+(O161*'Settings'!$C$7)+(P161*'Settings'!$C$14)+(Q161*'Settings'!$C$15)+(R161*'Settings'!$C$16)+(S161*'Settings'!$C$17)+(T161*'Settings'!$C$18)+(U161*'Settings'!$C$19)+(L161*'Settings'!$C$10)+('Settings'!$C$11*M161)</f>
        <v>5.0232485794818</v>
      </c>
      <c r="D161" s="79">
        <f>IF('Settings'!$E$12="YES",VLOOKUP(A161,'Player Data'!A1:E667,5,FALSE),82)</f>
        <v>81.6925</v>
      </c>
      <c r="E161" s="77">
        <f>(VLOOKUP($A161,'The List'!$B1:$AH665,17,FALSE)-AVERAGE('The List'!R2:R665))/STDEV('The List'!R2:R665)</f>
        <v>1.90150771830167</v>
      </c>
      <c r="F161" s="77">
        <f>(VLOOKUP($A161,'The List'!$B1:$AH665,18,FALSE)-AVERAGE('The List'!S2:S665))/STDEV('The List'!S2:S665)</f>
        <v>-0.142502287491124</v>
      </c>
      <c r="G161" s="77">
        <f>(VLOOKUP($A161,'The List'!$B1:$AH665,19,FALSE)-AVERAGE('The List'!T2:T665))/STDEV('The List'!T2:T665)</f>
        <v>1.12469545152674</v>
      </c>
      <c r="H161" s="77">
        <f>(VLOOKUP($A161,'The List'!$B1:$AH665,20,FALSE)-AVERAGE('The List'!U2:U665))/STDEV('The List'!U2:U665)</f>
        <v>0.633725051560044</v>
      </c>
      <c r="I161" s="77">
        <f>(VLOOKUP($A161,'The List'!$B1:$AH665,21,FALSE)-AVERAGE('The List'!V2:V665))/STDEV('The List'!V2:V665)</f>
        <v>1.18005468741716</v>
      </c>
      <c r="J161" s="77">
        <f>(VLOOKUP($A161,'The List'!$B1:$AH665,22,FALSE)-AVERAGE('The List'!W2:W665))/STDEV('The List'!W2:W665)</f>
        <v>0.125758953955836</v>
      </c>
      <c r="K161" s="77">
        <f>(VLOOKUP($A161,'The List'!$B1:$AH665,23,FALSE)-AVERAGE('The List'!X2:X665))/STDEV('The List'!X2:X665)</f>
        <v>0.979261203123318</v>
      </c>
      <c r="L161" s="77">
        <f>(VLOOKUP($A161,'The List'!$B1:$AH665,24,FALSE)-AVERAGE('The List'!Y2:Y665))/STDEV('The List'!Y2:Y665)</f>
        <v>-0.257410089806546</v>
      </c>
      <c r="M161" s="77">
        <f>(VLOOKUP($A161,'The List'!$B1:$AH665,25,FALSE)-AVERAGE('The List'!Z2:Z665))/STDEV('The List'!Z2:Z665)</f>
        <v>0.954937195350793</v>
      </c>
      <c r="N161" s="77">
        <f>(VLOOKUP($A161,'The List'!$B1:$AH665,26,FALSE)-AVERAGE('The List'!AA2:AA665))/STDEV('The List'!AA2:AA665)</f>
        <v>2.45741948611373</v>
      </c>
      <c r="O161" s="77">
        <f>(VLOOKUP($A161,'The List'!$B1:$AH665,27,FALSE)-AVERAGE('The List'!AB2:AB665))/STDEV('The List'!AB2:AB665)</f>
        <v>1.80447483406089</v>
      </c>
      <c r="P161" s="77">
        <f>(VLOOKUP($A161,'The List'!$B1:$AH665,28,FALSE)-AVERAGE('The List'!AC2:AC665))/STDEV('The List'!AC2:AC665)</f>
        <v>-0.575679961208025</v>
      </c>
      <c r="Q161" s="77">
        <f>(VLOOKUP($A161,'The List'!$B1:$AH665,29,FALSE)-AVERAGE('The List'!AD2:AD665))/STDEV('The List'!AD2:AD665)</f>
        <v>1.35450247444836</v>
      </c>
      <c r="R161" s="77">
        <f>(VLOOKUP($A161,'The List'!$B1:$AH665,30,FALSE)-AVERAGE('The List'!AE2:AE665))/STDEV('The List'!AE2:AE665)</f>
        <v>-0.164393171662421</v>
      </c>
      <c r="S161" s="77">
        <f>(VLOOKUP($A161,'The List'!$B1:$AH665,31,FALSE)-AVERAGE('The List'!AF2:AF665))/STDEV('The List'!AF2:AF665)</f>
        <v>-0.573894410680004</v>
      </c>
      <c r="T161" s="77">
        <f>(VLOOKUP($A161,'The List'!$B1:$AH665,32,FALSE)-AVERAGE('The List'!AG2:AG665))/STDEV('The List'!AG2:AG665)</f>
        <v>-0.625770787132651</v>
      </c>
      <c r="U161" s="77">
        <f>(VLOOKUP($A161,'The List'!$B1:$AH665,33,FALSE)-AVERAGE('The List'!AH2:AH665))/STDEV('The List'!AH2:AH665)</f>
        <v>-1.23143509451486</v>
      </c>
      <c r="V161" s="77"/>
      <c r="W161" s="89"/>
      <c r="X161" s="79"/>
      <c r="Y161" s="79"/>
      <c r="Z161" s="79"/>
      <c r="AA161" s="79"/>
      <c r="AB161" s="79"/>
      <c r="AC161" s="82"/>
      <c r="AD161" s="83"/>
      <c r="AE161" s="84"/>
    </row>
    <row r="162" ht="21.25" customHeight="1">
      <c r="A162" t="s" s="10">
        <v>545</v>
      </c>
      <c r="B162" t="s" s="86">
        <f>VLOOKUP(A162,'Player Data'!A1:B667,2,FALSE)</f>
        <v>165</v>
      </c>
      <c r="C162" s="74">
        <f>((E162)*'Settings'!$C$12)+(F162*'Settings'!$C$2)+(G162*'Settings'!$C$3)+(H162*'Settings'!$C$4)+(I162*'Settings'!$C$5)+(K162*'Settings'!$C$9)+(N162*'Settings'!$C$6)+(J162*'Settings'!$C$8)+(O162*'Settings'!$C$7)+(P162*'Settings'!$C$14)+(Q162*'Settings'!$C$15)+(R162*'Settings'!$C$16)+(S162*'Settings'!$C$17)+(T162*'Settings'!$C$18)+(U162*'Settings'!$C$19)+(L162*'Settings'!$C$10)+('Settings'!$C$11*M162)</f>
        <v>0.893679473377361</v>
      </c>
      <c r="D162" s="79">
        <f>IF('Settings'!$E$12="YES",VLOOKUP(A162,'Player Data'!A1:E667,5,FALSE),82)</f>
        <v>77.59</v>
      </c>
      <c r="E162" s="77">
        <f>(VLOOKUP($A162,'The List'!$B1:$AH665,17,FALSE)-AVERAGE('The List'!R2:R665))/STDEV('The List'!R2:R665)</f>
        <v>-0.092750286743658</v>
      </c>
      <c r="F162" s="77">
        <f>(VLOOKUP($A162,'The List'!$B1:$AH665,18,FALSE)-AVERAGE('The List'!S2:S665))/STDEV('The List'!S2:S665)</f>
        <v>0.237286187388682</v>
      </c>
      <c r="G162" s="77">
        <f>(VLOOKUP($A162,'The List'!$B1:$AH665,19,FALSE)-AVERAGE('The List'!T2:T665))/STDEV('The List'!T2:T665)</f>
        <v>0.661870542743148</v>
      </c>
      <c r="H162" s="77">
        <f>(VLOOKUP($A162,'The List'!$B1:$AH665,20,FALSE)-AVERAGE('The List'!U2:U665))/STDEV('The List'!U2:U665)</f>
        <v>0.51891667406187</v>
      </c>
      <c r="I162" s="77">
        <f>(VLOOKUP($A162,'The List'!$B1:$AH665,21,FALSE)-AVERAGE('The List'!V2:V665))/STDEV('The List'!V2:V665)</f>
        <v>-0.0106275112789343</v>
      </c>
      <c r="J162" s="77">
        <f>(VLOOKUP($A162,'The List'!$B1:$AH665,22,FALSE)-AVERAGE('The List'!W2:W665))/STDEV('The List'!W2:W665)</f>
        <v>-0.105367916042403</v>
      </c>
      <c r="K162" s="77">
        <f>(VLOOKUP($A162,'The List'!$B1:$AH665,23,FALSE)-AVERAGE('The List'!X2:X665))/STDEV('The List'!X2:X665)</f>
        <v>0.189147432059586</v>
      </c>
      <c r="L162" s="77">
        <f>(VLOOKUP($A162,'The List'!$B1:$AH665,24,FALSE)-AVERAGE('The List'!Y2:Y665))/STDEV('The List'!Y2:Y665)</f>
        <v>0.773490578158803</v>
      </c>
      <c r="M162" s="77">
        <f>(VLOOKUP($A162,'The List'!$B1:$AH665,25,FALSE)-AVERAGE('The List'!Z2:Z665))/STDEV('The List'!Z2:Z665)</f>
        <v>0.413110519173861</v>
      </c>
      <c r="N162" s="77">
        <f>(VLOOKUP($A162,'The List'!$B1:$AH665,26,FALSE)-AVERAGE('The List'!AA2:AA665))/STDEV('The List'!AA2:AA665)</f>
        <v>-0.654171065481438</v>
      </c>
      <c r="O162" s="77">
        <f>(VLOOKUP($A162,'The List'!$B1:$AH665,27,FALSE)-AVERAGE('The List'!AB2:AB665))/STDEV('The List'!AB2:AB665)</f>
        <v>-1.02880241156789</v>
      </c>
      <c r="P162" s="77">
        <f>(VLOOKUP($A162,'The List'!$B1:$AH665,28,FALSE)-AVERAGE('The List'!AC2:AC665))/STDEV('The List'!AC2:AC665)</f>
        <v>0.470173887946317</v>
      </c>
      <c r="Q162" s="77">
        <f>(VLOOKUP($A162,'The List'!$B1:$AH665,29,FALSE)-AVERAGE('The List'!AD2:AD665))/STDEV('The List'!AD2:AD665)</f>
        <v>-0.998263250238821</v>
      </c>
      <c r="R162" s="77">
        <f>(VLOOKUP($A162,'The List'!$B1:$AH665,30,FALSE)-AVERAGE('The List'!AE2:AE665))/STDEV('The List'!AE2:AE665)</f>
        <v>0.152558955715603</v>
      </c>
      <c r="S162" s="77">
        <f>(VLOOKUP($A162,'The List'!$B1:$AH665,31,FALSE)-AVERAGE('The List'!AF2:AF665))/STDEV('The List'!AF2:AF665)</f>
        <v>-0.503855763884299</v>
      </c>
      <c r="T162" s="77">
        <f>(VLOOKUP($A162,'The List'!$B1:$AH665,32,FALSE)-AVERAGE('The List'!AG2:AG665))/STDEV('The List'!AG2:AG665)</f>
        <v>-0.5232205609621861</v>
      </c>
      <c r="U162" s="77">
        <f>(VLOOKUP($A162,'The List'!$B1:$AH665,33,FALSE)-AVERAGE('The List'!AH2:AH665))/STDEV('The List'!AH2:AH665)</f>
        <v>0.675950098878336</v>
      </c>
      <c r="V162" s="77"/>
      <c r="W162" s="89"/>
      <c r="X162" s="79"/>
      <c r="Y162" s="79"/>
      <c r="Z162" s="79"/>
      <c r="AA162" s="79"/>
      <c r="AB162" s="79"/>
      <c r="AC162" s="82"/>
      <c r="AD162" s="83"/>
      <c r="AE162" s="84"/>
    </row>
    <row r="163" ht="21.25" customHeight="1">
      <c r="A163" t="s" s="10">
        <v>599</v>
      </c>
      <c r="B163" t="s" s="86">
        <f>VLOOKUP(A163,'Player Data'!A1:B667,2,FALSE)</f>
        <v>906</v>
      </c>
      <c r="C163" s="74">
        <f>((E163)*'Settings'!$C$12)+(F163*'Settings'!$C$2)+(G163*'Settings'!$C$3)+(H163*'Settings'!$C$4)+(I163*'Settings'!$C$5)+(K163*'Settings'!$C$9)+(N163*'Settings'!$C$6)+(J163*'Settings'!$C$8)+(O163*'Settings'!$C$7)+(P163*'Settings'!$C$14)+(Q163*'Settings'!$C$15)+(R163*'Settings'!$C$16)+(S163*'Settings'!$C$17)+(T163*'Settings'!$C$18)+(U163*'Settings'!$C$19)+(L163*'Settings'!$C$10)+('Settings'!$C$11*M163)</f>
        <v>1.24645823002078</v>
      </c>
      <c r="D163" s="79">
        <f>IF('Settings'!$E$12="YES",VLOOKUP(A163,'Player Data'!A1:E667,5,FALSE),82)</f>
        <v>72.715</v>
      </c>
      <c r="E163" s="77">
        <f>(VLOOKUP($A163,'The List'!$B1:$AH665,17,FALSE)-AVERAGE('The List'!R2:R665))/STDEV('The List'!R2:R665)</f>
        <v>-0.470952122879114</v>
      </c>
      <c r="F163" s="77">
        <f>(VLOOKUP($A163,'The List'!$B1:$AH665,18,FALSE)-AVERAGE('The List'!S2:S665))/STDEV('The List'!S2:S665)</f>
        <v>0.491238723997371</v>
      </c>
      <c r="G163" s="77">
        <f>(VLOOKUP($A163,'The List'!$B1:$AH665,19,FALSE)-AVERAGE('The List'!T2:T665))/STDEV('The List'!T2:T665)</f>
        <v>0.221704874747576</v>
      </c>
      <c r="H163" s="77">
        <f>(VLOOKUP($A163,'The List'!$B1:$AH665,20,FALSE)-AVERAGE('The List'!U2:U665))/STDEV('The List'!U2:U665)</f>
        <v>0.360982543772925</v>
      </c>
      <c r="I163" s="77">
        <f>(VLOOKUP($A163,'The List'!$B1:$AH665,21,FALSE)-AVERAGE('The List'!V2:V665))/STDEV('The List'!V2:V665)</f>
        <v>0.296092437111976</v>
      </c>
      <c r="J163" s="77">
        <f>(VLOOKUP($A163,'The List'!$B1:$AH665,22,FALSE)-AVERAGE('The List'!W2:W665))/STDEV('The List'!W2:W665)</f>
        <v>0.478571549682598</v>
      </c>
      <c r="K163" s="77">
        <f>(VLOOKUP($A163,'The List'!$B1:$AH665,23,FALSE)-AVERAGE('The List'!X2:X665))/STDEV('The List'!X2:X665)</f>
        <v>0.307131140706607</v>
      </c>
      <c r="L163" s="77">
        <f>(VLOOKUP($A163,'The List'!$B1:$AH665,24,FALSE)-AVERAGE('The List'!Y2:Y665))/STDEV('The List'!Y2:Y665)</f>
        <v>-0.577696058678087</v>
      </c>
      <c r="M163" s="77">
        <f>(VLOOKUP($A163,'The List'!$B1:$AH665,25,FALSE)-AVERAGE('The List'!Z2:Z665))/STDEV('The List'!Z2:Z665)</f>
        <v>-0.751511413402842</v>
      </c>
      <c r="N163" s="77">
        <f>(VLOOKUP($A163,'The List'!$B1:$AH665,26,FALSE)-AVERAGE('The List'!AA2:AA665))/STDEV('The List'!AA2:AA665)</f>
        <v>-0.877786002064193</v>
      </c>
      <c r="O163" s="77">
        <f>(VLOOKUP($A163,'The List'!$B1:$AH665,27,FALSE)-AVERAGE('The List'!AB2:AB665))/STDEV('The List'!AB2:AB665)</f>
        <v>-1.0382083111201</v>
      </c>
      <c r="P163" s="77">
        <f>(VLOOKUP($A163,'The List'!$B1:$AH665,28,FALSE)-AVERAGE('The List'!AC2:AC665))/STDEV('The List'!AC2:AC665)</f>
        <v>0.808077055521438</v>
      </c>
      <c r="Q163" s="77">
        <f>(VLOOKUP($A163,'The List'!$B1:$AH665,29,FALSE)-AVERAGE('The List'!AD2:AD665))/STDEV('The List'!AD2:AD665)</f>
        <v>-0.957722517513003</v>
      </c>
      <c r="R163" s="77">
        <f>(VLOOKUP($A163,'The List'!$B1:$AH665,30,FALSE)-AVERAGE('The List'!AE2:AE665))/STDEV('The List'!AE2:AE665)</f>
        <v>0.671871550108819</v>
      </c>
      <c r="S163" s="77">
        <f>(VLOOKUP($A163,'The List'!$B1:$AH665,31,FALSE)-AVERAGE('The List'!AF2:AF665))/STDEV('The List'!AF2:AF665)</f>
        <v>-0.429857097160546</v>
      </c>
      <c r="T163" s="77">
        <f>(VLOOKUP($A163,'The List'!$B1:$AH665,32,FALSE)-AVERAGE('The List'!AG2:AG665))/STDEV('The List'!AG2:AG665)</f>
        <v>-0.279105399485746</v>
      </c>
      <c r="U163" s="77">
        <f>(VLOOKUP($A163,'The List'!$B1:$AH665,33,FALSE)-AVERAGE('The List'!AH2:AH665))/STDEV('The List'!AH2:AH665)</f>
        <v>0.157896550935532</v>
      </c>
      <c r="V163" s="77"/>
      <c r="W163" s="89"/>
      <c r="X163" s="79"/>
      <c r="Y163" s="79"/>
      <c r="Z163" s="79"/>
      <c r="AA163" s="79"/>
      <c r="AB163" s="79"/>
      <c r="AC163" s="82"/>
      <c r="AD163" s="83"/>
      <c r="AE163" s="84"/>
    </row>
    <row r="164" ht="21.25" customHeight="1">
      <c r="A164" t="s" s="10">
        <v>318</v>
      </c>
      <c r="B164" t="s" s="86">
        <f>VLOOKUP(A164,'Player Data'!A1:B667,2,FALSE)</f>
        <v>267</v>
      </c>
      <c r="C164" s="74">
        <f>((E164)*'Settings'!$C$12)+(F164*'Settings'!$C$2)+(G164*'Settings'!$C$3)+(H164*'Settings'!$C$4)+(I164*'Settings'!$C$5)+(K164*'Settings'!$C$9)+(N164*'Settings'!$C$6)+(J164*'Settings'!$C$8)+(O164*'Settings'!$C$7)+(P164*'Settings'!$C$14)+(Q164*'Settings'!$C$15)+(R164*'Settings'!$C$16)+(S164*'Settings'!$C$17)+(T164*'Settings'!$C$18)+(U164*'Settings'!$C$19)+(L164*'Settings'!$C$10)+('Settings'!$C$11*M164)</f>
        <v>4.07979817703474</v>
      </c>
      <c r="D164" s="79">
        <f>IF('Settings'!$E$12="YES",VLOOKUP(A164,'Player Data'!A1:E667,5,FALSE),82)</f>
        <v>77.5925</v>
      </c>
      <c r="E164" s="77">
        <f>(VLOOKUP($A164,'The List'!$B1:$AH665,17,FALSE)-AVERAGE('The List'!R2:R665))/STDEV('The List'!R2:R665)</f>
        <v>2.38946626844581</v>
      </c>
      <c r="F164" s="77">
        <f>(VLOOKUP($A164,'The List'!$B1:$AH665,18,FALSE)-AVERAGE('The List'!S2:S665))/STDEV('The List'!S2:S665)</f>
        <v>-0.263280084228344</v>
      </c>
      <c r="G164" s="77">
        <f>(VLOOKUP($A164,'The List'!$B1:$AH665,19,FALSE)-AVERAGE('The List'!T2:T665))/STDEV('The List'!T2:T665)</f>
        <v>0.969423521579473</v>
      </c>
      <c r="H164" s="77">
        <f>(VLOOKUP($A164,'The List'!$B1:$AH665,20,FALSE)-AVERAGE('The List'!U2:U665))/STDEV('The List'!U2:U665)</f>
        <v>0.482393202768431</v>
      </c>
      <c r="I164" s="77">
        <f>(VLOOKUP($A164,'The List'!$B1:$AH665,21,FALSE)-AVERAGE('The List'!V2:V665))/STDEV('The List'!V2:V665)</f>
        <v>0.0590785853562913</v>
      </c>
      <c r="J164" s="77">
        <f>(VLOOKUP($A164,'The List'!$B1:$AH665,22,FALSE)-AVERAGE('The List'!W2:W665))/STDEV('The List'!W2:W665)</f>
        <v>0.428873341845502</v>
      </c>
      <c r="K164" s="77">
        <f>(VLOOKUP($A164,'The List'!$B1:$AH665,23,FALSE)-AVERAGE('The List'!X2:X665))/STDEV('The List'!X2:X665)</f>
        <v>1.19053432390118</v>
      </c>
      <c r="L164" s="77">
        <f>(VLOOKUP($A164,'The List'!$B1:$AH665,24,FALSE)-AVERAGE('The List'!Y2:Y665))/STDEV('The List'!Y2:Y665)</f>
        <v>-0.537024070961088</v>
      </c>
      <c r="M164" s="77">
        <f>(VLOOKUP($A164,'The List'!$B1:$AH665,25,FALSE)-AVERAGE('The List'!Z2:Z665))/STDEV('The List'!Z2:Z665)</f>
        <v>-0.640435660561929</v>
      </c>
      <c r="N164" s="77">
        <f>(VLOOKUP($A164,'The List'!$B1:$AH665,26,FALSE)-AVERAGE('The List'!AA2:AA665))/STDEV('The List'!AA2:AA665)</f>
        <v>1.41135031999564</v>
      </c>
      <c r="O164" s="77">
        <f>(VLOOKUP($A164,'The List'!$B1:$AH665,27,FALSE)-AVERAGE('The List'!AB2:AB665))/STDEV('The List'!AB2:AB665)</f>
        <v>0.205972865767194</v>
      </c>
      <c r="P164" s="77">
        <f>(VLOOKUP($A164,'The List'!$B1:$AH665,28,FALSE)-AVERAGE('The List'!AC2:AC665))/STDEV('The List'!AC2:AC665)</f>
        <v>0.7126915104305031</v>
      </c>
      <c r="Q164" s="77">
        <f>(VLOOKUP($A164,'The List'!$B1:$AH665,29,FALSE)-AVERAGE('The List'!AD2:AD665))/STDEV('The List'!AD2:AD665)</f>
        <v>0.675490138956608</v>
      </c>
      <c r="R164" s="77">
        <f>(VLOOKUP($A164,'The List'!$B1:$AH665,30,FALSE)-AVERAGE('The List'!AE2:AE665))/STDEV('The List'!AE2:AE665)</f>
        <v>-0.0508406407524326</v>
      </c>
      <c r="S164" s="77">
        <f>(VLOOKUP($A164,'The List'!$B1:$AH665,31,FALSE)-AVERAGE('The List'!AF2:AF665))/STDEV('The List'!AF2:AF665)</f>
        <v>-0.573894410680004</v>
      </c>
      <c r="T164" s="77">
        <f>(VLOOKUP($A164,'The List'!$B1:$AH665,32,FALSE)-AVERAGE('The List'!AG2:AG665))/STDEV('The List'!AG2:AG665)</f>
        <v>-0.625770787132651</v>
      </c>
      <c r="U164" s="77">
        <f>(VLOOKUP($A164,'The List'!$B1:$AH665,33,FALSE)-AVERAGE('The List'!AH2:AH665))/STDEV('The List'!AH2:AH665)</f>
        <v>-1.23143509451486</v>
      </c>
      <c r="V164" s="77"/>
      <c r="W164" s="89"/>
      <c r="X164" s="79"/>
      <c r="Y164" s="79"/>
      <c r="Z164" s="79"/>
      <c r="AA164" s="79"/>
      <c r="AB164" s="79"/>
      <c r="AC164" s="82"/>
      <c r="AD164" s="83"/>
      <c r="AE164" s="84"/>
    </row>
    <row r="165" ht="21.25" customHeight="1">
      <c r="A165" t="s" s="10">
        <v>463</v>
      </c>
      <c r="B165" t="s" s="86">
        <f>VLOOKUP(A165,'Player Data'!A1:B667,2,FALSE)</f>
        <v>911</v>
      </c>
      <c r="C165" s="74">
        <f>((E165)*'Settings'!$C$12)+(F165*'Settings'!$C$2)+(G165*'Settings'!$C$3)+(H165*'Settings'!$C$4)+(I165*'Settings'!$C$5)+(K165*'Settings'!$C$9)+(N165*'Settings'!$C$6)+(J165*'Settings'!$C$8)+(O165*'Settings'!$C$7)+(P165*'Settings'!$C$14)+(Q165*'Settings'!$C$15)+(R165*'Settings'!$C$16)+(S165*'Settings'!$C$17)+(T165*'Settings'!$C$18)+(U165*'Settings'!$C$19)+(L165*'Settings'!$C$10)+('Settings'!$C$11*M165)</f>
        <v>-0.110217472241077</v>
      </c>
      <c r="D165" s="79">
        <f>IF('Settings'!$E$12="YES",VLOOKUP(A165,'Player Data'!A1:E667,5,FALSE),82)</f>
        <v>80.34999999999999</v>
      </c>
      <c r="E165" s="77">
        <f>(VLOOKUP($A165,'The List'!$B1:$AH665,17,FALSE)-AVERAGE('The List'!R2:R665))/STDEV('The List'!R2:R665)</f>
        <v>0.210168881231365</v>
      </c>
      <c r="F165" s="77">
        <f>(VLOOKUP($A165,'The List'!$B1:$AH665,18,FALSE)-AVERAGE('The List'!S2:S665))/STDEV('The List'!S2:S665)</f>
        <v>0.113291275283275</v>
      </c>
      <c r="G165" s="77">
        <f>(VLOOKUP($A165,'The List'!$B1:$AH665,19,FALSE)-AVERAGE('The List'!T2:T665))/STDEV('The List'!T2:T665)</f>
        <v>0.815603005184371</v>
      </c>
      <c r="H165" s="77">
        <f>(VLOOKUP($A165,'The List'!$B1:$AH665,20,FALSE)-AVERAGE('The List'!U2:U665))/STDEV('The List'!U2:U665)</f>
        <v>0.5580315958211099</v>
      </c>
      <c r="I165" s="77">
        <f>(VLOOKUP($A165,'The List'!$B1:$AH665,21,FALSE)-AVERAGE('The List'!V2:V665))/STDEV('The List'!V2:V665)</f>
        <v>-0.440210054623598</v>
      </c>
      <c r="J165" s="77">
        <f>(VLOOKUP($A165,'The List'!$B1:$AH665,22,FALSE)-AVERAGE('The List'!W2:W665))/STDEV('The List'!W2:W665)</f>
        <v>0.0300941445858284</v>
      </c>
      <c r="K165" s="77">
        <f>(VLOOKUP($A165,'The List'!$B1:$AH665,23,FALSE)-AVERAGE('The List'!X2:X665))/STDEV('The List'!X2:X665)</f>
        <v>0.0937486765192464</v>
      </c>
      <c r="L165" s="77">
        <f>(VLOOKUP($A165,'The List'!$B1:$AH665,24,FALSE)-AVERAGE('The List'!Y2:Y665))/STDEV('The List'!Y2:Y665)</f>
        <v>2.13017159021075</v>
      </c>
      <c r="M165" s="77">
        <f>(VLOOKUP($A165,'The List'!$B1:$AH665,25,FALSE)-AVERAGE('The List'!Z2:Z665))/STDEV('The List'!Z2:Z665)</f>
        <v>2.40507993407279</v>
      </c>
      <c r="N165" s="77">
        <f>(VLOOKUP($A165,'The List'!$B1:$AH665,26,FALSE)-AVERAGE('The List'!AA2:AA665))/STDEV('The List'!AA2:AA665)</f>
        <v>-0.475187229070558</v>
      </c>
      <c r="O165" s="77">
        <f>(VLOOKUP($A165,'The List'!$B1:$AH665,27,FALSE)-AVERAGE('The List'!AB2:AB665))/STDEV('The List'!AB2:AB665)</f>
        <v>-0.739278218312876</v>
      </c>
      <c r="P165" s="77">
        <f>(VLOOKUP($A165,'The List'!$B1:$AH665,28,FALSE)-AVERAGE('The List'!AC2:AC665))/STDEV('The List'!AC2:AC665)</f>
        <v>-0.217463145533813</v>
      </c>
      <c r="Q165" s="77">
        <f>(VLOOKUP($A165,'The List'!$B1:$AH665,29,FALSE)-AVERAGE('The List'!AD2:AD665))/STDEV('The List'!AD2:AD665)</f>
        <v>-0.869187922960207</v>
      </c>
      <c r="R165" s="77">
        <f>(VLOOKUP($A165,'The List'!$B1:$AH665,30,FALSE)-AVERAGE('The List'!AE2:AE665))/STDEV('The List'!AE2:AE665)</f>
        <v>0.135094938685762</v>
      </c>
      <c r="S165" s="77">
        <f>(VLOOKUP($A165,'The List'!$B1:$AH665,31,FALSE)-AVERAGE('The List'!AF2:AF665))/STDEV('The List'!AF2:AF665)</f>
        <v>2.27783071110592</v>
      </c>
      <c r="T165" s="77">
        <f>(VLOOKUP($A165,'The List'!$B1:$AH665,32,FALSE)-AVERAGE('The List'!AG2:AG665))/STDEV('The List'!AG2:AG665)</f>
        <v>1.91528270604374</v>
      </c>
      <c r="U165" s="77">
        <f>(VLOOKUP($A165,'The List'!$B1:$AH665,33,FALSE)-AVERAGE('The List'!AH2:AH665))/STDEV('The List'!AH2:AH665)</f>
        <v>1.23521257225224</v>
      </c>
      <c r="V165" s="77"/>
      <c r="W165" s="89"/>
      <c r="X165" s="79"/>
      <c r="Y165" s="79"/>
      <c r="Z165" s="79"/>
      <c r="AA165" s="79"/>
      <c r="AB165" s="79"/>
      <c r="AC165" s="82"/>
      <c r="AD165" s="83"/>
      <c r="AE165" s="84"/>
    </row>
    <row r="166" ht="21.25" customHeight="1">
      <c r="A166" t="s" s="10">
        <v>436</v>
      </c>
      <c r="B166" t="s" s="86">
        <f>VLOOKUP(A166,'Player Data'!A1:B667,2,FALSE)</f>
        <v>904</v>
      </c>
      <c r="C166" s="74">
        <f>((E166)*'Settings'!$C$12)+(F166*'Settings'!$C$2)+(G166*'Settings'!$C$3)+(H166*'Settings'!$C$4)+(I166*'Settings'!$C$5)+(K166*'Settings'!$C$9)+(N166*'Settings'!$C$6)+(J166*'Settings'!$C$8)+(O166*'Settings'!$C$7)+(P166*'Settings'!$C$14)+(Q166*'Settings'!$C$15)+(R166*'Settings'!$C$16)+(S166*'Settings'!$C$17)+(T166*'Settings'!$C$18)+(U166*'Settings'!$C$19)+(L166*'Settings'!$C$10)+('Settings'!$C$11*M166)</f>
        <v>1.16739092721847</v>
      </c>
      <c r="D166" s="79">
        <f>IF('Settings'!$E$12="YES",VLOOKUP(A166,'Player Data'!A1:E667,5,FALSE),82)</f>
        <v>72.7525</v>
      </c>
      <c r="E166" s="77">
        <f>(VLOOKUP($A166,'The List'!$B1:$AH665,17,FALSE)-AVERAGE('The List'!R2:R665))/STDEV('The List'!R2:R665)</f>
        <v>0.408044545991915</v>
      </c>
      <c r="F166" s="77">
        <f>(VLOOKUP($A166,'The List'!$B1:$AH665,18,FALSE)-AVERAGE('The List'!S2:S665))/STDEV('The List'!S2:S665)</f>
        <v>0.573911831889991</v>
      </c>
      <c r="G166" s="77">
        <f>(VLOOKUP($A166,'The List'!$B1:$AH665,19,FALSE)-AVERAGE('The List'!T2:T665))/STDEV('The List'!T2:T665)</f>
        <v>0.112105887827551</v>
      </c>
      <c r="H166" s="77">
        <f>(VLOOKUP($A166,'The List'!$B1:$AH665,20,FALSE)-AVERAGE('The List'!U2:U665))/STDEV('The List'!U2:U665)</f>
        <v>0.330494267656712</v>
      </c>
      <c r="I166" s="77">
        <f>(VLOOKUP($A166,'The List'!$B1:$AH665,21,FALSE)-AVERAGE('The List'!V2:V665))/STDEV('The List'!V2:V665)</f>
        <v>0.816733461137959</v>
      </c>
      <c r="J166" s="77">
        <f>(VLOOKUP($A166,'The List'!$B1:$AH665,22,FALSE)-AVERAGE('The List'!W2:W665))/STDEV('The List'!W2:W665)</f>
        <v>0.826340072569234</v>
      </c>
      <c r="K166" s="77">
        <f>(VLOOKUP($A166,'The List'!$B1:$AH665,23,FALSE)-AVERAGE('The List'!X2:X665))/STDEV('The List'!X2:X665)</f>
        <v>0.258451464469171</v>
      </c>
      <c r="L166" s="77">
        <f>(VLOOKUP($A166,'The List'!$B1:$AH665,24,FALSE)-AVERAGE('The List'!Y2:Y665))/STDEV('The List'!Y2:Y665)</f>
        <v>-0.327510019460987</v>
      </c>
      <c r="M166" s="77">
        <f>(VLOOKUP($A166,'The List'!$B1:$AH665,25,FALSE)-AVERAGE('The List'!Z2:Z665))/STDEV('The List'!Z2:Z665)</f>
        <v>-0.496256628775303</v>
      </c>
      <c r="N166" s="77">
        <f>(VLOOKUP($A166,'The List'!$B1:$AH665,26,FALSE)-AVERAGE('The List'!AA2:AA665))/STDEV('The List'!AA2:AA665)</f>
        <v>-0.359994754645812</v>
      </c>
      <c r="O166" s="77">
        <f>(VLOOKUP($A166,'The List'!$B1:$AH665,27,FALSE)-AVERAGE('The List'!AB2:AB665))/STDEV('The List'!AB2:AB665)</f>
        <v>-0.510015024678286</v>
      </c>
      <c r="P166" s="77">
        <f>(VLOOKUP($A166,'The List'!$B1:$AH665,28,FALSE)-AVERAGE('The List'!AC2:AC665))/STDEV('The List'!AC2:AC665)</f>
        <v>-0.23381696346039</v>
      </c>
      <c r="Q166" s="77">
        <f>(VLOOKUP($A166,'The List'!$B1:$AH665,29,FALSE)-AVERAGE('The List'!AD2:AD665))/STDEV('The List'!AD2:AD665)</f>
        <v>-0.437291955513049</v>
      </c>
      <c r="R166" s="77">
        <f>(VLOOKUP($A166,'The List'!$B1:$AH665,30,FALSE)-AVERAGE('The List'!AE2:AE665))/STDEV('The List'!AE2:AE665)</f>
        <v>0.62587210135906</v>
      </c>
      <c r="S166" s="77">
        <f>(VLOOKUP($A166,'The List'!$B1:$AH665,31,FALSE)-AVERAGE('The List'!AF2:AF665))/STDEV('The List'!AF2:AF665)</f>
        <v>1.62116644222974</v>
      </c>
      <c r="T166" s="77">
        <f>(VLOOKUP($A166,'The List'!$B1:$AH665,32,FALSE)-AVERAGE('The List'!AG2:AG665))/STDEV('The List'!AG2:AG665)</f>
        <v>1.60823883988088</v>
      </c>
      <c r="U166" s="77">
        <f>(VLOOKUP($A166,'The List'!$B1:$AH665,33,FALSE)-AVERAGE('The List'!AH2:AH665))/STDEV('The List'!AH2:AH665)</f>
        <v>1.08507797993154</v>
      </c>
      <c r="V166" s="77"/>
      <c r="W166" s="79"/>
      <c r="X166" s="77"/>
      <c r="Y166" s="77"/>
      <c r="Z166" s="77"/>
      <c r="AA166" s="77"/>
      <c r="AB166" s="77"/>
      <c r="AC166" s="77"/>
      <c r="AD166" s="77"/>
      <c r="AE166" s="84"/>
    </row>
    <row r="167" ht="21.25" customHeight="1">
      <c r="A167" t="s" s="10">
        <v>455</v>
      </c>
      <c r="B167" t="s" s="86">
        <f>VLOOKUP(A167,'Player Data'!A1:B667,2,FALSE)</f>
        <v>156</v>
      </c>
      <c r="C167" s="74">
        <f>((E167)*'Settings'!$C$12)+(F167*'Settings'!$C$2)+(G167*'Settings'!$C$3)+(H167*'Settings'!$C$4)+(I167*'Settings'!$C$5)+(K167*'Settings'!$C$9)+(N167*'Settings'!$C$6)+(J167*'Settings'!$C$8)+(O167*'Settings'!$C$7)+(P167*'Settings'!$C$14)+(Q167*'Settings'!$C$15)+(R167*'Settings'!$C$16)+(S167*'Settings'!$C$17)+(T167*'Settings'!$C$18)+(U167*'Settings'!$C$19)+(L167*'Settings'!$C$10)+('Settings'!$C$11*M167)</f>
        <v>0.825261117851697</v>
      </c>
      <c r="D167" s="79">
        <f>IF('Settings'!$E$12="YES",VLOOKUP(A167,'Player Data'!A1:E667,5,FALSE),82)</f>
        <v>78.47750000000001</v>
      </c>
      <c r="E167" s="77">
        <f>(VLOOKUP($A167,'The List'!$B1:$AH665,17,FALSE)-AVERAGE('The List'!R2:R665))/STDEV('The List'!R2:R665)</f>
        <v>-0.5623003984932839</v>
      </c>
      <c r="F167" s="77">
        <f>(VLOOKUP($A167,'The List'!$B1:$AH665,18,FALSE)-AVERAGE('The List'!S2:S665))/STDEV('The List'!S2:S665)</f>
        <v>0.5070192032299879</v>
      </c>
      <c r="G167" s="77">
        <f>(VLOOKUP($A167,'The List'!$B1:$AH665,19,FALSE)-AVERAGE('The List'!T2:T665))/STDEV('The List'!T2:T665)</f>
        <v>0.397259451767965</v>
      </c>
      <c r="H167" s="77">
        <f>(VLOOKUP($A167,'The List'!$B1:$AH665,20,FALSE)-AVERAGE('The List'!U2:U665))/STDEV('The List'!U2:U665)</f>
        <v>0.477184785122977</v>
      </c>
      <c r="I167" s="77">
        <f>(VLOOKUP($A167,'The List'!$B1:$AH665,21,FALSE)-AVERAGE('The List'!V2:V665))/STDEV('The List'!V2:V665)</f>
        <v>0.413996058066612</v>
      </c>
      <c r="J167" s="77">
        <f>(VLOOKUP($A167,'The List'!$B1:$AH665,22,FALSE)-AVERAGE('The List'!W2:W665))/STDEV('The List'!W2:W665)</f>
        <v>0.00445724613437051</v>
      </c>
      <c r="K167" s="77">
        <f>(VLOOKUP($A167,'The List'!$B1:$AH665,23,FALSE)-AVERAGE('The List'!X2:X665))/STDEV('The List'!X2:X665)</f>
        <v>0.18288069464167</v>
      </c>
      <c r="L167" s="77">
        <f>(VLOOKUP($A167,'The List'!$B1:$AH665,24,FALSE)-AVERAGE('The List'!Y2:Y665))/STDEV('The List'!Y2:Y665)</f>
        <v>-0.573923180772908</v>
      </c>
      <c r="M167" s="77">
        <f>(VLOOKUP($A167,'The List'!$B1:$AH665,25,FALSE)-AVERAGE('The List'!Z2:Z665))/STDEV('The List'!Z2:Z665)</f>
        <v>-0.747543536961806</v>
      </c>
      <c r="N167" s="77">
        <f>(VLOOKUP($A167,'The List'!$B1:$AH665,26,FALSE)-AVERAGE('The List'!AA2:AA665))/STDEV('The List'!AA2:AA665)</f>
        <v>-0.65536636034286</v>
      </c>
      <c r="O167" s="77">
        <f>(VLOOKUP($A167,'The List'!$B1:$AH665,27,FALSE)-AVERAGE('The List'!AB2:AB665))/STDEV('The List'!AB2:AB665)</f>
        <v>-0.200882566852725</v>
      </c>
      <c r="P167" s="77">
        <f>(VLOOKUP($A167,'The List'!$B1:$AH665,28,FALSE)-AVERAGE('The List'!AC2:AC665))/STDEV('The List'!AC2:AC665)</f>
        <v>-0.020527929511678</v>
      </c>
      <c r="Q167" s="77">
        <f>(VLOOKUP($A167,'The List'!$B1:$AH665,29,FALSE)-AVERAGE('The List'!AD2:AD665))/STDEV('The List'!AD2:AD665)</f>
        <v>-1.14024456115798</v>
      </c>
      <c r="R167" s="77">
        <f>(VLOOKUP($A167,'The List'!$B1:$AH665,30,FALSE)-AVERAGE('The List'!AE2:AE665))/STDEV('The List'!AE2:AE665)</f>
        <v>0.347494541810523</v>
      </c>
      <c r="S167" s="77">
        <f>(VLOOKUP($A167,'The List'!$B1:$AH665,31,FALSE)-AVERAGE('The List'!AF2:AF665))/STDEV('The List'!AF2:AF665)</f>
        <v>-0.563368043158732</v>
      </c>
      <c r="T167" s="77">
        <f>(VLOOKUP($A167,'The List'!$B1:$AH665,32,FALSE)-AVERAGE('The List'!AG2:AG665))/STDEV('The List'!AG2:AG665)</f>
        <v>-0.602926127092186</v>
      </c>
      <c r="U167" s="77">
        <f>(VLOOKUP($A167,'The List'!$B1:$AH665,33,FALSE)-AVERAGE('The List'!AH2:AH665))/STDEV('The List'!AH2:AH665)</f>
        <v>0.259519611362631</v>
      </c>
      <c r="V167" s="77"/>
      <c r="W167" s="79"/>
      <c r="X167" s="77"/>
      <c r="Y167" s="77"/>
      <c r="Z167" s="77"/>
      <c r="AA167" s="77"/>
      <c r="AB167" s="77"/>
      <c r="AC167" s="77"/>
      <c r="AD167" s="77"/>
      <c r="AE167" s="84"/>
    </row>
    <row r="168" ht="21.25" customHeight="1">
      <c r="A168" t="s" s="10">
        <v>558</v>
      </c>
      <c r="B168" t="s" s="86">
        <f>VLOOKUP(A168,'Player Data'!A1:B667,2,FALSE)</f>
        <v>911</v>
      </c>
      <c r="C168" s="74">
        <f>((E168)*'Settings'!$C$12)+(F168*'Settings'!$C$2)+(G168*'Settings'!$C$3)+(H168*'Settings'!$C$4)+(I168*'Settings'!$C$5)+(K168*'Settings'!$C$9)+(N168*'Settings'!$C$6)+(J168*'Settings'!$C$8)+(O168*'Settings'!$C$7)+(P168*'Settings'!$C$14)+(Q168*'Settings'!$C$15)+(R168*'Settings'!$C$16)+(S168*'Settings'!$C$17)+(T168*'Settings'!$C$18)+(U168*'Settings'!$C$19)+(L168*'Settings'!$C$10)+('Settings'!$C$11*M168)</f>
        <v>1.114946098586</v>
      </c>
      <c r="D168" s="79">
        <f>IF('Settings'!$E$12="YES",VLOOKUP(A168,'Player Data'!A1:E667,5,FALSE),82)</f>
        <v>81.02</v>
      </c>
      <c r="E168" s="77">
        <f>(VLOOKUP($A168,'The List'!$B1:$AH665,17,FALSE)-AVERAGE('The List'!R2:R665))/STDEV('The List'!R2:R665)</f>
        <v>0.09404487820294451</v>
      </c>
      <c r="F168" s="77">
        <f>(VLOOKUP($A168,'The List'!$B1:$AH665,18,FALSE)-AVERAGE('The List'!S2:S665))/STDEV('The List'!S2:S665)</f>
        <v>0.402165391614935</v>
      </c>
      <c r="G168" s="77">
        <f>(VLOOKUP($A168,'The List'!$B1:$AH665,19,FALSE)-AVERAGE('The List'!T2:T665))/STDEV('The List'!T2:T665)</f>
        <v>0.563161627075673</v>
      </c>
      <c r="H168" s="77">
        <f>(VLOOKUP($A168,'The List'!$B1:$AH665,20,FALSE)-AVERAGE('The List'!U2:U665))/STDEV('The List'!U2:U665)</f>
        <v>0.5325583228747141</v>
      </c>
      <c r="I168" s="77">
        <f>(VLOOKUP($A168,'The List'!$B1:$AH665,21,FALSE)-AVERAGE('The List'!V2:V665))/STDEV('The List'!V2:V665)</f>
        <v>0.6158868663784171</v>
      </c>
      <c r="J168" s="77">
        <f>(VLOOKUP($A168,'The List'!$B1:$AH665,22,FALSE)-AVERAGE('The List'!W2:W665))/STDEV('The List'!W2:W665)</f>
        <v>0.367574405737947</v>
      </c>
      <c r="K168" s="77">
        <f>(VLOOKUP($A168,'The List'!$B1:$AH665,23,FALSE)-AVERAGE('The List'!X2:X665))/STDEV('The List'!X2:X665)</f>
        <v>0.233510732427816</v>
      </c>
      <c r="L168" s="77">
        <f>(VLOOKUP($A168,'The List'!$B1:$AH665,24,FALSE)-AVERAGE('The List'!Y2:Y665))/STDEV('The List'!Y2:Y665)</f>
        <v>-0.563244239230645</v>
      </c>
      <c r="M168" s="77">
        <f>(VLOOKUP($A168,'The List'!$B1:$AH665,25,FALSE)-AVERAGE('The List'!Z2:Z665))/STDEV('The List'!Z2:Z665)</f>
        <v>-0.736212127824781</v>
      </c>
      <c r="N168" s="77">
        <f>(VLOOKUP($A168,'The List'!$B1:$AH665,26,FALSE)-AVERAGE('The List'!AA2:AA665))/STDEV('The List'!AA2:AA665)</f>
        <v>-0.910278362023819</v>
      </c>
      <c r="O168" s="77">
        <f>(VLOOKUP($A168,'The List'!$B1:$AH665,27,FALSE)-AVERAGE('The List'!AB2:AB665))/STDEV('The List'!AB2:AB665)</f>
        <v>-1.1148188473642</v>
      </c>
      <c r="P168" s="77">
        <f>(VLOOKUP($A168,'The List'!$B1:$AH665,28,FALSE)-AVERAGE('The List'!AC2:AC665))/STDEV('The List'!AC2:AC665)</f>
        <v>0.210499843112977</v>
      </c>
      <c r="Q168" s="77">
        <f>(VLOOKUP($A168,'The List'!$B1:$AH665,29,FALSE)-AVERAGE('The List'!AD2:AD665))/STDEV('The List'!AD2:AD665)</f>
        <v>-0.572065215318789</v>
      </c>
      <c r="R168" s="77">
        <f>(VLOOKUP($A168,'The List'!$B1:$AH665,30,FALSE)-AVERAGE('The List'!AE2:AE665))/STDEV('The List'!AE2:AE665)</f>
        <v>0.416649511104643</v>
      </c>
      <c r="S168" s="77">
        <f>(VLOOKUP($A168,'The List'!$B1:$AH665,31,FALSE)-AVERAGE('The List'!AF2:AF665))/STDEV('The List'!AF2:AF665)</f>
        <v>-0.444892957755483</v>
      </c>
      <c r="T168" s="77">
        <f>(VLOOKUP($A168,'The List'!$B1:$AH665,32,FALSE)-AVERAGE('The List'!AG2:AG665))/STDEV('The List'!AG2:AG665)</f>
        <v>-0.419252139317401</v>
      </c>
      <c r="U168" s="77">
        <f>(VLOOKUP($A168,'The List'!$B1:$AH665,33,FALSE)-AVERAGE('The List'!AH2:AH665))/STDEV('The List'!AH2:AH665)</f>
        <v>0.5780900468643611</v>
      </c>
      <c r="V168" s="77"/>
      <c r="W168" s="79"/>
      <c r="X168" s="79"/>
      <c r="Y168" s="79"/>
      <c r="Z168" s="79"/>
      <c r="AA168" s="79"/>
      <c r="AB168" s="79"/>
      <c r="AC168" s="82"/>
      <c r="AD168" s="83"/>
      <c r="AE168" s="84"/>
    </row>
    <row r="169" ht="21.25" customHeight="1">
      <c r="A169" t="s" s="10">
        <v>457</v>
      </c>
      <c r="B169" t="s" s="86">
        <f>VLOOKUP(A169,'Player Data'!A1:B667,2,FALSE)</f>
        <v>902</v>
      </c>
      <c r="C169" s="74">
        <f>((E169)*'Settings'!$C$12)+(F169*'Settings'!$C$2)+(G169*'Settings'!$C$3)+(H169*'Settings'!$C$4)+(I169*'Settings'!$C$5)+(K169*'Settings'!$C$9)+(N169*'Settings'!$C$6)+(J169*'Settings'!$C$8)+(O169*'Settings'!$C$7)+(P169*'Settings'!$C$14)+(Q169*'Settings'!$C$15)+(R169*'Settings'!$C$16)+(S169*'Settings'!$C$17)+(T169*'Settings'!$C$18)+(U169*'Settings'!$C$19)+(L169*'Settings'!$C$10)+('Settings'!$C$11*M169)</f>
        <v>1.49688021460944</v>
      </c>
      <c r="D169" s="79">
        <f>IF('Settings'!$E$12="YES",VLOOKUP(A169,'Player Data'!A1:E667,5,FALSE),82)</f>
        <v>77.1275</v>
      </c>
      <c r="E169" s="77">
        <f>(VLOOKUP($A169,'The List'!$B1:$AH665,17,FALSE)-AVERAGE('The List'!R2:R665))/STDEV('The List'!R2:R665)</f>
        <v>-0.490639039858141</v>
      </c>
      <c r="F169" s="77">
        <f>(VLOOKUP($A169,'The List'!$B1:$AH665,18,FALSE)-AVERAGE('The List'!S2:S665))/STDEV('The List'!S2:S665)</f>
        <v>0.471354894919946</v>
      </c>
      <c r="G169" s="77">
        <f>(VLOOKUP($A169,'The List'!$B1:$AH665,19,FALSE)-AVERAGE('The List'!T2:T665))/STDEV('The List'!T2:T665)</f>
        <v>0.312931025755659</v>
      </c>
      <c r="H169" s="77">
        <f>(VLOOKUP($A169,'The List'!$B1:$AH665,20,FALSE)-AVERAGE('The List'!U2:U665))/STDEV('The List'!U2:U665)</f>
        <v>0.408600967553414</v>
      </c>
      <c r="I169" s="77">
        <f>(VLOOKUP($A169,'The List'!$B1:$AH665,21,FALSE)-AVERAGE('The List'!V2:V665))/STDEV('The List'!V2:V665)</f>
        <v>0.265588578653318</v>
      </c>
      <c r="J169" s="77">
        <f>(VLOOKUP($A169,'The List'!$B1:$AH665,22,FALSE)-AVERAGE('The List'!W2:W665))/STDEV('The List'!W2:W665)</f>
        <v>0.291837720771394</v>
      </c>
      <c r="K169" s="77">
        <f>(VLOOKUP($A169,'The List'!$B1:$AH665,23,FALSE)-AVERAGE('The List'!X2:X665))/STDEV('The List'!X2:X665)</f>
        <v>-0.0203652672914933</v>
      </c>
      <c r="L169" s="77">
        <f>(VLOOKUP($A169,'The List'!$B1:$AH665,24,FALSE)-AVERAGE('The List'!Y2:Y665))/STDEV('The List'!Y2:Y665)</f>
        <v>-0.5621287315082329</v>
      </c>
      <c r="M169" s="77">
        <f>(VLOOKUP($A169,'The List'!$B1:$AH665,25,FALSE)-AVERAGE('The List'!Z2:Z665))/STDEV('The List'!Z2:Z665)</f>
        <v>-0.7354433073554379</v>
      </c>
      <c r="N169" s="77">
        <f>(VLOOKUP($A169,'The List'!$B1:$AH665,26,FALSE)-AVERAGE('The List'!AA2:AA665))/STDEV('The List'!AA2:AA665)</f>
        <v>-0.740241869124602</v>
      </c>
      <c r="O169" s="77">
        <f>(VLOOKUP($A169,'The List'!$B1:$AH665,27,FALSE)-AVERAGE('The List'!AB2:AB665))/STDEV('The List'!AB2:AB665)</f>
        <v>0.101894015363932</v>
      </c>
      <c r="P169" s="77">
        <f>(VLOOKUP($A169,'The List'!$B1:$AH665,28,FALSE)-AVERAGE('The List'!AC2:AC665))/STDEV('The List'!AC2:AC665)</f>
        <v>1.20761285169661</v>
      </c>
      <c r="Q169" s="77">
        <f>(VLOOKUP($A169,'The List'!$B1:$AH665,29,FALSE)-AVERAGE('The List'!AD2:AD665))/STDEV('The List'!AD2:AD665)</f>
        <v>1.42089536533661</v>
      </c>
      <c r="R169" s="77">
        <f>(VLOOKUP($A169,'The List'!$B1:$AH665,30,FALSE)-AVERAGE('The List'!AE2:AE665))/STDEV('The List'!AE2:AE665)</f>
        <v>0.577583919821291</v>
      </c>
      <c r="S169" s="77">
        <f>(VLOOKUP($A169,'The List'!$B1:$AH665,31,FALSE)-AVERAGE('The List'!AF2:AF665))/STDEV('The List'!AF2:AF665)</f>
        <v>-0.542498862511293</v>
      </c>
      <c r="T169" s="77">
        <f>(VLOOKUP($A169,'The List'!$B1:$AH665,32,FALSE)-AVERAGE('The List'!AG2:AG665))/STDEV('The List'!AG2:AG665)</f>
        <v>-0.575529144388491</v>
      </c>
      <c r="U169" s="77">
        <f>(VLOOKUP($A169,'The List'!$B1:$AH665,33,FALSE)-AVERAGE('The List'!AH2:AH665))/STDEV('The List'!AH2:AH665)</f>
        <v>0.578512905296272</v>
      </c>
      <c r="V169" s="77"/>
      <c r="W169" s="89"/>
      <c r="X169" s="79"/>
      <c r="Y169" s="79"/>
      <c r="Z169" s="79"/>
      <c r="AA169" s="79"/>
      <c r="AB169" s="79"/>
      <c r="AC169" s="82"/>
      <c r="AD169" s="83"/>
      <c r="AE169" s="84"/>
    </row>
    <row r="170" ht="21.25" customHeight="1">
      <c r="A170" t="s" s="10">
        <v>379</v>
      </c>
      <c r="B170" t="s" s="86">
        <f>VLOOKUP(A170,'Player Data'!A1:B667,2,FALSE)</f>
        <v>267</v>
      </c>
      <c r="C170" s="74">
        <f>((E170)*'Settings'!$C$12)+(F170*'Settings'!$C$2)+(G170*'Settings'!$C$3)+(H170*'Settings'!$C$4)+(I170*'Settings'!$C$5)+(K170*'Settings'!$C$9)+(N170*'Settings'!$C$6)+(J170*'Settings'!$C$8)+(O170*'Settings'!$C$7)+(P170*'Settings'!$C$14)+(Q170*'Settings'!$C$15)+(R170*'Settings'!$C$16)+(S170*'Settings'!$C$17)+(T170*'Settings'!$C$18)+(U170*'Settings'!$C$19)+(L170*'Settings'!$C$10)+('Settings'!$C$11*M170)</f>
        <v>2.48761535392673</v>
      </c>
      <c r="D170" s="79">
        <f>IF('Settings'!$E$12="YES",VLOOKUP(A170,'Player Data'!A1:E667,5,FALSE),82)</f>
        <v>78.7675</v>
      </c>
      <c r="E170" s="77">
        <f>(VLOOKUP($A170,'The List'!$B1:$AH665,17,FALSE)-AVERAGE('The List'!R2:R665))/STDEV('The List'!R2:R665)</f>
        <v>0.133814988921633</v>
      </c>
      <c r="F170" s="77">
        <f>(VLOOKUP($A170,'The List'!$B1:$AH665,18,FALSE)-AVERAGE('The List'!S2:S665))/STDEV('The List'!S2:S665)</f>
        <v>0.790300433636612</v>
      </c>
      <c r="G170" s="77">
        <f>(VLOOKUP($A170,'The List'!$B1:$AH665,19,FALSE)-AVERAGE('The List'!T2:T665))/STDEV('The List'!T2:T665)</f>
        <v>0.14943325700456</v>
      </c>
      <c r="H170" s="77">
        <f>(VLOOKUP($A170,'The List'!$B1:$AH665,20,FALSE)-AVERAGE('The List'!U2:U665))/STDEV('The List'!U2:U665)</f>
        <v>0.452035568032927</v>
      </c>
      <c r="I170" s="77">
        <f>(VLOOKUP($A170,'The List'!$B1:$AH665,21,FALSE)-AVERAGE('The List'!V2:V665))/STDEV('The List'!V2:V665)</f>
        <v>1.3525457478518</v>
      </c>
      <c r="J170" s="77">
        <f>(VLOOKUP($A170,'The List'!$B1:$AH665,22,FALSE)-AVERAGE('The List'!W2:W665))/STDEV('The List'!W2:W665)</f>
        <v>-0.208164097455367</v>
      </c>
      <c r="K170" s="77">
        <f>(VLOOKUP($A170,'The List'!$B1:$AH665,23,FALSE)-AVERAGE('The List'!X2:X665))/STDEV('The List'!X2:X665)</f>
        <v>-0.194101254904556</v>
      </c>
      <c r="L170" s="77">
        <f>(VLOOKUP($A170,'The List'!$B1:$AH665,24,FALSE)-AVERAGE('The List'!Y2:Y665))/STDEV('The List'!Y2:Y665)</f>
        <v>2.87219166318833</v>
      </c>
      <c r="M170" s="77">
        <f>(VLOOKUP($A170,'The List'!$B1:$AH665,25,FALSE)-AVERAGE('The List'!Z2:Z665))/STDEV('The List'!Z2:Z665)</f>
        <v>2.03596333216081</v>
      </c>
      <c r="N170" s="77">
        <f>(VLOOKUP($A170,'The List'!$B1:$AH665,26,FALSE)-AVERAGE('The List'!AA2:AA665))/STDEV('The List'!AA2:AA665)</f>
        <v>-0.402008353640089</v>
      </c>
      <c r="O170" s="77">
        <f>(VLOOKUP($A170,'The List'!$B1:$AH665,27,FALSE)-AVERAGE('The List'!AB2:AB665))/STDEV('The List'!AB2:AB665)</f>
        <v>-0.18209658796803</v>
      </c>
      <c r="P170" s="77">
        <f>(VLOOKUP($A170,'The List'!$B1:$AH665,28,FALSE)-AVERAGE('The List'!AC2:AC665))/STDEV('The List'!AC2:AC665)</f>
        <v>0.791445523978402</v>
      </c>
      <c r="Q170" s="77">
        <f>(VLOOKUP($A170,'The List'!$B1:$AH665,29,FALSE)-AVERAGE('The List'!AD2:AD665))/STDEV('The List'!AD2:AD665)</f>
        <v>-0.468965776753284</v>
      </c>
      <c r="R170" s="77">
        <f>(VLOOKUP($A170,'The List'!$B1:$AH665,30,FALSE)-AVERAGE('The List'!AE2:AE665))/STDEV('The List'!AE2:AE665)</f>
        <v>1.154333187846</v>
      </c>
      <c r="S170" s="77">
        <f>(VLOOKUP($A170,'The List'!$B1:$AH665,31,FALSE)-AVERAGE('The List'!AF2:AF665))/STDEV('The List'!AF2:AF665)</f>
        <v>-0.493109787587351</v>
      </c>
      <c r="T170" s="77">
        <f>(VLOOKUP($A170,'The List'!$B1:$AH665,32,FALSE)-AVERAGE('The List'!AG2:AG665))/STDEV('The List'!AG2:AG665)</f>
        <v>-0.459640325376356</v>
      </c>
      <c r="U170" s="77">
        <f>(VLOOKUP($A170,'The List'!$B1:$AH665,33,FALSE)-AVERAGE('The List'!AH2:AH665))/STDEV('The List'!AH2:AH665)</f>
        <v>0.313885332100538</v>
      </c>
      <c r="V170" s="77"/>
      <c r="W170" s="79"/>
      <c r="X170" s="77"/>
      <c r="Y170" s="77"/>
      <c r="Z170" s="77"/>
      <c r="AA170" s="77"/>
      <c r="AB170" s="77"/>
      <c r="AC170" s="77"/>
      <c r="AD170" s="77"/>
      <c r="AE170" s="84"/>
    </row>
    <row r="171" ht="21.25" customHeight="1">
      <c r="A171" t="s" s="10">
        <v>517</v>
      </c>
      <c r="B171" t="s" s="86">
        <f>VLOOKUP(A171,'Player Data'!A1:B667,2,FALSE)</f>
        <v>913</v>
      </c>
      <c r="C171" s="74">
        <f>((E171)*'Settings'!$C$12)+(F171*'Settings'!$C$2)+(G171*'Settings'!$C$3)+(H171*'Settings'!$C$4)+(I171*'Settings'!$C$5)+(K171*'Settings'!$C$9)+(N171*'Settings'!$C$6)+(J171*'Settings'!$C$8)+(O171*'Settings'!$C$7)+(P171*'Settings'!$C$14)+(Q171*'Settings'!$C$15)+(R171*'Settings'!$C$16)+(S171*'Settings'!$C$17)+(T171*'Settings'!$C$18)+(U171*'Settings'!$C$19)+(L171*'Settings'!$C$10)+('Settings'!$C$11*M171)</f>
        <v>-1.29298534803739</v>
      </c>
      <c r="D171" s="79">
        <f>IF('Settings'!$E$12="YES",VLOOKUP(A171,'Player Data'!A1:E667,5,FALSE),82)</f>
        <v>74</v>
      </c>
      <c r="E171" s="77">
        <f>(VLOOKUP($A171,'The List'!$B1:$AH665,17,FALSE)-AVERAGE('The List'!R2:R665))/STDEV('The List'!R2:R665)</f>
        <v>-0.243400789607013</v>
      </c>
      <c r="F171" s="77">
        <f>(VLOOKUP($A171,'The List'!$B1:$AH665,18,FALSE)-AVERAGE('The List'!S2:S665))/STDEV('The List'!S2:S665)</f>
        <v>0.254179210744964</v>
      </c>
      <c r="G171" s="77">
        <f>(VLOOKUP($A171,'The List'!$B1:$AH665,19,FALSE)-AVERAGE('The List'!T2:T665))/STDEV('The List'!T2:T665)</f>
        <v>0.332656490178773</v>
      </c>
      <c r="H171" s="77">
        <f>(VLOOKUP($A171,'The List'!$B1:$AH665,20,FALSE)-AVERAGE('The List'!U2:U665))/STDEV('The List'!U2:U665)</f>
        <v>0.322134918439389</v>
      </c>
      <c r="I171" s="77">
        <f>(VLOOKUP($A171,'The List'!$B1:$AH665,21,FALSE)-AVERAGE('The List'!V2:V665))/STDEV('The List'!V2:V665)</f>
        <v>-0.0122493697349853</v>
      </c>
      <c r="J171" s="77">
        <f>(VLOOKUP($A171,'The List'!$B1:$AH665,22,FALSE)-AVERAGE('The List'!W2:W665))/STDEV('The List'!W2:W665)</f>
        <v>0.395248152503853</v>
      </c>
      <c r="K171" s="77">
        <f>(VLOOKUP($A171,'The List'!$B1:$AH665,23,FALSE)-AVERAGE('The List'!X2:X665))/STDEV('The List'!X2:X665)</f>
        <v>0.343039179213313</v>
      </c>
      <c r="L171" s="77">
        <f>(VLOOKUP($A171,'The List'!$B1:$AH665,24,FALSE)-AVERAGE('The List'!Y2:Y665))/STDEV('The List'!Y2:Y665)</f>
        <v>-0.580182913902084</v>
      </c>
      <c r="M171" s="77">
        <f>(VLOOKUP($A171,'The List'!$B1:$AH665,25,FALSE)-AVERAGE('The List'!Z2:Z665))/STDEV('The List'!Z2:Z665)</f>
        <v>-0.754036664989997</v>
      </c>
      <c r="N171" s="77">
        <f>(VLOOKUP($A171,'The List'!$B1:$AH665,26,FALSE)-AVERAGE('The List'!AA2:AA665))/STDEV('The List'!AA2:AA665)</f>
        <v>-0.789376768015313</v>
      </c>
      <c r="O171" s="77">
        <f>(VLOOKUP($A171,'The List'!$B1:$AH665,27,FALSE)-AVERAGE('The List'!AB2:AB665))/STDEV('The List'!AB2:AB665)</f>
        <v>-0.0900275363146269</v>
      </c>
      <c r="P171" s="77">
        <f>(VLOOKUP($A171,'The List'!$B1:$AH665,28,FALSE)-AVERAGE('The List'!AC2:AC665))/STDEV('The List'!AC2:AC665)</f>
        <v>-1.42123409042414</v>
      </c>
      <c r="Q171" s="77">
        <f>(VLOOKUP($A171,'The List'!$B1:$AH665,29,FALSE)-AVERAGE('The List'!AD2:AD665))/STDEV('The List'!AD2:AD665)</f>
        <v>-0.215748024147463</v>
      </c>
      <c r="R171" s="77">
        <f>(VLOOKUP($A171,'The List'!$B1:$AH665,30,FALSE)-AVERAGE('The List'!AE2:AE665))/STDEV('The List'!AE2:AE665)</f>
        <v>-0.186537582185099</v>
      </c>
      <c r="S171" s="77">
        <f>(VLOOKUP($A171,'The List'!$B1:$AH665,31,FALSE)-AVERAGE('The List'!AF2:AF665))/STDEV('The List'!AF2:AF665)</f>
        <v>0.121546126087553</v>
      </c>
      <c r="T171" s="77">
        <f>(VLOOKUP($A171,'The List'!$B1:$AH665,32,FALSE)-AVERAGE('The List'!AG2:AG665))/STDEV('The List'!AG2:AG665)</f>
        <v>0.483781689034971</v>
      </c>
      <c r="U171" s="77">
        <f>(VLOOKUP($A171,'The List'!$B1:$AH665,33,FALSE)-AVERAGE('The List'!AH2:AH665))/STDEV('The List'!AH2:AH665)</f>
        <v>0.581788324430079</v>
      </c>
      <c r="V171" s="77"/>
      <c r="W171" s="89"/>
      <c r="X171" s="79"/>
      <c r="Y171" s="79"/>
      <c r="Z171" s="79"/>
      <c r="AA171" s="79"/>
      <c r="AB171" s="79"/>
      <c r="AC171" s="82"/>
      <c r="AD171" s="83"/>
      <c r="AE171" s="84"/>
    </row>
    <row r="172" ht="21.25" customHeight="1">
      <c r="A172" t="s" s="10">
        <v>453</v>
      </c>
      <c r="B172" t="s" s="86">
        <f>VLOOKUP(A172,'Player Data'!A1:B667,2,FALSE)</f>
        <v>900</v>
      </c>
      <c r="C172" s="74">
        <f>((E172)*'Settings'!$C$12)+(F172*'Settings'!$C$2)+(G172*'Settings'!$C$3)+(H172*'Settings'!$C$4)+(I172*'Settings'!$C$5)+(K172*'Settings'!$C$9)+(N172*'Settings'!$C$6)+(J172*'Settings'!$C$8)+(O172*'Settings'!$C$7)+(P172*'Settings'!$C$14)+(Q172*'Settings'!$C$15)+(R172*'Settings'!$C$16)+(S172*'Settings'!$C$17)+(T172*'Settings'!$C$18)+(U172*'Settings'!$C$19)+(L172*'Settings'!$C$10)+('Settings'!$C$11*M172)</f>
        <v>1.59097056414447</v>
      </c>
      <c r="D172" s="79">
        <f>IF('Settings'!$E$12="YES",VLOOKUP(A172,'Player Data'!A1:E667,5,FALSE),82)</f>
        <v>82.03</v>
      </c>
      <c r="E172" s="77">
        <f>(VLOOKUP($A172,'The List'!$B1:$AH665,17,FALSE)-AVERAGE('The List'!R2:R665))/STDEV('The List'!R2:R665)</f>
        <v>0.167692447742937</v>
      </c>
      <c r="F172" s="77">
        <f>(VLOOKUP($A172,'The List'!$B1:$AH665,18,FALSE)-AVERAGE('The List'!S2:S665))/STDEV('The List'!S2:S665)</f>
        <v>1.19897308393397</v>
      </c>
      <c r="G172" s="77">
        <f>(VLOOKUP($A172,'The List'!$B1:$AH665,19,FALSE)-AVERAGE('The List'!T2:T665))/STDEV('The List'!T2:T665)</f>
        <v>0.144191781376986</v>
      </c>
      <c r="H172" s="77">
        <f>(VLOOKUP($A172,'The List'!$B1:$AH665,20,FALSE)-AVERAGE('The List'!U2:U665))/STDEV('The List'!U2:U665)</f>
        <v>0.634541462280439</v>
      </c>
      <c r="I172" s="77">
        <f>(VLOOKUP($A172,'The List'!$B1:$AH665,21,FALSE)-AVERAGE('The List'!V2:V665))/STDEV('The List'!V2:V665)</f>
        <v>0.304176985913032</v>
      </c>
      <c r="J172" s="77">
        <f>(VLOOKUP($A172,'The List'!$B1:$AH665,22,FALSE)-AVERAGE('The List'!W2:W665))/STDEV('The List'!W2:W665)</f>
        <v>0.256667921265374</v>
      </c>
      <c r="K172" s="77">
        <f>(VLOOKUP($A172,'The List'!$B1:$AH665,23,FALSE)-AVERAGE('The List'!X2:X665))/STDEV('The List'!X2:X665)</f>
        <v>0.0148822738107795</v>
      </c>
      <c r="L172" s="77">
        <f>(VLOOKUP($A172,'The List'!$B1:$AH665,24,FALSE)-AVERAGE('The List'!Y2:Y665))/STDEV('The List'!Y2:Y665)</f>
        <v>0.933129317309441</v>
      </c>
      <c r="M172" s="77">
        <f>(VLOOKUP($A172,'The List'!$B1:$AH665,25,FALSE)-AVERAGE('The List'!Z2:Z665))/STDEV('The List'!Z2:Z665)</f>
        <v>0.792378424004052</v>
      </c>
      <c r="N172" s="77">
        <f>(VLOOKUP($A172,'The List'!$B1:$AH665,26,FALSE)-AVERAGE('The List'!AA2:AA665))/STDEV('The List'!AA2:AA665)</f>
        <v>-0.37748126184546</v>
      </c>
      <c r="O172" s="77">
        <f>(VLOOKUP($A172,'The List'!$B1:$AH665,27,FALSE)-AVERAGE('The List'!AB2:AB665))/STDEV('The List'!AB2:AB665)</f>
        <v>-1.18756693530469</v>
      </c>
      <c r="P172" s="77">
        <f>(VLOOKUP($A172,'The List'!$B1:$AH665,28,FALSE)-AVERAGE('The List'!AC2:AC665))/STDEV('The List'!AC2:AC665)</f>
        <v>0.306227700955158</v>
      </c>
      <c r="Q172" s="77">
        <f>(VLOOKUP($A172,'The List'!$B1:$AH665,29,FALSE)-AVERAGE('The List'!AD2:AD665))/STDEV('The List'!AD2:AD665)</f>
        <v>-0.669829953757664</v>
      </c>
      <c r="R172" s="77">
        <f>(VLOOKUP($A172,'The List'!$B1:$AH665,30,FALSE)-AVERAGE('The List'!AE2:AE665))/STDEV('The List'!AE2:AE665)</f>
        <v>1.1774785185639</v>
      </c>
      <c r="S172" s="77">
        <f>(VLOOKUP($A172,'The List'!$B1:$AH665,31,FALSE)-AVERAGE('The List'!AF2:AF665))/STDEV('The List'!AF2:AF665)</f>
        <v>0.0426580062574218</v>
      </c>
      <c r="T172" s="77">
        <f>(VLOOKUP($A172,'The List'!$B1:$AH665,32,FALSE)-AVERAGE('The List'!AG2:AG665))/STDEV('The List'!AG2:AG665)</f>
        <v>0.287314851357397</v>
      </c>
      <c r="U172" s="77">
        <f>(VLOOKUP($A172,'The List'!$B1:$AH665,33,FALSE)-AVERAGE('The List'!AH2:AH665))/STDEV('The List'!AH2:AH665)</f>
        <v>0.66338790199832</v>
      </c>
      <c r="V172" s="77"/>
      <c r="W172" s="79"/>
      <c r="X172" s="77"/>
      <c r="Y172" s="77"/>
      <c r="Z172" s="77"/>
      <c r="AA172" s="77"/>
      <c r="AB172" s="77"/>
      <c r="AC172" s="77"/>
      <c r="AD172" s="77"/>
      <c r="AE172" s="84"/>
    </row>
    <row r="173" ht="21.25" customHeight="1">
      <c r="A173" t="s" s="10">
        <v>307</v>
      </c>
      <c r="B173" t="s" s="86">
        <f>VLOOKUP(A173,'Player Data'!A1:B667,2,FALSE)</f>
        <v>907</v>
      </c>
      <c r="C173" s="74">
        <f>((E173)*'Settings'!$C$12)+(F173*'Settings'!$C$2)+(G173*'Settings'!$C$3)+(H173*'Settings'!$C$4)+(I173*'Settings'!$C$5)+(K173*'Settings'!$C$9)+(N173*'Settings'!$C$6)+(J173*'Settings'!$C$8)+(O173*'Settings'!$C$7)+(P173*'Settings'!$C$14)+(Q173*'Settings'!$C$15)+(R173*'Settings'!$C$16)+(S173*'Settings'!$C$17)+(T173*'Settings'!$C$18)+(U173*'Settings'!$C$19)+(L173*'Settings'!$C$10)+('Settings'!$C$11*M173)</f>
        <v>2.09426331036398</v>
      </c>
      <c r="D173" s="79">
        <f>IF('Settings'!$E$12="YES",VLOOKUP(A173,'Player Data'!A1:E667,5,FALSE),82)</f>
        <v>77.52500000000001</v>
      </c>
      <c r="E173" s="77">
        <f>(VLOOKUP($A173,'The List'!$B1:$AH665,17,FALSE)-AVERAGE('The List'!R2:R665))/STDEV('The List'!R2:R665)</f>
        <v>1.69970308462173</v>
      </c>
      <c r="F173" s="77">
        <f>(VLOOKUP($A173,'The List'!$B1:$AH665,18,FALSE)-AVERAGE('The List'!S2:S665))/STDEV('The List'!S2:S665)</f>
        <v>-0.428113781027789</v>
      </c>
      <c r="G173" s="77">
        <f>(VLOOKUP($A173,'The List'!$B1:$AH665,19,FALSE)-AVERAGE('The List'!T2:T665))/STDEV('The List'!T2:T665)</f>
        <v>0.966887060025182</v>
      </c>
      <c r="H173" s="77">
        <f>(VLOOKUP($A173,'The List'!$B1:$AH665,20,FALSE)-AVERAGE('The List'!U2:U665))/STDEV('The List'!U2:U665)</f>
        <v>0.405893167152882</v>
      </c>
      <c r="I173" s="77">
        <f>(VLOOKUP($A173,'The List'!$B1:$AH665,21,FALSE)-AVERAGE('The List'!V2:V665))/STDEV('The List'!V2:V665)</f>
        <v>0.698448627841894</v>
      </c>
      <c r="J173" s="77">
        <f>(VLOOKUP($A173,'The List'!$B1:$AH665,22,FALSE)-AVERAGE('The List'!W2:W665))/STDEV('The List'!W2:W665)</f>
        <v>-0.154976090974174</v>
      </c>
      <c r="K173" s="77">
        <f>(VLOOKUP($A173,'The List'!$B1:$AH665,23,FALSE)-AVERAGE('The List'!X2:X665))/STDEV('The List'!X2:X665)</f>
        <v>0.494853439266717</v>
      </c>
      <c r="L173" s="77">
        <f>(VLOOKUP($A173,'The List'!$B1:$AH665,24,FALSE)-AVERAGE('The List'!Y2:Y665))/STDEV('The List'!Y2:Y665)</f>
        <v>-0.53011672058473</v>
      </c>
      <c r="M173" s="77">
        <f>(VLOOKUP($A173,'The List'!$B1:$AH665,25,FALSE)-AVERAGE('The List'!Z2:Z665))/STDEV('The List'!Z2:Z665)</f>
        <v>-0.193262630131449</v>
      </c>
      <c r="N173" s="77">
        <f>(VLOOKUP($A173,'The List'!$B1:$AH665,26,FALSE)-AVERAGE('The List'!AA2:AA665))/STDEV('The List'!AA2:AA665)</f>
        <v>1.45328742731014</v>
      </c>
      <c r="O173" s="77">
        <f>(VLOOKUP($A173,'The List'!$B1:$AH665,27,FALSE)-AVERAGE('The List'!AB2:AB665))/STDEV('The List'!AB2:AB665)</f>
        <v>0.287847821192572</v>
      </c>
      <c r="P173" s="77">
        <f>(VLOOKUP($A173,'The List'!$B1:$AH665,28,FALSE)-AVERAGE('The List'!AC2:AC665))/STDEV('The List'!AC2:AC665)</f>
        <v>-1.09109946305216</v>
      </c>
      <c r="Q173" s="77">
        <f>(VLOOKUP($A173,'The List'!$B1:$AH665,29,FALSE)-AVERAGE('The List'!AD2:AD665))/STDEV('The List'!AD2:AD665)</f>
        <v>0.129596796989127</v>
      </c>
      <c r="R173" s="77">
        <f>(VLOOKUP($A173,'The List'!$B1:$AH665,30,FALSE)-AVERAGE('The List'!AE2:AE665))/STDEV('The List'!AE2:AE665)</f>
        <v>-0.575367970571242</v>
      </c>
      <c r="S173" s="77">
        <f>(VLOOKUP($A173,'The List'!$B1:$AH665,31,FALSE)-AVERAGE('The List'!AF2:AF665))/STDEV('The List'!AF2:AF665)</f>
        <v>-0.573894410680004</v>
      </c>
      <c r="T173" s="77">
        <f>(VLOOKUP($A173,'The List'!$B1:$AH665,32,FALSE)-AVERAGE('The List'!AG2:AG665))/STDEV('The List'!AG2:AG665)</f>
        <v>-0.625770787132651</v>
      </c>
      <c r="U173" s="77">
        <f>(VLOOKUP($A173,'The List'!$B1:$AH665,33,FALSE)-AVERAGE('The List'!AH2:AH665))/STDEV('The List'!AH2:AH665)</f>
        <v>-1.23143509451486</v>
      </c>
      <c r="V173" s="77"/>
      <c r="W173" s="79"/>
      <c r="X173" s="79"/>
      <c r="Y173" s="79"/>
      <c r="Z173" s="79"/>
      <c r="AA173" s="79"/>
      <c r="AB173" s="79"/>
      <c r="AC173" s="82"/>
      <c r="AD173" s="83"/>
      <c r="AE173" s="84"/>
    </row>
    <row r="174" ht="21.25" customHeight="1">
      <c r="A174" t="s" s="10">
        <v>312</v>
      </c>
      <c r="B174" t="s" s="86">
        <f>VLOOKUP(A174,'Player Data'!A1:B667,2,FALSE)</f>
        <v>149</v>
      </c>
      <c r="C174" s="74">
        <f>((E174)*'Settings'!$C$12)+(F174*'Settings'!$C$2)+(G174*'Settings'!$C$3)+(H174*'Settings'!$C$4)+(I174*'Settings'!$C$5)+(K174*'Settings'!$C$9)+(N174*'Settings'!$C$6)+(J174*'Settings'!$C$8)+(O174*'Settings'!$C$7)+(P174*'Settings'!$C$14)+(Q174*'Settings'!$C$15)+(R174*'Settings'!$C$16)+(S174*'Settings'!$C$17)+(T174*'Settings'!$C$18)+(U174*'Settings'!$C$19)+(L174*'Settings'!$C$10)+('Settings'!$C$11*M174)</f>
        <v>2.99471504753579</v>
      </c>
      <c r="D174" s="79">
        <f>IF('Settings'!$E$12="YES",VLOOKUP(A174,'Player Data'!A1:E667,5,FALSE),82)</f>
        <v>76.01000000000001</v>
      </c>
      <c r="E174" s="77">
        <f>(VLOOKUP($A174,'The List'!$B1:$AH665,17,FALSE)-AVERAGE('The List'!R2:R665))/STDEV('The List'!R2:R665)</f>
        <v>-0.0477546723289289</v>
      </c>
      <c r="F174" s="77">
        <f>(VLOOKUP($A174,'The List'!$B1:$AH665,18,FALSE)-AVERAGE('The List'!S2:S665))/STDEV('The List'!S2:S665)</f>
        <v>0.733774454141196</v>
      </c>
      <c r="G174" s="77">
        <f>(VLOOKUP($A174,'The List'!$B1:$AH665,19,FALSE)-AVERAGE('The List'!T2:T665))/STDEV('The List'!T2:T665)</f>
        <v>0.0500908619116371</v>
      </c>
      <c r="H174" s="77">
        <f>(VLOOKUP($A174,'The List'!$B1:$AH665,20,FALSE)-AVERAGE('The List'!U2:U665))/STDEV('The List'!U2:U665)</f>
        <v>0.364644610268552</v>
      </c>
      <c r="I174" s="77">
        <f>(VLOOKUP($A174,'The List'!$B1:$AH665,21,FALSE)-AVERAGE('The List'!V2:V665))/STDEV('The List'!V2:V665)</f>
        <v>1.03361730114657</v>
      </c>
      <c r="J174" s="77">
        <f>(VLOOKUP($A174,'The List'!$B1:$AH665,22,FALSE)-AVERAGE('The List'!W2:W665))/STDEV('The List'!W2:W665)</f>
        <v>0.398464206171569</v>
      </c>
      <c r="K174" s="77">
        <f>(VLOOKUP($A174,'The List'!$B1:$AH665,23,FALSE)-AVERAGE('The List'!X2:X665))/STDEV('The List'!X2:X665)</f>
        <v>0.165422932271129</v>
      </c>
      <c r="L174" s="77">
        <f>(VLOOKUP($A174,'The List'!$B1:$AH665,24,FALSE)-AVERAGE('The List'!Y2:Y665))/STDEV('The List'!Y2:Y665)</f>
        <v>-0.393841134604142</v>
      </c>
      <c r="M174" s="77">
        <f>(VLOOKUP($A174,'The List'!$B1:$AH665,25,FALSE)-AVERAGE('The List'!Z2:Z665))/STDEV('The List'!Z2:Z665)</f>
        <v>-0.391755338844437</v>
      </c>
      <c r="N174" s="77">
        <f>(VLOOKUP($A174,'The List'!$B1:$AH665,26,FALSE)-AVERAGE('The List'!AA2:AA665))/STDEV('The List'!AA2:AA665)</f>
        <v>-0.49965392017205</v>
      </c>
      <c r="O174" s="77">
        <f>(VLOOKUP($A174,'The List'!$B1:$AH665,27,FALSE)-AVERAGE('The List'!AB2:AB665))/STDEV('The List'!AB2:AB665)</f>
        <v>1.57516808317495</v>
      </c>
      <c r="P174" s="77">
        <f>(VLOOKUP($A174,'The List'!$B1:$AH665,28,FALSE)-AVERAGE('The List'!AC2:AC665))/STDEV('The List'!AC2:AC665)</f>
        <v>1.51146341823731</v>
      </c>
      <c r="Q174" s="77">
        <f>(VLOOKUP($A174,'The List'!$B1:$AH665,29,FALSE)-AVERAGE('The List'!AD2:AD665))/STDEV('The List'!AD2:AD665)</f>
        <v>2.33595645457132</v>
      </c>
      <c r="R174" s="77">
        <f>(VLOOKUP($A174,'The List'!$B1:$AH665,30,FALSE)-AVERAGE('The List'!AE2:AE665))/STDEV('The List'!AE2:AE665)</f>
        <v>0.985514988620089</v>
      </c>
      <c r="S174" s="77">
        <f>(VLOOKUP($A174,'The List'!$B1:$AH665,31,FALSE)-AVERAGE('The List'!AF2:AF665))/STDEV('The List'!AF2:AF665)</f>
        <v>1.56801279717897</v>
      </c>
      <c r="T174" s="77">
        <f>(VLOOKUP($A174,'The List'!$B1:$AH665,32,FALSE)-AVERAGE('The List'!AG2:AG665))/STDEV('The List'!AG2:AG665)</f>
        <v>2.01740719350108</v>
      </c>
      <c r="U174" s="77">
        <f>(VLOOKUP($A174,'The List'!$B1:$AH665,33,FALSE)-AVERAGE('The List'!AH2:AH665))/STDEV('The List'!AH2:AH665)</f>
        <v>0.867018402103146</v>
      </c>
      <c r="V174" s="77"/>
      <c r="W174" s="89"/>
      <c r="X174" s="79"/>
      <c r="Y174" s="79"/>
      <c r="Z174" s="79"/>
      <c r="AA174" s="79"/>
      <c r="AB174" s="79"/>
      <c r="AC174" s="82"/>
      <c r="AD174" s="83"/>
      <c r="AE174" s="84"/>
    </row>
    <row r="175" ht="21.25" customHeight="1">
      <c r="A175" t="s" s="10">
        <v>420</v>
      </c>
      <c r="B175" t="s" s="86">
        <f>VLOOKUP(A175,'Player Data'!A1:B667,2,FALSE)</f>
        <v>866</v>
      </c>
      <c r="C175" s="74">
        <f>((E175)*'Settings'!$C$12)+(F175*'Settings'!$C$2)+(G175*'Settings'!$C$3)+(H175*'Settings'!$C$4)+(I175*'Settings'!$C$5)+(K175*'Settings'!$C$9)+(N175*'Settings'!$C$6)+(J175*'Settings'!$C$8)+(O175*'Settings'!$C$7)+(P175*'Settings'!$C$14)+(Q175*'Settings'!$C$15)+(R175*'Settings'!$C$16)+(S175*'Settings'!$C$17)+(T175*'Settings'!$C$18)+(U175*'Settings'!$C$19)+(L175*'Settings'!$C$10)+('Settings'!$C$11*M175)</f>
        <v>1.28234085166417</v>
      </c>
      <c r="D175" s="79">
        <f>IF('Settings'!$E$12="YES",VLOOKUP(A175,'Player Data'!A1:E667,5,FALSE),82)</f>
        <v>77.5975</v>
      </c>
      <c r="E175" s="77">
        <f>(VLOOKUP($A175,'The List'!$B1:$AH665,17,FALSE)-AVERAGE('The List'!R2:R665))/STDEV('The List'!R2:R665)</f>
        <v>0.464534182803933</v>
      </c>
      <c r="F175" s="77">
        <f>(VLOOKUP($A175,'The List'!$B1:$AH665,18,FALSE)-AVERAGE('The List'!S2:S665))/STDEV('The List'!S2:S665)</f>
        <v>0.528313896567675</v>
      </c>
      <c r="G175" s="77">
        <f>(VLOOKUP($A175,'The List'!$B1:$AH665,19,FALSE)-AVERAGE('The List'!T2:T665))/STDEV('The List'!T2:T665)</f>
        <v>0.238820294357736</v>
      </c>
      <c r="H175" s="77">
        <f>(VLOOKUP($A175,'The List'!$B1:$AH665,20,FALSE)-AVERAGE('The List'!U2:U665))/STDEV('The List'!U2:U665)</f>
        <v>0.388464609976218</v>
      </c>
      <c r="I175" s="77">
        <f>(VLOOKUP($A175,'The List'!$B1:$AH665,21,FALSE)-AVERAGE('The List'!V2:V665))/STDEV('The List'!V2:V665)</f>
        <v>0.126282736374474</v>
      </c>
      <c r="J175" s="77">
        <f>(VLOOKUP($A175,'The List'!$B1:$AH665,22,FALSE)-AVERAGE('The List'!W2:W665))/STDEV('The List'!W2:W665)</f>
        <v>0.176492803941719</v>
      </c>
      <c r="K175" s="77">
        <f>(VLOOKUP($A175,'The List'!$B1:$AH665,23,FALSE)-AVERAGE('The List'!X2:X665))/STDEV('The List'!X2:X665)</f>
        <v>-0.0536240284428644</v>
      </c>
      <c r="L175" s="77">
        <f>(VLOOKUP($A175,'The List'!$B1:$AH665,24,FALSE)-AVERAGE('The List'!Y2:Y665))/STDEV('The List'!Y2:Y665)</f>
        <v>2.69383403777326</v>
      </c>
      <c r="M175" s="77">
        <f>(VLOOKUP($A175,'The List'!$B1:$AH665,25,FALSE)-AVERAGE('The List'!Z2:Z665))/STDEV('The List'!Z2:Z665)</f>
        <v>1.33899210634657</v>
      </c>
      <c r="N175" s="77">
        <f>(VLOOKUP($A175,'The List'!$B1:$AH665,26,FALSE)-AVERAGE('The List'!AA2:AA665))/STDEV('The List'!AA2:AA665)</f>
        <v>0.07683029157809371</v>
      </c>
      <c r="O175" s="77">
        <f>(VLOOKUP($A175,'The List'!$B1:$AH665,27,FALSE)-AVERAGE('The List'!AB2:AB665))/STDEV('The List'!AB2:AB665)</f>
        <v>-0.63869098794943</v>
      </c>
      <c r="P175" s="77">
        <f>(VLOOKUP($A175,'The List'!$B1:$AH665,28,FALSE)-AVERAGE('The List'!AC2:AC665))/STDEV('The List'!AC2:AC665)</f>
        <v>0.365717661229052</v>
      </c>
      <c r="Q175" s="77">
        <f>(VLOOKUP($A175,'The List'!$B1:$AH665,29,FALSE)-AVERAGE('The List'!AD2:AD665))/STDEV('The List'!AD2:AD665)</f>
        <v>0.216504906953031</v>
      </c>
      <c r="R175" s="77">
        <f>(VLOOKUP($A175,'The List'!$B1:$AH665,30,FALSE)-AVERAGE('The List'!AE2:AE665))/STDEV('The List'!AE2:AE665)</f>
        <v>0.607883263364688</v>
      </c>
      <c r="S175" s="77">
        <f>(VLOOKUP($A175,'The List'!$B1:$AH665,31,FALSE)-AVERAGE('The List'!AF2:AF665))/STDEV('The List'!AF2:AF665)</f>
        <v>1.70259830554416</v>
      </c>
      <c r="T175" s="77">
        <f>(VLOOKUP($A175,'The List'!$B1:$AH665,32,FALSE)-AVERAGE('The List'!AG2:AG665))/STDEV('The List'!AG2:AG665)</f>
        <v>1.88729808945124</v>
      </c>
      <c r="U175" s="77">
        <f>(VLOOKUP($A175,'The List'!$B1:$AH665,33,FALSE)-AVERAGE('The List'!AH2:AH665))/STDEV('The List'!AH2:AH665)</f>
        <v>0.992978674089869</v>
      </c>
      <c r="V175" s="77"/>
      <c r="W175" s="79"/>
      <c r="X175" s="77"/>
      <c r="Y175" s="77"/>
      <c r="Z175" s="77"/>
      <c r="AA175" s="77"/>
      <c r="AB175" s="77"/>
      <c r="AC175" s="77"/>
      <c r="AD175" s="77"/>
      <c r="AE175" s="84"/>
    </row>
    <row r="176" ht="21.25" customHeight="1">
      <c r="A176" t="s" s="10">
        <v>347</v>
      </c>
      <c r="B176" t="s" s="86">
        <f>VLOOKUP(A176,'Player Data'!A1:B667,2,FALSE)</f>
        <v>899</v>
      </c>
      <c r="C176" s="74">
        <f>((E176)*'Settings'!$C$12)+(F176*'Settings'!$C$2)+(G176*'Settings'!$C$3)+(H176*'Settings'!$C$4)+(I176*'Settings'!$C$5)+(K176*'Settings'!$C$9)+(N176*'Settings'!$C$6)+(J176*'Settings'!$C$8)+(O176*'Settings'!$C$7)+(P176*'Settings'!$C$14)+(Q176*'Settings'!$C$15)+(R176*'Settings'!$C$16)+(S176*'Settings'!$C$17)+(T176*'Settings'!$C$18)+(U176*'Settings'!$C$19)+(L176*'Settings'!$C$10)+('Settings'!$C$11*M176)</f>
        <v>1.09103971357203</v>
      </c>
      <c r="D176" s="79">
        <f>IF('Settings'!$E$12="YES",VLOOKUP(A176,'Player Data'!A1:E667,5,FALSE),82)</f>
        <v>82.03</v>
      </c>
      <c r="E176" s="77">
        <f>(VLOOKUP($A176,'The List'!$B1:$AH665,17,FALSE)-AVERAGE('The List'!R2:R665))/STDEV('The List'!R2:R665)</f>
        <v>0.156936231986869</v>
      </c>
      <c r="F176" s="77">
        <f>(VLOOKUP($A176,'The List'!$B1:$AH665,18,FALSE)-AVERAGE('The List'!S2:S665))/STDEV('The List'!S2:S665)</f>
        <v>0.489843638440538</v>
      </c>
      <c r="G176" s="77">
        <f>(VLOOKUP($A176,'The List'!$B1:$AH665,19,FALSE)-AVERAGE('The List'!T2:T665))/STDEV('The List'!T2:T665)</f>
        <v>0.44076023191143</v>
      </c>
      <c r="H176" s="77">
        <f>(VLOOKUP($A176,'The List'!$B1:$AH665,20,FALSE)-AVERAGE('The List'!U2:U665))/STDEV('The List'!U2:U665)</f>
        <v>0.496394104941962</v>
      </c>
      <c r="I176" s="77">
        <f>(VLOOKUP($A176,'The List'!$B1:$AH665,21,FALSE)-AVERAGE('The List'!V2:V665))/STDEV('The List'!V2:V665)</f>
        <v>0.10482647534672</v>
      </c>
      <c r="J176" s="77">
        <f>(VLOOKUP($A176,'The List'!$B1:$AH665,22,FALSE)-AVERAGE('The List'!W2:W665))/STDEV('The List'!W2:W665)</f>
        <v>0.373598766594508</v>
      </c>
      <c r="K176" s="77">
        <f>(VLOOKUP($A176,'The List'!$B1:$AH665,23,FALSE)-AVERAGE('The List'!X2:X665))/STDEV('The List'!X2:X665)</f>
        <v>-0.0158200005890735</v>
      </c>
      <c r="L176" s="77">
        <f>(VLOOKUP($A176,'The List'!$B1:$AH665,24,FALSE)-AVERAGE('The List'!Y2:Y665))/STDEV('The List'!Y2:Y665)</f>
        <v>0.746756092729629</v>
      </c>
      <c r="M176" s="77">
        <f>(VLOOKUP($A176,'The List'!$B1:$AH665,25,FALSE)-AVERAGE('The List'!Z2:Z665))/STDEV('The List'!Z2:Z665)</f>
        <v>2.85866556940416</v>
      </c>
      <c r="N176" s="77">
        <f>(VLOOKUP($A176,'The List'!$B1:$AH665,26,FALSE)-AVERAGE('The List'!AA2:AA665))/STDEV('The List'!AA2:AA665)</f>
        <v>-0.208308511239754</v>
      </c>
      <c r="O176" s="77">
        <f>(VLOOKUP($A176,'The List'!$B1:$AH665,27,FALSE)-AVERAGE('The List'!AB2:AB665))/STDEV('The List'!AB2:AB665)</f>
        <v>0.398523350632761</v>
      </c>
      <c r="P176" s="77">
        <f>(VLOOKUP($A176,'The List'!$B1:$AH665,28,FALSE)-AVERAGE('The List'!AC2:AC665))/STDEV('The List'!AC2:AC665)</f>
        <v>0.279737879702173</v>
      </c>
      <c r="Q176" s="77">
        <f>(VLOOKUP($A176,'The List'!$B1:$AH665,29,FALSE)-AVERAGE('The List'!AD2:AD665))/STDEV('The List'!AD2:AD665)</f>
        <v>-0.0297480331675793</v>
      </c>
      <c r="R176" s="77">
        <f>(VLOOKUP($A176,'The List'!$B1:$AH665,30,FALSE)-AVERAGE('The List'!AE2:AE665))/STDEV('The List'!AE2:AE665)</f>
        <v>0.547818835027485</v>
      </c>
      <c r="S176" s="77">
        <f>(VLOOKUP($A176,'The List'!$B1:$AH665,31,FALSE)-AVERAGE('The List'!AF2:AF665))/STDEV('The List'!AF2:AF665)</f>
        <v>2.71099772153178</v>
      </c>
      <c r="T176" s="77">
        <f>(VLOOKUP($A176,'The List'!$B1:$AH665,32,FALSE)-AVERAGE('The List'!AG2:AG665))/STDEV('The List'!AG2:AG665)</f>
        <v>2.68954244703978</v>
      </c>
      <c r="U176" s="77">
        <f>(VLOOKUP($A176,'The List'!$B1:$AH665,33,FALSE)-AVERAGE('The List'!AH2:AH665))/STDEV('The List'!AH2:AH665)</f>
        <v>1.09455780065852</v>
      </c>
      <c r="V176" s="77"/>
      <c r="W176" s="79"/>
      <c r="X176" s="77"/>
      <c r="Y176" s="77"/>
      <c r="Z176" s="77"/>
      <c r="AA176" s="77"/>
      <c r="AB176" s="77"/>
      <c r="AC176" s="77"/>
      <c r="AD176" s="77"/>
      <c r="AE176" s="84"/>
    </row>
    <row r="177" ht="21.25" customHeight="1">
      <c r="A177" t="s" s="10">
        <v>256</v>
      </c>
      <c r="B177" t="s" s="86">
        <f>VLOOKUP(A177,'Player Data'!A1:B667,2,FALSE)</f>
        <v>192</v>
      </c>
      <c r="C177" s="74">
        <f>((E177)*'Settings'!$C$12)+(F177*'Settings'!$C$2)+(G177*'Settings'!$C$3)+(H177*'Settings'!$C$4)+(I177*'Settings'!$C$5)+(K177*'Settings'!$C$9)+(N177*'Settings'!$C$6)+(J177*'Settings'!$C$8)+(O177*'Settings'!$C$7)+(P177*'Settings'!$C$14)+(Q177*'Settings'!$C$15)+(R177*'Settings'!$C$16)+(S177*'Settings'!$C$17)+(T177*'Settings'!$C$18)+(U177*'Settings'!$C$19)+(L177*'Settings'!$C$10)+('Settings'!$C$11*M177)</f>
        <v>0.75904554732348</v>
      </c>
      <c r="D177" s="79">
        <f>IF('Settings'!$E$12="YES",VLOOKUP(A177,'Player Data'!A1:E667,5,FALSE),82)</f>
        <v>73.4725</v>
      </c>
      <c r="E177" s="77">
        <f>(VLOOKUP($A177,'The List'!$B1:$AH665,17,FALSE)-AVERAGE('The List'!R2:R665))/STDEV('The List'!R2:R665)</f>
        <v>0.413294473878893</v>
      </c>
      <c r="F177" s="77">
        <f>(VLOOKUP($A177,'The List'!$B1:$AH665,18,FALSE)-AVERAGE('The List'!S2:S665))/STDEV('The List'!S2:S665)</f>
        <v>0.741442011963832</v>
      </c>
      <c r="G177" s="77">
        <f>(VLOOKUP($A177,'The List'!$B1:$AH665,19,FALSE)-AVERAGE('The List'!T2:T665))/STDEV('The List'!T2:T665)</f>
        <v>-0.114461416855249</v>
      </c>
      <c r="H177" s="77">
        <f>(VLOOKUP($A177,'The List'!$B1:$AH665,20,FALSE)-AVERAGE('The List'!U2:U665))/STDEV('The List'!U2:U665)</f>
        <v>0.265933662188688</v>
      </c>
      <c r="I177" s="77">
        <f>(VLOOKUP($A177,'The List'!$B1:$AH665,21,FALSE)-AVERAGE('The List'!V2:V665))/STDEV('The List'!V2:V665)</f>
        <v>0.521284827565664</v>
      </c>
      <c r="J177" s="77">
        <f>(VLOOKUP($A177,'The List'!$B1:$AH665,22,FALSE)-AVERAGE('The List'!W2:W665))/STDEV('The List'!W2:W665)</f>
        <v>0.715856397355253</v>
      </c>
      <c r="K177" s="77">
        <f>(VLOOKUP($A177,'The List'!$B1:$AH665,23,FALSE)-AVERAGE('The List'!X2:X665))/STDEV('The List'!X2:X665)</f>
        <v>0.301003485230964</v>
      </c>
      <c r="L177" s="77">
        <f>(VLOOKUP($A177,'The List'!$B1:$AH665,24,FALSE)-AVERAGE('The List'!Y2:Y665))/STDEV('The List'!Y2:Y665)</f>
        <v>2.32570195602508</v>
      </c>
      <c r="M177" s="77">
        <f>(VLOOKUP($A177,'The List'!$B1:$AH665,25,FALSE)-AVERAGE('The List'!Z2:Z665))/STDEV('The List'!Z2:Z665)</f>
        <v>1.36514490336355</v>
      </c>
      <c r="N177" s="77">
        <f>(VLOOKUP($A177,'The List'!$B1:$AH665,26,FALSE)-AVERAGE('The List'!AA2:AA665))/STDEV('The List'!AA2:AA665)</f>
        <v>0.0313675182167337</v>
      </c>
      <c r="O177" s="77">
        <f>(VLOOKUP($A177,'The List'!$B1:$AH665,27,FALSE)-AVERAGE('The List'!AB2:AB665))/STDEV('The List'!AB2:AB665)</f>
        <v>2.44148502407341</v>
      </c>
      <c r="P177" s="77">
        <f>(VLOOKUP($A177,'The List'!$B1:$AH665,28,FALSE)-AVERAGE('The List'!AC2:AC665))/STDEV('The List'!AC2:AC665)</f>
        <v>-0.721590878798465</v>
      </c>
      <c r="Q177" s="77">
        <f>(VLOOKUP($A177,'The List'!$B1:$AH665,29,FALSE)-AVERAGE('The List'!AD2:AD665))/STDEV('The List'!AD2:AD665)</f>
        <v>3.82069427785415</v>
      </c>
      <c r="R177" s="77">
        <f>(VLOOKUP($A177,'The List'!$B1:$AH665,30,FALSE)-AVERAGE('The List'!AE2:AE665))/STDEV('The List'!AE2:AE665)</f>
        <v>0.615013492251653</v>
      </c>
      <c r="S177" s="77">
        <f>(VLOOKUP($A177,'The List'!$B1:$AH665,31,FALSE)-AVERAGE('The List'!AF2:AF665))/STDEV('The List'!AF2:AF665)</f>
        <v>-0.470406276400265</v>
      </c>
      <c r="T177" s="77">
        <f>(VLOOKUP($A177,'The List'!$B1:$AH665,32,FALSE)-AVERAGE('The List'!AG2:AG665))/STDEV('The List'!AG2:AG665)</f>
        <v>-0.445135273130762</v>
      </c>
      <c r="U177" s="77">
        <f>(VLOOKUP($A177,'The List'!$B1:$AH665,33,FALSE)-AVERAGE('The List'!AH2:AH665))/STDEV('The List'!AH2:AH665)</f>
        <v>0.484964170612682</v>
      </c>
      <c r="V177" s="77"/>
      <c r="W177" s="89"/>
      <c r="X177" s="79"/>
      <c r="Y177" s="79"/>
      <c r="Z177" s="79"/>
      <c r="AA177" s="79"/>
      <c r="AB177" s="79"/>
      <c r="AC177" s="82"/>
      <c r="AD177" s="83"/>
      <c r="AE177" s="84"/>
    </row>
    <row r="178" ht="21.25" customHeight="1">
      <c r="A178" t="s" s="10">
        <v>360</v>
      </c>
      <c r="B178" t="s" s="86">
        <f>VLOOKUP(A178,'Player Data'!A1:B667,2,FALSE)</f>
        <v>903</v>
      </c>
      <c r="C178" s="74">
        <f>((E178)*'Settings'!$C$12)+(F178*'Settings'!$C$2)+(G178*'Settings'!$C$3)+(H178*'Settings'!$C$4)+(I178*'Settings'!$C$5)+(K178*'Settings'!$C$9)+(N178*'Settings'!$C$6)+(J178*'Settings'!$C$8)+(O178*'Settings'!$C$7)+(P178*'Settings'!$C$14)+(Q178*'Settings'!$C$15)+(R178*'Settings'!$C$16)+(S178*'Settings'!$C$17)+(T178*'Settings'!$C$18)+(U178*'Settings'!$C$19)+(L178*'Settings'!$C$10)+('Settings'!$C$11*M178)</f>
        <v>0.494191793279049</v>
      </c>
      <c r="D178" s="79">
        <f>IF('Settings'!$E$12="YES",VLOOKUP(A178,'Player Data'!A1:E667,5,FALSE),82)</f>
        <v>81.93000000000001</v>
      </c>
      <c r="E178" s="77">
        <f>(VLOOKUP($A178,'The List'!$B1:$AH665,17,FALSE)-AVERAGE('The List'!R2:R665))/STDEV('The List'!R2:R665)</f>
        <v>-0.173623921587946</v>
      </c>
      <c r="F178" s="77">
        <f>(VLOOKUP($A178,'The List'!$B1:$AH665,18,FALSE)-AVERAGE('The List'!S2:S665))/STDEV('The List'!S2:S665)</f>
        <v>0.559478668283714</v>
      </c>
      <c r="G178" s="77">
        <f>(VLOOKUP($A178,'The List'!$B1:$AH665,19,FALSE)-AVERAGE('The List'!T2:T665))/STDEV('The List'!T2:T665)</f>
        <v>0.359986798051731</v>
      </c>
      <c r="H178" s="77">
        <f>(VLOOKUP($A178,'The List'!$B1:$AH665,20,FALSE)-AVERAGE('The List'!U2:U665))/STDEV('The List'!U2:U665)</f>
        <v>0.477881691859626</v>
      </c>
      <c r="I178" s="77">
        <f>(VLOOKUP($A178,'The List'!$B1:$AH665,21,FALSE)-AVERAGE('The List'!V2:V665))/STDEV('The List'!V2:V665)</f>
        <v>-0.160553746548511</v>
      </c>
      <c r="J178" s="77">
        <f>(VLOOKUP($A178,'The List'!$B1:$AH665,22,FALSE)-AVERAGE('The List'!W2:W665))/STDEV('The List'!W2:W665)</f>
        <v>0.134926718540918</v>
      </c>
      <c r="K178" s="77">
        <f>(VLOOKUP($A178,'The List'!$B1:$AH665,23,FALSE)-AVERAGE('The List'!X2:X665))/STDEV('The List'!X2:X665)</f>
        <v>-0.122641526060965</v>
      </c>
      <c r="L178" s="77">
        <f>(VLOOKUP($A178,'The List'!$B1:$AH665,24,FALSE)-AVERAGE('The List'!Y2:Y665))/STDEV('The List'!Y2:Y665)</f>
        <v>-0.56295956417788</v>
      </c>
      <c r="M178" s="77">
        <f>(VLOOKUP($A178,'The List'!$B1:$AH665,25,FALSE)-AVERAGE('The List'!Z2:Z665))/STDEV('The List'!Z2:Z665)</f>
        <v>-0.734251831920801</v>
      </c>
      <c r="N178" s="77">
        <f>(VLOOKUP($A178,'The List'!$B1:$AH665,26,FALSE)-AVERAGE('The List'!AA2:AA665))/STDEV('The List'!AA2:AA665)</f>
        <v>-0.569803662836024</v>
      </c>
      <c r="O178" s="77">
        <f>(VLOOKUP($A178,'The List'!$B1:$AH665,27,FALSE)-AVERAGE('The List'!AB2:AB665))/STDEV('The List'!AB2:AB665)</f>
        <v>1.5673462786563</v>
      </c>
      <c r="P178" s="77">
        <f>(VLOOKUP($A178,'The List'!$B1:$AH665,28,FALSE)-AVERAGE('The List'!AC2:AC665))/STDEV('The List'!AC2:AC665)</f>
        <v>0.427725262389104</v>
      </c>
      <c r="Q178" s="77">
        <f>(VLOOKUP($A178,'The List'!$B1:$AH665,29,FALSE)-AVERAGE('The List'!AD2:AD665))/STDEV('The List'!AD2:AD665)</f>
        <v>0.440562482842007</v>
      </c>
      <c r="R178" s="77">
        <f>(VLOOKUP($A178,'The List'!$B1:$AH665,30,FALSE)-AVERAGE('The List'!AE2:AE665))/STDEV('The List'!AE2:AE665)</f>
        <v>0.573058220999301</v>
      </c>
      <c r="S178" s="77">
        <f>(VLOOKUP($A178,'The List'!$B1:$AH665,31,FALSE)-AVERAGE('The List'!AF2:AF665))/STDEV('The List'!AF2:AF665)</f>
        <v>-0.318405991085946</v>
      </c>
      <c r="T178" s="77">
        <f>(VLOOKUP($A178,'The List'!$B1:$AH665,32,FALSE)-AVERAGE('The List'!AG2:AG665))/STDEV('The List'!AG2:AG665)</f>
        <v>-0.228592484685705</v>
      </c>
      <c r="U178" s="77">
        <f>(VLOOKUP($A178,'The List'!$B1:$AH665,33,FALSE)-AVERAGE('The List'!AH2:AH665))/STDEV('The List'!AH2:AH665)</f>
        <v>0.610101156563436</v>
      </c>
      <c r="V178" s="77"/>
      <c r="W178" s="89"/>
      <c r="X178" s="79"/>
      <c r="Y178" s="79"/>
      <c r="Z178" s="79"/>
      <c r="AA178" s="79"/>
      <c r="AB178" s="79"/>
      <c r="AC178" s="82"/>
      <c r="AD178" s="83"/>
      <c r="AE178" s="84"/>
    </row>
    <row r="179" ht="21.25" customHeight="1">
      <c r="A179" t="s" s="10">
        <v>469</v>
      </c>
      <c r="B179" t="s" s="86">
        <f>VLOOKUP(A179,'Player Data'!A1:B667,2,FALSE)</f>
        <v>910</v>
      </c>
      <c r="C179" s="74">
        <f>((E179)*'Settings'!$C$12)+(F179*'Settings'!$C$2)+(G179*'Settings'!$C$3)+(H179*'Settings'!$C$4)+(I179*'Settings'!$C$5)+(K179*'Settings'!$C$9)+(N179*'Settings'!$C$6)+(J179*'Settings'!$C$8)+(O179*'Settings'!$C$7)+(P179*'Settings'!$C$14)+(Q179*'Settings'!$C$15)+(R179*'Settings'!$C$16)+(S179*'Settings'!$C$17)+(T179*'Settings'!$C$18)+(U179*'Settings'!$C$19)+(L179*'Settings'!$C$10)+('Settings'!$C$11*M179)</f>
        <v>0.355053987825407</v>
      </c>
      <c r="D179" s="79">
        <f>IF('Settings'!$E$12="YES",VLOOKUP(A179,'Player Data'!A1:E667,5,FALSE),82)</f>
        <v>77.23999999999999</v>
      </c>
      <c r="E179" s="77">
        <f>(VLOOKUP($A179,'The List'!$B1:$AH665,17,FALSE)-AVERAGE('The List'!R2:R665))/STDEV('The List'!R2:R665)</f>
        <v>-0.178170421566259</v>
      </c>
      <c r="F179" s="77">
        <f>(VLOOKUP($A179,'The List'!$B1:$AH665,18,FALSE)-AVERAGE('The List'!S2:S665))/STDEV('The List'!S2:S665)</f>
        <v>0.283538443181371</v>
      </c>
      <c r="G179" s="77">
        <f>(VLOOKUP($A179,'The List'!$B1:$AH665,19,FALSE)-AVERAGE('The List'!T2:T665))/STDEV('The List'!T2:T665)</f>
        <v>0.36300820099102</v>
      </c>
      <c r="H179" s="77">
        <f>(VLOOKUP($A179,'The List'!$B1:$AH665,20,FALSE)-AVERAGE('The List'!U2:U665))/STDEV('The List'!U2:U665)</f>
        <v>0.354330204171937</v>
      </c>
      <c r="I179" s="77">
        <f>(VLOOKUP($A179,'The List'!$B1:$AH665,21,FALSE)-AVERAGE('The List'!V2:V665))/STDEV('The List'!V2:V665)</f>
        <v>0.251272672350238</v>
      </c>
      <c r="J179" s="77">
        <f>(VLOOKUP($A179,'The List'!$B1:$AH665,22,FALSE)-AVERAGE('The List'!W2:W665))/STDEV('The List'!W2:W665)</f>
        <v>-0.0020614939577097</v>
      </c>
      <c r="K179" s="77">
        <f>(VLOOKUP($A179,'The List'!$B1:$AH665,23,FALSE)-AVERAGE('The List'!X2:X665))/STDEV('The List'!X2:X665)</f>
        <v>0.122703761093363</v>
      </c>
      <c r="L179" s="77">
        <f>(VLOOKUP($A179,'The List'!$B1:$AH665,24,FALSE)-AVERAGE('The List'!Y2:Y665))/STDEV('The List'!Y2:Y665)</f>
        <v>-0.558554152657957</v>
      </c>
      <c r="M179" s="77">
        <f>(VLOOKUP($A179,'The List'!$B1:$AH665,25,FALSE)-AVERAGE('The List'!Z2:Z665))/STDEV('The List'!Z2:Z665)</f>
        <v>-0.73199405696435</v>
      </c>
      <c r="N179" s="77">
        <f>(VLOOKUP($A179,'The List'!$B1:$AH665,26,FALSE)-AVERAGE('The List'!AA2:AA665))/STDEV('The List'!AA2:AA665)</f>
        <v>-0.271827516957219</v>
      </c>
      <c r="O179" s="77">
        <f>(VLOOKUP($A179,'The List'!$B1:$AH665,27,FALSE)-AVERAGE('The List'!AB2:AB665))/STDEV('The List'!AB2:AB665)</f>
        <v>-0.471880861657536</v>
      </c>
      <c r="P179" s="77">
        <f>(VLOOKUP($A179,'The List'!$B1:$AH665,28,FALSE)-AVERAGE('The List'!AC2:AC665))/STDEV('The List'!AC2:AC665)</f>
        <v>-0.393641572833366</v>
      </c>
      <c r="Q179" s="77">
        <f>(VLOOKUP($A179,'The List'!$B1:$AH665,29,FALSE)-AVERAGE('The List'!AD2:AD665))/STDEV('The List'!AD2:AD665)</f>
        <v>-0.5112804136551899</v>
      </c>
      <c r="R179" s="77">
        <f>(VLOOKUP($A179,'The List'!$B1:$AH665,30,FALSE)-AVERAGE('The List'!AE2:AE665))/STDEV('The List'!AE2:AE665)</f>
        <v>0.229433569336332</v>
      </c>
      <c r="S179" s="77">
        <f>(VLOOKUP($A179,'The List'!$B1:$AH665,31,FALSE)-AVERAGE('The List'!AF2:AF665))/STDEV('The List'!AF2:AF665)</f>
        <v>1.49815905232933</v>
      </c>
      <c r="T179" s="77">
        <f>(VLOOKUP($A179,'The List'!$B1:$AH665,32,FALSE)-AVERAGE('The List'!AG2:AG665))/STDEV('The List'!AG2:AG665)</f>
        <v>1.78176749687354</v>
      </c>
      <c r="U179" s="77">
        <f>(VLOOKUP($A179,'The List'!$B1:$AH665,33,FALSE)-AVERAGE('The List'!AH2:AH665))/STDEV('The List'!AH2:AH665)</f>
        <v>0.935020373228014</v>
      </c>
      <c r="V179" s="77"/>
      <c r="W179" s="89"/>
      <c r="X179" s="79"/>
      <c r="Y179" s="79"/>
      <c r="Z179" s="79"/>
      <c r="AA179" s="79"/>
      <c r="AB179" s="79"/>
      <c r="AC179" s="82"/>
      <c r="AD179" s="83"/>
      <c r="AE179" s="84"/>
    </row>
    <row r="180" ht="21.25" customHeight="1">
      <c r="A180" t="s" s="10">
        <v>326</v>
      </c>
      <c r="B180" t="s" s="86">
        <f>VLOOKUP(A180,'Player Data'!A1:B667,2,FALSE)</f>
        <v>903</v>
      </c>
      <c r="C180" s="74">
        <f>((E180)*'Settings'!$C$12)+(F180*'Settings'!$C$2)+(G180*'Settings'!$C$3)+(H180*'Settings'!$C$4)+(I180*'Settings'!$C$5)+(K180*'Settings'!$C$9)+(N180*'Settings'!$C$6)+(J180*'Settings'!$C$8)+(O180*'Settings'!$C$7)+(P180*'Settings'!$C$14)+(Q180*'Settings'!$C$15)+(R180*'Settings'!$C$16)+(S180*'Settings'!$C$17)+(T180*'Settings'!$C$18)+(U180*'Settings'!$C$19)+(L180*'Settings'!$C$10)+('Settings'!$C$11*M180)</f>
        <v>3.38750340695133</v>
      </c>
      <c r="D180" s="79">
        <f>IF('Settings'!$E$12="YES",VLOOKUP(A180,'Player Data'!A1:E667,5,FALSE),82)</f>
        <v>81.4375</v>
      </c>
      <c r="E180" s="77">
        <f>(VLOOKUP($A180,'The List'!$B1:$AH665,17,FALSE)-AVERAGE('The List'!R2:R665))/STDEV('The List'!R2:R665)</f>
        <v>1.83389373319761</v>
      </c>
      <c r="F180" s="77">
        <f>(VLOOKUP($A180,'The List'!$B1:$AH665,18,FALSE)-AVERAGE('The List'!S2:S665))/STDEV('The List'!S2:S665)</f>
        <v>-0.275672100590992</v>
      </c>
      <c r="G180" s="77">
        <f>(VLOOKUP($A180,'The List'!$B1:$AH665,19,FALSE)-AVERAGE('The List'!T2:T665))/STDEV('The List'!T2:T665)</f>
        <v>0.935122227385963</v>
      </c>
      <c r="H180" s="77">
        <f>(VLOOKUP($A180,'The List'!$B1:$AH665,20,FALSE)-AVERAGE('The List'!U2:U665))/STDEV('The List'!U2:U665)</f>
        <v>0.455457409900537</v>
      </c>
      <c r="I180" s="77">
        <f>(VLOOKUP($A180,'The List'!$B1:$AH665,21,FALSE)-AVERAGE('The List'!V2:V665))/STDEV('The List'!V2:V665)</f>
        <v>0.677301046515457</v>
      </c>
      <c r="J180" s="77">
        <f>(VLOOKUP($A180,'The List'!$B1:$AH665,22,FALSE)-AVERAGE('The List'!W2:W665))/STDEV('The List'!W2:W665)</f>
        <v>0.0235563958433725</v>
      </c>
      <c r="K180" s="77">
        <f>(VLOOKUP($A180,'The List'!$B1:$AH665,23,FALSE)-AVERAGE('The List'!X2:X665))/STDEV('The List'!X2:X665)</f>
        <v>0.374290884035431</v>
      </c>
      <c r="L180" s="77">
        <f>(VLOOKUP($A180,'The List'!$B1:$AH665,24,FALSE)-AVERAGE('The List'!Y2:Y665))/STDEV('The List'!Y2:Y665)</f>
        <v>-0.532181546340565</v>
      </c>
      <c r="M180" s="77">
        <f>(VLOOKUP($A180,'The List'!$B1:$AH665,25,FALSE)-AVERAGE('The List'!Z2:Z665))/STDEV('The List'!Z2:Z665)</f>
        <v>0.581158612273484</v>
      </c>
      <c r="N180" s="77">
        <f>(VLOOKUP($A180,'The List'!$B1:$AH665,26,FALSE)-AVERAGE('The List'!AA2:AA665))/STDEV('The List'!AA2:AA665)</f>
        <v>1.42656186803818</v>
      </c>
      <c r="O180" s="77">
        <f>(VLOOKUP($A180,'The List'!$B1:$AH665,27,FALSE)-AVERAGE('The List'!AB2:AB665))/STDEV('The List'!AB2:AB665)</f>
        <v>-0.382990244606405</v>
      </c>
      <c r="P180" s="77">
        <f>(VLOOKUP($A180,'The List'!$B1:$AH665,28,FALSE)-AVERAGE('The List'!AC2:AC665))/STDEV('The List'!AC2:AC665)</f>
        <v>0.249899481567288</v>
      </c>
      <c r="Q180" s="77">
        <f>(VLOOKUP($A180,'The List'!$B1:$AH665,29,FALSE)-AVERAGE('The List'!AD2:AD665))/STDEV('The List'!AD2:AD665)</f>
        <v>-0.141624539093799</v>
      </c>
      <c r="R180" s="77">
        <f>(VLOOKUP($A180,'The List'!$B1:$AH665,30,FALSE)-AVERAGE('The List'!AE2:AE665))/STDEV('The List'!AE2:AE665)</f>
        <v>-0.242290885440761</v>
      </c>
      <c r="S180" s="77">
        <f>(VLOOKUP($A180,'The List'!$B1:$AH665,31,FALSE)-AVERAGE('The List'!AF2:AF665))/STDEV('The List'!AF2:AF665)</f>
        <v>-0.573894410680004</v>
      </c>
      <c r="T180" s="77">
        <f>(VLOOKUP($A180,'The List'!$B1:$AH665,32,FALSE)-AVERAGE('The List'!AG2:AG665))/STDEV('The List'!AG2:AG665)</f>
        <v>-0.625770787132651</v>
      </c>
      <c r="U180" s="77">
        <f>(VLOOKUP($A180,'The List'!$B1:$AH665,33,FALSE)-AVERAGE('The List'!AH2:AH665))/STDEV('The List'!AH2:AH665)</f>
        <v>-1.23143509451486</v>
      </c>
      <c r="V180" s="77"/>
      <c r="W180" s="89"/>
      <c r="X180" s="79"/>
      <c r="Y180" s="79"/>
      <c r="Z180" s="79"/>
      <c r="AA180" s="79"/>
      <c r="AB180" s="79"/>
      <c r="AC180" s="82"/>
      <c r="AD180" s="83"/>
      <c r="AE180" s="84"/>
    </row>
    <row r="181" ht="21.25" customHeight="1">
      <c r="A181" t="s" s="10">
        <v>272</v>
      </c>
      <c r="B181" t="s" s="86">
        <f>VLOOKUP(A181,'Player Data'!A1:B667,2,FALSE)</f>
        <v>905</v>
      </c>
      <c r="C181" s="74">
        <f>((E181)*'Settings'!$C$12)+(F181*'Settings'!$C$2)+(G181*'Settings'!$C$3)+(H181*'Settings'!$C$4)+(I181*'Settings'!$C$5)+(K181*'Settings'!$C$9)+(N181*'Settings'!$C$6)+(J181*'Settings'!$C$8)+(O181*'Settings'!$C$7)+(P181*'Settings'!$C$14)+(Q181*'Settings'!$C$15)+(R181*'Settings'!$C$16)+(S181*'Settings'!$C$17)+(T181*'Settings'!$C$18)+(U181*'Settings'!$C$19)+(L181*'Settings'!$C$10)+('Settings'!$C$11*M181)</f>
        <v>2.43113739463152</v>
      </c>
      <c r="D181" s="79">
        <f>IF('Settings'!$E$12="YES",VLOOKUP(A181,'Player Data'!A1:E667,5,FALSE),82)</f>
        <v>77.5925</v>
      </c>
      <c r="E181" s="77">
        <f>(VLOOKUP($A181,'The List'!$B1:$AH665,17,FALSE)-AVERAGE('The List'!R2:R665))/STDEV('The List'!R2:R665)</f>
        <v>2.46038379819469</v>
      </c>
      <c r="F181" s="77">
        <f>(VLOOKUP($A181,'The List'!$B1:$AH665,18,FALSE)-AVERAGE('The List'!S2:S665))/STDEV('The List'!S2:S665)</f>
        <v>-0.351016637342771</v>
      </c>
      <c r="G181" s="77">
        <f>(VLOOKUP($A181,'The List'!$B1:$AH665,19,FALSE)-AVERAGE('The List'!T2:T665))/STDEV('The List'!T2:T665)</f>
        <v>0.825655727007099</v>
      </c>
      <c r="H181" s="77">
        <f>(VLOOKUP($A181,'The List'!$B1:$AH665,20,FALSE)-AVERAGE('The List'!U2:U665))/STDEV('The List'!U2:U665)</f>
        <v>0.3532248847034</v>
      </c>
      <c r="I181" s="77">
        <f>(VLOOKUP($A181,'The List'!$B1:$AH665,21,FALSE)-AVERAGE('The List'!V2:V665))/STDEV('The List'!V2:V665)</f>
        <v>1.02561293374658</v>
      </c>
      <c r="J181" s="77">
        <f>(VLOOKUP($A181,'The List'!$B1:$AH665,22,FALSE)-AVERAGE('The List'!W2:W665))/STDEV('The List'!W2:W665)</f>
        <v>-0.0910518923521024</v>
      </c>
      <c r="K181" s="77">
        <f>(VLOOKUP($A181,'The List'!$B1:$AH665,23,FALSE)-AVERAGE('The List'!X2:X665))/STDEV('The List'!X2:X665)</f>
        <v>0.717225343678369</v>
      </c>
      <c r="L181" s="77">
        <f>(VLOOKUP($A181,'The List'!$B1:$AH665,24,FALSE)-AVERAGE('The List'!Y2:Y665))/STDEV('The List'!Y2:Y665)</f>
        <v>-0.519130632084689</v>
      </c>
      <c r="M181" s="77">
        <f>(VLOOKUP($A181,'The List'!$B1:$AH665,25,FALSE)-AVERAGE('The List'!Z2:Z665))/STDEV('The List'!Z2:Z665)</f>
        <v>-0.0409313218709199</v>
      </c>
      <c r="N181" s="77">
        <f>(VLOOKUP($A181,'The List'!$B1:$AH665,26,FALSE)-AVERAGE('The List'!AA2:AA665))/STDEV('The List'!AA2:AA665)</f>
        <v>1.97380624620133</v>
      </c>
      <c r="O181" s="77">
        <f>(VLOOKUP($A181,'The List'!$B1:$AH665,27,FALSE)-AVERAGE('The List'!AB2:AB665))/STDEV('The List'!AB2:AB665)</f>
        <v>0.0935689547757321</v>
      </c>
      <c r="P181" s="77">
        <f>(VLOOKUP($A181,'The List'!$B1:$AH665,28,FALSE)-AVERAGE('The List'!AC2:AC665))/STDEV('The List'!AC2:AC665)</f>
        <v>-1.76014621865909</v>
      </c>
      <c r="Q181" s="77">
        <f>(VLOOKUP($A181,'The List'!$B1:$AH665,29,FALSE)-AVERAGE('The List'!AD2:AD665))/STDEV('The List'!AD2:AD665)</f>
        <v>0.303413034043189</v>
      </c>
      <c r="R181" s="77">
        <f>(VLOOKUP($A181,'The List'!$B1:$AH665,30,FALSE)-AVERAGE('The List'!AE2:AE665))/STDEV('The List'!AE2:AE665)</f>
        <v>-0.460038611863962</v>
      </c>
      <c r="S181" s="77">
        <f>(VLOOKUP($A181,'The List'!$B1:$AH665,31,FALSE)-AVERAGE('The List'!AF2:AF665))/STDEV('The List'!AF2:AF665)</f>
        <v>-0.573894410680004</v>
      </c>
      <c r="T181" s="77">
        <f>(VLOOKUP($A181,'The List'!$B1:$AH665,32,FALSE)-AVERAGE('The List'!AG2:AG665))/STDEV('The List'!AG2:AG665)</f>
        <v>-0.625770787132651</v>
      </c>
      <c r="U181" s="77">
        <f>(VLOOKUP($A181,'The List'!$B1:$AH665,33,FALSE)-AVERAGE('The List'!AH2:AH665))/STDEV('The List'!AH2:AH665)</f>
        <v>-1.23143509451486</v>
      </c>
      <c r="V181" s="77"/>
      <c r="W181" s="89"/>
      <c r="X181" s="79"/>
      <c r="Y181" s="79"/>
      <c r="Z181" s="79"/>
      <c r="AA181" s="79"/>
      <c r="AB181" s="79"/>
      <c r="AC181" s="82"/>
      <c r="AD181" s="83"/>
      <c r="AE181" s="84"/>
    </row>
    <row r="182" ht="21.25" customHeight="1">
      <c r="A182" t="s" s="10">
        <v>523</v>
      </c>
      <c r="B182" t="s" s="86">
        <f>VLOOKUP(A182,'Player Data'!A1:B667,2,FALSE)</f>
        <v>913</v>
      </c>
      <c r="C182" s="74">
        <f>((E182)*'Settings'!$C$12)+(F182*'Settings'!$C$2)+(G182*'Settings'!$C$3)+(H182*'Settings'!$C$4)+(I182*'Settings'!$C$5)+(K182*'Settings'!$C$9)+(N182*'Settings'!$C$6)+(J182*'Settings'!$C$8)+(O182*'Settings'!$C$7)+(P182*'Settings'!$C$14)+(Q182*'Settings'!$C$15)+(R182*'Settings'!$C$16)+(S182*'Settings'!$C$17)+(T182*'Settings'!$C$18)+(U182*'Settings'!$C$19)+(L182*'Settings'!$C$10)+('Settings'!$C$11*M182)</f>
        <v>-1.67106100741926</v>
      </c>
      <c r="D182" s="79">
        <f>IF('Settings'!$E$12="YES",VLOOKUP(A182,'Player Data'!A1:E667,5,FALSE),82)</f>
        <v>79.11</v>
      </c>
      <c r="E182" s="77">
        <f>(VLOOKUP($A182,'The List'!$B1:$AH665,17,FALSE)-AVERAGE('The List'!R2:R665))/STDEV('The List'!R2:R665)</f>
        <v>0.322760952133676</v>
      </c>
      <c r="F182" s="77">
        <f>(VLOOKUP($A182,'The List'!$B1:$AH665,18,FALSE)-AVERAGE('The List'!S2:S665))/STDEV('The List'!S2:S665)</f>
        <v>-0.326147175604774</v>
      </c>
      <c r="G182" s="77">
        <f>(VLOOKUP($A182,'The List'!$B1:$AH665,19,FALSE)-AVERAGE('The List'!T2:T665))/STDEV('The List'!T2:T665)</f>
        <v>0.863712647949499</v>
      </c>
      <c r="H182" s="77">
        <f>(VLOOKUP($A182,'The List'!$B1:$AH665,20,FALSE)-AVERAGE('The List'!U2:U665))/STDEV('The List'!U2:U665)</f>
        <v>0.388164724977847</v>
      </c>
      <c r="I182" s="77">
        <f>(VLOOKUP($A182,'The List'!$B1:$AH665,21,FALSE)-AVERAGE('The List'!V2:V665))/STDEV('The List'!V2:V665)</f>
        <v>-0.185424356303924</v>
      </c>
      <c r="J182" s="77">
        <f>(VLOOKUP($A182,'The List'!$B1:$AH665,22,FALSE)-AVERAGE('The List'!W2:W665))/STDEV('The List'!W2:W665)</f>
        <v>-0.425174960024661</v>
      </c>
      <c r="K182" s="77">
        <f>(VLOOKUP($A182,'The List'!$B1:$AH665,23,FALSE)-AVERAGE('The List'!X2:X665))/STDEV('The List'!X2:X665)</f>
        <v>0.553073123635889</v>
      </c>
      <c r="L182" s="77">
        <f>(VLOOKUP($A182,'The List'!$B1:$AH665,24,FALSE)-AVERAGE('The List'!Y2:Y665))/STDEV('The List'!Y2:Y665)</f>
        <v>-0.434698736070177</v>
      </c>
      <c r="M182" s="77">
        <f>(VLOOKUP($A182,'The List'!$B1:$AH665,25,FALSE)-AVERAGE('The List'!Z2:Z665))/STDEV('The List'!Z2:Z665)</f>
        <v>0.00878037822510102</v>
      </c>
      <c r="N182" s="77">
        <f>(VLOOKUP($A182,'The List'!$B1:$AH665,26,FALSE)-AVERAGE('The List'!AA2:AA665))/STDEV('The List'!AA2:AA665)</f>
        <v>-0.215367554432234</v>
      </c>
      <c r="O182" s="77">
        <f>(VLOOKUP($A182,'The List'!$B1:$AH665,27,FALSE)-AVERAGE('The List'!AB2:AB665))/STDEV('The List'!AB2:AB665)</f>
        <v>-0.555495121674249</v>
      </c>
      <c r="P182" s="77">
        <f>(VLOOKUP($A182,'The List'!$B1:$AH665,28,FALSE)-AVERAGE('The List'!AC2:AC665))/STDEV('The List'!AC2:AC665)</f>
        <v>-2.36090769266372</v>
      </c>
      <c r="Q182" s="77">
        <f>(VLOOKUP($A182,'The List'!$B1:$AH665,29,FALSE)-AVERAGE('The List'!AD2:AD665))/STDEV('The List'!AD2:AD665)</f>
        <v>-0.120314771489922</v>
      </c>
      <c r="R182" s="77">
        <f>(VLOOKUP($A182,'The List'!$B1:$AH665,30,FALSE)-AVERAGE('The List'!AE2:AE665))/STDEV('The List'!AE2:AE665)</f>
        <v>-0.584397840647556</v>
      </c>
      <c r="S182" s="77">
        <f>(VLOOKUP($A182,'The List'!$B1:$AH665,31,FALSE)-AVERAGE('The List'!AF2:AF665))/STDEV('The List'!AF2:AF665)</f>
        <v>1.54297207802976</v>
      </c>
      <c r="T182" s="77">
        <f>(VLOOKUP($A182,'The List'!$B1:$AH665,32,FALSE)-AVERAGE('The List'!AG2:AG665))/STDEV('The List'!AG2:AG665)</f>
        <v>1.99948044415207</v>
      </c>
      <c r="U182" s="77">
        <f>(VLOOKUP($A182,'The List'!$B1:$AH665,33,FALSE)-AVERAGE('The List'!AH2:AH665))/STDEV('The List'!AH2:AH665)</f>
        <v>0.861435722322874</v>
      </c>
      <c r="V182" s="77"/>
      <c r="W182" s="89"/>
      <c r="X182" s="79"/>
      <c r="Y182" s="79"/>
      <c r="Z182" s="79"/>
      <c r="AA182" s="79"/>
      <c r="AB182" s="79"/>
      <c r="AC182" s="82"/>
      <c r="AD182" s="83"/>
      <c r="AE182" s="84"/>
    </row>
    <row r="183" ht="21.25" customHeight="1">
      <c r="A183" t="s" s="10">
        <v>500</v>
      </c>
      <c r="B183" t="s" s="86">
        <f>VLOOKUP(A183,'Player Data'!A1:B667,2,FALSE)</f>
        <v>901</v>
      </c>
      <c r="C183" s="74">
        <f>((E183)*'Settings'!$C$12)+(F183*'Settings'!$C$2)+(G183*'Settings'!$C$3)+(H183*'Settings'!$C$4)+(I183*'Settings'!$C$5)+(K183*'Settings'!$C$9)+(N183*'Settings'!$C$6)+(J183*'Settings'!$C$8)+(O183*'Settings'!$C$7)+(P183*'Settings'!$C$14)+(Q183*'Settings'!$C$15)+(R183*'Settings'!$C$16)+(S183*'Settings'!$C$17)+(T183*'Settings'!$C$18)+(U183*'Settings'!$C$19)+(L183*'Settings'!$C$10)+('Settings'!$C$11*M183)</f>
        <v>2.79975463645535</v>
      </c>
      <c r="D183" s="79">
        <f>IF('Settings'!$E$12="YES",VLOOKUP(A183,'Player Data'!A1:E667,5,FALSE),82)</f>
        <v>81.3925</v>
      </c>
      <c r="E183" s="77">
        <f>(VLOOKUP($A183,'The List'!$B1:$AH665,17,FALSE)-AVERAGE('The List'!R2:R665))/STDEV('The List'!R2:R665)</f>
        <v>-0.416904865984798</v>
      </c>
      <c r="F183" s="77">
        <f>(VLOOKUP($A183,'The List'!$B1:$AH665,18,FALSE)-AVERAGE('The List'!S2:S665))/STDEV('The List'!S2:S665)</f>
        <v>0.465456253226045</v>
      </c>
      <c r="G183" s="77">
        <f>(VLOOKUP($A183,'The List'!$B1:$AH665,19,FALSE)-AVERAGE('The List'!T2:T665))/STDEV('The List'!T2:T665)</f>
        <v>0.376400885046468</v>
      </c>
      <c r="H183" s="77">
        <f>(VLOOKUP($A183,'The List'!$B1:$AH665,20,FALSE)-AVERAGE('The List'!U2:U665))/STDEV('The List'!U2:U665)</f>
        <v>0.445338105928668</v>
      </c>
      <c r="I183" s="77">
        <f>(VLOOKUP($A183,'The List'!$B1:$AH665,21,FALSE)-AVERAGE('The List'!V2:V665))/STDEV('The List'!V2:V665)</f>
        <v>1.00073439992133</v>
      </c>
      <c r="J183" s="77">
        <f>(VLOOKUP($A183,'The List'!$B1:$AH665,22,FALSE)-AVERAGE('The List'!W2:W665))/STDEV('The List'!W2:W665)</f>
        <v>-0.215281877251806</v>
      </c>
      <c r="K183" s="77">
        <f>(VLOOKUP($A183,'The List'!$B1:$AH665,23,FALSE)-AVERAGE('The List'!X2:X665))/STDEV('The List'!X2:X665)</f>
        <v>0.018301689170145</v>
      </c>
      <c r="L183" s="77">
        <f>(VLOOKUP($A183,'The List'!$B1:$AH665,24,FALSE)-AVERAGE('The List'!Y2:Y665))/STDEV('The List'!Y2:Y665)</f>
        <v>-0.573960216257477</v>
      </c>
      <c r="M183" s="77">
        <f>(VLOOKUP($A183,'The List'!$B1:$AH665,25,FALSE)-AVERAGE('The List'!Z2:Z665))/STDEV('The List'!Z2:Z665)</f>
        <v>-0.7476304759139339</v>
      </c>
      <c r="N183" s="77">
        <f>(VLOOKUP($A183,'The List'!$B1:$AH665,26,FALSE)-AVERAGE('The List'!AA2:AA665))/STDEV('The List'!AA2:AA665)</f>
        <v>-0.80996171895407</v>
      </c>
      <c r="O183" s="77">
        <f>(VLOOKUP($A183,'The List'!$B1:$AH665,27,FALSE)-AVERAGE('The List'!AB2:AB665))/STDEV('The List'!AB2:AB665)</f>
        <v>-0.7580659635800771</v>
      </c>
      <c r="P183" s="77">
        <f>(VLOOKUP($A183,'The List'!$B1:$AH665,28,FALSE)-AVERAGE('The List'!AC2:AC665))/STDEV('The List'!AC2:AC665)</f>
        <v>1.74882312804543</v>
      </c>
      <c r="Q183" s="77">
        <f>(VLOOKUP($A183,'The List'!$B1:$AH665,29,FALSE)-AVERAGE('The List'!AD2:AD665))/STDEV('The List'!AD2:AD665)</f>
        <v>-0.471017303656082</v>
      </c>
      <c r="R183" s="77">
        <f>(VLOOKUP($A183,'The List'!$B1:$AH665,30,FALSE)-AVERAGE('The List'!AE2:AE665))/STDEV('The List'!AE2:AE665)</f>
        <v>0.6968722870003971</v>
      </c>
      <c r="S183" s="77">
        <f>(VLOOKUP($A183,'The List'!$B1:$AH665,31,FALSE)-AVERAGE('The List'!AF2:AF665))/STDEV('The List'!AF2:AF665)</f>
        <v>-0.559081839107385</v>
      </c>
      <c r="T183" s="77">
        <f>(VLOOKUP($A183,'The List'!$B1:$AH665,32,FALSE)-AVERAGE('The List'!AG2:AG665))/STDEV('The List'!AG2:AG665)</f>
        <v>-0.585337976273634</v>
      </c>
      <c r="U183" s="77">
        <f>(VLOOKUP($A183,'The List'!$B1:$AH665,33,FALSE)-AVERAGE('The List'!AH2:AH665))/STDEV('The List'!AH2:AH665)</f>
        <v>0.0396477043549869</v>
      </c>
      <c r="V183" s="77"/>
      <c r="W183" s="79"/>
      <c r="X183" s="79"/>
      <c r="Y183" s="79"/>
      <c r="Z183" s="79"/>
      <c r="AA183" s="79"/>
      <c r="AB183" s="79"/>
      <c r="AC183" s="82"/>
      <c r="AD183" s="83"/>
      <c r="AE183" s="84"/>
    </row>
    <row r="184" ht="21.25" customHeight="1">
      <c r="A184" t="s" s="10">
        <v>502</v>
      </c>
      <c r="B184" t="s" s="86">
        <f>VLOOKUP(A184,'Player Data'!A1:B667,2,FALSE)</f>
        <v>912</v>
      </c>
      <c r="C184" s="74">
        <f>((E184)*'Settings'!$C$12)+(F184*'Settings'!$C$2)+(G184*'Settings'!$C$3)+(H184*'Settings'!$C$4)+(I184*'Settings'!$C$5)+(K184*'Settings'!$C$9)+(N184*'Settings'!$C$6)+(J184*'Settings'!$C$8)+(O184*'Settings'!$C$7)+(P184*'Settings'!$C$14)+(Q184*'Settings'!$C$15)+(R184*'Settings'!$C$16)+(S184*'Settings'!$C$17)+(T184*'Settings'!$C$18)+(U184*'Settings'!$C$19)+(L184*'Settings'!$C$10)+('Settings'!$C$11*M184)</f>
        <v>-1.35974619677293</v>
      </c>
      <c r="D184" s="79">
        <f>IF('Settings'!$E$12="YES",VLOOKUP(A184,'Player Data'!A1:E667,5,FALSE),82)</f>
        <v>78.6575</v>
      </c>
      <c r="E184" s="77">
        <f>(VLOOKUP($A184,'The List'!$B1:$AH665,17,FALSE)-AVERAGE('The List'!R2:R665))/STDEV('The List'!R2:R665)</f>
        <v>0.145556484210258</v>
      </c>
      <c r="F184" s="77">
        <f>(VLOOKUP($A184,'The List'!$B1:$AH665,18,FALSE)-AVERAGE('The List'!S2:S665))/STDEV('The List'!S2:S665)</f>
        <v>0.6391304014957639</v>
      </c>
      <c r="G184" s="77">
        <f>(VLOOKUP($A184,'The List'!$B1:$AH665,19,FALSE)-AVERAGE('The List'!T2:T665))/STDEV('The List'!T2:T665)</f>
        <v>0.131820146944181</v>
      </c>
      <c r="H184" s="77">
        <f>(VLOOKUP($A184,'The List'!$B1:$AH665,20,FALSE)-AVERAGE('The List'!U2:U665))/STDEV('The List'!U2:U665)</f>
        <v>0.372382871037031</v>
      </c>
      <c r="I184" s="77">
        <f>(VLOOKUP($A184,'The List'!$B1:$AH665,21,FALSE)-AVERAGE('The List'!V2:V665))/STDEV('The List'!V2:V665)</f>
        <v>0.313445295394057</v>
      </c>
      <c r="J184" s="77">
        <f>(VLOOKUP($A184,'The List'!$B1:$AH665,22,FALSE)-AVERAGE('The List'!W2:W665))/STDEV('The List'!W2:W665)</f>
        <v>0.134023937023727</v>
      </c>
      <c r="K184" s="77">
        <f>(VLOOKUP($A184,'The List'!$B1:$AH665,23,FALSE)-AVERAGE('The List'!X2:X665))/STDEV('The List'!X2:X665)</f>
        <v>-0.113853692099777</v>
      </c>
      <c r="L184" s="77">
        <f>(VLOOKUP($A184,'The List'!$B1:$AH665,24,FALSE)-AVERAGE('The List'!Y2:Y665))/STDEV('The List'!Y2:Y665)</f>
        <v>0.0998586926729667</v>
      </c>
      <c r="M184" s="77">
        <f>(VLOOKUP($A184,'The List'!$B1:$AH665,25,FALSE)-AVERAGE('The List'!Z2:Z665))/STDEV('The List'!Z2:Z665)</f>
        <v>0.0598730763583132</v>
      </c>
      <c r="N184" s="77">
        <f>(VLOOKUP($A184,'The List'!$B1:$AH665,26,FALSE)-AVERAGE('The List'!AA2:AA665))/STDEV('The List'!AA2:AA665)</f>
        <v>-0.797280924378031</v>
      </c>
      <c r="O184" s="77">
        <f>(VLOOKUP($A184,'The List'!$B1:$AH665,27,FALSE)-AVERAGE('The List'!AB2:AB665))/STDEV('The List'!AB2:AB665)</f>
        <v>-0.341214736948699</v>
      </c>
      <c r="P184" s="77">
        <f>(VLOOKUP($A184,'The List'!$B1:$AH665,28,FALSE)-AVERAGE('The List'!AC2:AC665))/STDEV('The List'!AC2:AC665)</f>
        <v>-1.53300742412912</v>
      </c>
      <c r="Q184" s="77">
        <f>(VLOOKUP($A184,'The List'!$B1:$AH665,29,FALSE)-AVERAGE('The List'!AD2:AD665))/STDEV('The List'!AD2:AD665)</f>
        <v>1.11844890560783</v>
      </c>
      <c r="R184" s="77">
        <f>(VLOOKUP($A184,'The List'!$B1:$AH665,30,FALSE)-AVERAGE('The List'!AE2:AE665))/STDEV('The List'!AE2:AE665)</f>
        <v>0.200817501918435</v>
      </c>
      <c r="S184" s="77">
        <f>(VLOOKUP($A184,'The List'!$B1:$AH665,31,FALSE)-AVERAGE('The List'!AF2:AF665))/STDEV('The List'!AF2:AF665)</f>
        <v>-0.518749600452758</v>
      </c>
      <c r="T184" s="77">
        <f>(VLOOKUP($A184,'The List'!$B1:$AH665,32,FALSE)-AVERAGE('The List'!AG2:AG665))/STDEV('The List'!AG2:AG665)</f>
        <v>-0.51985151798909</v>
      </c>
      <c r="U184" s="77">
        <f>(VLOOKUP($A184,'The List'!$B1:$AH665,33,FALSE)-AVERAGE('The List'!AH2:AH665))/STDEV('The List'!AH2:AH665)</f>
        <v>0.384157978480758</v>
      </c>
      <c r="V184" s="77"/>
      <c r="W184" s="79"/>
      <c r="X184" s="77"/>
      <c r="Y184" s="77"/>
      <c r="Z184" s="77"/>
      <c r="AA184" s="77"/>
      <c r="AB184" s="77"/>
      <c r="AC184" s="77"/>
      <c r="AD184" s="77"/>
      <c r="AE184" s="84"/>
    </row>
    <row r="185" ht="21.25" customHeight="1">
      <c r="A185" t="s" s="10">
        <v>389</v>
      </c>
      <c r="B185" t="s" s="86">
        <f>VLOOKUP(A185,'Player Data'!A1:B667,2,FALSE)</f>
        <v>902</v>
      </c>
      <c r="C185" s="74">
        <f>((E185)*'Settings'!$C$12)+(F185*'Settings'!$C$2)+(G185*'Settings'!$C$3)+(H185*'Settings'!$C$4)+(I185*'Settings'!$C$5)+(K185*'Settings'!$C$9)+(N185*'Settings'!$C$6)+(J185*'Settings'!$C$8)+(O185*'Settings'!$C$7)+(P185*'Settings'!$C$14)+(Q185*'Settings'!$C$15)+(R185*'Settings'!$C$16)+(S185*'Settings'!$C$17)+(T185*'Settings'!$C$18)+(U185*'Settings'!$C$19)+(L185*'Settings'!$C$10)+('Settings'!$C$11*M185)</f>
        <v>3.62715456629848</v>
      </c>
      <c r="D185" s="79">
        <f>IF('Settings'!$E$12="YES",VLOOKUP(A185,'Player Data'!A1:E667,5,FALSE),82)</f>
        <v>74.77249999999999</v>
      </c>
      <c r="E185" s="77">
        <f>(VLOOKUP($A185,'The List'!$B1:$AH665,17,FALSE)-AVERAGE('The List'!R2:R665))/STDEV('The List'!R2:R665)</f>
        <v>1.20500795181529</v>
      </c>
      <c r="F185" s="77">
        <f>(VLOOKUP($A185,'The List'!$B1:$AH665,18,FALSE)-AVERAGE('The List'!S2:S665))/STDEV('The List'!S2:S665)</f>
        <v>-0.174331216225944</v>
      </c>
      <c r="G185" s="77">
        <f>(VLOOKUP($A185,'The List'!$B1:$AH665,19,FALSE)-AVERAGE('The List'!T2:T665))/STDEV('The List'!T2:T665)</f>
        <v>0.554569832358188</v>
      </c>
      <c r="H185" s="77">
        <f>(VLOOKUP($A185,'The List'!$B1:$AH665,20,FALSE)-AVERAGE('The List'!U2:U665))/STDEV('The List'!U2:U665)</f>
        <v>0.265177223907643</v>
      </c>
      <c r="I185" s="77">
        <f>(VLOOKUP($A185,'The List'!$B1:$AH665,21,FALSE)-AVERAGE('The List'!V2:V665))/STDEV('The List'!V2:V665)</f>
        <v>0.0704957746887508</v>
      </c>
      <c r="J185" s="77">
        <f>(VLOOKUP($A185,'The List'!$B1:$AH665,22,FALSE)-AVERAGE('The List'!W2:W665))/STDEV('The List'!W2:W665)</f>
        <v>-0.431756876184415</v>
      </c>
      <c r="K185" s="77">
        <f>(VLOOKUP($A185,'The List'!$B1:$AH665,23,FALSE)-AVERAGE('The List'!X2:X665))/STDEV('The List'!X2:X665)</f>
        <v>0.164788093335205</v>
      </c>
      <c r="L185" s="77">
        <f>(VLOOKUP($A185,'The List'!$B1:$AH665,24,FALSE)-AVERAGE('The List'!Y2:Y665))/STDEV('The List'!Y2:Y665)</f>
        <v>0.44794268627703</v>
      </c>
      <c r="M185" s="77">
        <f>(VLOOKUP($A185,'The List'!$B1:$AH665,25,FALSE)-AVERAGE('The List'!Z2:Z665))/STDEV('The List'!Z2:Z665)</f>
        <v>-0.0013817530036918</v>
      </c>
      <c r="N185" s="77">
        <f>(VLOOKUP($A185,'The List'!$B1:$AH665,26,FALSE)-AVERAGE('The List'!AA2:AA665))/STDEV('The List'!AA2:AA665)</f>
        <v>1.32641336439614</v>
      </c>
      <c r="O185" s="77">
        <f>(VLOOKUP($A185,'The List'!$B1:$AH665,27,FALSE)-AVERAGE('The List'!AB2:AB665))/STDEV('The List'!AB2:AB665)</f>
        <v>-0.484909942182661</v>
      </c>
      <c r="P185" s="77">
        <f>(VLOOKUP($A185,'The List'!$B1:$AH665,28,FALSE)-AVERAGE('The List'!AC2:AC665))/STDEV('The List'!AC2:AC665)</f>
        <v>1.68521871774614</v>
      </c>
      <c r="Q185" s="77">
        <f>(VLOOKUP($A185,'The List'!$B1:$AH665,29,FALSE)-AVERAGE('The List'!AD2:AD665))/STDEV('The List'!AD2:AD665)</f>
        <v>-0.618709693450549</v>
      </c>
      <c r="R185" s="77">
        <f>(VLOOKUP($A185,'The List'!$B1:$AH665,30,FALSE)-AVERAGE('The List'!AE2:AE665))/STDEV('The List'!AE2:AE665)</f>
        <v>-0.08519174299829831</v>
      </c>
      <c r="S185" s="77">
        <f>(VLOOKUP($A185,'The List'!$B1:$AH665,31,FALSE)-AVERAGE('The List'!AF2:AF665))/STDEV('The List'!AF2:AF665)</f>
        <v>-0.573894410680004</v>
      </c>
      <c r="T185" s="77">
        <f>(VLOOKUP($A185,'The List'!$B1:$AH665,32,FALSE)-AVERAGE('The List'!AG2:AG665))/STDEV('The List'!AG2:AG665)</f>
        <v>-0.625770787132651</v>
      </c>
      <c r="U185" s="77">
        <f>(VLOOKUP($A185,'The List'!$B1:$AH665,33,FALSE)-AVERAGE('The List'!AH2:AH665))/STDEV('The List'!AH2:AH665)</f>
        <v>-1.23143509451486</v>
      </c>
      <c r="V185" s="77"/>
      <c r="W185" s="79"/>
      <c r="X185" s="77"/>
      <c r="Y185" s="77"/>
      <c r="Z185" s="77"/>
      <c r="AA185" s="77"/>
      <c r="AB185" s="77"/>
      <c r="AC185" s="77"/>
      <c r="AD185" s="77"/>
      <c r="AE185" s="84"/>
    </row>
    <row r="186" ht="21.25" customHeight="1">
      <c r="A186" t="s" s="10">
        <v>351</v>
      </c>
      <c r="B186" t="s" s="86">
        <f>VLOOKUP(A186,'Player Data'!A1:B667,2,FALSE)</f>
        <v>911</v>
      </c>
      <c r="C186" s="74">
        <f>((E186)*'Settings'!$C$12)+(F186*'Settings'!$C$2)+(G186*'Settings'!$C$3)+(H186*'Settings'!$C$4)+(I186*'Settings'!$C$5)+(K186*'Settings'!$C$9)+(N186*'Settings'!$C$6)+(J186*'Settings'!$C$8)+(O186*'Settings'!$C$7)+(P186*'Settings'!$C$14)+(Q186*'Settings'!$C$15)+(R186*'Settings'!$C$16)+(S186*'Settings'!$C$17)+(T186*'Settings'!$C$18)+(U186*'Settings'!$C$19)+(L186*'Settings'!$C$10)+('Settings'!$C$11*M186)</f>
        <v>2.71224918829363</v>
      </c>
      <c r="D186" s="79">
        <f>IF('Settings'!$E$12="YES",VLOOKUP(A186,'Player Data'!A1:E667,5,FALSE),82)</f>
        <v>78.815</v>
      </c>
      <c r="E186" s="77">
        <f>(VLOOKUP($A186,'The List'!$B1:$AH665,17,FALSE)-AVERAGE('The List'!R2:R665))/STDEV('The List'!R2:R665)</f>
        <v>1.48410438941372</v>
      </c>
      <c r="F186" s="77">
        <f>(VLOOKUP($A186,'The List'!$B1:$AH665,18,FALSE)-AVERAGE('The List'!S2:S665))/STDEV('The List'!S2:S665)</f>
        <v>-0.237437389239686</v>
      </c>
      <c r="G186" s="77">
        <f>(VLOOKUP($A186,'The List'!$B1:$AH665,19,FALSE)-AVERAGE('The List'!T2:T665))/STDEV('The List'!T2:T665)</f>
        <v>0.764730296666783</v>
      </c>
      <c r="H186" s="77">
        <f>(VLOOKUP($A186,'The List'!$B1:$AH665,20,FALSE)-AVERAGE('The List'!U2:U665))/STDEV('The List'!U2:U665)</f>
        <v>0.3670139338579</v>
      </c>
      <c r="I186" s="77">
        <f>(VLOOKUP($A186,'The List'!$B1:$AH665,21,FALSE)-AVERAGE('The List'!V2:V665))/STDEV('The List'!V2:V665)</f>
        <v>0.913003573912082</v>
      </c>
      <c r="J186" s="77">
        <f>(VLOOKUP($A186,'The List'!$B1:$AH665,22,FALSE)-AVERAGE('The List'!W2:W665))/STDEV('The List'!W2:W665)</f>
        <v>-0.403744714851461</v>
      </c>
      <c r="K186" s="77">
        <f>(VLOOKUP($A186,'The List'!$B1:$AH665,23,FALSE)-AVERAGE('The List'!X2:X665))/STDEV('The List'!X2:X665)</f>
        <v>0.6240840102281791</v>
      </c>
      <c r="L186" s="77">
        <f>(VLOOKUP($A186,'The List'!$B1:$AH665,24,FALSE)-AVERAGE('The List'!Y2:Y665))/STDEV('The List'!Y2:Y665)</f>
        <v>-0.536809001456216</v>
      </c>
      <c r="M186" s="77">
        <f>(VLOOKUP($A186,'The List'!$B1:$AH665,25,FALSE)-AVERAGE('The List'!Z2:Z665))/STDEV('The List'!Z2:Z665)</f>
        <v>-0.624473486157845</v>
      </c>
      <c r="N186" s="77">
        <f>(VLOOKUP($A186,'The List'!$B1:$AH665,26,FALSE)-AVERAGE('The List'!AA2:AA665))/STDEV('The List'!AA2:AA665)</f>
        <v>0.602964575437213</v>
      </c>
      <c r="O186" s="77">
        <f>(VLOOKUP($A186,'The List'!$B1:$AH665,27,FALSE)-AVERAGE('The List'!AB2:AB665))/STDEV('The List'!AB2:AB665)</f>
        <v>0.301023245837856</v>
      </c>
      <c r="P186" s="77">
        <f>(VLOOKUP($A186,'The List'!$B1:$AH665,28,FALSE)-AVERAGE('The List'!AC2:AC665))/STDEV('The List'!AC2:AC665)</f>
        <v>0.0449041212890628</v>
      </c>
      <c r="Q186" s="77">
        <f>(VLOOKUP($A186,'The List'!$B1:$AH665,29,FALSE)-AVERAGE('The List'!AD2:AD665))/STDEV('The List'!AD2:AD665)</f>
        <v>0.896597617359053</v>
      </c>
      <c r="R186" s="77">
        <f>(VLOOKUP($A186,'The List'!$B1:$AH665,30,FALSE)-AVERAGE('The List'!AE2:AE665))/STDEV('The List'!AE2:AE665)</f>
        <v>-0.206746900343627</v>
      </c>
      <c r="S186" s="77">
        <f>(VLOOKUP($A186,'The List'!$B1:$AH665,31,FALSE)-AVERAGE('The List'!AF2:AF665))/STDEV('The List'!AF2:AF665)</f>
        <v>-0.573894410680004</v>
      </c>
      <c r="T186" s="77">
        <f>(VLOOKUP($A186,'The List'!$B1:$AH665,32,FALSE)-AVERAGE('The List'!AG2:AG665))/STDEV('The List'!AG2:AG665)</f>
        <v>-0.625770787132651</v>
      </c>
      <c r="U186" s="77">
        <f>(VLOOKUP($A186,'The List'!$B1:$AH665,33,FALSE)-AVERAGE('The List'!AH2:AH665))/STDEV('The List'!AH2:AH665)</f>
        <v>-1.23143509451486</v>
      </c>
      <c r="V186" s="77"/>
      <c r="W186" s="89"/>
      <c r="X186" s="79"/>
      <c r="Y186" s="79"/>
      <c r="Z186" s="79"/>
      <c r="AA186" s="79"/>
      <c r="AB186" s="79"/>
      <c r="AC186" s="82"/>
      <c r="AD186" s="83"/>
      <c r="AE186" s="84"/>
    </row>
    <row r="187" ht="21.25" customHeight="1">
      <c r="A187" t="s" s="10">
        <v>445</v>
      </c>
      <c r="B187" t="s" s="86">
        <f>VLOOKUP(A187,'Player Data'!A1:B667,2,FALSE)</f>
        <v>207</v>
      </c>
      <c r="C187" s="74">
        <f>((E187)*'Settings'!$C$12)+(F187*'Settings'!$C$2)+(G187*'Settings'!$C$3)+(H187*'Settings'!$C$4)+(I187*'Settings'!$C$5)+(K187*'Settings'!$C$9)+(N187*'Settings'!$C$6)+(J187*'Settings'!$C$8)+(O187*'Settings'!$C$7)+(P187*'Settings'!$C$14)+(Q187*'Settings'!$C$15)+(R187*'Settings'!$C$16)+(S187*'Settings'!$C$17)+(T187*'Settings'!$C$18)+(U187*'Settings'!$C$19)+(L187*'Settings'!$C$10)+('Settings'!$C$11*M187)</f>
        <v>2.18577389857836</v>
      </c>
      <c r="D187" s="79">
        <f>IF('Settings'!$E$12="YES",VLOOKUP(A187,'Player Data'!A1:E667,5,FALSE),82)</f>
        <v>77.0175</v>
      </c>
      <c r="E187" s="77">
        <f>(VLOOKUP($A187,'The List'!$B1:$AH665,17,FALSE)-AVERAGE('The List'!R2:R665))/STDEV('The List'!R2:R665)</f>
        <v>0.0495196651376144</v>
      </c>
      <c r="F187" s="77">
        <f>(VLOOKUP($A187,'The List'!$B1:$AH665,18,FALSE)-AVERAGE('The List'!S2:S665))/STDEV('The List'!S2:S665)</f>
        <v>0.8539533287939211</v>
      </c>
      <c r="G187" s="77">
        <f>(VLOOKUP($A187,'The List'!$B1:$AH665,19,FALSE)-AVERAGE('The List'!T2:T665))/STDEV('The List'!T2:T665)</f>
        <v>-0.113610827620951</v>
      </c>
      <c r="H187" s="77">
        <f>(VLOOKUP($A187,'The List'!$B1:$AH665,20,FALSE)-AVERAGE('The List'!U2:U665))/STDEV('The List'!U2:U665)</f>
        <v>0.317603667521671</v>
      </c>
      <c r="I187" s="77">
        <f>(VLOOKUP($A187,'The List'!$B1:$AH665,21,FALSE)-AVERAGE('The List'!V2:V665))/STDEV('The List'!V2:V665)</f>
        <v>0.935903237455151</v>
      </c>
      <c r="J187" s="77">
        <f>(VLOOKUP($A187,'The List'!$B1:$AH665,22,FALSE)-AVERAGE('The List'!W2:W665))/STDEV('The List'!W2:W665)</f>
        <v>0.932285950394742</v>
      </c>
      <c r="K187" s="77">
        <f>(VLOOKUP($A187,'The List'!$B1:$AH665,23,FALSE)-AVERAGE('The List'!X2:X665))/STDEV('The List'!X2:X665)</f>
        <v>0.483467623971153</v>
      </c>
      <c r="L187" s="77">
        <f>(VLOOKUP($A187,'The List'!$B1:$AH665,24,FALSE)-AVERAGE('The List'!Y2:Y665))/STDEV('The List'!Y2:Y665)</f>
        <v>-0.369044761980089</v>
      </c>
      <c r="M187" s="77">
        <f>(VLOOKUP($A187,'The List'!$B1:$AH665,25,FALSE)-AVERAGE('The List'!Z2:Z665))/STDEV('The List'!Z2:Z665)</f>
        <v>-0.538597097297704</v>
      </c>
      <c r="N187" s="77">
        <f>(VLOOKUP($A187,'The List'!$B1:$AH665,26,FALSE)-AVERAGE('The List'!AA2:AA665))/STDEV('The List'!AA2:AA665)</f>
        <v>-0.691160221793068</v>
      </c>
      <c r="O187" s="77">
        <f>(VLOOKUP($A187,'The List'!$B1:$AH665,27,FALSE)-AVERAGE('The List'!AB2:AB665))/STDEV('The List'!AB2:AB665)</f>
        <v>-0.137235360085162</v>
      </c>
      <c r="P187" s="77">
        <f>(VLOOKUP($A187,'The List'!$B1:$AH665,28,FALSE)-AVERAGE('The List'!AC2:AC665))/STDEV('The List'!AC2:AC665)</f>
        <v>0.717220757772152</v>
      </c>
      <c r="Q187" s="77">
        <f>(VLOOKUP($A187,'The List'!$B1:$AH665,29,FALSE)-AVERAGE('The List'!AD2:AD665))/STDEV('The List'!AD2:AD665)</f>
        <v>0.159917789357849</v>
      </c>
      <c r="R187" s="77">
        <f>(VLOOKUP($A187,'The List'!$B1:$AH665,30,FALSE)-AVERAGE('The List'!AE2:AE665))/STDEV('The List'!AE2:AE665)</f>
        <v>0.931561004172074</v>
      </c>
      <c r="S187" s="77">
        <f>(VLOOKUP($A187,'The List'!$B1:$AH665,31,FALSE)-AVERAGE('The List'!AF2:AF665))/STDEV('The List'!AF2:AF665)</f>
        <v>-0.512114190833724</v>
      </c>
      <c r="T187" s="77">
        <f>(VLOOKUP($A187,'The List'!$B1:$AH665,32,FALSE)-AVERAGE('The List'!AG2:AG665))/STDEV('The List'!AG2:AG665)</f>
        <v>-0.509210787488291</v>
      </c>
      <c r="U187" s="77">
        <f>(VLOOKUP($A187,'The List'!$B1:$AH665,33,FALSE)-AVERAGE('The List'!AH2:AH665))/STDEV('The List'!AH2:AH665)</f>
        <v>0.402808980108769</v>
      </c>
      <c r="V187" s="77"/>
      <c r="W187" s="89"/>
      <c r="X187" s="79"/>
      <c r="Y187" s="79"/>
      <c r="Z187" s="79"/>
      <c r="AA187" s="79"/>
      <c r="AB187" s="79"/>
      <c r="AC187" s="82"/>
      <c r="AD187" s="83"/>
      <c r="AE187" s="84"/>
    </row>
    <row r="188" ht="21.25" customHeight="1">
      <c r="A188" t="s" s="10">
        <v>644</v>
      </c>
      <c r="B188" t="s" s="86">
        <f>VLOOKUP(A188,'Player Data'!A1:B667,2,FALSE)</f>
        <v>878</v>
      </c>
      <c r="C188" s="74">
        <f>((E188)*'Settings'!$C$12)+(F188*'Settings'!$C$2)+(G188*'Settings'!$C$3)+(H188*'Settings'!$C$4)+(I188*'Settings'!$C$5)+(K188*'Settings'!$C$9)+(N188*'Settings'!$C$6)+(J188*'Settings'!$C$8)+(O188*'Settings'!$C$7)+(P188*'Settings'!$C$14)+(Q188*'Settings'!$C$15)+(R188*'Settings'!$C$16)+(S188*'Settings'!$C$17)+(T188*'Settings'!$C$18)+(U188*'Settings'!$C$19)+(L188*'Settings'!$C$10)+('Settings'!$C$11*M188)</f>
        <v>-0.174728700349023</v>
      </c>
      <c r="D188" s="79">
        <f>IF('Settings'!$E$12="YES",VLOOKUP(A188,'Player Data'!A1:E667,5,FALSE),82)</f>
        <v>66.65000000000001</v>
      </c>
      <c r="E188" s="77">
        <f>(VLOOKUP($A188,'The List'!$B1:$AH665,17,FALSE)-AVERAGE('The List'!R2:R665))/STDEV('The List'!R2:R665)</f>
        <v>-0.334265732121967</v>
      </c>
      <c r="F188" s="77">
        <f>(VLOOKUP($A188,'The List'!$B1:$AH665,18,FALSE)-AVERAGE('The List'!S2:S665))/STDEV('The List'!S2:S665)</f>
        <v>0.215774006905423</v>
      </c>
      <c r="G188" s="77">
        <f>(VLOOKUP($A188,'The List'!$B1:$AH665,19,FALSE)-AVERAGE('The List'!T2:T665))/STDEV('The List'!T2:T665)</f>
        <v>-0.08463015060993399</v>
      </c>
      <c r="H188" s="77">
        <f>(VLOOKUP($A188,'The List'!$B1:$AH665,20,FALSE)-AVERAGE('The List'!U2:U665))/STDEV('The List'!U2:U665)</f>
        <v>0.0455194605778304</v>
      </c>
      <c r="I188" s="77">
        <f>(VLOOKUP($A188,'The List'!$B1:$AH665,21,FALSE)-AVERAGE('The List'!V2:V665))/STDEV('The List'!V2:V665)</f>
        <v>0.255522961047001</v>
      </c>
      <c r="J188" s="77">
        <f>(VLOOKUP($A188,'The List'!$B1:$AH665,22,FALSE)-AVERAGE('The List'!W2:W665))/STDEV('The List'!W2:W665)</f>
        <v>-0.494654466620226</v>
      </c>
      <c r="K188" s="77">
        <f>(VLOOKUP($A188,'The List'!$B1:$AH665,23,FALSE)-AVERAGE('The List'!X2:X665))/STDEV('The List'!X2:X665)</f>
        <v>-0.519443326540781</v>
      </c>
      <c r="L188" s="77">
        <f>(VLOOKUP($A188,'The List'!$B1:$AH665,24,FALSE)-AVERAGE('The List'!Y2:Y665))/STDEV('The List'!Y2:Y665)</f>
        <v>0.206011802232788</v>
      </c>
      <c r="M188" s="77">
        <f>(VLOOKUP($A188,'The List'!$B1:$AH665,25,FALSE)-AVERAGE('The List'!Z2:Z665))/STDEV('The List'!Z2:Z665)</f>
        <v>0.0480536815994022</v>
      </c>
      <c r="N188" s="77">
        <f>(VLOOKUP($A188,'The List'!$B1:$AH665,26,FALSE)-AVERAGE('The List'!AA2:AA665))/STDEV('The List'!AA2:AA665)</f>
        <v>-0.731002076990134</v>
      </c>
      <c r="O188" s="77">
        <f>(VLOOKUP($A188,'The List'!$B1:$AH665,27,FALSE)-AVERAGE('The List'!AB2:AB665))/STDEV('The List'!AB2:AB665)</f>
        <v>-1.09404128075741</v>
      </c>
      <c r="P188" s="77">
        <f>(VLOOKUP($A188,'The List'!$B1:$AH665,28,FALSE)-AVERAGE('The List'!AC2:AC665))/STDEV('The List'!AC2:AC665)</f>
        <v>0.689049885839402</v>
      </c>
      <c r="Q188" s="77">
        <f>(VLOOKUP($A188,'The List'!$B1:$AH665,29,FALSE)-AVERAGE('The List'!AD2:AD665))/STDEV('The List'!AD2:AD665)</f>
        <v>-0.543119024100524</v>
      </c>
      <c r="R188" s="77">
        <f>(VLOOKUP($A188,'The List'!$B1:$AH665,30,FALSE)-AVERAGE('The List'!AE2:AE665))/STDEV('The List'!AE2:AE665)</f>
        <v>0.350435794167193</v>
      </c>
      <c r="S188" s="77">
        <f>(VLOOKUP($A188,'The List'!$B1:$AH665,31,FALSE)-AVERAGE('The List'!AF2:AF665))/STDEV('The List'!AF2:AF665)</f>
        <v>0.386532470399712</v>
      </c>
      <c r="T188" s="77">
        <f>(VLOOKUP($A188,'The List'!$B1:$AH665,32,FALSE)-AVERAGE('The List'!AG2:AG665))/STDEV('The List'!AG2:AG665)</f>
        <v>0.824687148639025</v>
      </c>
      <c r="U188" s="77">
        <f>(VLOOKUP($A188,'The List'!$B1:$AH665,33,FALSE)-AVERAGE('The List'!AH2:AH665))/STDEV('The List'!AH2:AH665)</f>
        <v>0.641841202597357</v>
      </c>
      <c r="V188" s="77"/>
      <c r="W188" s="89"/>
      <c r="X188" s="79"/>
      <c r="Y188" s="79"/>
      <c r="Z188" s="79"/>
      <c r="AA188" s="79"/>
      <c r="AB188" s="79"/>
      <c r="AC188" s="82"/>
      <c r="AD188" s="83"/>
      <c r="AE188" s="84"/>
    </row>
    <row r="189" ht="21.25" customHeight="1">
      <c r="A189" t="s" s="10">
        <v>385</v>
      </c>
      <c r="B189" t="s" s="86">
        <f>VLOOKUP(A189,'Player Data'!A1:B667,2,FALSE)</f>
        <v>267</v>
      </c>
      <c r="C189" s="74">
        <f>((E189)*'Settings'!$C$12)+(F189*'Settings'!$C$2)+(G189*'Settings'!$C$3)+(H189*'Settings'!$C$4)+(I189*'Settings'!$C$5)+(K189*'Settings'!$C$9)+(N189*'Settings'!$C$6)+(J189*'Settings'!$C$8)+(O189*'Settings'!$C$7)+(P189*'Settings'!$C$14)+(Q189*'Settings'!$C$15)+(R189*'Settings'!$C$16)+(S189*'Settings'!$C$17)+(T189*'Settings'!$C$18)+(U189*'Settings'!$C$19)+(L189*'Settings'!$C$10)+('Settings'!$C$11*M189)</f>
        <v>2.0268863081538</v>
      </c>
      <c r="D189" s="79">
        <f>IF('Settings'!$E$12="YES",VLOOKUP(A189,'Player Data'!A1:E667,5,FALSE),82)</f>
        <v>81.02</v>
      </c>
      <c r="E189" s="77">
        <f>(VLOOKUP($A189,'The List'!$B1:$AH665,17,FALSE)-AVERAGE('The List'!R2:R665))/STDEV('The List'!R2:R665)</f>
        <v>0.27513345386015</v>
      </c>
      <c r="F189" s="77">
        <f>(VLOOKUP($A189,'The List'!$B1:$AH665,18,FALSE)-AVERAGE('The List'!S2:S665))/STDEV('The List'!S2:S665)</f>
        <v>0.401215598782441</v>
      </c>
      <c r="G189" s="77">
        <f>(VLOOKUP($A189,'The List'!$B1:$AH665,19,FALSE)-AVERAGE('The List'!T2:T665))/STDEV('The List'!T2:T665)</f>
        <v>0.353426507139604</v>
      </c>
      <c r="H189" s="77">
        <f>(VLOOKUP($A189,'The List'!$B1:$AH665,20,FALSE)-AVERAGE('The List'!U2:U665))/STDEV('The List'!U2:U665)</f>
        <v>0.401869294394527</v>
      </c>
      <c r="I189" s="77">
        <f>(VLOOKUP($A189,'The List'!$B1:$AH665,21,FALSE)-AVERAGE('The List'!V2:V665))/STDEV('The List'!V2:V665)</f>
        <v>0.494872106698582</v>
      </c>
      <c r="J189" s="77">
        <f>(VLOOKUP($A189,'The List'!$B1:$AH665,22,FALSE)-AVERAGE('The List'!W2:W665))/STDEV('The List'!W2:W665)</f>
        <v>-0.118020227573452</v>
      </c>
      <c r="K189" s="77">
        <f>(VLOOKUP($A189,'The List'!$B1:$AH665,23,FALSE)-AVERAGE('The List'!X2:X665))/STDEV('The List'!X2:X665)</f>
        <v>0.0362726748472799</v>
      </c>
      <c r="L189" s="77">
        <f>(VLOOKUP($A189,'The List'!$B1:$AH665,24,FALSE)-AVERAGE('The List'!Y2:Y665))/STDEV('The List'!Y2:Y665)</f>
        <v>-0.347370973762345</v>
      </c>
      <c r="M189" s="77">
        <f>(VLOOKUP($A189,'The List'!$B1:$AH665,25,FALSE)-AVERAGE('The List'!Z2:Z665))/STDEV('The List'!Z2:Z665)</f>
        <v>1.17066168572004</v>
      </c>
      <c r="N189" s="77">
        <f>(VLOOKUP($A189,'The List'!$B1:$AH665,26,FALSE)-AVERAGE('The List'!AA2:AA665))/STDEV('The List'!AA2:AA665)</f>
        <v>-0.056552879620644</v>
      </c>
      <c r="O189" s="77">
        <f>(VLOOKUP($A189,'The List'!$B1:$AH665,27,FALSE)-AVERAGE('The List'!AB2:AB665))/STDEV('The List'!AB2:AB665)</f>
        <v>-0.22317219905367</v>
      </c>
      <c r="P189" s="77">
        <f>(VLOOKUP($A189,'The List'!$B1:$AH665,28,FALSE)-AVERAGE('The List'!AC2:AC665))/STDEV('The List'!AC2:AC665)</f>
        <v>0.797652300306535</v>
      </c>
      <c r="Q189" s="77">
        <f>(VLOOKUP($A189,'The List'!$B1:$AH665,29,FALSE)-AVERAGE('The List'!AD2:AD665))/STDEV('The List'!AD2:AD665)</f>
        <v>0.210517041133843</v>
      </c>
      <c r="R189" s="77">
        <f>(VLOOKUP($A189,'The List'!$B1:$AH665,30,FALSE)-AVERAGE('The List'!AE2:AE665))/STDEV('The List'!AE2:AE665)</f>
        <v>0.7092652959101861</v>
      </c>
      <c r="S189" s="77">
        <f>(VLOOKUP($A189,'The List'!$B1:$AH665,31,FALSE)-AVERAGE('The List'!AF2:AF665))/STDEV('The List'!AF2:AF665)</f>
        <v>2.52430844425905</v>
      </c>
      <c r="T189" s="77">
        <f>(VLOOKUP($A189,'The List'!$B1:$AH665,32,FALSE)-AVERAGE('The List'!AG2:AG665))/STDEV('The List'!AG2:AG665)</f>
        <v>2.28240642210199</v>
      </c>
      <c r="U189" s="77">
        <f>(VLOOKUP($A189,'The List'!$B1:$AH665,33,FALSE)-AVERAGE('The List'!AH2:AH665))/STDEV('The List'!AH2:AH665)</f>
        <v>1.17656487020917</v>
      </c>
      <c r="V189" s="77"/>
      <c r="W189" s="89"/>
      <c r="X189" s="79"/>
      <c r="Y189" s="79"/>
      <c r="Z189" s="79"/>
      <c r="AA189" s="79"/>
      <c r="AB189" s="79"/>
      <c r="AC189" s="82"/>
      <c r="AD189" s="83"/>
      <c r="AE189" s="84"/>
    </row>
    <row r="190" ht="21.25" customHeight="1">
      <c r="A190" t="s" s="10">
        <v>618</v>
      </c>
      <c r="B190" t="s" s="86">
        <f>VLOOKUP(A190,'Player Data'!A1:B667,2,FALSE)</f>
        <v>908</v>
      </c>
      <c r="C190" s="74">
        <f>((E190)*'Settings'!$C$12)+(F190*'Settings'!$C$2)+(G190*'Settings'!$C$3)+(H190*'Settings'!$C$4)+(I190*'Settings'!$C$5)+(K190*'Settings'!$C$9)+(N190*'Settings'!$C$6)+(J190*'Settings'!$C$8)+(O190*'Settings'!$C$7)+(P190*'Settings'!$C$14)+(Q190*'Settings'!$C$15)+(R190*'Settings'!$C$16)+(S190*'Settings'!$C$17)+(T190*'Settings'!$C$18)+(U190*'Settings'!$C$19)+(L190*'Settings'!$C$10)+('Settings'!$C$11*M190)</f>
        <v>-0.876540811286641</v>
      </c>
      <c r="D190" s="79">
        <f>IF('Settings'!$E$12="YES",VLOOKUP(A190,'Player Data'!A1:E667,5,FALSE),82)</f>
        <v>68</v>
      </c>
      <c r="E190" s="77">
        <f>(VLOOKUP($A190,'The List'!$B1:$AH665,17,FALSE)-AVERAGE('The List'!R2:R665))/STDEV('The List'!R2:R665)</f>
        <v>-0.950783124278253</v>
      </c>
      <c r="F190" s="77">
        <f>(VLOOKUP($A190,'The List'!$B1:$AH665,18,FALSE)-AVERAGE('The List'!S2:S665))/STDEV('The List'!S2:S665)</f>
        <v>0.485691177421606</v>
      </c>
      <c r="G190" s="77">
        <f>(VLOOKUP($A190,'The List'!$B1:$AH665,19,FALSE)-AVERAGE('The List'!T2:T665))/STDEV('The List'!T2:T665)</f>
        <v>-0.241332380261923</v>
      </c>
      <c r="H190" s="77">
        <f>(VLOOKUP($A190,'The List'!$B1:$AH665,20,FALSE)-AVERAGE('The List'!U2:U665))/STDEV('The List'!U2:U665)</f>
        <v>0.0708887490857074</v>
      </c>
      <c r="I190" s="77">
        <f>(VLOOKUP($A190,'The List'!$B1:$AH665,21,FALSE)-AVERAGE('The List'!V2:V665))/STDEV('The List'!V2:V665)</f>
        <v>-0.0646303150631888</v>
      </c>
      <c r="J190" s="77">
        <f>(VLOOKUP($A190,'The List'!$B1:$AH665,22,FALSE)-AVERAGE('The List'!W2:W665))/STDEV('The List'!W2:W665)</f>
        <v>-0.462706478690489</v>
      </c>
      <c r="K190" s="77">
        <f>(VLOOKUP($A190,'The List'!$B1:$AH665,23,FALSE)-AVERAGE('The List'!X2:X665))/STDEV('The List'!X2:X665)</f>
        <v>-0.5831819225920321</v>
      </c>
      <c r="L190" s="77">
        <f>(VLOOKUP($A190,'The List'!$B1:$AH665,24,FALSE)-AVERAGE('The List'!Y2:Y665))/STDEV('The List'!Y2:Y665)</f>
        <v>-0.580182913902084</v>
      </c>
      <c r="M190" s="77">
        <f>(VLOOKUP($A190,'The List'!$B1:$AH665,25,FALSE)-AVERAGE('The List'!Z2:Z665))/STDEV('The List'!Z2:Z665)</f>
        <v>-0.754036664989997</v>
      </c>
      <c r="N190" s="77">
        <f>(VLOOKUP($A190,'The List'!$B1:$AH665,26,FALSE)-AVERAGE('The List'!AA2:AA665))/STDEV('The List'!AA2:AA665)</f>
        <v>-0.699824116693359</v>
      </c>
      <c r="O190" s="77">
        <f>(VLOOKUP($A190,'The List'!$B1:$AH665,27,FALSE)-AVERAGE('The List'!AB2:AB665))/STDEV('The List'!AB2:AB665)</f>
        <v>-0.573763806229572</v>
      </c>
      <c r="P190" s="77">
        <f>(VLOOKUP($A190,'The List'!$B1:$AH665,28,FALSE)-AVERAGE('The List'!AC2:AC665))/STDEV('The List'!AC2:AC665)</f>
        <v>0.226736745902256</v>
      </c>
      <c r="Q190" s="77">
        <f>(VLOOKUP($A190,'The List'!$B1:$AH665,29,FALSE)-AVERAGE('The List'!AD2:AD665))/STDEV('The List'!AD2:AD665)</f>
        <v>-0.910592485926078</v>
      </c>
      <c r="R190" s="77">
        <f>(VLOOKUP($A190,'The List'!$B1:$AH665,30,FALSE)-AVERAGE('The List'!AE2:AE665))/STDEV('The List'!AE2:AE665)</f>
        <v>0.433625275153217</v>
      </c>
      <c r="S190" s="77">
        <f>(VLOOKUP($A190,'The List'!$B1:$AH665,31,FALSE)-AVERAGE('The List'!AF2:AF665))/STDEV('The List'!AF2:AF665)</f>
        <v>-0.411554567090996</v>
      </c>
      <c r="T190" s="77">
        <f>(VLOOKUP($A190,'The List'!$B1:$AH665,32,FALSE)-AVERAGE('The List'!AG2:AG665))/STDEV('The List'!AG2:AG665)</f>
        <v>-0.384030104043811</v>
      </c>
      <c r="U190" s="77">
        <f>(VLOOKUP($A190,'The List'!$B1:$AH665,33,FALSE)-AVERAGE('The List'!AH2:AH665))/STDEV('The List'!AH2:AH665)</f>
        <v>0.657339300219453</v>
      </c>
      <c r="V190" s="77"/>
      <c r="W190" s="79"/>
      <c r="X190" s="77"/>
      <c r="Y190" s="77"/>
      <c r="Z190" s="77"/>
      <c r="AA190" s="77"/>
      <c r="AB190" s="77"/>
      <c r="AC190" s="77"/>
      <c r="AD190" s="77"/>
      <c r="AE190" s="84"/>
    </row>
    <row r="191" ht="21.25" customHeight="1">
      <c r="A191" t="s" s="10">
        <v>495</v>
      </c>
      <c r="B191" t="s" s="86">
        <f>VLOOKUP(A191,'Player Data'!A1:B667,2,FALSE)</f>
        <v>911</v>
      </c>
      <c r="C191" s="74">
        <f>((E191)*'Settings'!$C$12)+(F191*'Settings'!$C$2)+(G191*'Settings'!$C$3)+(H191*'Settings'!$C$4)+(I191*'Settings'!$C$5)+(K191*'Settings'!$C$9)+(N191*'Settings'!$C$6)+(J191*'Settings'!$C$8)+(O191*'Settings'!$C$7)+(P191*'Settings'!$C$14)+(Q191*'Settings'!$C$15)+(R191*'Settings'!$C$16)+(S191*'Settings'!$C$17)+(T191*'Settings'!$C$18)+(U191*'Settings'!$C$19)+(L191*'Settings'!$C$10)+('Settings'!$C$11*M191)</f>
        <v>0.88644650570712</v>
      </c>
      <c r="D191" s="79">
        <f>IF('Settings'!$E$12="YES",VLOOKUP(A191,'Player Data'!A1:E667,5,FALSE),82)</f>
        <v>81.6925</v>
      </c>
      <c r="E191" s="77">
        <f>(VLOOKUP($A191,'The List'!$B1:$AH665,17,FALSE)-AVERAGE('The List'!R2:R665))/STDEV('The List'!R2:R665)</f>
        <v>-0.41580399794782</v>
      </c>
      <c r="F191" s="77">
        <f>(VLOOKUP($A191,'The List'!$B1:$AH665,18,FALSE)-AVERAGE('The List'!S2:S665))/STDEV('The List'!S2:S665)</f>
        <v>0.453252764356</v>
      </c>
      <c r="G191" s="77">
        <f>(VLOOKUP($A191,'The List'!$B1:$AH665,19,FALSE)-AVERAGE('The List'!T2:T665))/STDEV('The List'!T2:T665)</f>
        <v>0.337089649406877</v>
      </c>
      <c r="H191" s="77">
        <f>(VLOOKUP($A191,'The List'!$B1:$AH665,20,FALSE)-AVERAGE('The List'!U2:U665))/STDEV('The List'!U2:U665)</f>
        <v>0.415376552430017</v>
      </c>
      <c r="I191" s="77">
        <f>(VLOOKUP($A191,'The List'!$B1:$AH665,21,FALSE)-AVERAGE('The List'!V2:V665))/STDEV('The List'!V2:V665)</f>
        <v>0.692359190381424</v>
      </c>
      <c r="J191" s="77">
        <f>(VLOOKUP($A191,'The List'!$B1:$AH665,22,FALSE)-AVERAGE('The List'!W2:W665))/STDEV('The List'!W2:W665)</f>
        <v>0.611428299710847</v>
      </c>
      <c r="K191" s="77">
        <f>(VLOOKUP($A191,'The List'!$B1:$AH665,23,FALSE)-AVERAGE('The List'!X2:X665))/STDEV('The List'!X2:X665)</f>
        <v>0.5711356430667131</v>
      </c>
      <c r="L191" s="77">
        <f>(VLOOKUP($A191,'The List'!$B1:$AH665,24,FALSE)-AVERAGE('The List'!Y2:Y665))/STDEV('The List'!Y2:Y665)</f>
        <v>-0.57750631716673</v>
      </c>
      <c r="M191" s="77">
        <f>(VLOOKUP($A191,'The List'!$B1:$AH665,25,FALSE)-AVERAGE('The List'!Z2:Z665))/STDEV('The List'!Z2:Z665)</f>
        <v>-0.7512740897439421</v>
      </c>
      <c r="N191" s="77">
        <f>(VLOOKUP($A191,'The List'!$B1:$AH665,26,FALSE)-AVERAGE('The List'!AA2:AA665))/STDEV('The List'!AA2:AA665)</f>
        <v>-0.799379795192684</v>
      </c>
      <c r="O191" s="77">
        <f>(VLOOKUP($A191,'The List'!$B1:$AH665,27,FALSE)-AVERAGE('The List'!AB2:AB665))/STDEV('The List'!AB2:AB665)</f>
        <v>-0.50287920129454</v>
      </c>
      <c r="P191" s="77">
        <f>(VLOOKUP($A191,'The List'!$B1:$AH665,28,FALSE)-AVERAGE('The List'!AC2:AC665))/STDEV('The List'!AC2:AC665)</f>
        <v>-0.36801094631121</v>
      </c>
      <c r="Q191" s="77">
        <f>(VLOOKUP($A191,'The List'!$B1:$AH665,29,FALSE)-AVERAGE('The List'!AD2:AD665))/STDEV('The List'!AD2:AD665)</f>
        <v>-1.14549558853187</v>
      </c>
      <c r="R191" s="77">
        <f>(VLOOKUP($A191,'The List'!$B1:$AH665,30,FALSE)-AVERAGE('The List'!AE2:AE665))/STDEV('The List'!AE2:AE665)</f>
        <v>0.466442422878013</v>
      </c>
      <c r="S191" s="77">
        <f>(VLOOKUP($A191,'The List'!$B1:$AH665,31,FALSE)-AVERAGE('The List'!AF2:AF665))/STDEV('The List'!AF2:AF665)</f>
        <v>-0.52404451138913</v>
      </c>
      <c r="T191" s="77">
        <f>(VLOOKUP($A191,'The List'!$B1:$AH665,32,FALSE)-AVERAGE('The List'!AG2:AG665))/STDEV('The List'!AG2:AG665)</f>
        <v>-0.525472006165516</v>
      </c>
      <c r="U191" s="77">
        <f>(VLOOKUP($A191,'The List'!$B1:$AH665,33,FALSE)-AVERAGE('The List'!AH2:AH665))/STDEV('The List'!AH2:AH665)</f>
        <v>0.336216428416529</v>
      </c>
      <c r="V191" s="77"/>
      <c r="W191" s="79"/>
      <c r="X191" s="77"/>
      <c r="Y191" s="77"/>
      <c r="Z191" s="77"/>
      <c r="AA191" s="77"/>
      <c r="AB191" s="77"/>
      <c r="AC191" s="77"/>
      <c r="AD191" s="77"/>
      <c r="AE191" s="84"/>
    </row>
    <row r="192" ht="21.25" customHeight="1">
      <c r="A192" t="s" s="10">
        <v>361</v>
      </c>
      <c r="B192" t="s" s="86">
        <f>VLOOKUP(A192,'Player Data'!A1:B667,2,FALSE)</f>
        <v>165</v>
      </c>
      <c r="C192" s="74">
        <f>((E192)*'Settings'!$C$12)+(F192*'Settings'!$C$2)+(G192*'Settings'!$C$3)+(H192*'Settings'!$C$4)+(I192*'Settings'!$C$5)+(K192*'Settings'!$C$9)+(N192*'Settings'!$C$6)+(J192*'Settings'!$C$8)+(O192*'Settings'!$C$7)+(P192*'Settings'!$C$14)+(Q192*'Settings'!$C$15)+(R192*'Settings'!$C$16)+(S192*'Settings'!$C$17)+(T192*'Settings'!$C$18)+(U192*'Settings'!$C$19)+(L192*'Settings'!$C$10)+('Settings'!$C$11*M192)</f>
        <v>2.7336969787845</v>
      </c>
      <c r="D192" s="79">
        <f>IF('Settings'!$E$12="YES",VLOOKUP(A192,'Player Data'!A1:E667,5,FALSE),82)</f>
        <v>81.53749999999999</v>
      </c>
      <c r="E192" s="77">
        <f>(VLOOKUP($A192,'The List'!$B1:$AH665,17,FALSE)-AVERAGE('The List'!R2:R665))/STDEV('The List'!R2:R665)</f>
        <v>1.34340811249329</v>
      </c>
      <c r="F192" s="77">
        <f>(VLOOKUP($A192,'The List'!$B1:$AH665,18,FALSE)-AVERAGE('The List'!S2:S665))/STDEV('The List'!S2:S665)</f>
        <v>-0.0128289768389704</v>
      </c>
      <c r="G192" s="77">
        <f>(VLOOKUP($A192,'The List'!$B1:$AH665,19,FALSE)-AVERAGE('The List'!T2:T665))/STDEV('The List'!T2:T665)</f>
        <v>0.669715860876326</v>
      </c>
      <c r="H192" s="77">
        <f>(VLOOKUP($A192,'The List'!$B1:$AH665,20,FALSE)-AVERAGE('The List'!U2:U665))/STDEV('The List'!U2:U665)</f>
        <v>0.410099826680466</v>
      </c>
      <c r="I192" s="77">
        <f>(VLOOKUP($A192,'The List'!$B1:$AH665,21,FALSE)-AVERAGE('The List'!V2:V665))/STDEV('The List'!V2:V665)</f>
        <v>0.883755652220638</v>
      </c>
      <c r="J192" s="77">
        <f>(VLOOKUP($A192,'The List'!$B1:$AH665,22,FALSE)-AVERAGE('The List'!W2:W665))/STDEV('The List'!W2:W665)</f>
        <v>0.0329722269288857</v>
      </c>
      <c r="K192" s="77">
        <f>(VLOOKUP($A192,'The List'!$B1:$AH665,23,FALSE)-AVERAGE('The List'!X2:X665))/STDEV('The List'!X2:X665)</f>
        <v>0.57635026874468</v>
      </c>
      <c r="L192" s="77">
        <f>(VLOOKUP($A192,'The List'!$B1:$AH665,24,FALSE)-AVERAGE('The List'!Y2:Y665))/STDEV('The List'!Y2:Y665)</f>
        <v>0.606212780380467</v>
      </c>
      <c r="M192" s="77">
        <f>(VLOOKUP($A192,'The List'!$B1:$AH665,25,FALSE)-AVERAGE('The List'!Z2:Z665))/STDEV('The List'!Z2:Z665)</f>
        <v>1.38810784820273</v>
      </c>
      <c r="N192" s="77">
        <f>(VLOOKUP($A192,'The List'!$B1:$AH665,26,FALSE)-AVERAGE('The List'!AA2:AA665))/STDEV('The List'!AA2:AA665)</f>
        <v>0.667221548324354</v>
      </c>
      <c r="O192" s="77">
        <f>(VLOOKUP($A192,'The List'!$B1:$AH665,27,FALSE)-AVERAGE('The List'!AB2:AB665))/STDEV('The List'!AB2:AB665)</f>
        <v>-0.256074353789869</v>
      </c>
      <c r="P192" s="77">
        <f>(VLOOKUP($A192,'The List'!$B1:$AH665,28,FALSE)-AVERAGE('The List'!AC2:AC665))/STDEV('The List'!AC2:AC665)</f>
        <v>-0.0505173745425229</v>
      </c>
      <c r="Q192" s="77">
        <f>(VLOOKUP($A192,'The List'!$B1:$AH665,29,FALSE)-AVERAGE('The List'!AD2:AD665))/STDEV('The List'!AD2:AD665)</f>
        <v>0.796202369853494</v>
      </c>
      <c r="R192" s="77">
        <f>(VLOOKUP($A192,'The List'!$B1:$AH665,30,FALSE)-AVERAGE('The List'!AE2:AE665))/STDEV('The List'!AE2:AE665)</f>
        <v>-0.074755510348837</v>
      </c>
      <c r="S192" s="77">
        <f>(VLOOKUP($A192,'The List'!$B1:$AH665,31,FALSE)-AVERAGE('The List'!AF2:AF665))/STDEV('The List'!AF2:AF665)</f>
        <v>-0.573894410680004</v>
      </c>
      <c r="T192" s="77">
        <f>(VLOOKUP($A192,'The List'!$B1:$AH665,32,FALSE)-AVERAGE('The List'!AG2:AG665))/STDEV('The List'!AG2:AG665)</f>
        <v>-0.625770787132651</v>
      </c>
      <c r="U192" s="77">
        <f>(VLOOKUP($A192,'The List'!$B1:$AH665,33,FALSE)-AVERAGE('The List'!AH2:AH665))/STDEV('The List'!AH2:AH665)</f>
        <v>-1.23143509451486</v>
      </c>
      <c r="V192" s="77"/>
      <c r="W192" s="89"/>
      <c r="X192" s="79"/>
      <c r="Y192" s="79"/>
      <c r="Z192" s="79"/>
      <c r="AA192" s="79"/>
      <c r="AB192" s="79"/>
      <c r="AC192" s="82"/>
      <c r="AD192" s="83"/>
      <c r="AE192" s="84"/>
    </row>
    <row r="193" ht="21.25" customHeight="1">
      <c r="A193" t="s" s="10">
        <v>380</v>
      </c>
      <c r="B193" t="s" s="86">
        <f>VLOOKUP(A193,'Player Data'!A1:B667,2,FALSE)</f>
        <v>871</v>
      </c>
      <c r="C193" s="74">
        <f>((E193)*'Settings'!$C$12)+(F193*'Settings'!$C$2)+(G193*'Settings'!$C$3)+(H193*'Settings'!$C$4)+(I193*'Settings'!$C$5)+(K193*'Settings'!$C$9)+(N193*'Settings'!$C$6)+(J193*'Settings'!$C$8)+(O193*'Settings'!$C$7)+(P193*'Settings'!$C$14)+(Q193*'Settings'!$C$15)+(R193*'Settings'!$C$16)+(S193*'Settings'!$C$17)+(T193*'Settings'!$C$18)+(U193*'Settings'!$C$19)+(L193*'Settings'!$C$10)+('Settings'!$C$11*M193)</f>
        <v>2.88284911531604</v>
      </c>
      <c r="D193" s="79">
        <f>IF('Settings'!$E$12="YES",VLOOKUP(A193,'Player Data'!A1:E667,5,FALSE),82)</f>
        <v>80.155</v>
      </c>
      <c r="E193" s="77">
        <f>(VLOOKUP($A193,'The List'!$B1:$AH665,17,FALSE)-AVERAGE('The List'!R2:R665))/STDEV('The List'!R2:R665)</f>
        <v>1.55749553085723</v>
      </c>
      <c r="F193" s="77">
        <f>(VLOOKUP($A193,'The List'!$B1:$AH665,18,FALSE)-AVERAGE('The List'!S2:S665))/STDEV('The List'!S2:S665)</f>
        <v>-0.428316344107674</v>
      </c>
      <c r="G193" s="77">
        <f>(VLOOKUP($A193,'The List'!$B1:$AH665,19,FALSE)-AVERAGE('The List'!T2:T665))/STDEV('The List'!T2:T665)</f>
        <v>0.909433568707108</v>
      </c>
      <c r="H193" s="77">
        <f>(VLOOKUP($A193,'The List'!$B1:$AH665,20,FALSE)-AVERAGE('The List'!U2:U665))/STDEV('The List'!U2:U665)</f>
        <v>0.37011924399449</v>
      </c>
      <c r="I193" s="77">
        <f>(VLOOKUP($A193,'The List'!$B1:$AH665,21,FALSE)-AVERAGE('The List'!V2:V665))/STDEV('The List'!V2:V665)</f>
        <v>0.259507618224713</v>
      </c>
      <c r="J193" s="77">
        <f>(VLOOKUP($A193,'The List'!$B1:$AH665,22,FALSE)-AVERAGE('The List'!W2:W665))/STDEV('The List'!W2:W665)</f>
        <v>-0.627083793806384</v>
      </c>
      <c r="K193" s="77">
        <f>(VLOOKUP($A193,'The List'!$B1:$AH665,23,FALSE)-AVERAGE('The List'!X2:X665))/STDEV('The List'!X2:X665)</f>
        <v>-0.424936903061991</v>
      </c>
      <c r="L193" s="77">
        <f>(VLOOKUP($A193,'The List'!$B1:$AH665,24,FALSE)-AVERAGE('The List'!Y2:Y665))/STDEV('The List'!Y2:Y665)</f>
        <v>-0.535110401331567</v>
      </c>
      <c r="M193" s="77">
        <f>(VLOOKUP($A193,'The List'!$B1:$AH665,25,FALSE)-AVERAGE('The List'!Z2:Z665))/STDEV('The List'!Z2:Z665)</f>
        <v>-0.189367451352945</v>
      </c>
      <c r="N193" s="77">
        <f>(VLOOKUP($A193,'The List'!$B1:$AH665,26,FALSE)-AVERAGE('The List'!AA2:AA665))/STDEV('The List'!AA2:AA665)</f>
        <v>1.16346409526734</v>
      </c>
      <c r="O193" s="77">
        <f>(VLOOKUP($A193,'The List'!$B1:$AH665,27,FALSE)-AVERAGE('The List'!AB2:AB665))/STDEV('The List'!AB2:AB665)</f>
        <v>-0.269292206876488</v>
      </c>
      <c r="P193" s="77">
        <f>(VLOOKUP($A193,'The List'!$B1:$AH665,28,FALSE)-AVERAGE('The List'!AC2:AC665))/STDEV('The List'!AC2:AC665)</f>
        <v>1.40369708028654</v>
      </c>
      <c r="Q193" s="77">
        <f>(VLOOKUP($A193,'The List'!$B1:$AH665,29,FALSE)-AVERAGE('The List'!AD2:AD665))/STDEV('The List'!AD2:AD665)</f>
        <v>-0.6436931845473099</v>
      </c>
      <c r="R193" s="77">
        <f>(VLOOKUP($A193,'The List'!$B1:$AH665,30,FALSE)-AVERAGE('The List'!AE2:AE665))/STDEV('The List'!AE2:AE665)</f>
        <v>-0.406947611095542</v>
      </c>
      <c r="S193" s="77">
        <f>(VLOOKUP($A193,'The List'!$B1:$AH665,31,FALSE)-AVERAGE('The List'!AF2:AF665))/STDEV('The List'!AF2:AF665)</f>
        <v>-0.573894410680004</v>
      </c>
      <c r="T193" s="77">
        <f>(VLOOKUP($A193,'The List'!$B1:$AH665,32,FALSE)-AVERAGE('The List'!AG2:AG665))/STDEV('The List'!AG2:AG665)</f>
        <v>-0.625770787132651</v>
      </c>
      <c r="U193" s="77">
        <f>(VLOOKUP($A193,'The List'!$B1:$AH665,33,FALSE)-AVERAGE('The List'!AH2:AH665))/STDEV('The List'!AH2:AH665)</f>
        <v>-1.23143509451486</v>
      </c>
      <c r="V193" s="77"/>
      <c r="W193" s="89"/>
      <c r="X193" s="79"/>
      <c r="Y193" s="79"/>
      <c r="Z193" s="79"/>
      <c r="AA193" s="79"/>
      <c r="AB193" s="79"/>
      <c r="AC193" s="82"/>
      <c r="AD193" s="83"/>
      <c r="AE193" s="84"/>
    </row>
    <row r="194" ht="21.25" customHeight="1">
      <c r="A194" t="s" s="10">
        <v>301</v>
      </c>
      <c r="B194" t="s" s="86">
        <f>VLOOKUP(A194,'Player Data'!A1:B667,2,FALSE)</f>
        <v>912</v>
      </c>
      <c r="C194" s="74">
        <f>((E194)*'Settings'!$C$12)+(F194*'Settings'!$C$2)+(G194*'Settings'!$C$3)+(H194*'Settings'!$C$4)+(I194*'Settings'!$C$5)+(K194*'Settings'!$C$9)+(N194*'Settings'!$C$6)+(J194*'Settings'!$C$8)+(O194*'Settings'!$C$7)+(P194*'Settings'!$C$14)+(Q194*'Settings'!$C$15)+(R194*'Settings'!$C$16)+(S194*'Settings'!$C$17)+(T194*'Settings'!$C$18)+(U194*'Settings'!$C$19)+(L194*'Settings'!$C$10)+('Settings'!$C$11*M194)</f>
        <v>0.525014549771521</v>
      </c>
      <c r="D194" s="79">
        <f>IF('Settings'!$E$12="YES",VLOOKUP(A194,'Player Data'!A1:E667,5,FALSE),82)</f>
        <v>80.7925</v>
      </c>
      <c r="E194" s="77">
        <f>(VLOOKUP($A194,'The List'!$B1:$AH665,17,FALSE)-AVERAGE('The List'!R2:R665))/STDEV('The List'!R2:R665)</f>
        <v>-0.0480540115417023</v>
      </c>
      <c r="F194" s="77">
        <f>(VLOOKUP($A194,'The List'!$B1:$AH665,18,FALSE)-AVERAGE('The List'!S2:S665))/STDEV('The List'!S2:S665)</f>
        <v>1.191806689808</v>
      </c>
      <c r="G194" s="77">
        <f>(VLOOKUP($A194,'The List'!$B1:$AH665,19,FALSE)-AVERAGE('The List'!T2:T665))/STDEV('The List'!T2:T665)</f>
        <v>-0.257110345553668</v>
      </c>
      <c r="H194" s="77">
        <f>(VLOOKUP($A194,'The List'!$B1:$AH665,20,FALSE)-AVERAGE('The List'!U2:U665))/STDEV('The List'!U2:U665)</f>
        <v>0.38205281021844</v>
      </c>
      <c r="I194" s="77">
        <f>(VLOOKUP($A194,'The List'!$B1:$AH665,21,FALSE)-AVERAGE('The List'!V2:V665))/STDEV('The List'!V2:V665)</f>
        <v>1.48977436786629</v>
      </c>
      <c r="J194" s="77">
        <f>(VLOOKUP($A194,'The List'!$B1:$AH665,22,FALSE)-AVERAGE('The List'!W2:W665))/STDEV('The List'!W2:W665)</f>
        <v>1.0467324517173</v>
      </c>
      <c r="K194" s="77">
        <f>(VLOOKUP($A194,'The List'!$B1:$AH665,23,FALSE)-AVERAGE('The List'!X2:X665))/STDEV('The List'!X2:X665)</f>
        <v>0.302633057832261</v>
      </c>
      <c r="L194" s="77">
        <f>(VLOOKUP($A194,'The List'!$B1:$AH665,24,FALSE)-AVERAGE('The List'!Y2:Y665))/STDEV('The List'!Y2:Y665)</f>
        <v>1.88748234340986</v>
      </c>
      <c r="M194" s="77">
        <f>(VLOOKUP($A194,'The List'!$B1:$AH665,25,FALSE)-AVERAGE('The List'!Z2:Z665))/STDEV('The List'!Z2:Z665)</f>
        <v>1.55036379779986</v>
      </c>
      <c r="N194" s="77">
        <f>(VLOOKUP($A194,'The List'!$B1:$AH665,26,FALSE)-AVERAGE('The List'!AA2:AA665))/STDEV('The List'!AA2:AA665)</f>
        <v>0.0696310939663683</v>
      </c>
      <c r="O194" s="77">
        <f>(VLOOKUP($A194,'The List'!$B1:$AH665,27,FALSE)-AVERAGE('The List'!AB2:AB665))/STDEV('The List'!AB2:AB665)</f>
        <v>0.609410203955289</v>
      </c>
      <c r="P194" s="77">
        <f>(VLOOKUP($A194,'The List'!$B1:$AH665,28,FALSE)-AVERAGE('The List'!AC2:AC665))/STDEV('The List'!AC2:AC665)</f>
        <v>-2.27172031414773</v>
      </c>
      <c r="Q194" s="77">
        <f>(VLOOKUP($A194,'The List'!$B1:$AH665,29,FALSE)-AVERAGE('The List'!AD2:AD665))/STDEV('The List'!AD2:AD665)</f>
        <v>1.41705031685426</v>
      </c>
      <c r="R194" s="77">
        <f>(VLOOKUP($A194,'The List'!$B1:$AH665,30,FALSE)-AVERAGE('The List'!AE2:AE665))/STDEV('The List'!AE2:AE665)</f>
        <v>0.614307026696605</v>
      </c>
      <c r="S194" s="77">
        <f>(VLOOKUP($A194,'The List'!$B1:$AH665,31,FALSE)-AVERAGE('The List'!AF2:AF665))/STDEV('The List'!AF2:AF665)</f>
        <v>-0.528531795019868</v>
      </c>
      <c r="T194" s="77">
        <f>(VLOOKUP($A194,'The List'!$B1:$AH665,32,FALSE)-AVERAGE('The List'!AG2:AG665))/STDEV('The List'!AG2:AG665)</f>
        <v>-0.549154080895229</v>
      </c>
      <c r="U194" s="77">
        <f>(VLOOKUP($A194,'The List'!$B1:$AH665,33,FALSE)-AVERAGE('The List'!AH2:AH665))/STDEV('The List'!AH2:AH665)</f>
        <v>0.520186812957612</v>
      </c>
      <c r="V194" s="77"/>
      <c r="W194" s="89"/>
      <c r="X194" s="79"/>
      <c r="Y194" s="79"/>
      <c r="Z194" s="79"/>
      <c r="AA194" s="79"/>
      <c r="AB194" s="79"/>
      <c r="AC194" s="82"/>
      <c r="AD194" s="83"/>
      <c r="AE194" s="84"/>
    </row>
    <row r="195" ht="21.25" customHeight="1">
      <c r="A195" t="s" s="10">
        <v>268</v>
      </c>
      <c r="B195" t="s" s="86">
        <f>VLOOKUP(A195,'Player Data'!A1:B667,2,FALSE)</f>
        <v>259</v>
      </c>
      <c r="C195" s="74">
        <f>((E195)*'Settings'!$C$12)+(F195*'Settings'!$C$2)+(G195*'Settings'!$C$3)+(H195*'Settings'!$C$4)+(I195*'Settings'!$C$5)+(K195*'Settings'!$C$9)+(N195*'Settings'!$C$6)+(J195*'Settings'!$C$8)+(O195*'Settings'!$C$7)+(P195*'Settings'!$C$14)+(Q195*'Settings'!$C$15)+(R195*'Settings'!$C$16)+(S195*'Settings'!$C$17)+(T195*'Settings'!$C$18)+(U195*'Settings'!$C$19)+(L195*'Settings'!$C$10)+('Settings'!$C$11*M195)</f>
        <v>2.67792718676378</v>
      </c>
      <c r="D195" s="79">
        <f>IF('Settings'!$E$12="YES",VLOOKUP(A195,'Player Data'!A1:E667,5,FALSE),82)</f>
        <v>79.155</v>
      </c>
      <c r="E195" s="77">
        <f>(VLOOKUP($A195,'The List'!$B1:$AH665,17,FALSE)-AVERAGE('The List'!R2:R665))/STDEV('The List'!R2:R665)</f>
        <v>2.14798241395541</v>
      </c>
      <c r="F195" s="77">
        <f>(VLOOKUP($A195,'The List'!$B1:$AH665,18,FALSE)-AVERAGE('The List'!S2:S665))/STDEV('The List'!S2:S665)</f>
        <v>-0.468370898384431</v>
      </c>
      <c r="G195" s="77">
        <f>(VLOOKUP($A195,'The List'!$B1:$AH665,19,FALSE)-AVERAGE('The List'!T2:T665))/STDEV('The List'!T2:T665)</f>
        <v>0.864978845919039</v>
      </c>
      <c r="H195" s="77">
        <f>(VLOOKUP($A195,'The List'!$B1:$AH665,20,FALSE)-AVERAGE('The List'!U2:U665))/STDEV('The List'!U2:U665)</f>
        <v>0.324303662673299</v>
      </c>
      <c r="I195" s="77">
        <f>(VLOOKUP($A195,'The List'!$B1:$AH665,21,FALSE)-AVERAGE('The List'!V2:V665))/STDEV('The List'!V2:V665)</f>
        <v>0.5112759882962959</v>
      </c>
      <c r="J195" s="77">
        <f>(VLOOKUP($A195,'The List'!$B1:$AH665,22,FALSE)-AVERAGE('The List'!W2:W665))/STDEV('The List'!W2:W665)</f>
        <v>-0.370798009909415</v>
      </c>
      <c r="K195" s="77">
        <f>(VLOOKUP($A195,'The List'!$B1:$AH665,23,FALSE)-AVERAGE('The List'!X2:X665))/STDEV('The List'!X2:X665)</f>
        <v>0.06328333485693249</v>
      </c>
      <c r="L195" s="77">
        <f>(VLOOKUP($A195,'The List'!$B1:$AH665,24,FALSE)-AVERAGE('The List'!Y2:Y665))/STDEV('The List'!Y2:Y665)</f>
        <v>0.0320439057797913</v>
      </c>
      <c r="M195" s="77">
        <f>(VLOOKUP($A195,'The List'!$B1:$AH665,25,FALSE)-AVERAGE('The List'!Z2:Z665))/STDEV('The List'!Z2:Z665)</f>
        <v>-0.236310673605933</v>
      </c>
      <c r="N195" s="77">
        <f>(VLOOKUP($A195,'The List'!$B1:$AH665,26,FALSE)-AVERAGE('The List'!AA2:AA665))/STDEV('The List'!AA2:AA665)</f>
        <v>1.70426833403692</v>
      </c>
      <c r="O195" s="77">
        <f>(VLOOKUP($A195,'The List'!$B1:$AH665,27,FALSE)-AVERAGE('The List'!AB2:AB665))/STDEV('The List'!AB2:AB665)</f>
        <v>1.00926106053337</v>
      </c>
      <c r="P195" s="77">
        <f>(VLOOKUP($A195,'The List'!$B1:$AH665,28,FALSE)-AVERAGE('The List'!AC2:AC665))/STDEV('The List'!AC2:AC665)</f>
        <v>0.00249158203902747</v>
      </c>
      <c r="Q195" s="77">
        <f>(VLOOKUP($A195,'The List'!$B1:$AH665,29,FALSE)-AVERAGE('The List'!AD2:AD665))/STDEV('The List'!AD2:AD665)</f>
        <v>1.01288882708715</v>
      </c>
      <c r="R195" s="77">
        <f>(VLOOKUP($A195,'The List'!$B1:$AH665,30,FALSE)-AVERAGE('The List'!AE2:AE665))/STDEV('The List'!AE2:AE665)</f>
        <v>-0.451844745435409</v>
      </c>
      <c r="S195" s="77">
        <f>(VLOOKUP($A195,'The List'!$B1:$AH665,31,FALSE)-AVERAGE('The List'!AF2:AF665))/STDEV('The List'!AF2:AF665)</f>
        <v>-0.573894410680004</v>
      </c>
      <c r="T195" s="77">
        <f>(VLOOKUP($A195,'The List'!$B1:$AH665,32,FALSE)-AVERAGE('The List'!AG2:AG665))/STDEV('The List'!AG2:AG665)</f>
        <v>-0.625770648573464</v>
      </c>
      <c r="U195" s="77">
        <f>(VLOOKUP($A195,'The List'!$B1:$AH665,33,FALSE)-AVERAGE('The List'!AH2:AH665))/STDEV('The List'!AH2:AH665)</f>
        <v>-1.23143509451486</v>
      </c>
      <c r="V195" s="77"/>
      <c r="W195" s="89"/>
      <c r="X195" s="79"/>
      <c r="Y195" s="79"/>
      <c r="Z195" s="79"/>
      <c r="AA195" s="79"/>
      <c r="AB195" s="79"/>
      <c r="AC195" s="82"/>
      <c r="AD195" s="83"/>
      <c r="AE195" s="84"/>
    </row>
    <row r="196" ht="21.25" customHeight="1">
      <c r="A196" t="s" s="10">
        <v>677</v>
      </c>
      <c r="B196" t="s" s="86">
        <f>VLOOKUP(A196,'Player Data'!A1:B667,2,FALSE)</f>
        <v>903</v>
      </c>
      <c r="C196" s="74">
        <f>((E196)*'Settings'!$C$12)+(F196*'Settings'!$C$2)+(G196*'Settings'!$C$3)+(H196*'Settings'!$C$4)+(I196*'Settings'!$C$5)+(K196*'Settings'!$C$9)+(N196*'Settings'!$C$6)+(J196*'Settings'!$C$8)+(O196*'Settings'!$C$7)+(P196*'Settings'!$C$14)+(Q196*'Settings'!$C$15)+(R196*'Settings'!$C$16)+(S196*'Settings'!$C$17)+(T196*'Settings'!$C$18)+(U196*'Settings'!$C$19)+(L196*'Settings'!$C$10)+('Settings'!$C$11*M196)</f>
        <v>-0.558016710194123</v>
      </c>
      <c r="D196" s="79">
        <f>IF('Settings'!$E$12="YES",VLOOKUP(A196,'Player Data'!A1:E667,5,FALSE),82)</f>
        <v>64.63</v>
      </c>
      <c r="E196" s="77">
        <f>(VLOOKUP($A196,'The List'!$B1:$AH665,17,FALSE)-AVERAGE('The List'!R2:R665))/STDEV('The List'!R2:R665)</f>
        <v>-0.623754542070477</v>
      </c>
      <c r="F196" s="77">
        <f>(VLOOKUP($A196,'The List'!$B1:$AH665,18,FALSE)-AVERAGE('The List'!S2:S665))/STDEV('The List'!S2:S665)</f>
        <v>0.581209596868007</v>
      </c>
      <c r="G196" s="77">
        <f>(VLOOKUP($A196,'The List'!$B1:$AH665,19,FALSE)-AVERAGE('The List'!T2:T665))/STDEV('The List'!T2:T665)</f>
        <v>-0.489561687713474</v>
      </c>
      <c r="H196" s="77">
        <f>(VLOOKUP($A196,'The List'!$B1:$AH665,20,FALSE)-AVERAGE('The List'!U2:U665))/STDEV('The List'!U2:U665)</f>
        <v>-0.0398579463141918</v>
      </c>
      <c r="I196" s="77">
        <f>(VLOOKUP($A196,'The List'!$B1:$AH665,21,FALSE)-AVERAGE('The List'!V2:V665))/STDEV('The List'!V2:V665)</f>
        <v>0.086068587479636</v>
      </c>
      <c r="J196" s="77">
        <f>(VLOOKUP($A196,'The List'!$B1:$AH665,22,FALSE)-AVERAGE('The List'!W2:W665))/STDEV('The List'!W2:W665)</f>
        <v>-0.571213644936826</v>
      </c>
      <c r="K196" s="77">
        <f>(VLOOKUP($A196,'The List'!$B1:$AH665,23,FALSE)-AVERAGE('The List'!X2:X665))/STDEV('The List'!X2:X665)</f>
        <v>-0.674183101708137</v>
      </c>
      <c r="L196" s="77">
        <f>(VLOOKUP($A196,'The List'!$B1:$AH665,24,FALSE)-AVERAGE('The List'!Y2:Y665))/STDEV('The List'!Y2:Y665)</f>
        <v>-0.57555203799963</v>
      </c>
      <c r="M196" s="77">
        <f>(VLOOKUP($A196,'The List'!$B1:$AH665,25,FALSE)-AVERAGE('The List'!Z2:Z665))/STDEV('The List'!Z2:Z665)</f>
        <v>-0.749288280637085</v>
      </c>
      <c r="N196" s="77">
        <f>(VLOOKUP($A196,'The List'!$B1:$AH665,26,FALSE)-AVERAGE('The List'!AA2:AA665))/STDEV('The List'!AA2:AA665)</f>
        <v>-0.724644747719608</v>
      </c>
      <c r="O196" s="77">
        <f>(VLOOKUP($A196,'The List'!$B1:$AH665,27,FALSE)-AVERAGE('The List'!AB2:AB665))/STDEV('The List'!AB2:AB665)</f>
        <v>-1.18435427568184</v>
      </c>
      <c r="P196" s="77">
        <f>(VLOOKUP($A196,'The List'!$B1:$AH665,28,FALSE)-AVERAGE('The List'!AC2:AC665))/STDEV('The List'!AC2:AC665)</f>
        <v>0.6630946425994531</v>
      </c>
      <c r="Q196" s="77">
        <f>(VLOOKUP($A196,'The List'!$B1:$AH665,29,FALSE)-AVERAGE('The List'!AD2:AD665))/STDEV('The List'!AD2:AD665)</f>
        <v>-0.751599841745912</v>
      </c>
      <c r="R196" s="77">
        <f>(VLOOKUP($A196,'The List'!$B1:$AH665,30,FALSE)-AVERAGE('The List'!AE2:AE665))/STDEV('The List'!AE2:AE665)</f>
        <v>0.594273903081699</v>
      </c>
      <c r="S196" s="77">
        <f>(VLOOKUP($A196,'The List'!$B1:$AH665,31,FALSE)-AVERAGE('The List'!AF2:AF665))/STDEV('The List'!AF2:AF665)</f>
        <v>-0.563486148143531</v>
      </c>
      <c r="T196" s="77">
        <f>(VLOOKUP($A196,'The List'!$B1:$AH665,32,FALSE)-AVERAGE('The List'!AG2:AG665))/STDEV('The List'!AG2:AG665)</f>
        <v>-0.606889999263466</v>
      </c>
      <c r="U196" s="77">
        <f>(VLOOKUP($A196,'The List'!$B1:$AH665,33,FALSE)-AVERAGE('The List'!AH2:AH665))/STDEV('The List'!AH2:AH665)</f>
        <v>0.444078078643908</v>
      </c>
      <c r="V196" s="77"/>
      <c r="W196" s="79"/>
      <c r="X196" s="77"/>
      <c r="Y196" s="77"/>
      <c r="Z196" s="77"/>
      <c r="AA196" s="77"/>
      <c r="AB196" s="77"/>
      <c r="AC196" s="77"/>
      <c r="AD196" s="77"/>
      <c r="AE196" s="84"/>
    </row>
    <row r="197" ht="21.25" customHeight="1">
      <c r="A197" t="s" s="10">
        <v>542</v>
      </c>
      <c r="B197" t="s" s="86">
        <f>VLOOKUP(A197,'Player Data'!A1:B667,2,FALSE)</f>
        <v>900</v>
      </c>
      <c r="C197" s="74">
        <f>((E197)*'Settings'!$C$12)+(F197*'Settings'!$C$2)+(G197*'Settings'!$C$3)+(H197*'Settings'!$C$4)+(I197*'Settings'!$C$5)+(K197*'Settings'!$C$9)+(N197*'Settings'!$C$6)+(J197*'Settings'!$C$8)+(O197*'Settings'!$C$7)+(P197*'Settings'!$C$14)+(Q197*'Settings'!$C$15)+(R197*'Settings'!$C$16)+(S197*'Settings'!$C$17)+(T197*'Settings'!$C$18)+(U197*'Settings'!$C$19)+(L197*'Settings'!$C$10)+('Settings'!$C$11*M197)</f>
        <v>2.03986990062237</v>
      </c>
      <c r="D197" s="79">
        <f>IF('Settings'!$E$12="YES",VLOOKUP(A197,'Player Data'!A1:E667,5,FALSE),82)</f>
        <v>80.68000000000001</v>
      </c>
      <c r="E197" s="77">
        <f>(VLOOKUP($A197,'The List'!$B1:$AH665,17,FALSE)-AVERAGE('The List'!R2:R665))/STDEV('The List'!R2:R665)</f>
        <v>1.0355644223957</v>
      </c>
      <c r="F197" s="77">
        <f>(VLOOKUP($A197,'The List'!$B1:$AH665,18,FALSE)-AVERAGE('The List'!S2:S665))/STDEV('The List'!S2:S665)</f>
        <v>-0.440487348178393</v>
      </c>
      <c r="G197" s="77">
        <f>(VLOOKUP($A197,'The List'!$B1:$AH665,19,FALSE)-AVERAGE('The List'!T2:T665))/STDEV('The List'!T2:T665)</f>
        <v>0.8805637469350061</v>
      </c>
      <c r="H197" s="77">
        <f>(VLOOKUP($A197,'The List'!$B1:$AH665,20,FALSE)-AVERAGE('The List'!U2:U665))/STDEV('The List'!U2:U665)</f>
        <v>0.346657161493979</v>
      </c>
      <c r="I197" s="77">
        <f>(VLOOKUP($A197,'The List'!$B1:$AH665,21,FALSE)-AVERAGE('The List'!V2:V665))/STDEV('The List'!V2:V665)</f>
        <v>-0.111801929118881</v>
      </c>
      <c r="J197" s="77">
        <f>(VLOOKUP($A197,'The List'!$B1:$AH665,22,FALSE)-AVERAGE('The List'!W2:W665))/STDEV('The List'!W2:W665)</f>
        <v>0.125468934018128</v>
      </c>
      <c r="K197" s="77">
        <f>(VLOOKUP($A197,'The List'!$B1:$AH665,23,FALSE)-AVERAGE('The List'!X2:X665))/STDEV('The List'!X2:X665)</f>
        <v>1.1468649763304</v>
      </c>
      <c r="L197" s="77">
        <f>(VLOOKUP($A197,'The List'!$B1:$AH665,24,FALSE)-AVERAGE('The List'!Y2:Y665))/STDEV('The List'!Y2:Y665)</f>
        <v>-0.568963938424569</v>
      </c>
      <c r="M197" s="77">
        <f>(VLOOKUP($A197,'The List'!$B1:$AH665,25,FALSE)-AVERAGE('The List'!Z2:Z665))/STDEV('The List'!Z2:Z665)</f>
        <v>-0.720952224273852</v>
      </c>
      <c r="N197" s="77">
        <f>(VLOOKUP($A197,'The List'!$B1:$AH665,26,FALSE)-AVERAGE('The List'!AA2:AA665))/STDEV('The List'!AA2:AA665)</f>
        <v>0.125776247301087</v>
      </c>
      <c r="O197" s="77">
        <f>(VLOOKUP($A197,'The List'!$B1:$AH665,27,FALSE)-AVERAGE('The List'!AB2:AB665))/STDEV('The List'!AB2:AB665)</f>
        <v>-1.01678820243633</v>
      </c>
      <c r="P197" s="77">
        <f>(VLOOKUP($A197,'The List'!$B1:$AH665,28,FALSE)-AVERAGE('The List'!AC2:AC665))/STDEV('The List'!AC2:AC665)</f>
        <v>0.438954207353151</v>
      </c>
      <c r="Q197" s="77">
        <f>(VLOOKUP($A197,'The List'!$B1:$AH665,29,FALSE)-AVERAGE('The List'!AD2:AD665))/STDEV('The List'!AD2:AD665)</f>
        <v>-0.06396671538325339</v>
      </c>
      <c r="R197" s="77">
        <f>(VLOOKUP($A197,'The List'!$B1:$AH665,30,FALSE)-AVERAGE('The List'!AE2:AE665))/STDEV('The List'!AE2:AE665)</f>
        <v>-0.410219289600233</v>
      </c>
      <c r="S197" s="77">
        <f>(VLOOKUP($A197,'The List'!$B1:$AH665,31,FALSE)-AVERAGE('The List'!AF2:AF665))/STDEV('The List'!AF2:AF665)</f>
        <v>-0.573894410680004</v>
      </c>
      <c r="T197" s="77">
        <f>(VLOOKUP($A197,'The List'!$B1:$AH665,32,FALSE)-AVERAGE('The List'!AG2:AG665))/STDEV('The List'!AG2:AG665)</f>
        <v>-0.625770787132651</v>
      </c>
      <c r="U197" s="77">
        <f>(VLOOKUP($A197,'The List'!$B1:$AH665,33,FALSE)-AVERAGE('The List'!AH2:AH665))/STDEV('The List'!AH2:AH665)</f>
        <v>-1.23143509451486</v>
      </c>
      <c r="V197" s="77"/>
      <c r="W197" s="79"/>
      <c r="X197" s="77"/>
      <c r="Y197" s="77"/>
      <c r="Z197" s="77"/>
      <c r="AA197" s="77"/>
      <c r="AB197" s="77"/>
      <c r="AC197" s="77"/>
      <c r="AD197" s="77"/>
      <c r="AE197" s="84"/>
    </row>
    <row r="198" ht="21.25" customHeight="1">
      <c r="A198" t="s" s="10">
        <v>477</v>
      </c>
      <c r="B198" t="s" s="86">
        <f>VLOOKUP(A198,'Player Data'!A1:B667,2,FALSE)</f>
        <v>904</v>
      </c>
      <c r="C198" s="74">
        <f>((E198)*'Settings'!$C$12)+(F198*'Settings'!$C$2)+(G198*'Settings'!$C$3)+(H198*'Settings'!$C$4)+(I198*'Settings'!$C$5)+(K198*'Settings'!$C$9)+(N198*'Settings'!$C$6)+(J198*'Settings'!$C$8)+(O198*'Settings'!$C$7)+(P198*'Settings'!$C$14)+(Q198*'Settings'!$C$15)+(R198*'Settings'!$C$16)+(S198*'Settings'!$C$17)+(T198*'Settings'!$C$18)+(U198*'Settings'!$C$19)+(L198*'Settings'!$C$10)+('Settings'!$C$11*M198)</f>
        <v>-0.387548701015902</v>
      </c>
      <c r="D198" s="79">
        <f>IF('Settings'!$E$12="YES",VLOOKUP(A198,'Player Data'!A1:E667,5,FALSE),82)</f>
        <v>67.59999999999999</v>
      </c>
      <c r="E198" s="77">
        <f>(VLOOKUP($A198,'The List'!$B1:$AH665,17,FALSE)-AVERAGE('The List'!R2:R665))/STDEV('The List'!R2:R665)</f>
        <v>-0.0288777924586129</v>
      </c>
      <c r="F198" s="77">
        <f>(VLOOKUP($A198,'The List'!$B1:$AH665,18,FALSE)-AVERAGE('The List'!S2:S665))/STDEV('The List'!S2:S665)</f>
        <v>0.6272427395737</v>
      </c>
      <c r="G198" s="77">
        <f>(VLOOKUP($A198,'The List'!$B1:$AH665,19,FALSE)-AVERAGE('The List'!T2:T665))/STDEV('The List'!T2:T665)</f>
        <v>-0.439743687391958</v>
      </c>
      <c r="H198" s="77">
        <f>(VLOOKUP($A198,'The List'!$B1:$AH665,20,FALSE)-AVERAGE('The List'!U2:U665))/STDEV('The List'!U2:U665)</f>
        <v>0.0120060845483248</v>
      </c>
      <c r="I198" s="77">
        <f>(VLOOKUP($A198,'The List'!$B1:$AH665,21,FALSE)-AVERAGE('The List'!V2:V665))/STDEV('The List'!V2:V665)</f>
        <v>0.163533451531318</v>
      </c>
      <c r="J198" s="77">
        <f>(VLOOKUP($A198,'The List'!$B1:$AH665,22,FALSE)-AVERAGE('The List'!W2:W665))/STDEV('The List'!W2:W665)</f>
        <v>0.928026696766454</v>
      </c>
      <c r="K198" s="77">
        <f>(VLOOKUP($A198,'The List'!$B1:$AH665,23,FALSE)-AVERAGE('The List'!X2:X665))/STDEV('The List'!X2:X665)</f>
        <v>0.426503642276309</v>
      </c>
      <c r="L198" s="77">
        <f>(VLOOKUP($A198,'The List'!$B1:$AH665,24,FALSE)-AVERAGE('The List'!Y2:Y665))/STDEV('The List'!Y2:Y665)</f>
        <v>-0.299077175298943</v>
      </c>
      <c r="M198" s="77">
        <f>(VLOOKUP($A198,'The List'!$B1:$AH665,25,FALSE)-AVERAGE('The List'!Z2:Z665))/STDEV('The List'!Z2:Z665)</f>
        <v>0.27974689534747</v>
      </c>
      <c r="N198" s="77">
        <f>(VLOOKUP($A198,'The List'!$B1:$AH665,26,FALSE)-AVERAGE('The List'!AA2:AA665))/STDEV('The List'!AA2:AA665)</f>
        <v>-0.610376370776506</v>
      </c>
      <c r="O198" s="77">
        <f>(VLOOKUP($A198,'The List'!$B1:$AH665,27,FALSE)-AVERAGE('The List'!AB2:AB665))/STDEV('The List'!AB2:AB665)</f>
        <v>0.182035831079066</v>
      </c>
      <c r="P198" s="77">
        <f>(VLOOKUP($A198,'The List'!$B1:$AH665,28,FALSE)-AVERAGE('The List'!AC2:AC665))/STDEV('The List'!AC2:AC665)</f>
        <v>-0.554708476228765</v>
      </c>
      <c r="Q198" s="77">
        <f>(VLOOKUP($A198,'The List'!$B1:$AH665,29,FALSE)-AVERAGE('The List'!AD2:AD665))/STDEV('The List'!AD2:AD665)</f>
        <v>-0.523276759002642</v>
      </c>
      <c r="R198" s="77">
        <f>(VLOOKUP($A198,'The List'!$B1:$AH665,30,FALSE)-AVERAGE('The List'!AE2:AE665))/STDEV('The List'!AE2:AE665)</f>
        <v>0.679021240543393</v>
      </c>
      <c r="S198" s="77">
        <f>(VLOOKUP($A198,'The List'!$B1:$AH665,31,FALSE)-AVERAGE('The List'!AF2:AF665))/STDEV('The List'!AF2:AF665)</f>
        <v>1.51449877322162</v>
      </c>
      <c r="T198" s="77">
        <f>(VLOOKUP($A198,'The List'!$B1:$AH665,32,FALSE)-AVERAGE('The List'!AG2:AG665))/STDEV('The List'!AG2:AG665)</f>
        <v>1.41724971782732</v>
      </c>
      <c r="U198" s="77">
        <f>(VLOOKUP($A198,'The List'!$B1:$AH665,33,FALSE)-AVERAGE('The List'!AH2:AH665))/STDEV('The List'!AH2:AH665)</f>
        <v>1.1298557884374</v>
      </c>
      <c r="V198" s="77"/>
      <c r="W198" s="89"/>
      <c r="X198" s="79"/>
      <c r="Y198" s="79"/>
      <c r="Z198" s="79"/>
      <c r="AA198" s="79"/>
      <c r="AB198" s="79"/>
      <c r="AC198" s="82"/>
      <c r="AD198" s="83"/>
      <c r="AE198" s="84"/>
    </row>
    <row r="199" ht="21.25" customHeight="1">
      <c r="A199" t="s" s="10">
        <v>440</v>
      </c>
      <c r="B199" t="s" s="86">
        <f>VLOOKUP(A199,'Player Data'!A1:B667,2,FALSE)</f>
        <v>899</v>
      </c>
      <c r="C199" s="74">
        <f>((E199)*'Settings'!$C$12)+(F199*'Settings'!$C$2)+(G199*'Settings'!$C$3)+(H199*'Settings'!$C$4)+(I199*'Settings'!$C$5)+(K199*'Settings'!$C$9)+(N199*'Settings'!$C$6)+(J199*'Settings'!$C$8)+(O199*'Settings'!$C$7)+(P199*'Settings'!$C$14)+(Q199*'Settings'!$C$15)+(R199*'Settings'!$C$16)+(S199*'Settings'!$C$17)+(T199*'Settings'!$C$18)+(U199*'Settings'!$C$19)+(L199*'Settings'!$C$10)+('Settings'!$C$11*M199)</f>
        <v>0.762506540765718</v>
      </c>
      <c r="D199" s="79">
        <f>IF('Settings'!$E$12="YES",VLOOKUP(A199,'Player Data'!A1:E667,5,FALSE),82)</f>
        <v>78.2775</v>
      </c>
      <c r="E199" s="77">
        <f>(VLOOKUP($A199,'The List'!$B1:$AH665,17,FALSE)-AVERAGE('The List'!R2:R665))/STDEV('The List'!R2:R665)</f>
        <v>-0.405071541969599</v>
      </c>
      <c r="F199" s="77">
        <f>(VLOOKUP($A199,'The List'!$B1:$AH665,18,FALSE)-AVERAGE('The List'!S2:S665))/STDEV('The List'!S2:S665)</f>
        <v>0.315111656665398</v>
      </c>
      <c r="G199" s="77">
        <f>(VLOOKUP($A199,'The List'!$B1:$AH665,19,FALSE)-AVERAGE('The List'!T2:T665))/STDEV('The List'!T2:T665)</f>
        <v>0.201009636888825</v>
      </c>
      <c r="H199" s="77">
        <f>(VLOOKUP($A199,'The List'!$B1:$AH665,20,FALSE)-AVERAGE('The List'!U2:U665))/STDEV('The List'!U2:U665)</f>
        <v>0.268071513314534</v>
      </c>
      <c r="I199" s="77">
        <f>(VLOOKUP($A199,'The List'!$B1:$AH665,21,FALSE)-AVERAGE('The List'!V2:V665))/STDEV('The List'!V2:V665)</f>
        <v>0.0362797941859785</v>
      </c>
      <c r="J199" s="77">
        <f>(VLOOKUP($A199,'The List'!$B1:$AH665,22,FALSE)-AVERAGE('The List'!W2:W665))/STDEV('The List'!W2:W665)</f>
        <v>0.261289519093464</v>
      </c>
      <c r="K199" s="77">
        <f>(VLOOKUP($A199,'The List'!$B1:$AH665,23,FALSE)-AVERAGE('The List'!X2:X665))/STDEV('The List'!X2:X665)</f>
        <v>0.224794308394326</v>
      </c>
      <c r="L199" s="77">
        <f>(VLOOKUP($A199,'The List'!$B1:$AH665,24,FALSE)-AVERAGE('The List'!Y2:Y665))/STDEV('The List'!Y2:Y665)</f>
        <v>-0.559714969330629</v>
      </c>
      <c r="M199" s="77">
        <f>(VLOOKUP($A199,'The List'!$B1:$AH665,25,FALSE)-AVERAGE('The List'!Z2:Z665))/STDEV('The List'!Z2:Z665)</f>
        <v>-0.733103971842298</v>
      </c>
      <c r="N199" s="77">
        <f>(VLOOKUP($A199,'The List'!$B1:$AH665,26,FALSE)-AVERAGE('The List'!AA2:AA665))/STDEV('The List'!AA2:AA665)</f>
        <v>-0.4579647697161</v>
      </c>
      <c r="O199" s="77">
        <f>(VLOOKUP($A199,'The List'!$B1:$AH665,27,FALSE)-AVERAGE('The List'!AB2:AB665))/STDEV('The List'!AB2:AB665)</f>
        <v>0.5577243439635799</v>
      </c>
      <c r="P199" s="77">
        <f>(VLOOKUP($A199,'The List'!$B1:$AH665,28,FALSE)-AVERAGE('The List'!AC2:AC665))/STDEV('The List'!AC2:AC665)</f>
        <v>0.44327591434729</v>
      </c>
      <c r="Q199" s="77">
        <f>(VLOOKUP($A199,'The List'!$B1:$AH665,29,FALSE)-AVERAGE('The List'!AD2:AD665))/STDEV('The List'!AD2:AD665)</f>
        <v>-0.105552500362445</v>
      </c>
      <c r="R199" s="77">
        <f>(VLOOKUP($A199,'The List'!$B1:$AH665,30,FALSE)-AVERAGE('The List'!AE2:AE665))/STDEV('The List'!AE2:AE665)</f>
        <v>0.373133420455204</v>
      </c>
      <c r="S199" s="77">
        <f>(VLOOKUP($A199,'The List'!$B1:$AH665,31,FALSE)-AVERAGE('The List'!AF2:AF665))/STDEV('The List'!AF2:AF665)</f>
        <v>1.10887167543865</v>
      </c>
      <c r="T199" s="77">
        <f>(VLOOKUP($A199,'The List'!$B1:$AH665,32,FALSE)-AVERAGE('The List'!AG2:AG665))/STDEV('The List'!AG2:AG665)</f>
        <v>1.36119396901222</v>
      </c>
      <c r="U199" s="77">
        <f>(VLOOKUP($A199,'The List'!$B1:$AH665,33,FALSE)-AVERAGE('The List'!AH2:AH665))/STDEV('The List'!AH2:AH665)</f>
        <v>0.916811970441003</v>
      </c>
      <c r="V199" s="77"/>
      <c r="W199" s="79"/>
      <c r="X199" s="77"/>
      <c r="Y199" s="77"/>
      <c r="Z199" s="77"/>
      <c r="AA199" s="77"/>
      <c r="AB199" s="77"/>
      <c r="AC199" s="77"/>
      <c r="AD199" s="77"/>
      <c r="AE199" s="84"/>
    </row>
    <row r="200" ht="21.25" customHeight="1">
      <c r="A200" t="s" s="10">
        <v>471</v>
      </c>
      <c r="B200" t="s" s="86">
        <f>VLOOKUP(A200,'Player Data'!A1:B667,2,FALSE)</f>
        <v>192</v>
      </c>
      <c r="C200" s="74">
        <f>((E200)*'Settings'!$C$12)+(F200*'Settings'!$C$2)+(G200*'Settings'!$C$3)+(H200*'Settings'!$C$4)+(I200*'Settings'!$C$5)+(K200*'Settings'!$C$9)+(N200*'Settings'!$C$6)+(J200*'Settings'!$C$8)+(O200*'Settings'!$C$7)+(P200*'Settings'!$C$14)+(Q200*'Settings'!$C$15)+(R200*'Settings'!$C$16)+(S200*'Settings'!$C$17)+(T200*'Settings'!$C$18)+(U200*'Settings'!$C$19)+(L200*'Settings'!$C$10)+('Settings'!$C$11*M200)</f>
        <v>-0.141104778363635</v>
      </c>
      <c r="D200" s="79">
        <f>IF('Settings'!$E$12="YES",VLOOKUP(A200,'Player Data'!A1:E667,5,FALSE),82)</f>
        <v>80.78749999999999</v>
      </c>
      <c r="E200" s="77">
        <f>(VLOOKUP($A200,'The List'!$B1:$AH665,17,FALSE)-AVERAGE('The List'!R2:R665))/STDEV('The List'!R2:R665)</f>
        <v>-0.0194198496802875</v>
      </c>
      <c r="F200" s="77">
        <f>(VLOOKUP($A200,'The List'!$B1:$AH665,18,FALSE)-AVERAGE('The List'!S2:S665))/STDEV('The List'!S2:S665)</f>
        <v>0.5191831630935601</v>
      </c>
      <c r="G200" s="77">
        <f>(VLOOKUP($A200,'The List'!$B1:$AH665,19,FALSE)-AVERAGE('The List'!T2:T665))/STDEV('The List'!T2:T665)</f>
        <v>0.146933997593427</v>
      </c>
      <c r="H200" s="77">
        <f>(VLOOKUP($A200,'The List'!$B1:$AH665,20,FALSE)-AVERAGE('The List'!U2:U665))/STDEV('The List'!U2:U665)</f>
        <v>0.327247700709823</v>
      </c>
      <c r="I200" s="77">
        <f>(VLOOKUP($A200,'The List'!$B1:$AH665,21,FALSE)-AVERAGE('The List'!V2:V665))/STDEV('The List'!V2:V665)</f>
        <v>0.425723564779931</v>
      </c>
      <c r="J200" s="77">
        <f>(VLOOKUP($A200,'The List'!$B1:$AH665,22,FALSE)-AVERAGE('The List'!W2:W665))/STDEV('The List'!W2:W665)</f>
        <v>0.244094038922297</v>
      </c>
      <c r="K200" s="77">
        <f>(VLOOKUP($A200,'The List'!$B1:$AH665,23,FALSE)-AVERAGE('The List'!X2:X665))/STDEV('The List'!X2:X665)</f>
        <v>-0.173329582231813</v>
      </c>
      <c r="L200" s="77">
        <f>(VLOOKUP($A200,'The List'!$B1:$AH665,24,FALSE)-AVERAGE('The List'!Y2:Y665))/STDEV('The List'!Y2:Y665)</f>
        <v>0.543344534577308</v>
      </c>
      <c r="M200" s="77">
        <f>(VLOOKUP($A200,'The List'!$B1:$AH665,25,FALSE)-AVERAGE('The List'!Z2:Z665))/STDEV('The List'!Z2:Z665)</f>
        <v>0.523812587322899</v>
      </c>
      <c r="N200" s="77">
        <f>(VLOOKUP($A200,'The List'!$B1:$AH665,26,FALSE)-AVERAGE('The List'!AA2:AA665))/STDEV('The List'!AA2:AA665)</f>
        <v>-0.747096201282607</v>
      </c>
      <c r="O200" s="77">
        <f>(VLOOKUP($A200,'The List'!$B1:$AH665,27,FALSE)-AVERAGE('The List'!AB2:AB665))/STDEV('The List'!AB2:AB665)</f>
        <v>-0.0314455913184272</v>
      </c>
      <c r="P200" s="77">
        <f>(VLOOKUP($A200,'The List'!$B1:$AH665,28,FALSE)-AVERAGE('The List'!AC2:AC665))/STDEV('The List'!AC2:AC665)</f>
        <v>-0.312519720316133</v>
      </c>
      <c r="Q200" s="77">
        <f>(VLOOKUP($A200,'The List'!$B1:$AH665,29,FALSE)-AVERAGE('The List'!AD2:AD665))/STDEV('The List'!AD2:AD665)</f>
        <v>0.298312828237392</v>
      </c>
      <c r="R200" s="77">
        <f>(VLOOKUP($A200,'The List'!$B1:$AH665,30,FALSE)-AVERAGE('The List'!AE2:AE665))/STDEV('The List'!AE2:AE665)</f>
        <v>0.412559829356017</v>
      </c>
      <c r="S200" s="77">
        <f>(VLOOKUP($A200,'The List'!$B1:$AH665,31,FALSE)-AVERAGE('The List'!AF2:AF665))/STDEV('The List'!AF2:AF665)</f>
        <v>-0.536004831114794</v>
      </c>
      <c r="T200" s="77">
        <f>(VLOOKUP($A200,'The List'!$B1:$AH665,32,FALSE)-AVERAGE('The List'!AG2:AG665))/STDEV('The List'!AG2:AG665)</f>
        <v>-0.569754725355312</v>
      </c>
      <c r="U200" s="77">
        <f>(VLOOKUP($A200,'The List'!$B1:$AH665,33,FALSE)-AVERAGE('The List'!AH2:AH665))/STDEV('The List'!AH2:AH665)</f>
        <v>0.66528936576732</v>
      </c>
      <c r="V200" s="77"/>
      <c r="W200" s="89"/>
      <c r="X200" s="79"/>
      <c r="Y200" s="79"/>
      <c r="Z200" s="79"/>
      <c r="AA200" s="79"/>
      <c r="AB200" s="79"/>
      <c r="AC200" s="82"/>
      <c r="AD200" s="83"/>
      <c r="AE200" s="84"/>
    </row>
    <row r="201" ht="21.25" customHeight="1">
      <c r="A201" t="s" s="10">
        <v>539</v>
      </c>
      <c r="B201" t="s" s="86">
        <f>VLOOKUP(A201,'Player Data'!A1:B667,2,FALSE)</f>
        <v>914</v>
      </c>
      <c r="C201" s="74">
        <f>((E201)*'Settings'!$C$12)+(F201*'Settings'!$C$2)+(G201*'Settings'!$C$3)+(H201*'Settings'!$C$4)+(I201*'Settings'!$C$5)+(K201*'Settings'!$C$9)+(N201*'Settings'!$C$6)+(J201*'Settings'!$C$8)+(O201*'Settings'!$C$7)+(P201*'Settings'!$C$14)+(Q201*'Settings'!$C$15)+(R201*'Settings'!$C$16)+(S201*'Settings'!$C$17)+(T201*'Settings'!$C$18)+(U201*'Settings'!$C$19)+(L201*'Settings'!$C$10)+('Settings'!$C$11*M201)</f>
        <v>-0.730467377380878</v>
      </c>
      <c r="D201" s="79">
        <f>IF('Settings'!$E$12="YES",VLOOKUP(A201,'Player Data'!A1:E667,5,FALSE),82)</f>
        <v>75.8575</v>
      </c>
      <c r="E201" s="77">
        <f>(VLOOKUP($A201,'The List'!$B1:$AH665,17,FALSE)-AVERAGE('The List'!R2:R665))/STDEV('The List'!R2:R665)</f>
        <v>-0.241835758525588</v>
      </c>
      <c r="F201" s="77">
        <f>(VLOOKUP($A201,'The List'!$B1:$AH665,18,FALSE)-AVERAGE('The List'!S2:S665))/STDEV('The List'!S2:S665)</f>
        <v>0.985907964362334</v>
      </c>
      <c r="G201" s="77">
        <f>(VLOOKUP($A201,'The List'!$B1:$AH665,19,FALSE)-AVERAGE('The List'!T2:T665))/STDEV('The List'!T2:T665)</f>
        <v>-0.419189448117707</v>
      </c>
      <c r="H201" s="77">
        <f>(VLOOKUP($A201,'The List'!$B1:$AH665,20,FALSE)-AVERAGE('The List'!U2:U665))/STDEV('The List'!U2:U665)</f>
        <v>0.187801816256816</v>
      </c>
      <c r="I201" s="77">
        <f>(VLOOKUP($A201,'The List'!$B1:$AH665,21,FALSE)-AVERAGE('The List'!V2:V665))/STDEV('The List'!V2:V665)</f>
        <v>0.650220842476138</v>
      </c>
      <c r="J201" s="77">
        <f>(VLOOKUP($A201,'The List'!$B1:$AH665,22,FALSE)-AVERAGE('The List'!W2:W665))/STDEV('The List'!W2:W665)</f>
        <v>1.1677685639461</v>
      </c>
      <c r="K201" s="77">
        <f>(VLOOKUP($A201,'The List'!$B1:$AH665,23,FALSE)-AVERAGE('The List'!X2:X665))/STDEV('The List'!X2:X665)</f>
        <v>0.246036239060366</v>
      </c>
      <c r="L201" s="77">
        <f>(VLOOKUP($A201,'The List'!$B1:$AH665,24,FALSE)-AVERAGE('The List'!Y2:Y665))/STDEV('The List'!Y2:Y665)</f>
        <v>-0.509018973220947</v>
      </c>
      <c r="M201" s="77">
        <f>(VLOOKUP($A201,'The List'!$B1:$AH665,25,FALSE)-AVERAGE('The List'!Z2:Z665))/STDEV('The List'!Z2:Z665)</f>
        <v>-0.680881666830534</v>
      </c>
      <c r="N201" s="77">
        <f>(VLOOKUP($A201,'The List'!$B1:$AH665,26,FALSE)-AVERAGE('The List'!AA2:AA665))/STDEV('The List'!AA2:AA665)</f>
        <v>-0.592144537706489</v>
      </c>
      <c r="O201" s="77">
        <f>(VLOOKUP($A201,'The List'!$B1:$AH665,27,FALSE)-AVERAGE('The List'!AB2:AB665))/STDEV('The List'!AB2:AB665)</f>
        <v>-0.860152925769188</v>
      </c>
      <c r="P201" s="77">
        <f>(VLOOKUP($A201,'The List'!$B1:$AH665,28,FALSE)-AVERAGE('The List'!AC2:AC665))/STDEV('The List'!AC2:AC665)</f>
        <v>-1.60129843745552</v>
      </c>
      <c r="Q201" s="77">
        <f>(VLOOKUP($A201,'The List'!$B1:$AH665,29,FALSE)-AVERAGE('The List'!AD2:AD665))/STDEV('The List'!AD2:AD665)</f>
        <v>-0.938779055845124</v>
      </c>
      <c r="R201" s="77">
        <f>(VLOOKUP($A201,'The List'!$B1:$AH665,30,FALSE)-AVERAGE('The List'!AE2:AE665))/STDEV('The List'!AE2:AE665)</f>
        <v>0.371308516924389</v>
      </c>
      <c r="S201" s="77">
        <f>(VLOOKUP($A201,'The List'!$B1:$AH665,31,FALSE)-AVERAGE('The List'!AF2:AF665))/STDEV('The List'!AF2:AF665)</f>
        <v>-0.437589037692783</v>
      </c>
      <c r="T201" s="77">
        <f>(VLOOKUP($A201,'The List'!$B1:$AH665,32,FALSE)-AVERAGE('The List'!AG2:AG665))/STDEV('The List'!AG2:AG665)</f>
        <v>-0.424180816270117</v>
      </c>
      <c r="U201" s="77">
        <f>(VLOOKUP($A201,'The List'!$B1:$AH665,33,FALSE)-AVERAGE('The List'!AH2:AH665))/STDEV('The List'!AH2:AH665)</f>
        <v>0.664874955473813</v>
      </c>
      <c r="V201" s="77"/>
      <c r="W201" s="79"/>
      <c r="X201" s="77"/>
      <c r="Y201" s="77"/>
      <c r="Z201" s="77"/>
      <c r="AA201" s="77"/>
      <c r="AB201" s="77"/>
      <c r="AC201" s="77"/>
      <c r="AD201" s="77"/>
      <c r="AE201" s="84"/>
    </row>
    <row r="202" ht="21.25" customHeight="1">
      <c r="A202" t="s" s="10">
        <v>574</v>
      </c>
      <c r="B202" t="s" s="86">
        <f>VLOOKUP(A202,'Player Data'!A1:B667,2,FALSE)</f>
        <v>911</v>
      </c>
      <c r="C202" s="74">
        <f>((E202)*'Settings'!$C$12)+(F202*'Settings'!$C$2)+(G202*'Settings'!$C$3)+(H202*'Settings'!$C$4)+(I202*'Settings'!$C$5)+(K202*'Settings'!$C$9)+(N202*'Settings'!$C$6)+(J202*'Settings'!$C$8)+(O202*'Settings'!$C$7)+(P202*'Settings'!$C$14)+(Q202*'Settings'!$C$15)+(R202*'Settings'!$C$16)+(S202*'Settings'!$C$17)+(T202*'Settings'!$C$18)+(U202*'Settings'!$C$19)+(L202*'Settings'!$C$10)+('Settings'!$C$11*M202)</f>
        <v>-0.191045832354655</v>
      </c>
      <c r="D202" s="79">
        <f>IF('Settings'!$E$12="YES",VLOOKUP(A202,'Player Data'!A1:E667,5,FALSE),82)</f>
        <v>75</v>
      </c>
      <c r="E202" s="77">
        <f>(VLOOKUP($A202,'The List'!$B1:$AH665,17,FALSE)-AVERAGE('The List'!R2:R665))/STDEV('The List'!R2:R665)</f>
        <v>-0.77933670213745</v>
      </c>
      <c r="F202" s="77">
        <f>(VLOOKUP($A202,'The List'!$B1:$AH665,18,FALSE)-AVERAGE('The List'!S2:S665))/STDEV('The List'!S2:S665)</f>
        <v>0.721468625826061</v>
      </c>
      <c r="G202" s="77">
        <f>(VLOOKUP($A202,'The List'!$B1:$AH665,19,FALSE)-AVERAGE('The List'!T2:T665))/STDEV('The List'!T2:T665)</f>
        <v>-0.26112224902934</v>
      </c>
      <c r="H202" s="77">
        <f>(VLOOKUP($A202,'The List'!$B1:$AH665,20,FALSE)-AVERAGE('The List'!U2:U665))/STDEV('The List'!U2:U665)</f>
        <v>0.165770185535711</v>
      </c>
      <c r="I202" s="77">
        <f>(VLOOKUP($A202,'The List'!$B1:$AH665,21,FALSE)-AVERAGE('The List'!V2:V665))/STDEV('The List'!V2:V665)</f>
        <v>-0.143168306157415</v>
      </c>
      <c r="J202" s="77">
        <f>(VLOOKUP($A202,'The List'!$B1:$AH665,22,FALSE)-AVERAGE('The List'!W2:W665))/STDEV('The List'!W2:W665)</f>
        <v>-0.0180061766408544</v>
      </c>
      <c r="K202" s="77">
        <f>(VLOOKUP($A202,'The List'!$B1:$AH665,23,FALSE)-AVERAGE('The List'!X2:X665))/STDEV('The List'!X2:X665)</f>
        <v>0.0540291227574824</v>
      </c>
      <c r="L202" s="77">
        <f>(VLOOKUP($A202,'The List'!$B1:$AH665,24,FALSE)-AVERAGE('The List'!Y2:Y665))/STDEV('The List'!Y2:Y665)</f>
        <v>-0.572333346709137</v>
      </c>
      <c r="M202" s="77">
        <f>(VLOOKUP($A202,'The List'!$B1:$AH665,25,FALSE)-AVERAGE('The List'!Z2:Z665))/STDEV('The List'!Z2:Z665)</f>
        <v>-0.745967875610641</v>
      </c>
      <c r="N202" s="77">
        <f>(VLOOKUP($A202,'The List'!$B1:$AH665,26,FALSE)-AVERAGE('The List'!AA2:AA665))/STDEV('The List'!AA2:AA665)</f>
        <v>-0.5100473865041359</v>
      </c>
      <c r="O202" s="77">
        <f>(VLOOKUP($A202,'The List'!$B1:$AH665,27,FALSE)-AVERAGE('The List'!AB2:AB665))/STDEV('The List'!AB2:AB665)</f>
        <v>-0.727546940615676</v>
      </c>
      <c r="P202" s="77">
        <f>(VLOOKUP($A202,'The List'!$B1:$AH665,28,FALSE)-AVERAGE('The List'!AC2:AC665))/STDEV('The List'!AC2:AC665)</f>
        <v>-0.0522056392473075</v>
      </c>
      <c r="Q202" s="77">
        <f>(VLOOKUP($A202,'The List'!$B1:$AH665,29,FALSE)-AVERAGE('The List'!AD2:AD665))/STDEV('The List'!AD2:AD665)</f>
        <v>-0.58043143195768</v>
      </c>
      <c r="R202" s="77">
        <f>(VLOOKUP($A202,'The List'!$B1:$AH665,30,FALSE)-AVERAGE('The List'!AE2:AE665))/STDEV('The List'!AE2:AE665)</f>
        <v>0.727862182983696</v>
      </c>
      <c r="S202" s="77">
        <f>(VLOOKUP($A202,'The List'!$B1:$AH665,31,FALSE)-AVERAGE('The List'!AF2:AF665))/STDEV('The List'!AF2:AF665)</f>
        <v>1.03401927986979</v>
      </c>
      <c r="T202" s="77">
        <f>(VLOOKUP($A202,'The List'!$B1:$AH665,32,FALSE)-AVERAGE('The List'!AG2:AG665))/STDEV('The List'!AG2:AG665)</f>
        <v>1.52133573157079</v>
      </c>
      <c r="U202" s="77">
        <f>(VLOOKUP($A202,'The List'!$B1:$AH665,33,FALSE)-AVERAGE('The List'!AH2:AH665))/STDEV('The List'!AH2:AH665)</f>
        <v>0.77840261711845</v>
      </c>
      <c r="V202" s="77"/>
      <c r="W202" s="89"/>
      <c r="X202" s="79"/>
      <c r="Y202" s="79"/>
      <c r="Z202" s="79"/>
      <c r="AA202" s="79"/>
      <c r="AB202" s="79"/>
      <c r="AC202" s="82"/>
      <c r="AD202" s="83"/>
      <c r="AE202" s="84"/>
    </row>
    <row r="203" ht="21.25" customHeight="1">
      <c r="A203" t="s" s="10">
        <v>608</v>
      </c>
      <c r="B203" t="s" s="86">
        <f>VLOOKUP(A203,'Player Data'!A1:B667,2,FALSE)</f>
        <v>903</v>
      </c>
      <c r="C203" s="74">
        <f>((E203)*'Settings'!$C$12)+(F203*'Settings'!$C$2)+(G203*'Settings'!$C$3)+(H203*'Settings'!$C$4)+(I203*'Settings'!$C$5)+(K203*'Settings'!$C$9)+(N203*'Settings'!$C$6)+(J203*'Settings'!$C$8)+(O203*'Settings'!$C$7)+(P203*'Settings'!$C$14)+(Q203*'Settings'!$C$15)+(R203*'Settings'!$C$16)+(S203*'Settings'!$C$17)+(T203*'Settings'!$C$18)+(U203*'Settings'!$C$19)+(L203*'Settings'!$C$10)+('Settings'!$C$11*M203)</f>
        <v>-0.671905389852661</v>
      </c>
      <c r="D203" s="79">
        <f>IF('Settings'!$E$12="YES",VLOOKUP(A203,'Player Data'!A1:E667,5,FALSE),82)</f>
        <v>76.86750000000001</v>
      </c>
      <c r="E203" s="77">
        <f>(VLOOKUP($A203,'The List'!$B1:$AH665,17,FALSE)-AVERAGE('The List'!R2:R665))/STDEV('The List'!R2:R665)</f>
        <v>-0.490463449591832</v>
      </c>
      <c r="F203" s="77">
        <f>(VLOOKUP($A203,'The List'!$B1:$AH665,18,FALSE)-AVERAGE('The List'!S2:S665))/STDEV('The List'!S2:S665)</f>
        <v>0.782697679811286</v>
      </c>
      <c r="G203" s="77">
        <f>(VLOOKUP($A203,'The List'!$B1:$AH665,19,FALSE)-AVERAGE('The List'!T2:T665))/STDEV('The List'!T2:T665)</f>
        <v>-0.242298859457502</v>
      </c>
      <c r="H203" s="77">
        <f>(VLOOKUP($A203,'The List'!$B1:$AH665,20,FALSE)-AVERAGE('The List'!U2:U665))/STDEV('The List'!U2:U665)</f>
        <v>0.205292084350361</v>
      </c>
      <c r="I203" s="77">
        <f>(VLOOKUP($A203,'The List'!$B1:$AH665,21,FALSE)-AVERAGE('The List'!V2:V665))/STDEV('The List'!V2:V665)</f>
        <v>0.222575236714493</v>
      </c>
      <c r="J203" s="77">
        <f>(VLOOKUP($A203,'The List'!$B1:$AH665,22,FALSE)-AVERAGE('The List'!W2:W665))/STDEV('The List'!W2:W665)</f>
        <v>-0.303880001344882</v>
      </c>
      <c r="K203" s="77">
        <f>(VLOOKUP($A203,'The List'!$B1:$AH665,23,FALSE)-AVERAGE('The List'!X2:X665))/STDEV('The List'!X2:X665)</f>
        <v>-0.513954997114487</v>
      </c>
      <c r="L203" s="77">
        <f>(VLOOKUP($A203,'The List'!$B1:$AH665,24,FALSE)-AVERAGE('The List'!Y2:Y665))/STDEV('The List'!Y2:Y665)</f>
        <v>-0.577328115457433</v>
      </c>
      <c r="M203" s="77">
        <f>(VLOOKUP($A203,'The List'!$B1:$AH665,25,FALSE)-AVERAGE('The List'!Z2:Z665))/STDEV('The List'!Z2:Z665)</f>
        <v>-0.751107441607915</v>
      </c>
      <c r="N203" s="77">
        <f>(VLOOKUP($A203,'The List'!$B1:$AH665,26,FALSE)-AVERAGE('The List'!AA2:AA665))/STDEV('The List'!AA2:AA665)</f>
        <v>-0.960854812364904</v>
      </c>
      <c r="O203" s="77">
        <f>(VLOOKUP($A203,'The List'!$B1:$AH665,27,FALSE)-AVERAGE('The List'!AB2:AB665))/STDEV('The List'!AB2:AB665)</f>
        <v>-0.722750507597146</v>
      </c>
      <c r="P203" s="77">
        <f>(VLOOKUP($A203,'The List'!$B1:$AH665,28,FALSE)-AVERAGE('The List'!AC2:AC665))/STDEV('The List'!AC2:AC665)</f>
        <v>0.0399303625584531</v>
      </c>
      <c r="Q203" s="77">
        <f>(VLOOKUP($A203,'The List'!$B1:$AH665,29,FALSE)-AVERAGE('The List'!AD2:AD665))/STDEV('The List'!AD2:AD665)</f>
        <v>-0.662210532223976</v>
      </c>
      <c r="R203" s="77">
        <f>(VLOOKUP($A203,'The List'!$B1:$AH665,30,FALSE)-AVERAGE('The List'!AE2:AE665))/STDEV('The List'!AE2:AE665)</f>
        <v>0.790984646229883</v>
      </c>
      <c r="S203" s="77">
        <f>(VLOOKUP($A203,'The List'!$B1:$AH665,31,FALSE)-AVERAGE('The List'!AF2:AF665))/STDEV('The List'!AF2:AF665)</f>
        <v>-0.538365344090053</v>
      </c>
      <c r="T203" s="77">
        <f>(VLOOKUP($A203,'The List'!$B1:$AH665,32,FALSE)-AVERAGE('The List'!AG2:AG665))/STDEV('The List'!AG2:AG665)</f>
        <v>-0.50569422982242</v>
      </c>
      <c r="U203" s="77">
        <f>(VLOOKUP($A203,'The List'!$B1:$AH665,33,FALSE)-AVERAGE('The List'!AH2:AH665))/STDEV('The List'!AH2:AH665)</f>
        <v>-0.146307673339446</v>
      </c>
      <c r="V203" s="77"/>
      <c r="W203" s="89"/>
      <c r="X203" s="79"/>
      <c r="Y203" s="79"/>
      <c r="Z203" s="79"/>
      <c r="AA203" s="79"/>
      <c r="AB203" s="79"/>
      <c r="AC203" s="82"/>
      <c r="AD203" s="83"/>
      <c r="AE203" s="84"/>
    </row>
    <row r="204" ht="21.25" customHeight="1">
      <c r="A204" t="s" s="10">
        <v>525</v>
      </c>
      <c r="B204" t="s" s="86">
        <f>VLOOKUP(A204,'Player Data'!A1:B667,2,FALSE)</f>
        <v>910</v>
      </c>
      <c r="C204" s="74">
        <f>((E204)*'Settings'!$C$12)+(F204*'Settings'!$C$2)+(G204*'Settings'!$C$3)+(H204*'Settings'!$C$4)+(I204*'Settings'!$C$5)+(K204*'Settings'!$C$9)+(N204*'Settings'!$C$6)+(J204*'Settings'!$C$8)+(O204*'Settings'!$C$7)+(P204*'Settings'!$C$14)+(Q204*'Settings'!$C$15)+(R204*'Settings'!$C$16)+(S204*'Settings'!$C$17)+(T204*'Settings'!$C$18)+(U204*'Settings'!$C$19)+(L204*'Settings'!$C$10)+('Settings'!$C$11*M204)</f>
        <v>-0.6327023150445</v>
      </c>
      <c r="D204" s="79">
        <f>IF('Settings'!$E$12="YES",VLOOKUP(A204,'Player Data'!A1:E667,5,FALSE),82)</f>
        <v>80.13</v>
      </c>
      <c r="E204" s="77">
        <f>(VLOOKUP($A204,'The List'!$B1:$AH665,17,FALSE)-AVERAGE('The List'!R2:R665))/STDEV('The List'!R2:R665)</f>
        <v>-0.413969898397616</v>
      </c>
      <c r="F204" s="77">
        <f>(VLOOKUP($A204,'The List'!$B1:$AH665,18,FALSE)-AVERAGE('The List'!S2:S665))/STDEV('The List'!S2:S665)</f>
        <v>0.476995474928173</v>
      </c>
      <c r="G204" s="77">
        <f>(VLOOKUP($A204,'The List'!$B1:$AH665,19,FALSE)-AVERAGE('The List'!T2:T665))/STDEV('The List'!T2:T665)</f>
        <v>0.107832293135609</v>
      </c>
      <c r="H204" s="77">
        <f>(VLOOKUP($A204,'The List'!$B1:$AH665,20,FALSE)-AVERAGE('The List'!U2:U665))/STDEV('The List'!U2:U665)</f>
        <v>0.283787034013465</v>
      </c>
      <c r="I204" s="77">
        <f>(VLOOKUP($A204,'The List'!$B1:$AH665,21,FALSE)-AVERAGE('The List'!V2:V665))/STDEV('The List'!V2:V665)</f>
        <v>0.365332541086982</v>
      </c>
      <c r="J204" s="77">
        <f>(VLOOKUP($A204,'The List'!$B1:$AH665,22,FALSE)-AVERAGE('The List'!W2:W665))/STDEV('The List'!W2:W665)</f>
        <v>-0.339279169240741</v>
      </c>
      <c r="K204" s="77">
        <f>(VLOOKUP($A204,'The List'!$B1:$AH665,23,FALSE)-AVERAGE('The List'!X2:X665))/STDEV('The List'!X2:X665)</f>
        <v>-0.310541589973181</v>
      </c>
      <c r="L204" s="77">
        <f>(VLOOKUP($A204,'The List'!$B1:$AH665,24,FALSE)-AVERAGE('The List'!Y2:Y665))/STDEV('The List'!Y2:Y665)</f>
        <v>-0.540088419771739</v>
      </c>
      <c r="M204" s="77">
        <f>(VLOOKUP($A204,'The List'!$B1:$AH665,25,FALSE)-AVERAGE('The List'!Z2:Z665))/STDEV('The List'!Z2:Z665)</f>
        <v>-0.723062590379969</v>
      </c>
      <c r="N204" s="77">
        <f>(VLOOKUP($A204,'The List'!$B1:$AH665,26,FALSE)-AVERAGE('The List'!AA2:AA665))/STDEV('The List'!AA2:AA665)</f>
        <v>-0.518845588714982</v>
      </c>
      <c r="O204" s="77">
        <f>(VLOOKUP($A204,'The List'!$B1:$AH665,27,FALSE)-AVERAGE('The List'!AB2:AB665))/STDEV('The List'!AB2:AB665)</f>
        <v>-0.53405705903806</v>
      </c>
      <c r="P204" s="77">
        <f>(VLOOKUP($A204,'The List'!$B1:$AH665,28,FALSE)-AVERAGE('The List'!AC2:AC665))/STDEV('The List'!AC2:AC665)</f>
        <v>-0.753475445507101</v>
      </c>
      <c r="Q204" s="77">
        <f>(VLOOKUP($A204,'The List'!$B1:$AH665,29,FALSE)-AVERAGE('The List'!AD2:AD665))/STDEV('The List'!AD2:AD665)</f>
        <v>0.00809549917276252</v>
      </c>
      <c r="R204" s="77">
        <f>(VLOOKUP($A204,'The List'!$B1:$AH665,30,FALSE)-AVERAGE('The List'!AE2:AE665))/STDEV('The List'!AE2:AE665)</f>
        <v>0.409423057683542</v>
      </c>
      <c r="S204" s="77">
        <f>(VLOOKUP($A204,'The List'!$B1:$AH665,31,FALSE)-AVERAGE('The List'!AF2:AF665))/STDEV('The List'!AF2:AF665)</f>
        <v>-0.440242639944287</v>
      </c>
      <c r="T204" s="77">
        <f>(VLOOKUP($A204,'The List'!$B1:$AH665,32,FALSE)-AVERAGE('The List'!AG2:AG665))/STDEV('The List'!AG2:AG665)</f>
        <v>-0.361151878818162</v>
      </c>
      <c r="U204" s="77">
        <f>(VLOOKUP($A204,'The List'!$B1:$AH665,33,FALSE)-AVERAGE('The List'!AH2:AH665))/STDEV('The List'!AH2:AH665)</f>
        <v>0.352751525176753</v>
      </c>
      <c r="V204" s="77"/>
      <c r="W204" s="89"/>
      <c r="X204" s="79"/>
      <c r="Y204" s="79"/>
      <c r="Z204" s="79"/>
      <c r="AA204" s="79"/>
      <c r="AB204" s="79"/>
      <c r="AC204" s="82"/>
      <c r="AD204" s="83"/>
      <c r="AE204" s="84"/>
    </row>
    <row r="205" ht="21.25" customHeight="1">
      <c r="A205" t="s" s="10">
        <v>537</v>
      </c>
      <c r="B205" t="s" s="86">
        <f>VLOOKUP(A205,'Player Data'!A1:B667,2,FALSE)</f>
        <v>149</v>
      </c>
      <c r="C205" s="74">
        <f>((E205)*'Settings'!$C$12)+(F205*'Settings'!$C$2)+(G205*'Settings'!$C$3)+(H205*'Settings'!$C$4)+(I205*'Settings'!$C$5)+(K205*'Settings'!$C$9)+(N205*'Settings'!$C$6)+(J205*'Settings'!$C$8)+(O205*'Settings'!$C$7)+(P205*'Settings'!$C$14)+(Q205*'Settings'!$C$15)+(R205*'Settings'!$C$16)+(S205*'Settings'!$C$17)+(T205*'Settings'!$C$18)+(U205*'Settings'!$C$19)+(L205*'Settings'!$C$10)+('Settings'!$C$11*M205)</f>
        <v>1.45886683529718</v>
      </c>
      <c r="D205" s="79">
        <f>IF('Settings'!$E$12="YES",VLOOKUP(A205,'Player Data'!A1:E667,5,FALSE),82)</f>
        <v>78.38249999999999</v>
      </c>
      <c r="E205" s="77">
        <f>(VLOOKUP($A205,'The List'!$B1:$AH665,17,FALSE)-AVERAGE('The List'!R2:R665))/STDEV('The List'!R2:R665)</f>
        <v>-0.184842516177064</v>
      </c>
      <c r="F205" s="77">
        <f>(VLOOKUP($A205,'The List'!$B1:$AH665,18,FALSE)-AVERAGE('The List'!S2:S665))/STDEV('The List'!S2:S665)</f>
        <v>0.242912118252339</v>
      </c>
      <c r="G205" s="77">
        <f>(VLOOKUP($A205,'The List'!$B1:$AH665,19,FALSE)-AVERAGE('The List'!T2:T665))/STDEV('The List'!T2:T665)</f>
        <v>0.19946541804837</v>
      </c>
      <c r="H205" s="77">
        <f>(VLOOKUP($A205,'The List'!$B1:$AH665,20,FALSE)-AVERAGE('The List'!U2:U665))/STDEV('The List'!U2:U665)</f>
        <v>0.234294344457822</v>
      </c>
      <c r="I205" s="77">
        <f>(VLOOKUP($A205,'The List'!$B1:$AH665,21,FALSE)-AVERAGE('The List'!V2:V665))/STDEV('The List'!V2:V665)</f>
        <v>0.630059363997068</v>
      </c>
      <c r="J205" s="77">
        <f>(VLOOKUP($A205,'The List'!$B1:$AH665,22,FALSE)-AVERAGE('The List'!W2:W665))/STDEV('The List'!W2:W665)</f>
        <v>-0.311679181931847</v>
      </c>
      <c r="K205" s="77">
        <f>(VLOOKUP($A205,'The List'!$B1:$AH665,23,FALSE)-AVERAGE('The List'!X2:X665))/STDEV('The List'!X2:X665)</f>
        <v>-0.08342030309575101</v>
      </c>
      <c r="L205" s="77">
        <f>(VLOOKUP($A205,'The List'!$B1:$AH665,24,FALSE)-AVERAGE('The List'!Y2:Y665))/STDEV('The List'!Y2:Y665)</f>
        <v>0.445100376894812</v>
      </c>
      <c r="M205" s="77">
        <f>(VLOOKUP($A205,'The List'!$B1:$AH665,25,FALSE)-AVERAGE('The List'!Z2:Z665))/STDEV('The List'!Z2:Z665)</f>
        <v>0.654230539964428</v>
      </c>
      <c r="N205" s="77">
        <f>(VLOOKUP($A205,'The List'!$B1:$AH665,26,FALSE)-AVERAGE('The List'!AA2:AA665))/STDEV('The List'!AA2:AA665)</f>
        <v>-0.609138564753672</v>
      </c>
      <c r="O205" s="77">
        <f>(VLOOKUP($A205,'The List'!$B1:$AH665,27,FALSE)-AVERAGE('The List'!AB2:AB665))/STDEV('The List'!AB2:AB665)</f>
        <v>-0.787872296073975</v>
      </c>
      <c r="P205" s="77">
        <f>(VLOOKUP($A205,'The List'!$B1:$AH665,28,FALSE)-AVERAGE('The List'!AC2:AC665))/STDEV('The List'!AC2:AC665)</f>
        <v>1.07898880284883</v>
      </c>
      <c r="Q205" s="77">
        <f>(VLOOKUP($A205,'The List'!$B1:$AH665,29,FALSE)-AVERAGE('The List'!AD2:AD665))/STDEV('The List'!AD2:AD665)</f>
        <v>0.25666540307983</v>
      </c>
      <c r="R205" s="77">
        <f>(VLOOKUP($A205,'The List'!$B1:$AH665,30,FALSE)-AVERAGE('The List'!AE2:AE665))/STDEV('The List'!AE2:AE665)</f>
        <v>0.448758166915653</v>
      </c>
      <c r="S205" s="77">
        <f>(VLOOKUP($A205,'The List'!$B1:$AH665,31,FALSE)-AVERAGE('The List'!AF2:AF665))/STDEV('The List'!AF2:AF665)</f>
        <v>1.54143144355684</v>
      </c>
      <c r="T205" s="77">
        <f>(VLOOKUP($A205,'The List'!$B1:$AH665,32,FALSE)-AVERAGE('The List'!AG2:AG665))/STDEV('The List'!AG2:AG665)</f>
        <v>1.64927723993882</v>
      </c>
      <c r="U205" s="77">
        <f>(VLOOKUP($A205,'The List'!$B1:$AH665,33,FALSE)-AVERAGE('The List'!AH2:AH665))/STDEV('The List'!AH2:AH665)</f>
        <v>1.02252541215912</v>
      </c>
      <c r="V205" s="77"/>
      <c r="W205" s="79"/>
      <c r="X205" s="77"/>
      <c r="Y205" s="77"/>
      <c r="Z205" s="77"/>
      <c r="AA205" s="77"/>
      <c r="AB205" s="77"/>
      <c r="AC205" s="77"/>
      <c r="AD205" s="77"/>
      <c r="AE205" s="84"/>
    </row>
    <row r="206" ht="21.25" customHeight="1">
      <c r="A206" t="s" s="10">
        <v>553</v>
      </c>
      <c r="B206" t="s" s="86">
        <f>VLOOKUP(A206,'Player Data'!A1:B667,2,FALSE)</f>
        <v>156</v>
      </c>
      <c r="C206" s="74">
        <f>((E206)*'Settings'!$C$12)+(F206*'Settings'!$C$2)+(G206*'Settings'!$C$3)+(H206*'Settings'!$C$4)+(I206*'Settings'!$C$5)+(K206*'Settings'!$C$9)+(N206*'Settings'!$C$6)+(J206*'Settings'!$C$8)+(O206*'Settings'!$C$7)+(P206*'Settings'!$C$14)+(Q206*'Settings'!$C$15)+(R206*'Settings'!$C$16)+(S206*'Settings'!$C$17)+(T206*'Settings'!$C$18)+(U206*'Settings'!$C$19)+(L206*'Settings'!$C$10)+('Settings'!$C$11*M206)</f>
        <v>-0.712640770411608</v>
      </c>
      <c r="D206" s="79">
        <f>IF('Settings'!$E$12="YES",VLOOKUP(A206,'Player Data'!A1:E667,5,FALSE),82)</f>
        <v>79.9425</v>
      </c>
      <c r="E206" s="77">
        <f>(VLOOKUP($A206,'The List'!$B1:$AH665,17,FALSE)-AVERAGE('The List'!R2:R665))/STDEV('The List'!R2:R665)</f>
        <v>0.275026341770751</v>
      </c>
      <c r="F206" s="77">
        <f>(VLOOKUP($A206,'The List'!$B1:$AH665,18,FALSE)-AVERAGE('The List'!S2:S665))/STDEV('The List'!S2:S665)</f>
        <v>0.301701793524764</v>
      </c>
      <c r="G206" s="77">
        <f>(VLOOKUP($A206,'The List'!$B1:$AH665,19,FALSE)-AVERAGE('The List'!T2:T665))/STDEV('The List'!T2:T665)</f>
        <v>0.207365202253254</v>
      </c>
      <c r="H206" s="77">
        <f>(VLOOKUP($A206,'The List'!$B1:$AH665,20,FALSE)-AVERAGE('The List'!U2:U665))/STDEV('The List'!U2:U665)</f>
        <v>0.265923256547919</v>
      </c>
      <c r="I206" s="77">
        <f>(VLOOKUP($A206,'The List'!$B1:$AH665,21,FALSE)-AVERAGE('The List'!V2:V665))/STDEV('The List'!V2:V665)</f>
        <v>-0.313163769182215</v>
      </c>
      <c r="J206" s="77">
        <f>(VLOOKUP($A206,'The List'!$B1:$AH665,22,FALSE)-AVERAGE('The List'!W2:W665))/STDEV('The List'!W2:W665)</f>
        <v>0.205683187076075</v>
      </c>
      <c r="K206" s="77">
        <f>(VLOOKUP($A206,'The List'!$B1:$AH665,23,FALSE)-AVERAGE('The List'!X2:X665))/STDEV('The List'!X2:X665)</f>
        <v>-0.0206267138964978</v>
      </c>
      <c r="L206" s="77">
        <f>(VLOOKUP($A206,'The List'!$B1:$AH665,24,FALSE)-AVERAGE('The List'!Y2:Y665))/STDEV('The List'!Y2:Y665)</f>
        <v>1.50131905435538</v>
      </c>
      <c r="M206" s="77">
        <f>(VLOOKUP($A206,'The List'!$B1:$AH665,25,FALSE)-AVERAGE('The List'!Z2:Z665))/STDEV('The List'!Z2:Z665)</f>
        <v>0.6161305903043101</v>
      </c>
      <c r="N206" s="77">
        <f>(VLOOKUP($A206,'The List'!$B1:$AH665,26,FALSE)-AVERAGE('The List'!AA2:AA665))/STDEV('The List'!AA2:AA665)</f>
        <v>-0.119296906896608</v>
      </c>
      <c r="O206" s="77">
        <f>(VLOOKUP($A206,'The List'!$B1:$AH665,27,FALSE)-AVERAGE('The List'!AB2:AB665))/STDEV('The List'!AB2:AB665)</f>
        <v>-0.944406099886939</v>
      </c>
      <c r="P206" s="77">
        <f>(VLOOKUP($A206,'The List'!$B1:$AH665,28,FALSE)-AVERAGE('The List'!AC2:AC665))/STDEV('The List'!AC2:AC665)</f>
        <v>-0.768620376214305</v>
      </c>
      <c r="Q206" s="77">
        <f>(VLOOKUP($A206,'The List'!$B1:$AH665,29,FALSE)-AVERAGE('The List'!AD2:AD665))/STDEV('The List'!AD2:AD665)</f>
        <v>-0.319946395861409</v>
      </c>
      <c r="R206" s="77">
        <f>(VLOOKUP($A206,'The List'!$B1:$AH665,30,FALSE)-AVERAGE('The List'!AE2:AE665))/STDEV('The List'!AE2:AE665)</f>
        <v>0.166495170236696</v>
      </c>
      <c r="S206" s="77">
        <f>(VLOOKUP($A206,'The List'!$B1:$AH665,31,FALSE)-AVERAGE('The List'!AF2:AF665))/STDEV('The List'!AF2:AF665)</f>
        <v>1.82397289150896</v>
      </c>
      <c r="T206" s="77">
        <f>(VLOOKUP($A206,'The List'!$B1:$AH665,32,FALSE)-AVERAGE('The List'!AG2:AG665))/STDEV('The List'!AG2:AG665)</f>
        <v>2.18149953607298</v>
      </c>
      <c r="U206" s="77">
        <f>(VLOOKUP($A206,'The List'!$B1:$AH665,33,FALSE)-AVERAGE('The List'!AH2:AH665))/STDEV('The List'!AH2:AH665)</f>
        <v>0.92646174796678</v>
      </c>
      <c r="V206" s="77"/>
      <c r="W206" s="89"/>
      <c r="X206" s="79"/>
      <c r="Y206" s="79"/>
      <c r="Z206" s="79"/>
      <c r="AA206" s="79"/>
      <c r="AB206" s="79"/>
      <c r="AC206" s="82"/>
      <c r="AD206" s="83"/>
      <c r="AE206" s="84"/>
    </row>
    <row r="207" ht="21.25" customHeight="1">
      <c r="A207" t="s" s="10">
        <v>628</v>
      </c>
      <c r="B207" t="s" s="86">
        <f>VLOOKUP(A207,'Player Data'!A1:B667,2,FALSE)</f>
        <v>154</v>
      </c>
      <c r="C207" s="74">
        <f>((E207)*'Settings'!$C$12)+(F207*'Settings'!$C$2)+(G207*'Settings'!$C$3)+(H207*'Settings'!$C$4)+(I207*'Settings'!$C$5)+(K207*'Settings'!$C$9)+(N207*'Settings'!$C$6)+(J207*'Settings'!$C$8)+(O207*'Settings'!$C$7)+(P207*'Settings'!$C$14)+(Q207*'Settings'!$C$15)+(R207*'Settings'!$C$16)+(S207*'Settings'!$C$17)+(T207*'Settings'!$C$18)+(U207*'Settings'!$C$19)+(L207*'Settings'!$C$10)+('Settings'!$C$11*M207)</f>
        <v>-0.926077053781044</v>
      </c>
      <c r="D207" s="79">
        <f>IF('Settings'!$E$12="YES",VLOOKUP(A207,'Player Data'!A1:E667,5,FALSE),82)</f>
        <v>77.465</v>
      </c>
      <c r="E207" s="77">
        <f>(VLOOKUP($A207,'The List'!$B1:$AH665,17,FALSE)-AVERAGE('The List'!R2:R665))/STDEV('The List'!R2:R665)</f>
        <v>-0.462536780532009</v>
      </c>
      <c r="F207" s="77">
        <f>(VLOOKUP($A207,'The List'!$B1:$AH665,18,FALSE)-AVERAGE('The List'!S2:S665))/STDEV('The List'!S2:S665)</f>
        <v>0.250642977931922</v>
      </c>
      <c r="G207" s="77">
        <f>(VLOOKUP($A207,'The List'!$B1:$AH665,19,FALSE)-AVERAGE('The List'!T2:T665))/STDEV('The List'!T2:T665)</f>
        <v>0.148212397310513</v>
      </c>
      <c r="H207" s="77">
        <f>(VLOOKUP($A207,'The List'!$B1:$AH665,20,FALSE)-AVERAGE('The List'!U2:U665))/STDEV('The List'!U2:U665)</f>
        <v>0.205977379920546</v>
      </c>
      <c r="I207" s="77">
        <f>(VLOOKUP($A207,'The List'!$B1:$AH665,21,FALSE)-AVERAGE('The List'!V2:V665))/STDEV('The List'!V2:V665)</f>
        <v>-0.180068035654558</v>
      </c>
      <c r="J207" s="77">
        <f>(VLOOKUP($A207,'The List'!$B1:$AH665,22,FALSE)-AVERAGE('The List'!W2:W665))/STDEV('The List'!W2:W665)</f>
        <v>-0.361377105055043</v>
      </c>
      <c r="K207" s="77">
        <f>(VLOOKUP($A207,'The List'!$B1:$AH665,23,FALSE)-AVERAGE('The List'!X2:X665))/STDEV('The List'!X2:X665)</f>
        <v>-0.276061270627458</v>
      </c>
      <c r="L207" s="77">
        <f>(VLOOKUP($A207,'The List'!$B1:$AH665,24,FALSE)-AVERAGE('The List'!Y2:Y665))/STDEV('The List'!Y2:Y665)</f>
        <v>-0.370785685778228</v>
      </c>
      <c r="M207" s="77">
        <f>(VLOOKUP($A207,'The List'!$B1:$AH665,25,FALSE)-AVERAGE('The List'!Z2:Z665))/STDEV('The List'!Z2:Z665)</f>
        <v>-0.543102807778723</v>
      </c>
      <c r="N207" s="77">
        <f>(VLOOKUP($A207,'The List'!$B1:$AH665,26,FALSE)-AVERAGE('The List'!AA2:AA665))/STDEV('The List'!AA2:AA665)</f>
        <v>-0.637324716735756</v>
      </c>
      <c r="O207" s="77">
        <f>(VLOOKUP($A207,'The List'!$B1:$AH665,27,FALSE)-AVERAGE('The List'!AB2:AB665))/STDEV('The List'!AB2:AB665)</f>
        <v>-0.914690891465491</v>
      </c>
      <c r="P207" s="77">
        <f>(VLOOKUP($A207,'The List'!$B1:$AH665,28,FALSE)-AVERAGE('The List'!AC2:AC665))/STDEV('The List'!AC2:AC665)</f>
        <v>-0.231478406005707</v>
      </c>
      <c r="Q207" s="77">
        <f>(VLOOKUP($A207,'The List'!$B1:$AH665,29,FALSE)-AVERAGE('The List'!AD2:AD665))/STDEV('The List'!AD2:AD665)</f>
        <v>0.342644695450431</v>
      </c>
      <c r="R207" s="77">
        <f>(VLOOKUP($A207,'The List'!$B1:$AH665,30,FALSE)-AVERAGE('The List'!AE2:AE665))/STDEV('The List'!AE2:AE665)</f>
        <v>0.163301249440956</v>
      </c>
      <c r="S207" s="77">
        <f>(VLOOKUP($A207,'The List'!$B1:$AH665,31,FALSE)-AVERAGE('The List'!AF2:AF665))/STDEV('The List'!AF2:AF665)</f>
        <v>-0.546382225495243</v>
      </c>
      <c r="T207" s="77">
        <f>(VLOOKUP($A207,'The List'!$B1:$AH665,32,FALSE)-AVERAGE('The List'!AG2:AG665))/STDEV('The List'!AG2:AG665)</f>
        <v>-0.555539130316277</v>
      </c>
      <c r="U207" s="77">
        <f>(VLOOKUP($A207,'The List'!$B1:$AH665,33,FALSE)-AVERAGE('The List'!AH2:AH665))/STDEV('The List'!AH2:AH665)</f>
        <v>0.101817419415243</v>
      </c>
      <c r="V207" s="77"/>
      <c r="W207" s="79"/>
      <c r="X207" s="77"/>
      <c r="Y207" s="77"/>
      <c r="Z207" s="77"/>
      <c r="AA207" s="77"/>
      <c r="AB207" s="77"/>
      <c r="AC207" s="77"/>
      <c r="AD207" s="77"/>
      <c r="AE207" s="84"/>
    </row>
    <row r="208" ht="21.25" customHeight="1">
      <c r="A208" t="s" s="10">
        <v>340</v>
      </c>
      <c r="B208" t="s" s="86">
        <f>VLOOKUP(A208,'Player Data'!A1:B667,2,FALSE)</f>
        <v>149</v>
      </c>
      <c r="C208" s="74">
        <f>((E208)*'Settings'!$C$12)+(F208*'Settings'!$C$2)+(G208*'Settings'!$C$3)+(H208*'Settings'!$C$4)+(I208*'Settings'!$C$5)+(K208*'Settings'!$C$9)+(N208*'Settings'!$C$6)+(J208*'Settings'!$C$8)+(O208*'Settings'!$C$7)+(P208*'Settings'!$C$14)+(Q208*'Settings'!$C$15)+(R208*'Settings'!$C$16)+(S208*'Settings'!$C$17)+(T208*'Settings'!$C$18)+(U208*'Settings'!$C$19)+(L208*'Settings'!$C$10)+('Settings'!$C$11*M208)</f>
        <v>3.84732254761393</v>
      </c>
      <c r="D208" s="79">
        <f>IF('Settings'!$E$12="YES",VLOOKUP(A208,'Player Data'!A1:E667,5,FALSE),82)</f>
        <v>80.39749999999999</v>
      </c>
      <c r="E208" s="77">
        <f>(VLOOKUP($A208,'The List'!$B1:$AH665,17,FALSE)-AVERAGE('The List'!R2:R665))/STDEV('The List'!R2:R665)</f>
        <v>1.86801356294594</v>
      </c>
      <c r="F208" s="77">
        <f>(VLOOKUP($A208,'The List'!$B1:$AH665,18,FALSE)-AVERAGE('The List'!S2:S665))/STDEV('The List'!S2:S665)</f>
        <v>-0.180636349400916</v>
      </c>
      <c r="G208" s="77">
        <f>(VLOOKUP($A208,'The List'!$B1:$AH665,19,FALSE)-AVERAGE('The List'!T2:T665))/STDEV('The List'!T2:T665)</f>
        <v>0.574379265794976</v>
      </c>
      <c r="H208" s="77">
        <f>(VLOOKUP($A208,'The List'!$B1:$AH665,20,FALSE)-AVERAGE('The List'!U2:U665))/STDEV('The List'!U2:U665)</f>
        <v>0.274614013183908</v>
      </c>
      <c r="I208" s="77">
        <f>(VLOOKUP($A208,'The List'!$B1:$AH665,21,FALSE)-AVERAGE('The List'!V2:V665))/STDEV('The List'!V2:V665)</f>
        <v>0.845798140198483</v>
      </c>
      <c r="J208" s="77">
        <f>(VLOOKUP($A208,'The List'!$B1:$AH665,22,FALSE)-AVERAGE('The List'!W2:W665))/STDEV('The List'!W2:W665)</f>
        <v>-0.435138620566658</v>
      </c>
      <c r="K208" s="77">
        <f>(VLOOKUP($A208,'The List'!$B1:$AH665,23,FALSE)-AVERAGE('The List'!X2:X665))/STDEV('The List'!X2:X665)</f>
        <v>-0.387101902885022</v>
      </c>
      <c r="L208" s="77">
        <f>(VLOOKUP($A208,'The List'!$B1:$AH665,24,FALSE)-AVERAGE('The List'!Y2:Y665))/STDEV('The List'!Y2:Y665)</f>
        <v>-0.531389261548652</v>
      </c>
      <c r="M208" s="77">
        <f>(VLOOKUP($A208,'The List'!$B1:$AH665,25,FALSE)-AVERAGE('The List'!Z2:Z665))/STDEV('The List'!Z2:Z665)</f>
        <v>-0.0809465403232795</v>
      </c>
      <c r="N208" s="77">
        <f>(VLOOKUP($A208,'The List'!$B1:$AH665,26,FALSE)-AVERAGE('The List'!AA2:AA665))/STDEV('The List'!AA2:AA665)</f>
        <v>1.11932769543815</v>
      </c>
      <c r="O208" s="77">
        <f>(VLOOKUP($A208,'The List'!$B1:$AH665,27,FALSE)-AVERAGE('The List'!AB2:AB665))/STDEV('The List'!AB2:AB665)</f>
        <v>0.14825906619875</v>
      </c>
      <c r="P208" s="77">
        <f>(VLOOKUP($A208,'The List'!$B1:$AH665,28,FALSE)-AVERAGE('The List'!AC2:AC665))/STDEV('The List'!AC2:AC665)</f>
        <v>1.87555569846826</v>
      </c>
      <c r="Q208" s="77">
        <f>(VLOOKUP($A208,'The List'!$B1:$AH665,29,FALSE)-AVERAGE('The List'!AD2:AD665))/STDEV('The List'!AD2:AD665)</f>
        <v>0.342880561055825</v>
      </c>
      <c r="R208" s="77">
        <f>(VLOOKUP($A208,'The List'!$B1:$AH665,30,FALSE)-AVERAGE('The List'!AE2:AE665))/STDEV('The List'!AE2:AE665)</f>
        <v>-0.0143910965609864</v>
      </c>
      <c r="S208" s="77">
        <f>(VLOOKUP($A208,'The List'!$B1:$AH665,31,FALSE)-AVERAGE('The List'!AF2:AF665))/STDEV('The List'!AF2:AF665)</f>
        <v>-0.573894410680004</v>
      </c>
      <c r="T208" s="77">
        <f>(VLOOKUP($A208,'The List'!$B1:$AH665,32,FALSE)-AVERAGE('The List'!AG2:AG665))/STDEV('The List'!AG2:AG665)</f>
        <v>-0.625770787132651</v>
      </c>
      <c r="U208" s="77">
        <f>(VLOOKUP($A208,'The List'!$B1:$AH665,33,FALSE)-AVERAGE('The List'!AH2:AH665))/STDEV('The List'!AH2:AH665)</f>
        <v>-1.23143509451486</v>
      </c>
      <c r="V208" s="77"/>
      <c r="W208" s="89"/>
      <c r="X208" s="79"/>
      <c r="Y208" s="79"/>
      <c r="Z208" s="79"/>
      <c r="AA208" s="79"/>
      <c r="AB208" s="79"/>
      <c r="AC208" s="82"/>
      <c r="AD208" s="83"/>
      <c r="AE208" s="84"/>
    </row>
    <row r="209" ht="21.25" customHeight="1">
      <c r="A209" t="s" s="10">
        <v>319</v>
      </c>
      <c r="B209" t="s" s="86">
        <f>VLOOKUP(A209,'Player Data'!A1:B667,2,FALSE)</f>
        <v>174</v>
      </c>
      <c r="C209" s="74">
        <f>((E209)*'Settings'!$C$12)+(F209*'Settings'!$C$2)+(G209*'Settings'!$C$3)+(H209*'Settings'!$C$4)+(I209*'Settings'!$C$5)+(K209*'Settings'!$C$9)+(N209*'Settings'!$C$6)+(J209*'Settings'!$C$8)+(O209*'Settings'!$C$7)+(P209*'Settings'!$C$14)+(Q209*'Settings'!$C$15)+(R209*'Settings'!$C$16)+(S209*'Settings'!$C$17)+(T209*'Settings'!$C$18)+(U209*'Settings'!$C$19)+(L209*'Settings'!$C$10)+('Settings'!$C$11*M209)</f>
        <v>2.59790495472118</v>
      </c>
      <c r="D209" s="79">
        <f>IF('Settings'!$E$12="YES",VLOOKUP(A209,'Player Data'!A1:E667,5,FALSE),82)</f>
        <v>80.9075</v>
      </c>
      <c r="E209" s="77">
        <f>(VLOOKUP($A209,'The List'!$B1:$AH665,17,FALSE)-AVERAGE('The List'!R2:R665))/STDEV('The List'!R2:R665)</f>
        <v>1.85978930138882</v>
      </c>
      <c r="F209" s="77">
        <f>(VLOOKUP($A209,'The List'!$B1:$AH665,18,FALSE)-AVERAGE('The List'!S2:S665))/STDEV('The List'!S2:S665)</f>
        <v>-0.499677036629268</v>
      </c>
      <c r="G209" s="77">
        <f>(VLOOKUP($A209,'The List'!$B1:$AH665,19,FALSE)-AVERAGE('The List'!T2:T665))/STDEV('The List'!T2:T665)</f>
        <v>0.8258327496600441</v>
      </c>
      <c r="H209" s="77">
        <f>(VLOOKUP($A209,'The List'!$B1:$AH665,20,FALSE)-AVERAGE('The List'!U2:U665))/STDEV('The List'!U2:U665)</f>
        <v>0.285761607852817</v>
      </c>
      <c r="I209" s="77">
        <f>(VLOOKUP($A209,'The List'!$B1:$AH665,21,FALSE)-AVERAGE('The List'!V2:V665))/STDEV('The List'!V2:V665)</f>
        <v>0.390492841171345</v>
      </c>
      <c r="J209" s="77">
        <f>(VLOOKUP($A209,'The List'!$B1:$AH665,22,FALSE)-AVERAGE('The List'!W2:W665))/STDEV('The List'!W2:W665)</f>
        <v>-0.549379405124788</v>
      </c>
      <c r="K209" s="77">
        <f>(VLOOKUP($A209,'The List'!$B1:$AH665,23,FALSE)-AVERAGE('The List'!X2:X665))/STDEV('The List'!X2:X665)</f>
        <v>0.379999658163721</v>
      </c>
      <c r="L209" s="77">
        <f>(VLOOKUP($A209,'The List'!$B1:$AH665,24,FALSE)-AVERAGE('The List'!Y2:Y665))/STDEV('The List'!Y2:Y665)</f>
        <v>0.800592418210416</v>
      </c>
      <c r="M209" s="77">
        <f>(VLOOKUP($A209,'The List'!$B1:$AH665,25,FALSE)-AVERAGE('The List'!Z2:Z665))/STDEV('The List'!Z2:Z665)</f>
        <v>0.672747712999902</v>
      </c>
      <c r="N209" s="77">
        <f>(VLOOKUP($A209,'The List'!$B1:$AH665,26,FALSE)-AVERAGE('The List'!AA2:AA665))/STDEV('The List'!AA2:AA665)</f>
        <v>2.3979068510385</v>
      </c>
      <c r="O209" s="77">
        <f>(VLOOKUP($A209,'The List'!$B1:$AH665,27,FALSE)-AVERAGE('The List'!AB2:AB665))/STDEV('The List'!AB2:AB665)</f>
        <v>-0.7109313653982841</v>
      </c>
      <c r="P209" s="77">
        <f>(VLOOKUP($A209,'The List'!$B1:$AH665,28,FALSE)-AVERAGE('The List'!AC2:AC665))/STDEV('The List'!AC2:AC665)</f>
        <v>-0.896650108683158</v>
      </c>
      <c r="Q209" s="77">
        <f>(VLOOKUP($A209,'The List'!$B1:$AH665,29,FALSE)-AVERAGE('The List'!AD2:AD665))/STDEV('The List'!AD2:AD665)</f>
        <v>0.181969071411661</v>
      </c>
      <c r="R209" s="77">
        <f>(VLOOKUP($A209,'The List'!$B1:$AH665,30,FALSE)-AVERAGE('The List'!AE2:AE665))/STDEV('The List'!AE2:AE665)</f>
        <v>-0.497469442899348</v>
      </c>
      <c r="S209" s="77">
        <f>(VLOOKUP($A209,'The List'!$B1:$AH665,31,FALSE)-AVERAGE('The List'!AF2:AF665))/STDEV('The List'!AF2:AF665)</f>
        <v>-0.573894410680004</v>
      </c>
      <c r="T209" s="77">
        <f>(VLOOKUP($A209,'The List'!$B1:$AH665,32,FALSE)-AVERAGE('The List'!AG2:AG665))/STDEV('The List'!AG2:AG665)</f>
        <v>-0.625770787132651</v>
      </c>
      <c r="U209" s="77">
        <f>(VLOOKUP($A209,'The List'!$B1:$AH665,33,FALSE)-AVERAGE('The List'!AH2:AH665))/STDEV('The List'!AH2:AH665)</f>
        <v>-1.23143509451486</v>
      </c>
      <c r="V209" s="77"/>
      <c r="W209" s="79"/>
      <c r="X209" s="79"/>
      <c r="Y209" s="79"/>
      <c r="Z209" s="79"/>
      <c r="AA209" s="79"/>
      <c r="AB209" s="79"/>
      <c r="AC209" s="82"/>
      <c r="AD209" s="83"/>
      <c r="AE209" s="84"/>
    </row>
    <row r="210" ht="21.25" customHeight="1">
      <c r="A210" t="s" s="10">
        <v>634</v>
      </c>
      <c r="B210" t="s" s="86">
        <f>VLOOKUP(A210,'Player Data'!A1:B667,2,FALSE)</f>
        <v>132</v>
      </c>
      <c r="C210" s="74">
        <f>((E210)*'Settings'!$C$12)+(F210*'Settings'!$C$2)+(G210*'Settings'!$C$3)+(H210*'Settings'!$C$4)+(I210*'Settings'!$C$5)+(K210*'Settings'!$C$9)+(N210*'Settings'!$C$6)+(J210*'Settings'!$C$8)+(O210*'Settings'!$C$7)+(P210*'Settings'!$C$14)+(Q210*'Settings'!$C$15)+(R210*'Settings'!$C$16)+(S210*'Settings'!$C$17)+(T210*'Settings'!$C$18)+(U210*'Settings'!$C$19)+(L210*'Settings'!$C$10)+('Settings'!$C$11*M210)</f>
        <v>0.512574510882885</v>
      </c>
      <c r="D210" s="79">
        <f>IF('Settings'!$E$12="YES",VLOOKUP(A210,'Player Data'!A1:E667,5,FALSE),82)</f>
        <v>80.40000000000001</v>
      </c>
      <c r="E210" s="77">
        <f>(VLOOKUP($A210,'The List'!$B1:$AH665,17,FALSE)-AVERAGE('The List'!R2:R665))/STDEV('The List'!R2:R665)</f>
        <v>-0.833837344918154</v>
      </c>
      <c r="F210" s="77">
        <f>(VLOOKUP($A210,'The List'!$B1:$AH665,18,FALSE)-AVERAGE('The List'!S2:S665))/STDEV('The List'!S2:S665)</f>
        <v>-0.188430130797254</v>
      </c>
      <c r="G210" s="77">
        <f>(VLOOKUP($A210,'The List'!$B1:$AH665,19,FALSE)-AVERAGE('The List'!T2:T665))/STDEV('The List'!T2:T665)</f>
        <v>0.557868761470076</v>
      </c>
      <c r="H210" s="77">
        <f>(VLOOKUP($A210,'The List'!$B1:$AH665,20,FALSE)-AVERAGE('The List'!U2:U665))/STDEV('The List'!U2:U665)</f>
        <v>0.260817417530822</v>
      </c>
      <c r="I210" s="77">
        <f>(VLOOKUP($A210,'The List'!$B1:$AH665,21,FALSE)-AVERAGE('The List'!V2:V665))/STDEV('The List'!V2:V665)</f>
        <v>0.00752110501487756</v>
      </c>
      <c r="J210" s="77">
        <f>(VLOOKUP($A210,'The List'!$B1:$AH665,22,FALSE)-AVERAGE('The List'!W2:W665))/STDEV('The List'!W2:W665)</f>
        <v>-0.198749591388928</v>
      </c>
      <c r="K210" s="77">
        <f>(VLOOKUP($A210,'The List'!$B1:$AH665,23,FALSE)-AVERAGE('The List'!X2:X665))/STDEV('The List'!X2:X665)</f>
        <v>-0.274321263700185</v>
      </c>
      <c r="L210" s="77">
        <f>(VLOOKUP($A210,'The List'!$B1:$AH665,24,FALSE)-AVERAGE('The List'!Y2:Y665))/STDEV('The List'!Y2:Y665)</f>
        <v>-0.5761557029270989</v>
      </c>
      <c r="M210" s="77">
        <f>(VLOOKUP($A210,'The List'!$B1:$AH665,25,FALSE)-AVERAGE('The List'!Z2:Z665))/STDEV('The List'!Z2:Z665)</f>
        <v>-0.749799837111523</v>
      </c>
      <c r="N210" s="77">
        <f>(VLOOKUP($A210,'The List'!$B1:$AH665,26,FALSE)-AVERAGE('The List'!AA2:AA665))/STDEV('The List'!AA2:AA665)</f>
        <v>-1.01126678923399</v>
      </c>
      <c r="O210" s="77">
        <f>(VLOOKUP($A210,'The List'!$B1:$AH665,27,FALSE)-AVERAGE('The List'!AB2:AB665))/STDEV('The List'!AB2:AB665)</f>
        <v>-0.876603684202069</v>
      </c>
      <c r="P210" s="77">
        <f>(VLOOKUP($A210,'The List'!$B1:$AH665,28,FALSE)-AVERAGE('The List'!AC2:AC665))/STDEV('The List'!AC2:AC665)</f>
        <v>1.42120282812936</v>
      </c>
      <c r="Q210" s="77">
        <f>(VLOOKUP($A210,'The List'!$B1:$AH665,29,FALSE)-AVERAGE('The List'!AD2:AD665))/STDEV('The List'!AD2:AD665)</f>
        <v>1.72029970603751</v>
      </c>
      <c r="R210" s="77">
        <f>(VLOOKUP($A210,'The List'!$B1:$AH665,30,FALSE)-AVERAGE('The List'!AE2:AE665))/STDEV('The List'!AE2:AE665)</f>
        <v>-0.09919815285497099</v>
      </c>
      <c r="S210" s="77">
        <f>(VLOOKUP($A210,'The List'!$B1:$AH665,31,FALSE)-AVERAGE('The List'!AF2:AF665))/STDEV('The List'!AF2:AF665)</f>
        <v>0.560945260693325</v>
      </c>
      <c r="T210" s="77">
        <f>(VLOOKUP($A210,'The List'!$B1:$AH665,32,FALSE)-AVERAGE('The List'!AG2:AG665))/STDEV('The List'!AG2:AG665)</f>
        <v>0.55552822479988</v>
      </c>
      <c r="U210" s="77">
        <f>(VLOOKUP($A210,'The List'!$B1:$AH665,33,FALSE)-AVERAGE('The List'!AH2:AH665))/STDEV('The List'!AH2:AH665)</f>
        <v>1.05954694092588</v>
      </c>
      <c r="V210" s="77"/>
      <c r="W210" s="89"/>
      <c r="X210" s="79"/>
      <c r="Y210" s="79"/>
      <c r="Z210" s="79"/>
      <c r="AA210" s="79"/>
      <c r="AB210" s="79"/>
      <c r="AC210" s="82"/>
      <c r="AD210" s="83"/>
      <c r="AE210" s="84"/>
    </row>
    <row r="211" ht="21.25" customHeight="1">
      <c r="A211" t="s" s="10">
        <v>416</v>
      </c>
      <c r="B211" t="s" s="86">
        <f>VLOOKUP(A211,'Player Data'!A1:B667,2,FALSE)</f>
        <v>901</v>
      </c>
      <c r="C211" s="74">
        <f>((E211)*'Settings'!$C$12)+(F211*'Settings'!$C$2)+(G211*'Settings'!$C$3)+(H211*'Settings'!$C$4)+(I211*'Settings'!$C$5)+(K211*'Settings'!$C$9)+(N211*'Settings'!$C$6)+(J211*'Settings'!$C$8)+(O211*'Settings'!$C$7)+(P211*'Settings'!$C$14)+(Q211*'Settings'!$C$15)+(R211*'Settings'!$C$16)+(S211*'Settings'!$C$17)+(T211*'Settings'!$C$18)+(U211*'Settings'!$C$19)+(L211*'Settings'!$C$10)+('Settings'!$C$11*M211)</f>
        <v>2.21356578421225</v>
      </c>
      <c r="D211" s="79">
        <f>IF('Settings'!$E$12="YES",VLOOKUP(A211,'Player Data'!A1:E667,5,FALSE),82)</f>
        <v>78.97750000000001</v>
      </c>
      <c r="E211" s="77">
        <f>(VLOOKUP($A211,'The List'!$B1:$AH665,17,FALSE)-AVERAGE('The List'!R2:R665))/STDEV('The List'!R2:R665)</f>
        <v>1.5360426551576</v>
      </c>
      <c r="F211" s="77">
        <f>(VLOOKUP($A211,'The List'!$B1:$AH665,18,FALSE)-AVERAGE('The List'!S2:S665))/STDEV('The List'!S2:S665)</f>
        <v>-0.6988892576239319</v>
      </c>
      <c r="G211" s="77">
        <f>(VLOOKUP($A211,'The List'!$B1:$AH665,19,FALSE)-AVERAGE('The List'!T2:T665))/STDEV('The List'!T2:T665)</f>
        <v>0.876437809771152</v>
      </c>
      <c r="H211" s="77">
        <f>(VLOOKUP($A211,'The List'!$B1:$AH665,20,FALSE)-AVERAGE('The List'!U2:U665))/STDEV('The List'!U2:U665)</f>
        <v>0.226638771849865</v>
      </c>
      <c r="I211" s="77">
        <f>(VLOOKUP($A211,'The List'!$B1:$AH665,21,FALSE)-AVERAGE('The List'!V2:V665))/STDEV('The List'!V2:V665)</f>
        <v>0.127071657274355</v>
      </c>
      <c r="J211" s="77">
        <f>(VLOOKUP($A211,'The List'!$B1:$AH665,22,FALSE)-AVERAGE('The List'!W2:W665))/STDEV('The List'!W2:W665)</f>
        <v>-0.308561039763427</v>
      </c>
      <c r="K211" s="77">
        <f>(VLOOKUP($A211,'The List'!$B1:$AH665,23,FALSE)-AVERAGE('The List'!X2:X665))/STDEV('The List'!X2:X665)</f>
        <v>-0.07465548615271971</v>
      </c>
      <c r="L211" s="77">
        <f>(VLOOKUP($A211,'The List'!$B1:$AH665,24,FALSE)-AVERAGE('The List'!Y2:Y665))/STDEV('The List'!Y2:Y665)</f>
        <v>-0.545014657934653</v>
      </c>
      <c r="M211" s="77">
        <f>(VLOOKUP($A211,'The List'!$B1:$AH665,25,FALSE)-AVERAGE('The List'!Z2:Z665))/STDEV('The List'!Z2:Z665)</f>
        <v>-0.64940005634022</v>
      </c>
      <c r="N211" s="77">
        <f>(VLOOKUP($A211,'The List'!$B1:$AH665,26,FALSE)-AVERAGE('The List'!AA2:AA665))/STDEV('The List'!AA2:AA665)</f>
        <v>0.598071026831673</v>
      </c>
      <c r="O211" s="77">
        <f>(VLOOKUP($A211,'The List'!$B1:$AH665,27,FALSE)-AVERAGE('The List'!AB2:AB665))/STDEV('The List'!AB2:AB665)</f>
        <v>0.191978016923243</v>
      </c>
      <c r="P211" s="77">
        <f>(VLOOKUP($A211,'The List'!$B1:$AH665,28,FALSE)-AVERAGE('The List'!AC2:AC665))/STDEV('The List'!AC2:AC665)</f>
        <v>1.38553003411172</v>
      </c>
      <c r="Q211" s="77">
        <f>(VLOOKUP($A211,'The List'!$B1:$AH665,29,FALSE)-AVERAGE('The List'!AD2:AD665))/STDEV('The List'!AD2:AD665)</f>
        <v>0.214898048349018</v>
      </c>
      <c r="R211" s="77">
        <f>(VLOOKUP($A211,'The List'!$B1:$AH665,30,FALSE)-AVERAGE('The List'!AE2:AE665))/STDEV('The List'!AE2:AE665)</f>
        <v>-0.579419460914688</v>
      </c>
      <c r="S211" s="77">
        <f>(VLOOKUP($A211,'The List'!$B1:$AH665,31,FALSE)-AVERAGE('The List'!AF2:AF665))/STDEV('The List'!AF2:AF665)</f>
        <v>-0.573894410680004</v>
      </c>
      <c r="T211" s="77">
        <f>(VLOOKUP($A211,'The List'!$B1:$AH665,32,FALSE)-AVERAGE('The List'!AG2:AG665))/STDEV('The List'!AG2:AG665)</f>
        <v>-0.625770787132651</v>
      </c>
      <c r="U211" s="77">
        <f>(VLOOKUP($A211,'The List'!$B1:$AH665,33,FALSE)-AVERAGE('The List'!AH2:AH665))/STDEV('The List'!AH2:AH665)</f>
        <v>-1.23143509451486</v>
      </c>
      <c r="V211" s="77"/>
      <c r="W211" s="79"/>
      <c r="X211" s="77"/>
      <c r="Y211" s="77"/>
      <c r="Z211" s="77"/>
      <c r="AA211" s="77"/>
      <c r="AB211" s="77"/>
      <c r="AC211" s="77"/>
      <c r="AD211" s="77"/>
      <c r="AE211" s="84"/>
    </row>
    <row r="212" ht="21.25" customHeight="1">
      <c r="A212" t="s" s="10">
        <v>443</v>
      </c>
      <c r="B212" t="s" s="86">
        <f>VLOOKUP(A212,'Player Data'!A1:B667,2,FALSE)</f>
        <v>910</v>
      </c>
      <c r="C212" s="74">
        <f>((E212)*'Settings'!$C$12)+(F212*'Settings'!$C$2)+(G212*'Settings'!$C$3)+(H212*'Settings'!$C$4)+(I212*'Settings'!$C$5)+(K212*'Settings'!$C$9)+(N212*'Settings'!$C$6)+(J212*'Settings'!$C$8)+(O212*'Settings'!$C$7)+(P212*'Settings'!$C$14)+(Q212*'Settings'!$C$15)+(R212*'Settings'!$C$16)+(S212*'Settings'!$C$17)+(T212*'Settings'!$C$18)+(U212*'Settings'!$C$19)+(L212*'Settings'!$C$10)+('Settings'!$C$11*M212)</f>
        <v>0.231654203760825</v>
      </c>
      <c r="D212" s="79">
        <f>IF('Settings'!$E$12="YES",VLOOKUP(A212,'Player Data'!A1:E667,5,FALSE),82)</f>
        <v>78.605</v>
      </c>
      <c r="E212" s="77">
        <f>(VLOOKUP($A212,'The List'!$B1:$AH665,17,FALSE)-AVERAGE('The List'!R2:R665))/STDEV('The List'!R2:R665)</f>
        <v>-0.0421121262295688</v>
      </c>
      <c r="F212" s="77">
        <f>(VLOOKUP($A212,'The List'!$B1:$AH665,18,FALSE)-AVERAGE('The List'!S2:S665))/STDEV('The List'!S2:S665)</f>
        <v>0.814650754026122</v>
      </c>
      <c r="G212" s="77">
        <f>(VLOOKUP($A212,'The List'!$B1:$AH665,19,FALSE)-AVERAGE('The List'!T2:T665))/STDEV('The List'!T2:T665)</f>
        <v>-0.247876741099444</v>
      </c>
      <c r="H212" s="77">
        <f>(VLOOKUP($A212,'The List'!$B1:$AH665,20,FALSE)-AVERAGE('The List'!U2:U665))/STDEV('The List'!U2:U665)</f>
        <v>0.216352097299129</v>
      </c>
      <c r="I212" s="77">
        <f>(VLOOKUP($A212,'The List'!$B1:$AH665,21,FALSE)-AVERAGE('The List'!V2:V665))/STDEV('The List'!V2:V665)</f>
        <v>0.497616490224987</v>
      </c>
      <c r="J212" s="77">
        <f>(VLOOKUP($A212,'The List'!$B1:$AH665,22,FALSE)-AVERAGE('The List'!W2:W665))/STDEV('The List'!W2:W665)</f>
        <v>-0.153793067364417</v>
      </c>
      <c r="K212" s="77">
        <f>(VLOOKUP($A212,'The List'!$B1:$AH665,23,FALSE)-AVERAGE('The List'!X2:X665))/STDEV('The List'!X2:X665)</f>
        <v>-0.160967611594916</v>
      </c>
      <c r="L212" s="77">
        <f>(VLOOKUP($A212,'The List'!$B1:$AH665,24,FALSE)-AVERAGE('The List'!Y2:Y665))/STDEV('The List'!Y2:Y665)</f>
        <v>-0.469282531713987</v>
      </c>
      <c r="M212" s="77">
        <f>(VLOOKUP($A212,'The List'!$B1:$AH665,25,FALSE)-AVERAGE('The List'!Z2:Z665))/STDEV('The List'!Z2:Z665)</f>
        <v>-0.677398842996959</v>
      </c>
      <c r="N212" s="77">
        <f>(VLOOKUP($A212,'The List'!$B1:$AH665,26,FALSE)-AVERAGE('The List'!AA2:AA665))/STDEV('The List'!AA2:AA665)</f>
        <v>-0.381125091735102</v>
      </c>
      <c r="O212" s="77">
        <f>(VLOOKUP($A212,'The List'!$B1:$AH665,27,FALSE)-AVERAGE('The List'!AB2:AB665))/STDEV('The List'!AB2:AB665)</f>
        <v>0.0694015448568808</v>
      </c>
      <c r="P212" s="77">
        <f>(VLOOKUP($A212,'The List'!$B1:$AH665,28,FALSE)-AVERAGE('The List'!AC2:AC665))/STDEV('The List'!AC2:AC665)</f>
        <v>-0.290643596060822</v>
      </c>
      <c r="Q212" s="77">
        <f>(VLOOKUP($A212,'The List'!$B1:$AH665,29,FALSE)-AVERAGE('The List'!AD2:AD665))/STDEV('The List'!AD2:AD665)</f>
        <v>0.146461619356113</v>
      </c>
      <c r="R212" s="77">
        <f>(VLOOKUP($A212,'The List'!$B1:$AH665,30,FALSE)-AVERAGE('The List'!AE2:AE665))/STDEV('The List'!AE2:AE665)</f>
        <v>0.723572408440225</v>
      </c>
      <c r="S212" s="77">
        <f>(VLOOKUP($A212,'The List'!$B1:$AH665,31,FALSE)-AVERAGE('The List'!AF2:AF665))/STDEV('The List'!AF2:AF665)</f>
        <v>-0.5695812936917199</v>
      </c>
      <c r="T212" s="77">
        <f>(VLOOKUP($A212,'The List'!$B1:$AH665,32,FALSE)-AVERAGE('The List'!AG2:AG665))/STDEV('The List'!AG2:AG665)</f>
        <v>-0.615458730848621</v>
      </c>
      <c r="U212" s="77">
        <f>(VLOOKUP($A212,'The List'!$B1:$AH665,33,FALSE)-AVERAGE('The List'!AH2:AH665))/STDEV('The List'!AH2:AH665)</f>
        <v>0.164297435033591</v>
      </c>
      <c r="V212" s="77"/>
      <c r="W212" s="89"/>
      <c r="X212" s="79"/>
      <c r="Y212" s="79"/>
      <c r="Z212" s="79"/>
      <c r="AA212" s="79"/>
      <c r="AB212" s="79"/>
      <c r="AC212" s="82"/>
      <c r="AD212" s="83"/>
      <c r="AE212" s="84"/>
    </row>
    <row r="213" ht="21.25" customHeight="1">
      <c r="A213" t="s" s="10">
        <v>625</v>
      </c>
      <c r="B213" t="s" s="86">
        <f>VLOOKUP(A213,'Player Data'!A1:B667,2,FALSE)</f>
        <v>909</v>
      </c>
      <c r="C213" s="74">
        <f>((E213)*'Settings'!$C$12)+(F213*'Settings'!$C$2)+(G213*'Settings'!$C$3)+(H213*'Settings'!$C$4)+(I213*'Settings'!$C$5)+(K213*'Settings'!$C$9)+(N213*'Settings'!$C$6)+(J213*'Settings'!$C$8)+(O213*'Settings'!$C$7)+(P213*'Settings'!$C$14)+(Q213*'Settings'!$C$15)+(R213*'Settings'!$C$16)+(S213*'Settings'!$C$17)+(T213*'Settings'!$C$18)+(U213*'Settings'!$C$19)+(L213*'Settings'!$C$10)+('Settings'!$C$11*M213)</f>
        <v>-1.83864737512743</v>
      </c>
      <c r="D213" s="79">
        <f>IF('Settings'!$E$12="YES",VLOOKUP(A213,'Player Data'!A1:E667,5,FALSE),82)</f>
        <v>76.1375</v>
      </c>
      <c r="E213" s="77">
        <f>(VLOOKUP($A213,'The List'!$B1:$AH665,17,FALSE)-AVERAGE('The List'!R2:R665))/STDEV('The List'!R2:R665)</f>
        <v>-0.365508332974864</v>
      </c>
      <c r="F213" s="77">
        <f>(VLOOKUP($A213,'The List'!$B1:$AH665,18,FALSE)-AVERAGE('The List'!S2:S665))/STDEV('The List'!S2:S665)</f>
        <v>0.413094548519561</v>
      </c>
      <c r="G213" s="77">
        <f>(VLOOKUP($A213,'The List'!$B1:$AH665,19,FALSE)-AVERAGE('The List'!T2:T665))/STDEV('The List'!T2:T665)</f>
        <v>-0.0594269657732733</v>
      </c>
      <c r="H213" s="77">
        <f>(VLOOKUP($A213,'The List'!$B1:$AH665,20,FALSE)-AVERAGE('The List'!U2:U665))/STDEV('The List'!U2:U665)</f>
        <v>0.150863621050802</v>
      </c>
      <c r="I213" s="77">
        <f>(VLOOKUP($A213,'The List'!$B1:$AH665,21,FALSE)-AVERAGE('The List'!V2:V665))/STDEV('The List'!V2:V665)</f>
        <v>-0.251505774750854</v>
      </c>
      <c r="J213" s="77">
        <f>(VLOOKUP($A213,'The List'!$B1:$AH665,22,FALSE)-AVERAGE('The List'!W2:W665))/STDEV('The List'!W2:W665)</f>
        <v>-0.212273756425564</v>
      </c>
      <c r="K213" s="77">
        <f>(VLOOKUP($A213,'The List'!$B1:$AH665,23,FALSE)-AVERAGE('The List'!X2:X665))/STDEV('The List'!X2:X665)</f>
        <v>-0.236268372880094</v>
      </c>
      <c r="L213" s="77">
        <f>(VLOOKUP($A213,'The List'!$B1:$AH665,24,FALSE)-AVERAGE('The List'!Y2:Y665))/STDEV('The List'!Y2:Y665)</f>
        <v>-0.561931864656404</v>
      </c>
      <c r="M213" s="77">
        <f>(VLOOKUP($A213,'The List'!$B1:$AH665,25,FALSE)-AVERAGE('The List'!Z2:Z665))/STDEV('The List'!Z2:Z665)</f>
        <v>-0.735418372659296</v>
      </c>
      <c r="N213" s="77">
        <f>(VLOOKUP($A213,'The List'!$B1:$AH665,26,FALSE)-AVERAGE('The List'!AA2:AA665))/STDEV('The List'!AA2:AA665)</f>
        <v>-0.673996919203757</v>
      </c>
      <c r="O213" s="77">
        <f>(VLOOKUP($A213,'The List'!$B1:$AH665,27,FALSE)-AVERAGE('The List'!AB2:AB665))/STDEV('The List'!AB2:AB665)</f>
        <v>-0.747003304060624</v>
      </c>
      <c r="P213" s="77">
        <f>(VLOOKUP($A213,'The List'!$B1:$AH665,28,FALSE)-AVERAGE('The List'!AC2:AC665))/STDEV('The List'!AC2:AC665)</f>
        <v>-1.03054389103901</v>
      </c>
      <c r="Q213" s="77">
        <f>(VLOOKUP($A213,'The List'!$B1:$AH665,29,FALSE)-AVERAGE('The List'!AD2:AD665))/STDEV('The List'!AD2:AD665)</f>
        <v>-0.6067032415329</v>
      </c>
      <c r="R213" s="77">
        <f>(VLOOKUP($A213,'The List'!$B1:$AH665,30,FALSE)-AVERAGE('The List'!AE2:AE665))/STDEV('The List'!AE2:AE665)</f>
        <v>0.0243272693622957</v>
      </c>
      <c r="S213" s="77">
        <f>(VLOOKUP($A213,'The List'!$B1:$AH665,31,FALSE)-AVERAGE('The List'!AF2:AF665))/STDEV('The List'!AF2:AF665)</f>
        <v>0.607144718962461</v>
      </c>
      <c r="T213" s="77">
        <f>(VLOOKUP($A213,'The List'!$B1:$AH665,32,FALSE)-AVERAGE('The List'!AG2:AG665))/STDEV('The List'!AG2:AG665)</f>
        <v>1.12429674211303</v>
      </c>
      <c r="U213" s="77">
        <f>(VLOOKUP($A213,'The List'!$B1:$AH665,33,FALSE)-AVERAGE('The List'!AH2:AH665))/STDEV('The List'!AH2:AH665)</f>
        <v>0.662755624282618</v>
      </c>
      <c r="V213" s="77"/>
      <c r="W213" s="79"/>
      <c r="X213" s="77"/>
      <c r="Y213" s="77"/>
      <c r="Z213" s="77"/>
      <c r="AA213" s="77"/>
      <c r="AB213" s="77"/>
      <c r="AC213" s="77"/>
      <c r="AD213" s="77"/>
      <c r="AE213" s="84"/>
    </row>
    <row r="214" ht="21.25" customHeight="1">
      <c r="A214" t="s" s="10">
        <v>590</v>
      </c>
      <c r="B214" t="s" s="86">
        <f>VLOOKUP(A214,'Player Data'!A1:B667,2,FALSE)</f>
        <v>901</v>
      </c>
      <c r="C214" s="74">
        <f>((E214)*'Settings'!$C$12)+(F214*'Settings'!$C$2)+(G214*'Settings'!$C$3)+(H214*'Settings'!$C$4)+(I214*'Settings'!$C$5)+(K214*'Settings'!$C$9)+(N214*'Settings'!$C$6)+(J214*'Settings'!$C$8)+(O214*'Settings'!$C$7)+(P214*'Settings'!$C$14)+(Q214*'Settings'!$C$15)+(R214*'Settings'!$C$16)+(S214*'Settings'!$C$17)+(T214*'Settings'!$C$18)+(U214*'Settings'!$C$19)+(L214*'Settings'!$C$10)+('Settings'!$C$11*M214)</f>
        <v>0.0451562839712444</v>
      </c>
      <c r="D214" s="79">
        <f>IF('Settings'!$E$12="YES",VLOOKUP(A214,'Player Data'!A1:E667,5,FALSE),82)</f>
        <v>71.6375</v>
      </c>
      <c r="E214" s="77">
        <f>(VLOOKUP($A214,'The List'!$B1:$AH665,17,FALSE)-AVERAGE('The List'!R2:R665))/STDEV('The List'!R2:R665)</f>
        <v>-0.714995434570973</v>
      </c>
      <c r="F214" s="77">
        <f>(VLOOKUP($A214,'The List'!$B1:$AH665,18,FALSE)-AVERAGE('The List'!S2:S665))/STDEV('The List'!S2:S665)</f>
        <v>0.742906739105394</v>
      </c>
      <c r="G214" s="77">
        <f>(VLOOKUP($A214,'The List'!$B1:$AH665,19,FALSE)-AVERAGE('The List'!T2:T665))/STDEV('The List'!T2:T665)</f>
        <v>-0.479501965732025</v>
      </c>
      <c r="H214" s="77">
        <f>(VLOOKUP($A214,'The List'!$B1:$AH665,20,FALSE)-AVERAGE('The List'!U2:U665))/STDEV('The List'!U2:U665)</f>
        <v>0.0398887439045085</v>
      </c>
      <c r="I214" s="77">
        <f>(VLOOKUP($A214,'The List'!$B1:$AH665,21,FALSE)-AVERAGE('The List'!V2:V665))/STDEV('The List'!V2:V665)</f>
        <v>-0.0181130220850626</v>
      </c>
      <c r="J214" s="77">
        <f>(VLOOKUP($A214,'The List'!$B1:$AH665,22,FALSE)-AVERAGE('The List'!W2:W665))/STDEV('The List'!W2:W665)</f>
        <v>-0.438261355069103</v>
      </c>
      <c r="K214" s="77">
        <f>(VLOOKUP($A214,'The List'!$B1:$AH665,23,FALSE)-AVERAGE('The List'!X2:X665))/STDEV('The List'!X2:X665)</f>
        <v>-0.542359440892742</v>
      </c>
      <c r="L214" s="77">
        <f>(VLOOKUP($A214,'The List'!$B1:$AH665,24,FALSE)-AVERAGE('The List'!Y2:Y665))/STDEV('The List'!Y2:Y665)</f>
        <v>-0.57570967677763</v>
      </c>
      <c r="M214" s="77">
        <f>(VLOOKUP($A214,'The List'!$B1:$AH665,25,FALSE)-AVERAGE('The List'!Z2:Z665))/STDEV('The List'!Z2:Z665)</f>
        <v>-0.749441810992437</v>
      </c>
      <c r="N214" s="77">
        <f>(VLOOKUP($A214,'The List'!$B1:$AH665,26,FALSE)-AVERAGE('The List'!AA2:AA665))/STDEV('The List'!AA2:AA665)</f>
        <v>-1.0166735447117</v>
      </c>
      <c r="O214" s="77">
        <f>(VLOOKUP($A214,'The List'!$B1:$AH665,27,FALSE)-AVERAGE('The List'!AB2:AB665))/STDEV('The List'!AB2:AB665)</f>
        <v>-0.009528719850135359</v>
      </c>
      <c r="P214" s="77">
        <f>(VLOOKUP($A214,'The List'!$B1:$AH665,28,FALSE)-AVERAGE('The List'!AC2:AC665))/STDEV('The List'!AC2:AC665)</f>
        <v>1.35889751828738</v>
      </c>
      <c r="Q214" s="77">
        <f>(VLOOKUP($A214,'The List'!$B1:$AH665,29,FALSE)-AVERAGE('The List'!AD2:AD665))/STDEV('The List'!AD2:AD665)</f>
        <v>0.189837993941666</v>
      </c>
      <c r="R214" s="77">
        <f>(VLOOKUP($A214,'The List'!$B1:$AH665,30,FALSE)-AVERAGE('The List'!AE2:AE665))/STDEV('The List'!AE2:AE665)</f>
        <v>1.00099830653934</v>
      </c>
      <c r="S214" s="77">
        <f>(VLOOKUP($A214,'The List'!$B1:$AH665,31,FALSE)-AVERAGE('The List'!AF2:AF665))/STDEV('The List'!AF2:AF665)</f>
        <v>-0.573704507731264</v>
      </c>
      <c r="T214" s="77">
        <f>(VLOOKUP($A214,'The List'!$B1:$AH665,32,FALSE)-AVERAGE('The List'!AG2:AG665))/STDEV('The List'!AG2:AG665)</f>
        <v>-0.623257083804366</v>
      </c>
      <c r="U214" s="77">
        <f>(VLOOKUP($A214,'The List'!$B1:$AH665,33,FALSE)-AVERAGE('The List'!AH2:AH665))/STDEV('The List'!AH2:AH665)</f>
        <v>-0.894272789289839</v>
      </c>
      <c r="V214" s="77"/>
      <c r="W214" s="89"/>
      <c r="X214" s="79"/>
      <c r="Y214" s="79"/>
      <c r="Z214" s="79"/>
      <c r="AA214" s="79"/>
      <c r="AB214" s="79"/>
      <c r="AC214" s="82"/>
      <c r="AD214" s="83"/>
      <c r="AE214" s="84"/>
    </row>
    <row r="215" ht="21.25" customHeight="1">
      <c r="A215" t="s" s="10">
        <v>673</v>
      </c>
      <c r="B215" t="s" s="86">
        <f>VLOOKUP(A215,'Player Data'!A1:B667,2,FALSE)</f>
        <v>174</v>
      </c>
      <c r="C215" s="74">
        <f>((E215)*'Settings'!$C$12)+(F215*'Settings'!$C$2)+(G215*'Settings'!$C$3)+(H215*'Settings'!$C$4)+(I215*'Settings'!$C$5)+(K215*'Settings'!$C$9)+(N215*'Settings'!$C$6)+(J215*'Settings'!$C$8)+(O215*'Settings'!$C$7)+(P215*'Settings'!$C$14)+(Q215*'Settings'!$C$15)+(R215*'Settings'!$C$16)+(S215*'Settings'!$C$17)+(T215*'Settings'!$C$18)+(U215*'Settings'!$C$19)+(L215*'Settings'!$C$10)+('Settings'!$C$11*M215)</f>
        <v>-1.36776484270839</v>
      </c>
      <c r="D215" s="79">
        <f>IF('Settings'!$E$12="YES",VLOOKUP(A215,'Player Data'!A1:E667,5,FALSE),82)</f>
        <v>74.145</v>
      </c>
      <c r="E215" s="77">
        <f>(VLOOKUP($A215,'The List'!$B1:$AH665,17,FALSE)-AVERAGE('The List'!R2:R665))/STDEV('The List'!R2:R665)</f>
        <v>-0.503784240495028</v>
      </c>
      <c r="F215" s="77">
        <f>(VLOOKUP($A215,'The List'!$B1:$AH665,18,FALSE)-AVERAGE('The List'!S2:S665))/STDEV('The List'!S2:S665)</f>
        <v>0.262995880275365</v>
      </c>
      <c r="G215" s="77">
        <f>(VLOOKUP($A215,'The List'!$B1:$AH665,19,FALSE)-AVERAGE('The List'!T2:T665))/STDEV('The List'!T2:T665)</f>
        <v>-0.0347742450578608</v>
      </c>
      <c r="H215" s="77">
        <f>(VLOOKUP($A215,'The List'!$B1:$AH665,20,FALSE)-AVERAGE('The List'!U2:U665))/STDEV('The List'!U2:U665)</f>
        <v>0.0979473673116677</v>
      </c>
      <c r="I215" s="77">
        <f>(VLOOKUP($A215,'The List'!$B1:$AH665,21,FALSE)-AVERAGE('The List'!V2:V665))/STDEV('The List'!V2:V665)</f>
        <v>-0.371599127139749</v>
      </c>
      <c r="J215" s="77">
        <f>(VLOOKUP($A215,'The List'!$B1:$AH665,22,FALSE)-AVERAGE('The List'!W2:W665))/STDEV('The List'!W2:W665)</f>
        <v>-0.250225902162981</v>
      </c>
      <c r="K215" s="77">
        <f>(VLOOKUP($A215,'The List'!$B1:$AH665,23,FALSE)-AVERAGE('The List'!X2:X665))/STDEV('The List'!X2:X665)</f>
        <v>-0.247766261855709</v>
      </c>
      <c r="L215" s="77">
        <f>(VLOOKUP($A215,'The List'!$B1:$AH665,24,FALSE)-AVERAGE('The List'!Y2:Y665))/STDEV('The List'!Y2:Y665)</f>
        <v>-0.578323985868452</v>
      </c>
      <c r="M215" s="77">
        <f>(VLOOKUP($A215,'The List'!$B1:$AH665,25,FALSE)-AVERAGE('The List'!Z2:Z665))/STDEV('The List'!Z2:Z665)</f>
        <v>-0.752147109537715</v>
      </c>
      <c r="N215" s="77">
        <f>(VLOOKUP($A215,'The List'!$B1:$AH665,26,FALSE)-AVERAGE('The List'!AA2:AA665))/STDEV('The List'!AA2:AA665)</f>
        <v>-0.73971309890633</v>
      </c>
      <c r="O215" s="77">
        <f>(VLOOKUP($A215,'The List'!$B1:$AH665,27,FALSE)-AVERAGE('The List'!AB2:AB665))/STDEV('The List'!AB2:AB665)</f>
        <v>-1.05243150467396</v>
      </c>
      <c r="P215" s="77">
        <f>(VLOOKUP($A215,'The List'!$B1:$AH665,28,FALSE)-AVERAGE('The List'!AC2:AC665))/STDEV('The List'!AC2:AC665)</f>
        <v>-0.236907990024103</v>
      </c>
      <c r="Q215" s="77">
        <f>(VLOOKUP($A215,'The List'!$B1:$AH665,29,FALSE)-AVERAGE('The List'!AD2:AD665))/STDEV('The List'!AD2:AD665)</f>
        <v>-0.301835647889246</v>
      </c>
      <c r="R215" s="77">
        <f>(VLOOKUP($A215,'The List'!$B1:$AH665,30,FALSE)-AVERAGE('The List'!AE2:AE665))/STDEV('The List'!AE2:AE665)</f>
        <v>0.213746151005179</v>
      </c>
      <c r="S215" s="77">
        <f>(VLOOKUP($A215,'The List'!$B1:$AH665,31,FALSE)-AVERAGE('The List'!AF2:AF665))/STDEV('The List'!AF2:AF665)</f>
        <v>-0.300194035806497</v>
      </c>
      <c r="T215" s="77">
        <f>(VLOOKUP($A215,'The List'!$B1:$AH665,32,FALSE)-AVERAGE('The List'!AG2:AG665))/STDEV('The List'!AG2:AG665)</f>
        <v>-0.269297370481105</v>
      </c>
      <c r="U215" s="77">
        <f>(VLOOKUP($A215,'The List'!$B1:$AH665,33,FALSE)-AVERAGE('The List'!AH2:AH665))/STDEV('The List'!AH2:AH665)</f>
        <v>0.806361867143444</v>
      </c>
      <c r="V215" s="77"/>
      <c r="W215" s="79"/>
      <c r="X215" s="77"/>
      <c r="Y215" s="77"/>
      <c r="Z215" s="77"/>
      <c r="AA215" s="77"/>
      <c r="AB215" s="77"/>
      <c r="AC215" s="77"/>
      <c r="AD215" s="77"/>
      <c r="AE215" s="84"/>
    </row>
    <row r="216" ht="21.25" customHeight="1">
      <c r="A216" t="s" s="10">
        <v>479</v>
      </c>
      <c r="B216" t="s" s="86">
        <f>VLOOKUP(A216,'Player Data'!A1:B667,2,FALSE)</f>
        <v>275</v>
      </c>
      <c r="C216" s="74">
        <f>((E216)*'Settings'!$C$12)+(F216*'Settings'!$C$2)+(G216*'Settings'!$C$3)+(H216*'Settings'!$C$4)+(I216*'Settings'!$C$5)+(K216*'Settings'!$C$9)+(N216*'Settings'!$C$6)+(J216*'Settings'!$C$8)+(O216*'Settings'!$C$7)+(P216*'Settings'!$C$14)+(Q216*'Settings'!$C$15)+(R216*'Settings'!$C$16)+(S216*'Settings'!$C$17)+(T216*'Settings'!$C$18)+(U216*'Settings'!$C$19)+(L216*'Settings'!$C$10)+('Settings'!$C$11*M216)</f>
        <v>0.8196395980386481</v>
      </c>
      <c r="D216" s="79">
        <f>IF('Settings'!$E$12="YES",VLOOKUP(A216,'Player Data'!A1:E667,5,FALSE),82)</f>
        <v>77.44750000000001</v>
      </c>
      <c r="E216" s="77">
        <f>(VLOOKUP($A216,'The List'!$B1:$AH665,17,FALSE)-AVERAGE('The List'!R2:R665))/STDEV('The List'!R2:R665)</f>
        <v>-0.375952871406997</v>
      </c>
      <c r="F216" s="77">
        <f>(VLOOKUP($A216,'The List'!$B1:$AH665,18,FALSE)-AVERAGE('The List'!S2:S665))/STDEV('The List'!S2:S665)</f>
        <v>0.496592873919132</v>
      </c>
      <c r="G216" s="77">
        <f>(VLOOKUP($A216,'The List'!$B1:$AH665,19,FALSE)-AVERAGE('The List'!T2:T665))/STDEV('The List'!T2:T665)</f>
        <v>-0.0820342336313437</v>
      </c>
      <c r="H216" s="77">
        <f>(VLOOKUP($A216,'The List'!$B1:$AH665,20,FALSE)-AVERAGE('The List'!U2:U665))/STDEV('The List'!U2:U665)</f>
        <v>0.174777194435008</v>
      </c>
      <c r="I216" s="77">
        <f>(VLOOKUP($A216,'The List'!$B1:$AH665,21,FALSE)-AVERAGE('The List'!V2:V665))/STDEV('The List'!V2:V665)</f>
        <v>0.598509561597652</v>
      </c>
      <c r="J216" s="77">
        <f>(VLOOKUP($A216,'The List'!$B1:$AH665,22,FALSE)-AVERAGE('The List'!W2:W665))/STDEV('The List'!W2:W665)</f>
        <v>-0.07449222369318149</v>
      </c>
      <c r="K216" s="77">
        <f>(VLOOKUP($A216,'The List'!$B1:$AH665,23,FALSE)-AVERAGE('The List'!X2:X665))/STDEV('The List'!X2:X665)</f>
        <v>-0.225620685194634</v>
      </c>
      <c r="L216" s="77">
        <f>(VLOOKUP($A216,'The List'!$B1:$AH665,24,FALSE)-AVERAGE('The List'!Y2:Y665))/STDEV('The List'!Y2:Y665)</f>
        <v>0.412626831448844</v>
      </c>
      <c r="M216" s="77">
        <f>(VLOOKUP($A216,'The List'!$B1:$AH665,25,FALSE)-AVERAGE('The List'!Z2:Z665))/STDEV('The List'!Z2:Z665)</f>
        <v>0.176007853398497</v>
      </c>
      <c r="N216" s="77">
        <f>(VLOOKUP($A216,'The List'!$B1:$AH665,26,FALSE)-AVERAGE('The List'!AA2:AA665))/STDEV('The List'!AA2:AA665)</f>
        <v>-0.169079921876618</v>
      </c>
      <c r="O216" s="77">
        <f>(VLOOKUP($A216,'The List'!$B1:$AH665,27,FALSE)-AVERAGE('The List'!AB2:AB665))/STDEV('The List'!AB2:AB665)</f>
        <v>-0.380652972948739</v>
      </c>
      <c r="P216" s="77">
        <f>(VLOOKUP($A216,'The List'!$B1:$AH665,28,FALSE)-AVERAGE('The List'!AC2:AC665))/STDEV('The List'!AC2:AC665)</f>
        <v>0.20127200322446</v>
      </c>
      <c r="Q216" s="77">
        <f>(VLOOKUP($A216,'The List'!$B1:$AH665,29,FALSE)-AVERAGE('The List'!AD2:AD665))/STDEV('The List'!AD2:AD665)</f>
        <v>1.89223856716488</v>
      </c>
      <c r="R216" s="77">
        <f>(VLOOKUP($A216,'The List'!$B1:$AH665,30,FALSE)-AVERAGE('The List'!AE2:AE665))/STDEV('The List'!AE2:AE665)</f>
        <v>0.664106034820162</v>
      </c>
      <c r="S216" s="77">
        <f>(VLOOKUP($A216,'The List'!$B1:$AH665,31,FALSE)-AVERAGE('The List'!AF2:AF665))/STDEV('The List'!AF2:AF665)</f>
        <v>1.15607492372875</v>
      </c>
      <c r="T216" s="77">
        <f>(VLOOKUP($A216,'The List'!$B1:$AH665,32,FALSE)-AVERAGE('The List'!AG2:AG665))/STDEV('The List'!AG2:AG665)</f>
        <v>1.60471151399757</v>
      </c>
      <c r="U216" s="77">
        <f>(VLOOKUP($A216,'The List'!$B1:$AH665,33,FALSE)-AVERAGE('The List'!AH2:AH665))/STDEV('The List'!AH2:AH665)</f>
        <v>0.8177098923598179</v>
      </c>
      <c r="V216" s="77"/>
      <c r="W216" s="89"/>
      <c r="X216" s="79"/>
      <c r="Y216" s="79"/>
      <c r="Z216" s="79"/>
      <c r="AA216" s="79"/>
      <c r="AB216" s="79"/>
      <c r="AC216" s="82"/>
      <c r="AD216" s="83"/>
      <c r="AE216" s="84"/>
    </row>
    <row r="217" ht="21.25" customHeight="1">
      <c r="A217" t="s" s="10">
        <v>411</v>
      </c>
      <c r="B217" t="s" s="86">
        <f>VLOOKUP(A217,'Player Data'!A1:B667,2,FALSE)</f>
        <v>342</v>
      </c>
      <c r="C217" s="74">
        <f>((E217)*'Settings'!$C$12)+(F217*'Settings'!$C$2)+(G217*'Settings'!$C$3)+(H217*'Settings'!$C$4)+(I217*'Settings'!$C$5)+(K217*'Settings'!$C$9)+(N217*'Settings'!$C$6)+(J217*'Settings'!$C$8)+(O217*'Settings'!$C$7)+(P217*'Settings'!$C$14)+(Q217*'Settings'!$C$15)+(R217*'Settings'!$C$16)+(S217*'Settings'!$C$17)+(T217*'Settings'!$C$18)+(U217*'Settings'!$C$19)+(L217*'Settings'!$C$10)+('Settings'!$C$11*M217)</f>
        <v>4.6359948762641</v>
      </c>
      <c r="D217" s="79">
        <f>IF('Settings'!$E$12="YES",VLOOKUP(A217,'Player Data'!A1:E667,5,FALSE),82)</f>
        <v>82.03</v>
      </c>
      <c r="E217" s="77">
        <f>(VLOOKUP($A217,'The List'!$B1:$AH665,17,FALSE)-AVERAGE('The List'!R2:R665))/STDEV('The List'!R2:R665)</f>
        <v>1.40664110994641</v>
      </c>
      <c r="F217" s="77">
        <f>(VLOOKUP($A217,'The List'!$B1:$AH665,18,FALSE)-AVERAGE('The List'!S2:S665))/STDEV('The List'!S2:S665)</f>
        <v>-0.343682054331588</v>
      </c>
      <c r="G217" s="77">
        <f>(VLOOKUP($A217,'The List'!$B1:$AH665,19,FALSE)-AVERAGE('The List'!T2:T665))/STDEV('The List'!T2:T665)</f>
        <v>0.705331035057756</v>
      </c>
      <c r="H217" s="77">
        <f>(VLOOKUP($A217,'The List'!$B1:$AH665,20,FALSE)-AVERAGE('The List'!U2:U665))/STDEV('The List'!U2:U665)</f>
        <v>0.281830401991656</v>
      </c>
      <c r="I217" s="77">
        <f>(VLOOKUP($A217,'The List'!$B1:$AH665,21,FALSE)-AVERAGE('The List'!V2:V665))/STDEV('The List'!V2:V665)</f>
        <v>0.91351087575476</v>
      </c>
      <c r="J217" s="77">
        <f>(VLOOKUP($A217,'The List'!$B1:$AH665,22,FALSE)-AVERAGE('The List'!W2:W665))/STDEV('The List'!W2:W665)</f>
        <v>0.0614467275918276</v>
      </c>
      <c r="K217" s="77">
        <f>(VLOOKUP($A217,'The List'!$B1:$AH665,23,FALSE)-AVERAGE('The List'!X2:X665))/STDEV('The List'!X2:X665)</f>
        <v>0.776329827454087</v>
      </c>
      <c r="L217" s="77">
        <f>(VLOOKUP($A217,'The List'!$B1:$AH665,24,FALSE)-AVERAGE('The List'!Y2:Y665))/STDEV('The List'!Y2:Y665)</f>
        <v>-0.54045187555545</v>
      </c>
      <c r="M217" s="77">
        <f>(VLOOKUP($A217,'The List'!$B1:$AH665,25,FALSE)-AVERAGE('The List'!Z2:Z665))/STDEV('The List'!Z2:Z665)</f>
        <v>-0.507061787691008</v>
      </c>
      <c r="N217" s="77">
        <f>(VLOOKUP($A217,'The List'!$B1:$AH665,26,FALSE)-AVERAGE('The List'!AA2:AA665))/STDEV('The List'!AA2:AA665)</f>
        <v>0.817866206346952</v>
      </c>
      <c r="O217" s="77">
        <f>(VLOOKUP($A217,'The List'!$B1:$AH665,27,FALSE)-AVERAGE('The List'!AB2:AB665))/STDEV('The List'!AB2:AB665)</f>
        <v>-0.776762209155932</v>
      </c>
      <c r="P217" s="77">
        <f>(VLOOKUP($A217,'The List'!$B1:$AH665,28,FALSE)-AVERAGE('The List'!AC2:AC665))/STDEV('The List'!AC2:AC665)</f>
        <v>1.76663898598213</v>
      </c>
      <c r="Q217" s="77">
        <f>(VLOOKUP($A217,'The List'!$B1:$AH665,29,FALSE)-AVERAGE('The List'!AD2:AD665))/STDEV('The List'!AD2:AD665)</f>
        <v>0.0714734777030636</v>
      </c>
      <c r="R217" s="77">
        <f>(VLOOKUP($A217,'The List'!$B1:$AH665,30,FALSE)-AVERAGE('The List'!AE2:AE665))/STDEV('The List'!AE2:AE665)</f>
        <v>-0.174106177146431</v>
      </c>
      <c r="S217" s="77">
        <f>(VLOOKUP($A217,'The List'!$B1:$AH665,31,FALSE)-AVERAGE('The List'!AF2:AF665))/STDEV('The List'!AF2:AF665)</f>
        <v>-0.573421155711363</v>
      </c>
      <c r="T217" s="77">
        <f>(VLOOKUP($A217,'The List'!$B1:$AH665,32,FALSE)-AVERAGE('The List'!AG2:AG665))/STDEV('The List'!AG2:AG665)</f>
        <v>-0.624806866337692</v>
      </c>
      <c r="U217" s="77">
        <f>(VLOOKUP($A217,'The List'!$B1:$AH665,33,FALSE)-AVERAGE('The List'!AH2:AH665))/STDEV('The List'!AH2:AH665)</f>
        <v>0.323690182949488</v>
      </c>
      <c r="V217" s="77"/>
      <c r="W217" s="79"/>
      <c r="X217" s="77"/>
      <c r="Y217" s="77"/>
      <c r="Z217" s="77"/>
      <c r="AA217" s="77"/>
      <c r="AB217" s="77"/>
      <c r="AC217" s="77"/>
      <c r="AD217" s="77"/>
      <c r="AE217" s="84"/>
    </row>
    <row r="218" ht="21.25" customHeight="1">
      <c r="A218" t="s" s="10">
        <v>309</v>
      </c>
      <c r="B218" t="s" s="86">
        <f>VLOOKUP(A218,'Player Data'!A1:B667,2,FALSE)</f>
        <v>903</v>
      </c>
      <c r="C218" s="74">
        <f>((E218)*'Settings'!$C$12)+(F218*'Settings'!$C$2)+(G218*'Settings'!$C$3)+(H218*'Settings'!$C$4)+(I218*'Settings'!$C$5)+(K218*'Settings'!$C$9)+(N218*'Settings'!$C$6)+(J218*'Settings'!$C$8)+(O218*'Settings'!$C$7)+(P218*'Settings'!$C$14)+(Q218*'Settings'!$C$15)+(R218*'Settings'!$C$16)+(S218*'Settings'!$C$17)+(T218*'Settings'!$C$18)+(U218*'Settings'!$C$19)+(L218*'Settings'!$C$10)+('Settings'!$C$11*M218)</f>
        <v>3.4957750622319</v>
      </c>
      <c r="D218" s="79">
        <f>IF('Settings'!$E$12="YES",VLOOKUP(A218,'Player Data'!A1:E667,5,FALSE),82)</f>
        <v>77.39749999999999</v>
      </c>
      <c r="E218" s="77">
        <f>(VLOOKUP($A218,'The List'!$B1:$AH665,17,FALSE)-AVERAGE('The List'!R2:R665))/STDEV('The List'!R2:R665)</f>
        <v>1.62490376963847</v>
      </c>
      <c r="F218" s="77">
        <f>(VLOOKUP($A218,'The List'!$B1:$AH665,18,FALSE)-AVERAGE('The List'!S2:S665))/STDEV('The List'!S2:S665)</f>
        <v>-0.566335904529359</v>
      </c>
      <c r="G218" s="77">
        <f>(VLOOKUP($A218,'The List'!$B1:$AH665,19,FALSE)-AVERAGE('The List'!T2:T665))/STDEV('The List'!T2:T665)</f>
        <v>0.665512146056167</v>
      </c>
      <c r="H218" s="77">
        <f>(VLOOKUP($A218,'The List'!$B1:$AH665,20,FALSE)-AVERAGE('The List'!U2:U665))/STDEV('The List'!U2:U665)</f>
        <v>0.155893874478704</v>
      </c>
      <c r="I218" s="77">
        <f>(VLOOKUP($A218,'The List'!$B1:$AH665,21,FALSE)-AVERAGE('The List'!V2:V665))/STDEV('The List'!V2:V665)</f>
        <v>0.5017472186162411</v>
      </c>
      <c r="J218" s="77">
        <f>(VLOOKUP($A218,'The List'!$B1:$AH665,22,FALSE)-AVERAGE('The List'!W2:W665))/STDEV('The List'!W2:W665)</f>
        <v>-0.492891004989318</v>
      </c>
      <c r="K218" s="77">
        <f>(VLOOKUP($A218,'The List'!$B1:$AH665,23,FALSE)-AVERAGE('The List'!X2:X665))/STDEV('The List'!X2:X665)</f>
        <v>0.166870120397469</v>
      </c>
      <c r="L218" s="77">
        <f>(VLOOKUP($A218,'The List'!$B1:$AH665,24,FALSE)-AVERAGE('The List'!Y2:Y665))/STDEV('The List'!Y2:Y665)</f>
        <v>-0.26901533603705</v>
      </c>
      <c r="M218" s="77">
        <f>(VLOOKUP($A218,'The List'!$B1:$AH665,25,FALSE)-AVERAGE('The List'!Z2:Z665))/STDEV('The List'!Z2:Z665)</f>
        <v>0.908001651079271</v>
      </c>
      <c r="N218" s="77">
        <f>(VLOOKUP($A218,'The List'!$B1:$AH665,26,FALSE)-AVERAGE('The List'!AA2:AA665))/STDEV('The List'!AA2:AA665)</f>
        <v>2.52278808961067</v>
      </c>
      <c r="O218" s="77">
        <f>(VLOOKUP($A218,'The List'!$B1:$AH665,27,FALSE)-AVERAGE('The List'!AB2:AB665))/STDEV('The List'!AB2:AB665)</f>
        <v>-0.485507156726697</v>
      </c>
      <c r="P218" s="77">
        <f>(VLOOKUP($A218,'The List'!$B1:$AH665,28,FALSE)-AVERAGE('The List'!AC2:AC665))/STDEV('The List'!AC2:AC665)</f>
        <v>0.205193392080711</v>
      </c>
      <c r="Q218" s="77">
        <f>(VLOOKUP($A218,'The List'!$B1:$AH665,29,FALSE)-AVERAGE('The List'!AD2:AD665))/STDEV('The List'!AD2:AD665)</f>
        <v>-0.641551597961448</v>
      </c>
      <c r="R218" s="77">
        <f>(VLOOKUP($A218,'The List'!$B1:$AH665,30,FALSE)-AVERAGE('The List'!AE2:AE665))/STDEV('The List'!AE2:AE665)</f>
        <v>-0.526062967857613</v>
      </c>
      <c r="S218" s="77">
        <f>(VLOOKUP($A218,'The List'!$B1:$AH665,31,FALSE)-AVERAGE('The List'!AF2:AF665))/STDEV('The List'!AF2:AF665)</f>
        <v>-0.573623103957798</v>
      </c>
      <c r="T218" s="77">
        <f>(VLOOKUP($A218,'The List'!$B1:$AH665,32,FALSE)-AVERAGE('The List'!AG2:AG665))/STDEV('The List'!AG2:AG665)</f>
        <v>-0.62524052986318</v>
      </c>
      <c r="U218" s="77">
        <f>(VLOOKUP($A218,'The List'!$B1:$AH665,33,FALSE)-AVERAGE('The List'!AH2:AH665))/STDEV('The List'!AH2:AH665)</f>
        <v>0.366113474178863</v>
      </c>
      <c r="V218" s="77"/>
      <c r="W218" s="79"/>
      <c r="X218" s="77"/>
      <c r="Y218" s="77"/>
      <c r="Z218" s="77"/>
      <c r="AA218" s="77"/>
      <c r="AB218" s="77"/>
      <c r="AC218" s="77"/>
      <c r="AD218" s="77"/>
      <c r="AE218" s="84"/>
    </row>
    <row r="219" ht="21.25" customHeight="1">
      <c r="A219" t="s" s="10">
        <v>388</v>
      </c>
      <c r="B219" t="s" s="86">
        <f>VLOOKUP(A219,'Player Data'!A1:B667,2,FALSE)</f>
        <v>149</v>
      </c>
      <c r="C219" s="74">
        <f>((E219)*'Settings'!$C$12)+(F219*'Settings'!$C$2)+(G219*'Settings'!$C$3)+(H219*'Settings'!$C$4)+(I219*'Settings'!$C$5)+(K219*'Settings'!$C$9)+(N219*'Settings'!$C$6)+(J219*'Settings'!$C$8)+(O219*'Settings'!$C$7)+(P219*'Settings'!$C$14)+(Q219*'Settings'!$C$15)+(R219*'Settings'!$C$16)+(S219*'Settings'!$C$17)+(T219*'Settings'!$C$18)+(U219*'Settings'!$C$19)+(L219*'Settings'!$C$10)+('Settings'!$C$11*M219)</f>
        <v>2.86563027796073</v>
      </c>
      <c r="D219" s="79">
        <f>IF('Settings'!$E$12="YES",VLOOKUP(A219,'Player Data'!A1:E667,5,FALSE),82)</f>
        <v>72.91500000000001</v>
      </c>
      <c r="E219" s="77">
        <f>(VLOOKUP($A219,'The List'!$B1:$AH665,17,FALSE)-AVERAGE('The List'!R2:R665))/STDEV('The List'!R2:R665)</f>
        <v>1.78609560880289</v>
      </c>
      <c r="F219" s="77">
        <f>(VLOOKUP($A219,'The List'!$B1:$AH665,18,FALSE)-AVERAGE('The List'!S2:S665))/STDEV('The List'!S2:S665)</f>
        <v>-0.300920550980013</v>
      </c>
      <c r="G219" s="77">
        <f>(VLOOKUP($A219,'The List'!$B1:$AH665,19,FALSE)-AVERAGE('The List'!T2:T665))/STDEV('The List'!T2:T665)</f>
        <v>0.295356382354182</v>
      </c>
      <c r="H219" s="77">
        <f>(VLOOKUP($A219,'The List'!$B1:$AH665,20,FALSE)-AVERAGE('The List'!U2:U665))/STDEV('The List'!U2:U665)</f>
        <v>0.0466502264519152</v>
      </c>
      <c r="I219" s="77">
        <f>(VLOOKUP($A219,'The List'!$B1:$AH665,21,FALSE)-AVERAGE('The List'!V2:V665))/STDEV('The List'!V2:V665)</f>
        <v>0.675064328754806</v>
      </c>
      <c r="J219" s="77">
        <f>(VLOOKUP($A219,'The List'!$B1:$AH665,22,FALSE)-AVERAGE('The List'!W2:W665))/STDEV('The List'!W2:W665)</f>
        <v>-0.00929874768600018</v>
      </c>
      <c r="K219" s="77">
        <f>(VLOOKUP($A219,'The List'!$B1:$AH665,23,FALSE)-AVERAGE('The List'!X2:X665))/STDEV('The List'!X2:X665)</f>
        <v>0.154670856622108</v>
      </c>
      <c r="L219" s="77">
        <f>(VLOOKUP($A219,'The List'!$B1:$AH665,24,FALSE)-AVERAGE('The List'!Y2:Y665))/STDEV('The List'!Y2:Y665)</f>
        <v>-0.0526426907317919</v>
      </c>
      <c r="M219" s="77">
        <f>(VLOOKUP($A219,'The List'!$B1:$AH665,25,FALSE)-AVERAGE('The List'!Z2:Z665))/STDEV('The List'!Z2:Z665)</f>
        <v>0.200234340471339</v>
      </c>
      <c r="N219" s="77">
        <f>(VLOOKUP($A219,'The List'!$B1:$AH665,26,FALSE)-AVERAGE('The List'!AA2:AA665))/STDEV('The List'!AA2:AA665)</f>
        <v>0.768946941407266</v>
      </c>
      <c r="O219" s="77">
        <f>(VLOOKUP($A219,'The List'!$B1:$AH665,27,FALSE)-AVERAGE('The List'!AB2:AB665))/STDEV('The List'!AB2:AB665)</f>
        <v>0.267547144465928</v>
      </c>
      <c r="P219" s="77">
        <f>(VLOOKUP($A219,'The List'!$B1:$AH665,28,FALSE)-AVERAGE('The List'!AC2:AC665))/STDEV('The List'!AC2:AC665)</f>
        <v>1.27251231980238</v>
      </c>
      <c r="Q219" s="77">
        <f>(VLOOKUP($A219,'The List'!$B1:$AH665,29,FALSE)-AVERAGE('The List'!AD2:AD665))/STDEV('The List'!AD2:AD665)</f>
        <v>1.11641141084189</v>
      </c>
      <c r="R219" s="77">
        <f>(VLOOKUP($A219,'The List'!$B1:$AH665,30,FALSE)-AVERAGE('The List'!AE2:AE665))/STDEV('The List'!AE2:AE665)</f>
        <v>-0.145921590999791</v>
      </c>
      <c r="S219" s="77">
        <f>(VLOOKUP($A219,'The List'!$B1:$AH665,31,FALSE)-AVERAGE('The List'!AF2:AF665))/STDEV('The List'!AF2:AF665)</f>
        <v>-0.573894410680004</v>
      </c>
      <c r="T219" s="77">
        <f>(VLOOKUP($A219,'The List'!$B1:$AH665,32,FALSE)-AVERAGE('The List'!AG2:AG665))/STDEV('The List'!AG2:AG665)</f>
        <v>-0.625770787132651</v>
      </c>
      <c r="U219" s="77">
        <f>(VLOOKUP($A219,'The List'!$B1:$AH665,33,FALSE)-AVERAGE('The List'!AH2:AH665))/STDEV('The List'!AH2:AH665)</f>
        <v>-1.23143509451486</v>
      </c>
      <c r="V219" s="77"/>
      <c r="W219" s="89"/>
      <c r="X219" s="79"/>
      <c r="Y219" s="79"/>
      <c r="Z219" s="79"/>
      <c r="AA219" s="79"/>
      <c r="AB219" s="79"/>
      <c r="AC219" s="82"/>
      <c r="AD219" s="83"/>
      <c r="AE219" s="84"/>
    </row>
    <row r="220" ht="21.25" customHeight="1">
      <c r="A220" t="s" s="10">
        <v>366</v>
      </c>
      <c r="B220" t="s" s="86">
        <f>VLOOKUP(A220,'Player Data'!A1:B667,2,FALSE)</f>
        <v>174</v>
      </c>
      <c r="C220" s="74">
        <f>((E220)*'Settings'!$C$12)+(F220*'Settings'!$C$2)+(G220*'Settings'!$C$3)+(H220*'Settings'!$C$4)+(I220*'Settings'!$C$5)+(K220*'Settings'!$C$9)+(N220*'Settings'!$C$6)+(J220*'Settings'!$C$8)+(O220*'Settings'!$C$7)+(P220*'Settings'!$C$14)+(Q220*'Settings'!$C$15)+(R220*'Settings'!$C$16)+(S220*'Settings'!$C$17)+(T220*'Settings'!$C$18)+(U220*'Settings'!$C$19)+(L220*'Settings'!$C$10)+('Settings'!$C$11*M220)</f>
        <v>0.275818135312742</v>
      </c>
      <c r="D220" s="79">
        <f>IF('Settings'!$E$12="YES",VLOOKUP(A220,'Player Data'!A1:E667,5,FALSE),82)</f>
        <v>81.22</v>
      </c>
      <c r="E220" s="77">
        <f>(VLOOKUP($A220,'The List'!$B1:$AH665,17,FALSE)-AVERAGE('The List'!R2:R665))/STDEV('The List'!R2:R665)</f>
        <v>-0.0749475352025257</v>
      </c>
      <c r="F220" s="77">
        <f>(VLOOKUP($A220,'The List'!$B1:$AH665,18,FALSE)-AVERAGE('The List'!S2:S665))/STDEV('The List'!S2:S665)</f>
        <v>0.771686663007578</v>
      </c>
      <c r="G220" s="77">
        <f>(VLOOKUP($A220,'The List'!$B1:$AH665,19,FALSE)-AVERAGE('The List'!T2:T665))/STDEV('The List'!T2:T665)</f>
        <v>-0.181722124204575</v>
      </c>
      <c r="H220" s="77">
        <f>(VLOOKUP($A220,'The List'!$B1:$AH665,20,FALSE)-AVERAGE('The List'!U2:U665))/STDEV('The List'!U2:U665)</f>
        <v>0.237908612525079</v>
      </c>
      <c r="I220" s="77">
        <f>(VLOOKUP($A220,'The List'!$B1:$AH665,21,FALSE)-AVERAGE('The List'!V2:V665))/STDEV('The List'!V2:V665)</f>
        <v>1.02489421208779</v>
      </c>
      <c r="J220" s="77">
        <f>(VLOOKUP($A220,'The List'!$B1:$AH665,22,FALSE)-AVERAGE('The List'!W2:W665))/STDEV('The List'!W2:W665)</f>
        <v>-0.254765617948751</v>
      </c>
      <c r="K220" s="77">
        <f>(VLOOKUP($A220,'The List'!$B1:$AH665,23,FALSE)-AVERAGE('The List'!X2:X665))/STDEV('The List'!X2:X665)</f>
        <v>-0.572452225191564</v>
      </c>
      <c r="L220" s="77">
        <f>(VLOOKUP($A220,'The List'!$B1:$AH665,24,FALSE)-AVERAGE('The List'!Y2:Y665))/STDEV('The List'!Y2:Y665)</f>
        <v>3.06501585353848</v>
      </c>
      <c r="M220" s="77">
        <f>(VLOOKUP($A220,'The List'!$B1:$AH665,25,FALSE)-AVERAGE('The List'!Z2:Z665))/STDEV('The List'!Z2:Z665)</f>
        <v>2.66576872505359</v>
      </c>
      <c r="N220" s="77">
        <f>(VLOOKUP($A220,'The List'!$B1:$AH665,26,FALSE)-AVERAGE('The List'!AA2:AA665))/STDEV('The List'!AA2:AA665)</f>
        <v>-0.327785602772202</v>
      </c>
      <c r="O220" s="77">
        <f>(VLOOKUP($A220,'The List'!$B1:$AH665,27,FALSE)-AVERAGE('The List'!AB2:AB665))/STDEV('The List'!AB2:AB665)</f>
        <v>0.611277979055496</v>
      </c>
      <c r="P220" s="77">
        <f>(VLOOKUP($A220,'The List'!$B1:$AH665,28,FALSE)-AVERAGE('The List'!AC2:AC665))/STDEV('The List'!AC2:AC665)</f>
        <v>-0.438802787614285</v>
      </c>
      <c r="Q220" s="77">
        <f>(VLOOKUP($A220,'The List'!$B1:$AH665,29,FALSE)-AVERAGE('The List'!AD2:AD665))/STDEV('The List'!AD2:AD665)</f>
        <v>1.88526889649387</v>
      </c>
      <c r="R220" s="77">
        <f>(VLOOKUP($A220,'The List'!$B1:$AH665,30,FALSE)-AVERAGE('The List'!AE2:AE665))/STDEV('The List'!AE2:AE665)</f>
        <v>0.688115712498203</v>
      </c>
      <c r="S220" s="77">
        <f>(VLOOKUP($A220,'The List'!$B1:$AH665,31,FALSE)-AVERAGE('The List'!AF2:AF665))/STDEV('The List'!AF2:AF665)</f>
        <v>-0.464621872364579</v>
      </c>
      <c r="T220" s="77">
        <f>(VLOOKUP($A220,'The List'!$B1:$AH665,32,FALSE)-AVERAGE('The List'!AG2:AG665))/STDEV('The List'!AG2:AG665)</f>
        <v>-0.435625199776121</v>
      </c>
      <c r="U220" s="77">
        <f>(VLOOKUP($A220,'The List'!$B1:$AH665,33,FALSE)-AVERAGE('The List'!AH2:AH665))/STDEV('The List'!AH2:AH665)</f>
        <v>0.48824956838626</v>
      </c>
      <c r="V220" s="77"/>
      <c r="W220" s="79"/>
      <c r="X220" s="77"/>
      <c r="Y220" s="77"/>
      <c r="Z220" s="77"/>
      <c r="AA220" s="77"/>
      <c r="AB220" s="77"/>
      <c r="AC220" s="77"/>
      <c r="AD220" s="77"/>
      <c r="AE220" s="84"/>
    </row>
    <row r="221" ht="21.25" customHeight="1">
      <c r="A221" t="s" s="10">
        <v>362</v>
      </c>
      <c r="B221" t="s" s="86">
        <f>VLOOKUP(A221,'Player Data'!A1:B667,2,FALSE)</f>
        <v>904</v>
      </c>
      <c r="C221" s="74">
        <f>((E221)*'Settings'!$C$12)+(F221*'Settings'!$C$2)+(G221*'Settings'!$C$3)+(H221*'Settings'!$C$4)+(I221*'Settings'!$C$5)+(K221*'Settings'!$C$9)+(N221*'Settings'!$C$6)+(J221*'Settings'!$C$8)+(O221*'Settings'!$C$7)+(P221*'Settings'!$C$14)+(Q221*'Settings'!$C$15)+(R221*'Settings'!$C$16)+(S221*'Settings'!$C$17)+(T221*'Settings'!$C$18)+(U221*'Settings'!$C$19)+(L221*'Settings'!$C$10)+('Settings'!$C$11*M221)</f>
        <v>3.30373040623976</v>
      </c>
      <c r="D221" s="79">
        <f>IF('Settings'!$E$12="YES",VLOOKUP(A221,'Player Data'!A1:E667,5,FALSE),82)</f>
        <v>80.11</v>
      </c>
      <c r="E221" s="77">
        <f>(VLOOKUP($A221,'The List'!$B1:$AH665,17,FALSE)-AVERAGE('The List'!R2:R665))/STDEV('The List'!R2:R665)</f>
        <v>1.81757738653464</v>
      </c>
      <c r="F221" s="77">
        <f>(VLOOKUP($A221,'The List'!$B1:$AH665,18,FALSE)-AVERAGE('The List'!S2:S665))/STDEV('The List'!S2:S665)</f>
        <v>-0.479923580454069</v>
      </c>
      <c r="G221" s="77">
        <f>(VLOOKUP($A221,'The List'!$B1:$AH665,19,FALSE)-AVERAGE('The List'!T2:T665))/STDEV('The List'!T2:T665)</f>
        <v>0.660124964845536</v>
      </c>
      <c r="H221" s="77">
        <f>(VLOOKUP($A221,'The List'!$B1:$AH665,20,FALSE)-AVERAGE('The List'!U2:U665))/STDEV('The List'!U2:U665)</f>
        <v>0.191826640835556</v>
      </c>
      <c r="I221" s="77">
        <f>(VLOOKUP($A221,'The List'!$B1:$AH665,21,FALSE)-AVERAGE('The List'!V2:V665))/STDEV('The List'!V2:V665)</f>
        <v>0.431128620654532</v>
      </c>
      <c r="J221" s="77">
        <f>(VLOOKUP($A221,'The List'!$B1:$AH665,22,FALSE)-AVERAGE('The List'!W2:W665))/STDEV('The List'!W2:W665)</f>
        <v>0.0588172061131507</v>
      </c>
      <c r="K221" s="77">
        <f>(VLOOKUP($A221,'The List'!$B1:$AH665,23,FALSE)-AVERAGE('The List'!X2:X665))/STDEV('The List'!X2:X665)</f>
        <v>0.922478922720312</v>
      </c>
      <c r="L221" s="77">
        <f>(VLOOKUP($A221,'The List'!$B1:$AH665,24,FALSE)-AVERAGE('The List'!Y2:Y665))/STDEV('The List'!Y2:Y665)</f>
        <v>-0.530931197316455</v>
      </c>
      <c r="M221" s="77">
        <f>(VLOOKUP($A221,'The List'!$B1:$AH665,25,FALSE)-AVERAGE('The List'!Z2:Z665))/STDEV('The List'!Z2:Z665)</f>
        <v>-0.6281255395815331</v>
      </c>
      <c r="N221" s="77">
        <f>(VLOOKUP($A221,'The List'!$B1:$AH665,26,FALSE)-AVERAGE('The List'!AA2:AA665))/STDEV('The List'!AA2:AA665)</f>
        <v>1.84082931582384</v>
      </c>
      <c r="O221" s="77">
        <f>(VLOOKUP($A221,'The List'!$B1:$AH665,27,FALSE)-AVERAGE('The List'!AB2:AB665))/STDEV('The List'!AB2:AB665)</f>
        <v>-0.596051428410673</v>
      </c>
      <c r="P221" s="77">
        <f>(VLOOKUP($A221,'The List'!$B1:$AH665,28,FALSE)-AVERAGE('The List'!AC2:AC665))/STDEV('The List'!AC2:AC665)</f>
        <v>-0.0709078373503893</v>
      </c>
      <c r="Q221" s="77">
        <f>(VLOOKUP($A221,'The List'!$B1:$AH665,29,FALSE)-AVERAGE('The List'!AD2:AD665))/STDEV('The List'!AD2:AD665)</f>
        <v>-0.562943498929007</v>
      </c>
      <c r="R221" s="77">
        <f>(VLOOKUP($A221,'The List'!$B1:$AH665,30,FALSE)-AVERAGE('The List'!AE2:AE665))/STDEV('The List'!AE2:AE665)</f>
        <v>-0.4243715085986</v>
      </c>
      <c r="S221" s="77">
        <f>(VLOOKUP($A221,'The List'!$B1:$AH665,31,FALSE)-AVERAGE('The List'!AF2:AF665))/STDEV('The List'!AF2:AF665)</f>
        <v>-0.571536040101053</v>
      </c>
      <c r="T221" s="77">
        <f>(VLOOKUP($A221,'The List'!$B1:$AH665,32,FALSE)-AVERAGE('The List'!AG2:AG665))/STDEV('The List'!AG2:AG665)</f>
        <v>-0.623856204670786</v>
      </c>
      <c r="U221" s="77">
        <f>(VLOOKUP($A221,'The List'!$B1:$AH665,33,FALSE)-AVERAGE('The List'!AH2:AH665))/STDEV('The List'!AH2:AH665)</f>
        <v>1.3394225501461</v>
      </c>
      <c r="V221" s="77"/>
      <c r="W221" s="79"/>
      <c r="X221" s="77"/>
      <c r="Y221" s="77"/>
      <c r="Z221" s="77"/>
      <c r="AA221" s="77"/>
      <c r="AB221" s="77"/>
      <c r="AC221" s="77"/>
      <c r="AD221" s="77"/>
      <c r="AE221" s="84"/>
    </row>
    <row r="222" ht="21.25" customHeight="1">
      <c r="A222" t="s" s="10">
        <v>698</v>
      </c>
      <c r="B222" t="s" s="86">
        <f>VLOOKUP(A222,'Player Data'!A1:B667,2,FALSE)</f>
        <v>165</v>
      </c>
      <c r="C222" s="74">
        <f>((E222)*'Settings'!$C$12)+(F222*'Settings'!$C$2)+(G222*'Settings'!$C$3)+(H222*'Settings'!$C$4)+(I222*'Settings'!$C$5)+(K222*'Settings'!$C$9)+(N222*'Settings'!$C$6)+(J222*'Settings'!$C$8)+(O222*'Settings'!$C$7)+(P222*'Settings'!$C$14)+(Q222*'Settings'!$C$15)+(R222*'Settings'!$C$16)+(S222*'Settings'!$C$17)+(T222*'Settings'!$C$18)+(U222*'Settings'!$C$19)+(L222*'Settings'!$C$10)+('Settings'!$C$11*M222)</f>
        <v>-0.232031930803252</v>
      </c>
      <c r="D222" s="79">
        <f>IF('Settings'!$E$12="YES",VLOOKUP(A222,'Player Data'!A1:E667,5,FALSE),82)</f>
        <v>71.75</v>
      </c>
      <c r="E222" s="77">
        <f>(VLOOKUP($A222,'The List'!$B1:$AH665,17,FALSE)-AVERAGE('The List'!R2:R665))/STDEV('The List'!R2:R665)</f>
        <v>-0.7741360701511</v>
      </c>
      <c r="F222" s="77">
        <f>(VLOOKUP($A222,'The List'!$B1:$AH665,18,FALSE)-AVERAGE('The List'!S2:S665))/STDEV('The List'!S2:S665)</f>
        <v>0.219519531560802</v>
      </c>
      <c r="G222" s="77">
        <f>(VLOOKUP($A222,'The List'!$B1:$AH665,19,FALSE)-AVERAGE('The List'!T2:T665))/STDEV('The List'!T2:T665)</f>
        <v>-0.16204216659441</v>
      </c>
      <c r="H222" s="77">
        <f>(VLOOKUP($A222,'The List'!$B1:$AH665,20,FALSE)-AVERAGE('The List'!U2:U665))/STDEV('The List'!U2:U665)</f>
        <v>-0.000855235085243995</v>
      </c>
      <c r="I222" s="77">
        <f>(VLOOKUP($A222,'The List'!$B1:$AH665,21,FALSE)-AVERAGE('The List'!V2:V665))/STDEV('The List'!V2:V665)</f>
        <v>0.245404327555026</v>
      </c>
      <c r="J222" s="77">
        <f>(VLOOKUP($A222,'The List'!$B1:$AH665,22,FALSE)-AVERAGE('The List'!W2:W665))/STDEV('The List'!W2:W665)</f>
        <v>-0.143508811783857</v>
      </c>
      <c r="K222" s="77">
        <f>(VLOOKUP($A222,'The List'!$B1:$AH665,23,FALSE)-AVERAGE('The List'!X2:X665))/STDEV('The List'!X2:X665)</f>
        <v>-0.0749836612185094</v>
      </c>
      <c r="L222" s="77">
        <f>(VLOOKUP($A222,'The List'!$B1:$AH665,24,FALSE)-AVERAGE('The List'!Y2:Y665))/STDEV('The List'!Y2:Y665)</f>
        <v>-0.578674214717391</v>
      </c>
      <c r="M222" s="77">
        <f>(VLOOKUP($A222,'The List'!$B1:$AH665,25,FALSE)-AVERAGE('The List'!Z2:Z665))/STDEV('The List'!Z2:Z665)</f>
        <v>-0.752501768407872</v>
      </c>
      <c r="N222" s="77">
        <f>(VLOOKUP($A222,'The List'!$B1:$AH665,26,FALSE)-AVERAGE('The List'!AA2:AA665))/STDEV('The List'!AA2:AA665)</f>
        <v>-1.01153247616395</v>
      </c>
      <c r="O222" s="77">
        <f>(VLOOKUP($A222,'The List'!$B1:$AH665,27,FALSE)-AVERAGE('The List'!AB2:AB665))/STDEV('The List'!AB2:AB665)</f>
        <v>-1.19622619567504</v>
      </c>
      <c r="P222" s="77">
        <f>(VLOOKUP($A222,'The List'!$B1:$AH665,28,FALSE)-AVERAGE('The List'!AC2:AC665))/STDEV('The List'!AC2:AC665)</f>
        <v>0.551602514057789</v>
      </c>
      <c r="Q222" s="77">
        <f>(VLOOKUP($A222,'The List'!$B1:$AH665,29,FALSE)-AVERAGE('The List'!AD2:AD665))/STDEV('The List'!AD2:AD665)</f>
        <v>-0.959392949391955</v>
      </c>
      <c r="R222" s="77">
        <f>(VLOOKUP($A222,'The List'!$B1:$AH665,30,FALSE)-AVERAGE('The List'!AE2:AE665))/STDEV('The List'!AE2:AE665)</f>
        <v>0.136411922425018</v>
      </c>
      <c r="S222" s="77">
        <f>(VLOOKUP($A222,'The List'!$B1:$AH665,31,FALSE)-AVERAGE('The List'!AF2:AF665))/STDEV('The List'!AF2:AF665)</f>
        <v>-0.570763561151426</v>
      </c>
      <c r="T222" s="77">
        <f>(VLOOKUP($A222,'The List'!$B1:$AH665,32,FALSE)-AVERAGE('The List'!AG2:AG665))/STDEV('The List'!AG2:AG665)</f>
        <v>-0.611844204608348</v>
      </c>
      <c r="U222" s="77">
        <f>(VLOOKUP($A222,'The List'!$B1:$AH665,33,FALSE)-AVERAGE('The List'!AH2:AH665))/STDEV('The List'!AH2:AH665)</f>
        <v>-0.356667855517065</v>
      </c>
      <c r="V222" s="77"/>
      <c r="W222" s="79"/>
      <c r="X222" s="79"/>
      <c r="Y222" s="79"/>
      <c r="Z222" s="79"/>
      <c r="AA222" s="79"/>
      <c r="AB222" s="79"/>
      <c r="AC222" s="82"/>
      <c r="AD222" s="83"/>
      <c r="AE222" s="84"/>
    </row>
    <row r="223" ht="21.25" customHeight="1">
      <c r="A223" t="s" s="10">
        <v>417</v>
      </c>
      <c r="B223" t="s" s="86">
        <f>VLOOKUP(A223,'Player Data'!A1:B667,2,FALSE)</f>
        <v>904</v>
      </c>
      <c r="C223" s="74">
        <f>((E223)*'Settings'!$C$12)+(F223*'Settings'!$C$2)+(G223*'Settings'!$C$3)+(H223*'Settings'!$C$4)+(I223*'Settings'!$C$5)+(K223*'Settings'!$C$9)+(N223*'Settings'!$C$6)+(J223*'Settings'!$C$8)+(O223*'Settings'!$C$7)+(P223*'Settings'!$C$14)+(Q223*'Settings'!$C$15)+(R223*'Settings'!$C$16)+(S223*'Settings'!$C$17)+(T223*'Settings'!$C$18)+(U223*'Settings'!$C$19)+(L223*'Settings'!$C$10)+('Settings'!$C$11*M223)</f>
        <v>1.44357923224083</v>
      </c>
      <c r="D223" s="79">
        <f>IF('Settings'!$E$12="YES",VLOOKUP(A223,'Player Data'!A1:E667,5,FALSE),82)</f>
        <v>72.30249999999999</v>
      </c>
      <c r="E223" s="77">
        <f>(VLOOKUP($A223,'The List'!$B1:$AH665,17,FALSE)-AVERAGE('The List'!R2:R665))/STDEV('The List'!R2:R665)</f>
        <v>1.51026452403595</v>
      </c>
      <c r="F223" s="77">
        <f>(VLOOKUP($A223,'The List'!$B1:$AH665,18,FALSE)-AVERAGE('The List'!S2:S665))/STDEV('The List'!S2:S665)</f>
        <v>-0.411594353745981</v>
      </c>
      <c r="G223" s="77">
        <f>(VLOOKUP($A223,'The List'!$B1:$AH665,19,FALSE)-AVERAGE('The List'!T2:T665))/STDEV('The List'!T2:T665)</f>
        <v>0.319306622769257</v>
      </c>
      <c r="H223" s="77">
        <f>(VLOOKUP($A223,'The List'!$B1:$AH665,20,FALSE)-AVERAGE('The List'!U2:U665))/STDEV('The List'!U2:U665)</f>
        <v>0.0112181683212693</v>
      </c>
      <c r="I223" s="77">
        <f>(VLOOKUP($A223,'The List'!$B1:$AH665,21,FALSE)-AVERAGE('The List'!V2:V665))/STDEV('The List'!V2:V665)</f>
        <v>0.398415746206157</v>
      </c>
      <c r="J223" s="77">
        <f>(VLOOKUP($A223,'The List'!$B1:$AH665,22,FALSE)-AVERAGE('The List'!W2:W665))/STDEV('The List'!W2:W665)</f>
        <v>-0.293789486033865</v>
      </c>
      <c r="K223" s="77">
        <f>(VLOOKUP($A223,'The List'!$B1:$AH665,23,FALSE)-AVERAGE('The List'!X2:X665))/STDEV('The List'!X2:X665)</f>
        <v>0.122066416594119</v>
      </c>
      <c r="L223" s="77">
        <f>(VLOOKUP($A223,'The List'!$B1:$AH665,24,FALSE)-AVERAGE('The List'!Y2:Y665))/STDEV('The List'!Y2:Y665)</f>
        <v>-0.544564372692852</v>
      </c>
      <c r="M223" s="77">
        <f>(VLOOKUP($A223,'The List'!$B1:$AH665,25,FALSE)-AVERAGE('The List'!Z2:Z665))/STDEV('The List'!Z2:Z665)</f>
        <v>-0.647962764039494</v>
      </c>
      <c r="N223" s="77">
        <f>(VLOOKUP($A223,'The List'!$B1:$AH665,26,FALSE)-AVERAGE('The List'!AA2:AA665))/STDEV('The List'!AA2:AA665)</f>
        <v>1.27260984359221</v>
      </c>
      <c r="O223" s="77">
        <f>(VLOOKUP($A223,'The List'!$B1:$AH665,27,FALSE)-AVERAGE('The List'!AB2:AB665))/STDEV('The List'!AB2:AB665)</f>
        <v>-0.448375972465765</v>
      </c>
      <c r="P223" s="77">
        <f>(VLOOKUP($A223,'The List'!$B1:$AH665,28,FALSE)-AVERAGE('The List'!AC2:AC665))/STDEV('The List'!AC2:AC665)</f>
        <v>-0.257225043174933</v>
      </c>
      <c r="Q223" s="77">
        <f>(VLOOKUP($A223,'The List'!$B1:$AH665,29,FALSE)-AVERAGE('The List'!AD2:AD665))/STDEV('The List'!AD2:AD665)</f>
        <v>0.449418957156434</v>
      </c>
      <c r="R223" s="77">
        <f>(VLOOKUP($A223,'The List'!$B1:$AH665,30,FALSE)-AVERAGE('The List'!AE2:AE665))/STDEV('The List'!AE2:AE665)</f>
        <v>-0.356275169376241</v>
      </c>
      <c r="S223" s="77">
        <f>(VLOOKUP($A223,'The List'!$B1:$AH665,31,FALSE)-AVERAGE('The List'!AF2:AF665))/STDEV('The List'!AF2:AF665)</f>
        <v>-0.573894410680004</v>
      </c>
      <c r="T223" s="77">
        <f>(VLOOKUP($A223,'The List'!$B1:$AH665,32,FALSE)-AVERAGE('The List'!AG2:AG665))/STDEV('The List'!AG2:AG665)</f>
        <v>-0.625770787132651</v>
      </c>
      <c r="U223" s="77">
        <f>(VLOOKUP($A223,'The List'!$B1:$AH665,33,FALSE)-AVERAGE('The List'!AH2:AH665))/STDEV('The List'!AH2:AH665)</f>
        <v>-1.23143509451486</v>
      </c>
      <c r="V223" s="77"/>
      <c r="W223" s="89"/>
      <c r="X223" s="79"/>
      <c r="Y223" s="79"/>
      <c r="Z223" s="79"/>
      <c r="AA223" s="79"/>
      <c r="AB223" s="79"/>
      <c r="AC223" s="82"/>
      <c r="AD223" s="83"/>
      <c r="AE223" s="84"/>
    </row>
    <row r="224" ht="21.25" customHeight="1">
      <c r="A224" t="s" s="10">
        <v>577</v>
      </c>
      <c r="B224" t="s" s="86">
        <f>VLOOKUP(A224,'Player Data'!A1:B667,2,FALSE)</f>
        <v>878</v>
      </c>
      <c r="C224" s="74">
        <f>((E224)*'Settings'!$C$12)+(F224*'Settings'!$C$2)+(G224*'Settings'!$C$3)+(H224*'Settings'!$C$4)+(I224*'Settings'!$C$5)+(K224*'Settings'!$C$9)+(N224*'Settings'!$C$6)+(J224*'Settings'!$C$8)+(O224*'Settings'!$C$7)+(P224*'Settings'!$C$14)+(Q224*'Settings'!$C$15)+(R224*'Settings'!$C$16)+(S224*'Settings'!$C$17)+(T224*'Settings'!$C$18)+(U224*'Settings'!$C$19)+(L224*'Settings'!$C$10)+('Settings'!$C$11*M224)</f>
        <v>-0.32676332374038</v>
      </c>
      <c r="D224" s="79">
        <f>IF('Settings'!$E$12="YES",VLOOKUP(A224,'Player Data'!A1:E667,5,FALSE),82)</f>
        <v>77.815</v>
      </c>
      <c r="E224" s="77">
        <f>(VLOOKUP($A224,'The List'!$B1:$AH665,17,FALSE)-AVERAGE('The List'!R2:R665))/STDEV('The List'!R2:R665)</f>
        <v>-0.139546039369849</v>
      </c>
      <c r="F224" s="77">
        <f>(VLOOKUP($A224,'The List'!$B1:$AH665,18,FALSE)-AVERAGE('The List'!S2:S665))/STDEV('The List'!S2:S665)</f>
        <v>0.193335185078824</v>
      </c>
      <c r="G224" s="77">
        <f>(VLOOKUP($A224,'The List'!$B1:$AH665,19,FALSE)-AVERAGE('The List'!T2:T665))/STDEV('The List'!T2:T665)</f>
        <v>0.0710766605686127</v>
      </c>
      <c r="H224" s="77">
        <f>(VLOOKUP($A224,'The List'!$B1:$AH665,20,FALSE)-AVERAGE('The List'!U2:U665))/STDEV('The List'!U2:U665)</f>
        <v>0.132022634297036</v>
      </c>
      <c r="I224" s="77">
        <f>(VLOOKUP($A224,'The List'!$B1:$AH665,21,FALSE)-AVERAGE('The List'!V2:V665))/STDEV('The List'!V2:V665)</f>
        <v>0.389124362616544</v>
      </c>
      <c r="J224" s="77">
        <f>(VLOOKUP($A224,'The List'!$B1:$AH665,22,FALSE)-AVERAGE('The List'!W2:W665))/STDEV('The List'!W2:W665)</f>
        <v>-0.313862450009081</v>
      </c>
      <c r="K224" s="77">
        <f>(VLOOKUP($A224,'The List'!$B1:$AH665,23,FALSE)-AVERAGE('The List'!X2:X665))/STDEV('The List'!X2:X665)</f>
        <v>-0.337644759133672</v>
      </c>
      <c r="L224" s="77">
        <f>(VLOOKUP($A224,'The List'!$B1:$AH665,24,FALSE)-AVERAGE('The List'!Y2:Y665))/STDEV('The List'!Y2:Y665)</f>
        <v>2.01991299725381</v>
      </c>
      <c r="M224" s="77">
        <f>(VLOOKUP($A224,'The List'!$B1:$AH665,25,FALSE)-AVERAGE('The List'!Z2:Z665))/STDEV('The List'!Z2:Z665)</f>
        <v>1.29708324800642</v>
      </c>
      <c r="N224" s="77">
        <f>(VLOOKUP($A224,'The List'!$B1:$AH665,26,FALSE)-AVERAGE('The List'!AA2:AA665))/STDEV('The List'!AA2:AA665)</f>
        <v>-0.789582405449329</v>
      </c>
      <c r="O224" s="77">
        <f>(VLOOKUP($A224,'The List'!$B1:$AH665,27,FALSE)-AVERAGE('The List'!AB2:AB665))/STDEV('The List'!AB2:AB665)</f>
        <v>-0.642144857877508</v>
      </c>
      <c r="P224" s="77">
        <f>(VLOOKUP($A224,'The List'!$B1:$AH665,28,FALSE)-AVERAGE('The List'!AC2:AC665))/STDEV('The List'!AC2:AC665)</f>
        <v>0.14692763257864</v>
      </c>
      <c r="Q224" s="77">
        <f>(VLOOKUP($A224,'The List'!$B1:$AH665,29,FALSE)-AVERAGE('The List'!AD2:AD665))/STDEV('The List'!AD2:AD665)</f>
        <v>-1.05729165912558</v>
      </c>
      <c r="R224" s="77">
        <f>(VLOOKUP($A224,'The List'!$B1:$AH665,30,FALSE)-AVERAGE('The List'!AE2:AE665))/STDEV('The List'!AE2:AE665)</f>
        <v>0.326893279045311</v>
      </c>
      <c r="S224" s="77">
        <f>(VLOOKUP($A224,'The List'!$B1:$AH665,31,FALSE)-AVERAGE('The List'!AF2:AF665))/STDEV('The List'!AF2:AF665)</f>
        <v>-0.53990130220498</v>
      </c>
      <c r="T224" s="77">
        <f>(VLOOKUP($A224,'The List'!$B1:$AH665,32,FALSE)-AVERAGE('The List'!AG2:AG665))/STDEV('The List'!AG2:AG665)</f>
        <v>-0.577280815183661</v>
      </c>
      <c r="U224" s="77">
        <f>(VLOOKUP($A224,'The List'!$B1:$AH665,33,FALSE)-AVERAGE('The List'!AH2:AH665))/STDEV('The List'!AH2:AH665)</f>
        <v>0.7048507501851889</v>
      </c>
      <c r="V224" s="77"/>
      <c r="W224" s="89"/>
      <c r="X224" s="79"/>
      <c r="Y224" s="79"/>
      <c r="Z224" s="79"/>
      <c r="AA224" s="79"/>
      <c r="AB224" s="79"/>
      <c r="AC224" s="82"/>
      <c r="AD224" s="83"/>
      <c r="AE224" s="84"/>
    </row>
    <row r="225" ht="21.25" customHeight="1">
      <c r="A225" t="s" s="10">
        <v>439</v>
      </c>
      <c r="B225" t="s" s="86">
        <f>VLOOKUP(A225,'Player Data'!A1:B667,2,FALSE)</f>
        <v>259</v>
      </c>
      <c r="C225" s="74">
        <f>((E225)*'Settings'!$C$12)+(F225*'Settings'!$C$2)+(G225*'Settings'!$C$3)+(H225*'Settings'!$C$4)+(I225*'Settings'!$C$5)+(K225*'Settings'!$C$9)+(N225*'Settings'!$C$6)+(J225*'Settings'!$C$8)+(O225*'Settings'!$C$7)+(P225*'Settings'!$C$14)+(Q225*'Settings'!$C$15)+(R225*'Settings'!$C$16)+(S225*'Settings'!$C$17)+(T225*'Settings'!$C$18)+(U225*'Settings'!$C$19)+(L225*'Settings'!$C$10)+('Settings'!$C$11*M225)</f>
        <v>0.957336520298755</v>
      </c>
      <c r="D225" s="79">
        <f>IF('Settings'!$E$12="YES",VLOOKUP(A225,'Player Data'!A1:E667,5,FALSE),82)</f>
        <v>78.7</v>
      </c>
      <c r="E225" s="77">
        <f>(VLOOKUP($A225,'The List'!$B1:$AH665,17,FALSE)-AVERAGE('The List'!R2:R665))/STDEV('The List'!R2:R665)</f>
        <v>-0.279000379991759</v>
      </c>
      <c r="F225" s="77">
        <f>(VLOOKUP($A225,'The List'!$B1:$AH665,18,FALSE)-AVERAGE('The List'!S2:S665))/STDEV('The List'!S2:S665)</f>
        <v>0.36995830476923</v>
      </c>
      <c r="G225" s="77">
        <f>(VLOOKUP($A225,'The List'!$B1:$AH665,19,FALSE)-AVERAGE('The List'!T2:T665))/STDEV('The List'!T2:T665)</f>
        <v>-0.0262010051182326</v>
      </c>
      <c r="H225" s="77">
        <f>(VLOOKUP($A225,'The List'!$B1:$AH665,20,FALSE)-AVERAGE('The List'!U2:U665))/STDEV('The List'!U2:U665)</f>
        <v>0.151891337635908</v>
      </c>
      <c r="I225" s="77">
        <f>(VLOOKUP($A225,'The List'!$B1:$AH665,21,FALSE)-AVERAGE('The List'!V2:V665))/STDEV('The List'!V2:V665)</f>
        <v>0.726953025512135</v>
      </c>
      <c r="J225" s="77">
        <f>(VLOOKUP($A225,'The List'!$B1:$AH665,22,FALSE)-AVERAGE('The List'!W2:W665))/STDEV('The List'!W2:W665)</f>
        <v>0.556016378488585</v>
      </c>
      <c r="K225" s="77">
        <f>(VLOOKUP($A225,'The List'!$B1:$AH665,23,FALSE)-AVERAGE('The List'!X2:X665))/STDEV('The List'!X2:X665)</f>
        <v>0.103202662942989</v>
      </c>
      <c r="L225" s="77">
        <f>(VLOOKUP($A225,'The List'!$B1:$AH665,24,FALSE)-AVERAGE('The List'!Y2:Y665))/STDEV('The List'!Y2:Y665)</f>
        <v>-0.578299321309833</v>
      </c>
      <c r="M225" s="77">
        <f>(VLOOKUP($A225,'The List'!$B1:$AH665,25,FALSE)-AVERAGE('The List'!Z2:Z665))/STDEV('The List'!Z2:Z665)</f>
        <v>-0.752090783481808</v>
      </c>
      <c r="N225" s="77">
        <f>(VLOOKUP($A225,'The List'!$B1:$AH665,26,FALSE)-AVERAGE('The List'!AA2:AA665))/STDEV('The List'!AA2:AA665)</f>
        <v>-0.527854891978776</v>
      </c>
      <c r="O225" s="77">
        <f>(VLOOKUP($A225,'The List'!$B1:$AH665,27,FALSE)-AVERAGE('The List'!AB2:AB665))/STDEV('The List'!AB2:AB665)</f>
        <v>0.435865460037392</v>
      </c>
      <c r="P225" s="77">
        <f>(VLOOKUP($A225,'The List'!$B1:$AH665,28,FALSE)-AVERAGE('The List'!AC2:AC665))/STDEV('The List'!AC2:AC665)</f>
        <v>0.31127842417141</v>
      </c>
      <c r="Q225" s="77">
        <f>(VLOOKUP($A225,'The List'!$B1:$AH665,29,FALSE)-AVERAGE('The List'!AD2:AD665))/STDEV('The List'!AD2:AD665)</f>
        <v>-0.936803628565517</v>
      </c>
      <c r="R225" s="77">
        <f>(VLOOKUP($A225,'The List'!$B1:$AH665,30,FALSE)-AVERAGE('The List'!AE2:AE665))/STDEV('The List'!AE2:AE665)</f>
        <v>0.345845577801776</v>
      </c>
      <c r="S225" s="77">
        <f>(VLOOKUP($A225,'The List'!$B1:$AH665,31,FALSE)-AVERAGE('The List'!AF2:AF665))/STDEV('The List'!AF2:AF665)</f>
        <v>-0.529270812718947</v>
      </c>
      <c r="T225" s="77">
        <f>(VLOOKUP($A225,'The List'!$B1:$AH665,32,FALSE)-AVERAGE('The List'!AG2:AG665))/STDEV('The List'!AG2:AG665)</f>
        <v>-0.5487624168563791</v>
      </c>
      <c r="U225" s="77">
        <f>(VLOOKUP($A225,'The List'!$B1:$AH665,33,FALSE)-AVERAGE('The List'!AH2:AH665))/STDEV('The List'!AH2:AH665)</f>
        <v>0.497110126387266</v>
      </c>
      <c r="V225" s="77"/>
      <c r="W225" s="79"/>
      <c r="X225" s="77"/>
      <c r="Y225" s="77"/>
      <c r="Z225" s="77"/>
      <c r="AA225" s="77"/>
      <c r="AB225" s="77"/>
      <c r="AC225" s="77"/>
      <c r="AD225" s="77"/>
      <c r="AE225" s="84"/>
    </row>
    <row r="226" ht="21.25" customHeight="1">
      <c r="A226" t="s" s="10">
        <v>660</v>
      </c>
      <c r="B226" t="s" s="86">
        <f>VLOOKUP(A226,'Player Data'!A1:B667,2,FALSE)</f>
        <v>907</v>
      </c>
      <c r="C226" s="74">
        <f>((E226)*'Settings'!$C$12)+(F226*'Settings'!$C$2)+(G226*'Settings'!$C$3)+(H226*'Settings'!$C$4)+(I226*'Settings'!$C$5)+(K226*'Settings'!$C$9)+(N226*'Settings'!$C$6)+(J226*'Settings'!$C$8)+(O226*'Settings'!$C$7)+(P226*'Settings'!$C$14)+(Q226*'Settings'!$C$15)+(R226*'Settings'!$C$16)+(S226*'Settings'!$C$17)+(T226*'Settings'!$C$18)+(U226*'Settings'!$C$19)+(L226*'Settings'!$C$10)+('Settings'!$C$11*M226)</f>
        <v>-1.65041997386226</v>
      </c>
      <c r="D226" s="79">
        <f>IF('Settings'!$E$12="YES",VLOOKUP(A226,'Player Data'!A1:E667,5,FALSE),82)</f>
        <v>80.11750000000001</v>
      </c>
      <c r="E226" s="77">
        <f>(VLOOKUP($A226,'The List'!$B1:$AH665,17,FALSE)-AVERAGE('The List'!R2:R665))/STDEV('The List'!R2:R665)</f>
        <v>-0.221948931521988</v>
      </c>
      <c r="F226" s="77">
        <f>(VLOOKUP($A226,'The List'!$B1:$AH665,18,FALSE)-AVERAGE('The List'!S2:S665))/STDEV('The List'!S2:S665)</f>
        <v>0.813076329013526</v>
      </c>
      <c r="G226" s="77">
        <f>(VLOOKUP($A226,'The List'!$B1:$AH665,19,FALSE)-AVERAGE('The List'!T2:T665))/STDEV('The List'!T2:T665)</f>
        <v>-0.300373363925956</v>
      </c>
      <c r="H226" s="77">
        <f>(VLOOKUP($A226,'The List'!$B1:$AH665,20,FALSE)-AVERAGE('The List'!U2:U665))/STDEV('The List'!U2:U665)</f>
        <v>0.183033091731117</v>
      </c>
      <c r="I226" s="77">
        <f>(VLOOKUP($A226,'The List'!$B1:$AH665,21,FALSE)-AVERAGE('The List'!V2:V665))/STDEV('The List'!V2:V665)</f>
        <v>0.198118652418134</v>
      </c>
      <c r="J226" s="77">
        <f>(VLOOKUP($A226,'The List'!$B1:$AH665,22,FALSE)-AVERAGE('The List'!W2:W665))/STDEV('The List'!W2:W665)</f>
        <v>0.325905186324386</v>
      </c>
      <c r="K226" s="77">
        <f>(VLOOKUP($A226,'The List'!$B1:$AH665,23,FALSE)-AVERAGE('The List'!X2:X665))/STDEV('The List'!X2:X665)</f>
        <v>-0.223629214654455</v>
      </c>
      <c r="L226" s="77">
        <f>(VLOOKUP($A226,'The List'!$B1:$AH665,24,FALSE)-AVERAGE('The List'!Y2:Y665))/STDEV('The List'!Y2:Y665)</f>
        <v>0.221721796485685</v>
      </c>
      <c r="M226" s="77">
        <f>(VLOOKUP($A226,'The List'!$B1:$AH665,25,FALSE)-AVERAGE('The List'!Z2:Z665))/STDEV('The List'!Z2:Z665)</f>
        <v>0.135161321743622</v>
      </c>
      <c r="N226" s="77">
        <f>(VLOOKUP($A226,'The List'!$B1:$AH665,26,FALSE)-AVERAGE('The List'!AA2:AA665))/STDEV('The List'!AA2:AA665)</f>
        <v>-0.9886828873196249</v>
      </c>
      <c r="O226" s="77">
        <f>(VLOOKUP($A226,'The List'!$B1:$AH665,27,FALSE)-AVERAGE('The List'!AB2:AB665))/STDEV('The List'!AB2:AB665)</f>
        <v>-1.3760803144478</v>
      </c>
      <c r="P226" s="77">
        <f>(VLOOKUP($A226,'The List'!$B1:$AH665,28,FALSE)-AVERAGE('The List'!AC2:AC665))/STDEV('The List'!AC2:AC665)</f>
        <v>-1.14892948939388</v>
      </c>
      <c r="Q226" s="77">
        <f>(VLOOKUP($A226,'The List'!$B1:$AH665,29,FALSE)-AVERAGE('The List'!AD2:AD665))/STDEV('The List'!AD2:AD665)</f>
        <v>-0.931165057882793</v>
      </c>
      <c r="R226" s="77">
        <f>(VLOOKUP($A226,'The List'!$B1:$AH665,30,FALSE)-AVERAGE('The List'!AE2:AE665))/STDEV('The List'!AE2:AE665)</f>
        <v>0.383788159586935</v>
      </c>
      <c r="S226" s="77">
        <f>(VLOOKUP($A226,'The List'!$B1:$AH665,31,FALSE)-AVERAGE('The List'!AF2:AF665))/STDEV('The List'!AF2:AF665)</f>
        <v>-0.521131953407418</v>
      </c>
      <c r="T226" s="77">
        <f>(VLOOKUP($A226,'The List'!$B1:$AH665,32,FALSE)-AVERAGE('The List'!AG2:AG665))/STDEV('The List'!AG2:AG665)</f>
        <v>-0.55719852360246</v>
      </c>
      <c r="U226" s="77">
        <f>(VLOOKUP($A226,'The List'!$B1:$AH665,33,FALSE)-AVERAGE('The List'!AH2:AH665))/STDEV('The List'!AH2:AH665)</f>
        <v>0.808759756179776</v>
      </c>
      <c r="V226" s="77"/>
      <c r="W226" s="79"/>
      <c r="X226" s="77"/>
      <c r="Y226" s="77"/>
      <c r="Z226" s="77"/>
      <c r="AA226" s="77"/>
      <c r="AB226" s="77"/>
      <c r="AC226" s="77"/>
      <c r="AD226" s="77"/>
      <c r="AE226" s="84"/>
    </row>
    <row r="227" ht="21.25" customHeight="1">
      <c r="A227" t="s" s="10">
        <v>654</v>
      </c>
      <c r="B227" t="s" s="86">
        <f>VLOOKUP(A227,'Player Data'!A1:B667,2,FALSE)</f>
        <v>905</v>
      </c>
      <c r="C227" s="74">
        <f>((E227)*'Settings'!$C$12)+(F227*'Settings'!$C$2)+(G227*'Settings'!$C$3)+(H227*'Settings'!$C$4)+(I227*'Settings'!$C$5)+(K227*'Settings'!$C$9)+(N227*'Settings'!$C$6)+(J227*'Settings'!$C$8)+(O227*'Settings'!$C$7)+(P227*'Settings'!$C$14)+(Q227*'Settings'!$C$15)+(R227*'Settings'!$C$16)+(S227*'Settings'!$C$17)+(T227*'Settings'!$C$18)+(U227*'Settings'!$C$19)+(L227*'Settings'!$C$10)+('Settings'!$C$11*M227)</f>
        <v>-2.67657297097521</v>
      </c>
      <c r="D227" s="79">
        <f>IF('Settings'!$E$12="YES",VLOOKUP(A227,'Player Data'!A1:E667,5,FALSE),82)</f>
        <v>77.6375</v>
      </c>
      <c r="E227" s="77">
        <f>(VLOOKUP($A227,'The List'!$B1:$AH665,17,FALSE)-AVERAGE('The List'!R2:R665))/STDEV('The List'!R2:R665)</f>
        <v>-0.000198846630808847</v>
      </c>
      <c r="F227" s="77">
        <f>(VLOOKUP($A227,'The List'!$B1:$AH665,18,FALSE)-AVERAGE('The List'!S2:S665))/STDEV('The List'!S2:S665)</f>
        <v>0.039472741394986</v>
      </c>
      <c r="G227" s="77">
        <f>(VLOOKUP($A227,'The List'!$B1:$AH665,19,FALSE)-AVERAGE('The List'!T2:T665))/STDEV('The List'!T2:T665)</f>
        <v>0.168942516230232</v>
      </c>
      <c r="H227" s="77">
        <f>(VLOOKUP($A227,'The List'!$B1:$AH665,20,FALSE)-AVERAGE('The List'!U2:U665))/STDEV('The List'!U2:U665)</f>
        <v>0.122865039152072</v>
      </c>
      <c r="I227" s="77">
        <f>(VLOOKUP($A227,'The List'!$B1:$AH665,21,FALSE)-AVERAGE('The List'!V2:V665))/STDEV('The List'!V2:V665)</f>
        <v>-0.147389041851801</v>
      </c>
      <c r="J227" s="77">
        <f>(VLOOKUP($A227,'The List'!$B1:$AH665,22,FALSE)-AVERAGE('The List'!W2:W665))/STDEV('The List'!W2:W665)</f>
        <v>0.208393169713933</v>
      </c>
      <c r="K227" s="77">
        <f>(VLOOKUP($A227,'The List'!$B1:$AH665,23,FALSE)-AVERAGE('The List'!X2:X665))/STDEV('The List'!X2:X665)</f>
        <v>0.349332116877913</v>
      </c>
      <c r="L227" s="77">
        <f>(VLOOKUP($A227,'The List'!$B1:$AH665,24,FALSE)-AVERAGE('The List'!Y2:Y665))/STDEV('The List'!Y2:Y665)</f>
        <v>-0.465642717082034</v>
      </c>
      <c r="M227" s="77">
        <f>(VLOOKUP($A227,'The List'!$B1:$AH665,25,FALSE)-AVERAGE('The List'!Z2:Z665))/STDEV('The List'!Z2:Z665)</f>
        <v>-0.637540929716219</v>
      </c>
      <c r="N227" s="77">
        <f>(VLOOKUP($A227,'The List'!$B1:$AH665,26,FALSE)-AVERAGE('The List'!AA2:AA665))/STDEV('The List'!AA2:AA665)</f>
        <v>-0.541968753152325</v>
      </c>
      <c r="O227" s="77">
        <f>(VLOOKUP($A227,'The List'!$B1:$AH665,27,FALSE)-AVERAGE('The List'!AB2:AB665))/STDEV('The List'!AB2:AB665)</f>
        <v>-1.20255209463387</v>
      </c>
      <c r="P227" s="77">
        <f>(VLOOKUP($A227,'The List'!$B1:$AH665,28,FALSE)-AVERAGE('The List'!AC2:AC665))/STDEV('The List'!AC2:AC665)</f>
        <v>-2.54496255047421</v>
      </c>
      <c r="Q227" s="77">
        <f>(VLOOKUP($A227,'The List'!$B1:$AH665,29,FALSE)-AVERAGE('The List'!AD2:AD665))/STDEV('The List'!AD2:AD665)</f>
        <v>-0.794535028426717</v>
      </c>
      <c r="R227" s="77">
        <f>(VLOOKUP($A227,'The List'!$B1:$AH665,30,FALSE)-AVERAGE('The List'!AE2:AE665))/STDEV('The List'!AE2:AE665)</f>
        <v>-0.136119914641591</v>
      </c>
      <c r="S227" s="77">
        <f>(VLOOKUP($A227,'The List'!$B1:$AH665,31,FALSE)-AVERAGE('The List'!AF2:AF665))/STDEV('The List'!AF2:AF665)</f>
        <v>-0.0551778798787476</v>
      </c>
      <c r="T227" s="77">
        <f>(VLOOKUP($A227,'The List'!$B1:$AH665,32,FALSE)-AVERAGE('The List'!AG2:AG665))/STDEV('The List'!AG2:AG665)</f>
        <v>0.0465737606952722</v>
      </c>
      <c r="U227" s="77">
        <f>(VLOOKUP($A227,'The List'!$B1:$AH665,33,FALSE)-AVERAGE('The List'!AH2:AH665))/STDEV('The List'!AH2:AH665)</f>
        <v>0.811761241709049</v>
      </c>
      <c r="V227" s="77"/>
      <c r="W227" s="89"/>
      <c r="X227" s="79"/>
      <c r="Y227" s="79"/>
      <c r="Z227" s="79"/>
      <c r="AA227" s="79"/>
      <c r="AB227" s="79"/>
      <c r="AC227" s="82"/>
      <c r="AD227" s="83"/>
      <c r="AE227" s="84"/>
    </row>
    <row r="228" ht="21.25" customHeight="1">
      <c r="A228" t="s" s="10">
        <v>596</v>
      </c>
      <c r="B228" t="s" s="86">
        <f>VLOOKUP(A228,'Player Data'!A1:B667,2,FALSE)</f>
        <v>912</v>
      </c>
      <c r="C228" s="74">
        <f>((E228)*'Settings'!$C$12)+(F228*'Settings'!$C$2)+(G228*'Settings'!$C$3)+(H228*'Settings'!$C$4)+(I228*'Settings'!$C$5)+(K228*'Settings'!$C$9)+(N228*'Settings'!$C$6)+(J228*'Settings'!$C$8)+(O228*'Settings'!$C$7)+(P228*'Settings'!$C$14)+(Q228*'Settings'!$C$15)+(R228*'Settings'!$C$16)+(S228*'Settings'!$C$17)+(T228*'Settings'!$C$18)+(U228*'Settings'!$C$19)+(L228*'Settings'!$C$10)+('Settings'!$C$11*M228)</f>
        <v>-2.22741777215797</v>
      </c>
      <c r="D228" s="79">
        <f>IF('Settings'!$E$12="YES",VLOOKUP(A228,'Player Data'!A1:E667,5,FALSE),82)</f>
        <v>72</v>
      </c>
      <c r="E228" s="77">
        <f>(VLOOKUP($A228,'The List'!$B1:$AH665,17,FALSE)-AVERAGE('The List'!R2:R665))/STDEV('The List'!R2:R665)</f>
        <v>-0.243400789607013</v>
      </c>
      <c r="F228" s="77">
        <f>(VLOOKUP($A228,'The List'!$B1:$AH665,18,FALSE)-AVERAGE('The List'!S2:S665))/STDEV('The List'!S2:S665)</f>
        <v>0.321824812850298</v>
      </c>
      <c r="G228" s="77">
        <f>(VLOOKUP($A228,'The List'!$B1:$AH665,19,FALSE)-AVERAGE('The List'!T2:T665))/STDEV('The List'!T2:T665)</f>
        <v>-0.262932294847053</v>
      </c>
      <c r="H228" s="77">
        <f>(VLOOKUP($A228,'The List'!$B1:$AH665,20,FALSE)-AVERAGE('The List'!U2:U665))/STDEV('The List'!U2:U665)</f>
        <v>-0.0170110642853261</v>
      </c>
      <c r="I228" s="77">
        <f>(VLOOKUP($A228,'The List'!$B1:$AH665,21,FALSE)-AVERAGE('The List'!V2:V665))/STDEV('The List'!V2:V665)</f>
        <v>0.0158673360632633</v>
      </c>
      <c r="J228" s="77">
        <f>(VLOOKUP($A228,'The List'!$B1:$AH665,22,FALSE)-AVERAGE('The List'!W2:W665))/STDEV('The List'!W2:W665)</f>
        <v>0.328561756399948</v>
      </c>
      <c r="K228" s="77">
        <f>(VLOOKUP($A228,'The List'!$B1:$AH665,23,FALSE)-AVERAGE('The List'!X2:X665))/STDEV('The List'!X2:X665)</f>
        <v>0.0469720794395374</v>
      </c>
      <c r="L228" s="77">
        <f>(VLOOKUP($A228,'The List'!$B1:$AH665,24,FALSE)-AVERAGE('The List'!Y2:Y665))/STDEV('The List'!Y2:Y665)</f>
        <v>-0.580182913902084</v>
      </c>
      <c r="M228" s="77">
        <f>(VLOOKUP($A228,'The List'!$B1:$AH665,25,FALSE)-AVERAGE('The List'!Z2:Z665))/STDEV('The List'!Z2:Z665)</f>
        <v>-0.754036664989997</v>
      </c>
      <c r="N228" s="77">
        <f>(VLOOKUP($A228,'The List'!$B1:$AH665,26,FALSE)-AVERAGE('The List'!AA2:AA665))/STDEV('The List'!AA2:AA665)</f>
        <v>-0.809668970898882</v>
      </c>
      <c r="O228" s="77">
        <f>(VLOOKUP($A228,'The List'!$B1:$AH665,27,FALSE)-AVERAGE('The List'!AB2:AB665))/STDEV('The List'!AB2:AB665)</f>
        <v>-0.140461514074199</v>
      </c>
      <c r="P228" s="77">
        <f>(VLOOKUP($A228,'The List'!$B1:$AH665,28,FALSE)-AVERAGE('The List'!AC2:AC665))/STDEV('The List'!AC2:AC665)</f>
        <v>-1.53948073476513</v>
      </c>
      <c r="Q228" s="77">
        <f>(VLOOKUP($A228,'The List'!$B1:$AH665,29,FALSE)-AVERAGE('The List'!AD2:AD665))/STDEV('The List'!AD2:AD665)</f>
        <v>-0.274107938590499</v>
      </c>
      <c r="R228" s="77">
        <f>(VLOOKUP($A228,'The List'!$B1:$AH665,30,FALSE)-AVERAGE('The List'!AE2:AE665))/STDEV('The List'!AE2:AE665)</f>
        <v>-0.0365774068791611</v>
      </c>
      <c r="S228" s="77">
        <f>(VLOOKUP($A228,'The List'!$B1:$AH665,31,FALSE)-AVERAGE('The List'!AF2:AF665))/STDEV('The List'!AF2:AF665)</f>
        <v>-0.573894410680004</v>
      </c>
      <c r="T228" s="77">
        <f>(VLOOKUP($A228,'The List'!$B1:$AH665,32,FALSE)-AVERAGE('The List'!AG2:AG665))/STDEV('The List'!AG2:AG665)</f>
        <v>-0.625770787132651</v>
      </c>
      <c r="U228" s="77">
        <f>(VLOOKUP($A228,'The List'!$B1:$AH665,33,FALSE)-AVERAGE('The List'!AH2:AH665))/STDEV('The List'!AH2:AH665)</f>
        <v>-1.23143509451486</v>
      </c>
      <c r="V228" s="77"/>
      <c r="W228" s="89"/>
      <c r="X228" s="79"/>
      <c r="Y228" s="79"/>
      <c r="Z228" s="79"/>
      <c r="AA228" s="79"/>
      <c r="AB228" s="79"/>
      <c r="AC228" s="82"/>
      <c r="AD228" s="83"/>
      <c r="AE228" s="84"/>
    </row>
    <row r="229" ht="21.25" customHeight="1">
      <c r="A229" t="s" s="10">
        <v>652</v>
      </c>
      <c r="B229" t="s" s="86">
        <f>VLOOKUP(A229,'Player Data'!A1:B667,2,FALSE)</f>
        <v>901</v>
      </c>
      <c r="C229" s="74">
        <f>((E229)*'Settings'!$C$12)+(F229*'Settings'!$C$2)+(G229*'Settings'!$C$3)+(H229*'Settings'!$C$4)+(I229*'Settings'!$C$5)+(K229*'Settings'!$C$9)+(N229*'Settings'!$C$6)+(J229*'Settings'!$C$8)+(O229*'Settings'!$C$7)+(P229*'Settings'!$C$14)+(Q229*'Settings'!$C$15)+(R229*'Settings'!$C$16)+(S229*'Settings'!$C$17)+(T229*'Settings'!$C$18)+(U229*'Settings'!$C$19)+(L229*'Settings'!$C$10)+('Settings'!$C$11*M229)</f>
        <v>-0.939246081893615</v>
      </c>
      <c r="D229" s="79">
        <f>IF('Settings'!$E$12="YES",VLOOKUP(A229,'Player Data'!A1:E667,5,FALSE),82)</f>
        <v>76.86499999999999</v>
      </c>
      <c r="E229" s="77">
        <f>(VLOOKUP($A229,'The List'!$B1:$AH665,17,FALSE)-AVERAGE('The List'!R2:R665))/STDEV('The List'!R2:R665)</f>
        <v>-1.23852362856929</v>
      </c>
      <c r="F229" s="77">
        <f>(VLOOKUP($A229,'The List'!$B1:$AH665,18,FALSE)-AVERAGE('The List'!S2:S665))/STDEV('The List'!S2:S665)</f>
        <v>0.419021850222484</v>
      </c>
      <c r="G229" s="77">
        <f>(VLOOKUP($A229,'The List'!$B1:$AH665,19,FALSE)-AVERAGE('The List'!T2:T665))/STDEV('The List'!T2:T665)</f>
        <v>-0.170699833617292</v>
      </c>
      <c r="H229" s="77">
        <f>(VLOOKUP($A229,'The List'!$B1:$AH665,20,FALSE)-AVERAGE('The List'!U2:U665))/STDEV('The List'!U2:U665)</f>
        <v>0.08445115382740841</v>
      </c>
      <c r="I229" s="77">
        <f>(VLOOKUP($A229,'The List'!$B1:$AH665,21,FALSE)-AVERAGE('The List'!V2:V665))/STDEV('The List'!V2:V665)</f>
        <v>0.430864585660545</v>
      </c>
      <c r="J229" s="77">
        <f>(VLOOKUP($A229,'The List'!$B1:$AH665,22,FALSE)-AVERAGE('The List'!W2:W665))/STDEV('The List'!W2:W665)</f>
        <v>-0.0424048181791029</v>
      </c>
      <c r="K229" s="77">
        <f>(VLOOKUP($A229,'The List'!$B1:$AH665,23,FALSE)-AVERAGE('The List'!X2:X665))/STDEV('The List'!X2:X665)</f>
        <v>-0.0772281480717579</v>
      </c>
      <c r="L229" s="77">
        <f>(VLOOKUP($A229,'The List'!$B1:$AH665,24,FALSE)-AVERAGE('The List'!Y2:Y665))/STDEV('The List'!Y2:Y665)</f>
        <v>-0.575821082347281</v>
      </c>
      <c r="M229" s="77">
        <f>(VLOOKUP($A229,'The List'!$B1:$AH665,25,FALSE)-AVERAGE('The List'!Z2:Z665))/STDEV('The List'!Z2:Z665)</f>
        <v>-0.749575130138432</v>
      </c>
      <c r="N229" s="77">
        <f>(VLOOKUP($A229,'The List'!$B1:$AH665,26,FALSE)-AVERAGE('The List'!AA2:AA665))/STDEV('The List'!AA2:AA665)</f>
        <v>-1.05946881755819</v>
      </c>
      <c r="O229" s="77">
        <f>(VLOOKUP($A229,'The List'!$B1:$AH665,27,FALSE)-AVERAGE('The List'!AB2:AB665))/STDEV('The List'!AB2:AB665)</f>
        <v>-0.95921190615421</v>
      </c>
      <c r="P229" s="77">
        <f>(VLOOKUP($A229,'The List'!$B1:$AH665,28,FALSE)-AVERAGE('The List'!AC2:AC665))/STDEV('The List'!AC2:AC665)</f>
        <v>-0.481735718529404</v>
      </c>
      <c r="Q229" s="77">
        <f>(VLOOKUP($A229,'The List'!$B1:$AH665,29,FALSE)-AVERAGE('The List'!AD2:AD665))/STDEV('The List'!AD2:AD665)</f>
        <v>-0.930694739806855</v>
      </c>
      <c r="R229" s="77">
        <f>(VLOOKUP($A229,'The List'!$B1:$AH665,30,FALSE)-AVERAGE('The List'!AE2:AE665))/STDEV('The List'!AE2:AE665)</f>
        <v>0.645973438831571</v>
      </c>
      <c r="S229" s="77">
        <f>(VLOOKUP($A229,'The List'!$B1:$AH665,31,FALSE)-AVERAGE('The List'!AF2:AF665))/STDEV('The List'!AF2:AF665)</f>
        <v>-0.552065168578635</v>
      </c>
      <c r="T229" s="77">
        <f>(VLOOKUP($A229,'The List'!$B1:$AH665,32,FALSE)-AVERAGE('The List'!AG2:AG665))/STDEV('The List'!AG2:AG665)</f>
        <v>-0.594372192032314</v>
      </c>
      <c r="U229" s="77">
        <f>(VLOOKUP($A229,'The List'!$B1:$AH665,33,FALSE)-AVERAGE('The List'!AH2:AH665))/STDEV('The List'!AH2:AH665)</f>
        <v>0.695635006114308</v>
      </c>
      <c r="V229" s="77"/>
      <c r="W229" s="89"/>
      <c r="X229" s="79"/>
      <c r="Y229" s="79"/>
      <c r="Z229" s="79"/>
      <c r="AA229" s="79"/>
      <c r="AB229" s="79"/>
      <c r="AC229" s="82"/>
      <c r="AD229" s="83"/>
      <c r="AE229" s="84"/>
    </row>
    <row r="230" ht="21.25" customHeight="1">
      <c r="A230" t="s" s="10">
        <v>769</v>
      </c>
      <c r="B230" t="s" s="86">
        <f>VLOOKUP(A230,'Player Data'!A1:B667,2,FALSE)</f>
        <v>899</v>
      </c>
      <c r="C230" s="74">
        <f>((E230)*'Settings'!$C$12)+(F230*'Settings'!$C$2)+(G230*'Settings'!$C$3)+(H230*'Settings'!$C$4)+(I230*'Settings'!$C$5)+(K230*'Settings'!$C$9)+(N230*'Settings'!$C$6)+(J230*'Settings'!$C$8)+(O230*'Settings'!$C$7)+(P230*'Settings'!$C$14)+(Q230*'Settings'!$C$15)+(R230*'Settings'!$C$16)+(S230*'Settings'!$C$17)+(T230*'Settings'!$C$18)+(U230*'Settings'!$C$19)+(L230*'Settings'!$C$10)+('Settings'!$C$11*M230)</f>
        <v>-2.16256059619132</v>
      </c>
      <c r="D230" s="79">
        <f>IF('Settings'!$E$12="YES",VLOOKUP(A230,'Player Data'!A1:E667,5,FALSE),82)</f>
        <v>61.695</v>
      </c>
      <c r="E230" s="77">
        <f>(VLOOKUP($A230,'The List'!$B1:$AH665,17,FALSE)-AVERAGE('The List'!R2:R665))/STDEV('The List'!R2:R665)</f>
        <v>-0.751732560265044</v>
      </c>
      <c r="F230" s="77">
        <f>(VLOOKUP($A230,'The List'!$B1:$AH665,18,FALSE)-AVERAGE('The List'!S2:S665))/STDEV('The List'!S2:S665)</f>
        <v>-0.160991960069687</v>
      </c>
      <c r="G230" s="77">
        <f>(VLOOKUP($A230,'The List'!$B1:$AH665,19,FALSE)-AVERAGE('The List'!T2:T665))/STDEV('The List'!T2:T665)</f>
        <v>-0.305094549802366</v>
      </c>
      <c r="H230" s="77">
        <f>(VLOOKUP($A230,'The List'!$B1:$AH665,20,FALSE)-AVERAGE('The List'!U2:U665))/STDEV('The List'!U2:U665)</f>
        <v>-0.262659368732215</v>
      </c>
      <c r="I230" s="77">
        <f>(VLOOKUP($A230,'The List'!$B1:$AH665,21,FALSE)-AVERAGE('The List'!V2:V665))/STDEV('The List'!V2:V665)</f>
        <v>-0.727350541276343</v>
      </c>
      <c r="J230" s="77">
        <f>(VLOOKUP($A230,'The List'!$B1:$AH665,22,FALSE)-AVERAGE('The List'!W2:W665))/STDEV('The List'!W2:W665)</f>
        <v>-0.439555081621479</v>
      </c>
      <c r="K230" s="77">
        <f>(VLOOKUP($A230,'The List'!$B1:$AH665,23,FALSE)-AVERAGE('The List'!X2:X665))/STDEV('The List'!X2:X665)</f>
        <v>-0.474899610318215</v>
      </c>
      <c r="L230" s="77">
        <f>(VLOOKUP($A230,'The List'!$B1:$AH665,24,FALSE)-AVERAGE('The List'!Y2:Y665))/STDEV('The List'!Y2:Y665)</f>
        <v>-0.56637482392861</v>
      </c>
      <c r="M230" s="77">
        <f>(VLOOKUP($A230,'The List'!$B1:$AH665,25,FALSE)-AVERAGE('The List'!Z2:Z665))/STDEV('The List'!Z2:Z665)</f>
        <v>-0.740127625832377</v>
      </c>
      <c r="N230" s="77">
        <f>(VLOOKUP($A230,'The List'!$B1:$AH665,26,FALSE)-AVERAGE('The List'!AA2:AA665))/STDEV('The List'!AA2:AA665)</f>
        <v>-0.870823378344066</v>
      </c>
      <c r="O230" s="77">
        <f>(VLOOKUP($A230,'The List'!$B1:$AH665,27,FALSE)-AVERAGE('The List'!AB2:AB665))/STDEV('The List'!AB2:AB665)</f>
        <v>-0.961773023776187</v>
      </c>
      <c r="P230" s="77">
        <f>(VLOOKUP($A230,'The List'!$B1:$AH665,28,FALSE)-AVERAGE('The List'!AC2:AC665))/STDEV('The List'!AC2:AC665)</f>
        <v>0.376599443619362</v>
      </c>
      <c r="Q230" s="77">
        <f>(VLOOKUP($A230,'The List'!$B1:$AH665,29,FALSE)-AVERAGE('The List'!AD2:AD665))/STDEV('The List'!AD2:AD665)</f>
        <v>-1.02039743436079</v>
      </c>
      <c r="R230" s="77">
        <f>(VLOOKUP($A230,'The List'!$B1:$AH665,30,FALSE)-AVERAGE('The List'!AE2:AE665))/STDEV('The List'!AE2:AE665)</f>
        <v>-0.102843311587802</v>
      </c>
      <c r="S230" s="77">
        <f>(VLOOKUP($A230,'The List'!$B1:$AH665,31,FALSE)-AVERAGE('The List'!AF2:AF665))/STDEV('The List'!AF2:AF665)</f>
        <v>0.48159789463178</v>
      </c>
      <c r="T230" s="77">
        <f>(VLOOKUP($A230,'The List'!$B1:$AH665,32,FALSE)-AVERAGE('The List'!AG2:AG665))/STDEV('The List'!AG2:AG665)</f>
        <v>0.8205502938700699</v>
      </c>
      <c r="U230" s="77">
        <f>(VLOOKUP($A230,'The List'!$B1:$AH665,33,FALSE)-AVERAGE('The List'!AH2:AH665))/STDEV('The List'!AH2:AH665)</f>
        <v>0.749547184056874</v>
      </c>
      <c r="V230" s="77"/>
      <c r="W230" s="89"/>
      <c r="X230" s="79"/>
      <c r="Y230" s="79"/>
      <c r="Z230" s="79"/>
      <c r="AA230" s="79"/>
      <c r="AB230" s="79"/>
      <c r="AC230" s="82"/>
      <c r="AD230" s="83"/>
      <c r="AE230" s="84"/>
    </row>
    <row r="231" ht="21.25" customHeight="1">
      <c r="A231" t="s" s="10">
        <v>578</v>
      </c>
      <c r="B231" t="s" s="86">
        <f>VLOOKUP(A231,'Player Data'!A1:B667,2,FALSE)</f>
        <v>910</v>
      </c>
      <c r="C231" s="74">
        <f>((E231)*'Settings'!$C$12)+(F231*'Settings'!$C$2)+(G231*'Settings'!$C$3)+(H231*'Settings'!$C$4)+(I231*'Settings'!$C$5)+(K231*'Settings'!$C$9)+(N231*'Settings'!$C$6)+(J231*'Settings'!$C$8)+(O231*'Settings'!$C$7)+(P231*'Settings'!$C$14)+(Q231*'Settings'!$C$15)+(R231*'Settings'!$C$16)+(S231*'Settings'!$C$17)+(T231*'Settings'!$C$18)+(U231*'Settings'!$C$19)+(L231*'Settings'!$C$10)+('Settings'!$C$11*M231)</f>
        <v>-1.03789684992794</v>
      </c>
      <c r="D231" s="79">
        <f>IF('Settings'!$E$12="YES",VLOOKUP(A231,'Player Data'!A1:E667,5,FALSE),82)</f>
        <v>68.02249999999999</v>
      </c>
      <c r="E231" s="77">
        <f>(VLOOKUP($A231,'The List'!$B1:$AH665,17,FALSE)-AVERAGE('The List'!R2:R665))/STDEV('The List'!R2:R665)</f>
        <v>0.225709701588438</v>
      </c>
      <c r="F231" s="77">
        <f>(VLOOKUP($A231,'The List'!$B1:$AH665,18,FALSE)-AVERAGE('The List'!S2:S665))/STDEV('The List'!S2:S665)</f>
        <v>-0.240559795999581</v>
      </c>
      <c r="G231" s="77">
        <f>(VLOOKUP($A231,'The List'!$B1:$AH665,19,FALSE)-AVERAGE('The List'!T2:T665))/STDEV('The List'!T2:T665)</f>
        <v>0.102070939526961</v>
      </c>
      <c r="H231" s="77">
        <f>(VLOOKUP($A231,'The List'!$B1:$AH665,20,FALSE)-AVERAGE('The List'!U2:U665))/STDEV('The List'!U2:U665)</f>
        <v>-0.0459540693041102</v>
      </c>
      <c r="I231" s="77">
        <f>(VLOOKUP($A231,'The List'!$B1:$AH665,21,FALSE)-AVERAGE('The List'!V2:V665))/STDEV('The List'!V2:V665)</f>
        <v>0.590333056367934</v>
      </c>
      <c r="J231" s="77">
        <f>(VLOOKUP($A231,'The List'!$B1:$AH665,22,FALSE)-AVERAGE('The List'!W2:W665))/STDEV('The List'!W2:W665)</f>
        <v>-0.13046227615349</v>
      </c>
      <c r="K231" s="77">
        <f>(VLOOKUP($A231,'The List'!$B1:$AH665,23,FALSE)-AVERAGE('The List'!X2:X665))/STDEV('The List'!X2:X665)</f>
        <v>-0.283573975235255</v>
      </c>
      <c r="L231" s="77">
        <f>(VLOOKUP($A231,'The List'!$B1:$AH665,24,FALSE)-AVERAGE('The List'!Y2:Y665))/STDEV('The List'!Y2:Y665)</f>
        <v>-0.308152111632869</v>
      </c>
      <c r="M231" s="77">
        <f>(VLOOKUP($A231,'The List'!$B1:$AH665,25,FALSE)-AVERAGE('The List'!Z2:Z665))/STDEV('The List'!Z2:Z665)</f>
        <v>1.30574755955847</v>
      </c>
      <c r="N231" s="77">
        <f>(VLOOKUP($A231,'The List'!$B1:$AH665,26,FALSE)-AVERAGE('The List'!AA2:AA665))/STDEV('The List'!AA2:AA665)</f>
        <v>-0.644487666716291</v>
      </c>
      <c r="O231" s="77">
        <f>(VLOOKUP($A231,'The List'!$B1:$AH665,27,FALSE)-AVERAGE('The List'!AB2:AB665))/STDEV('The List'!AB2:AB665)</f>
        <v>-0.833048809235549</v>
      </c>
      <c r="P231" s="77">
        <f>(VLOOKUP($A231,'The List'!$B1:$AH665,28,FALSE)-AVERAGE('The List'!AC2:AC665))/STDEV('The List'!AC2:AC665)</f>
        <v>-0.561679407871703</v>
      </c>
      <c r="Q231" s="77">
        <f>(VLOOKUP($A231,'The List'!$B1:$AH665,29,FALSE)-AVERAGE('The List'!AD2:AD665))/STDEV('The List'!AD2:AD665)</f>
        <v>-0.244923695028238</v>
      </c>
      <c r="R231" s="77">
        <f>(VLOOKUP($A231,'The List'!$B1:$AH665,30,FALSE)-AVERAGE('The List'!AE2:AE665))/STDEV('The List'!AE2:AE665)</f>
        <v>-0.258179483867715</v>
      </c>
      <c r="S231" s="77">
        <f>(VLOOKUP($A231,'The List'!$B1:$AH665,31,FALSE)-AVERAGE('The List'!AF2:AF665))/STDEV('The List'!AF2:AF665)</f>
        <v>2.42866664602447</v>
      </c>
      <c r="T231" s="77">
        <f>(VLOOKUP($A231,'The List'!$B1:$AH665,32,FALSE)-AVERAGE('The List'!AG2:AG665))/STDEV('The List'!AG2:AG665)</f>
        <v>2.10327482235485</v>
      </c>
      <c r="U231" s="77">
        <f>(VLOOKUP($A231,'The List'!$B1:$AH665,33,FALSE)-AVERAGE('The List'!AH2:AH665))/STDEV('The List'!AH2:AH665)</f>
        <v>1.21289439731379</v>
      </c>
      <c r="V231" s="77"/>
      <c r="W231" s="89"/>
      <c r="X231" s="79"/>
      <c r="Y231" s="79"/>
      <c r="Z231" s="79"/>
      <c r="AA231" s="79"/>
      <c r="AB231" s="79"/>
      <c r="AC231" s="82"/>
      <c r="AD231" s="83"/>
      <c r="AE231" s="84"/>
    </row>
    <row r="232" ht="21.25" customHeight="1">
      <c r="A232" t="s" s="10">
        <v>519</v>
      </c>
      <c r="B232" t="s" s="86">
        <f>VLOOKUP(A232,'Player Data'!A1:B667,2,FALSE)</f>
        <v>904</v>
      </c>
      <c r="C232" s="74">
        <f>((E232)*'Settings'!$C$12)+(F232*'Settings'!$C$2)+(G232*'Settings'!$C$3)+(H232*'Settings'!$C$4)+(I232*'Settings'!$C$5)+(K232*'Settings'!$C$9)+(N232*'Settings'!$C$6)+(J232*'Settings'!$C$8)+(O232*'Settings'!$C$7)+(P232*'Settings'!$C$14)+(Q232*'Settings'!$C$15)+(R232*'Settings'!$C$16)+(S232*'Settings'!$C$17)+(T232*'Settings'!$C$18)+(U232*'Settings'!$C$19)+(L232*'Settings'!$C$10)+('Settings'!$C$11*M232)</f>
        <v>-0.175953352216938</v>
      </c>
      <c r="D232" s="79">
        <f>IF('Settings'!$E$12="YES",VLOOKUP(A232,'Player Data'!A1:E667,5,FALSE),82)</f>
        <v>79.465</v>
      </c>
      <c r="E232" s="77">
        <f>(VLOOKUP($A232,'The List'!$B1:$AH665,17,FALSE)-AVERAGE('The List'!R2:R665))/STDEV('The List'!R2:R665)</f>
        <v>-0.534629343034588</v>
      </c>
      <c r="F232" s="77">
        <f>(VLOOKUP($A232,'The List'!$B1:$AH665,18,FALSE)-AVERAGE('The List'!S2:S665))/STDEV('The List'!S2:S665)</f>
        <v>0.222506858972489</v>
      </c>
      <c r="G232" s="77">
        <f>(VLOOKUP($A232,'The List'!$B1:$AH665,19,FALSE)-AVERAGE('The List'!T2:T665))/STDEV('The List'!T2:T665)</f>
        <v>0.0399343435297628</v>
      </c>
      <c r="H232" s="77">
        <f>(VLOOKUP($A232,'The List'!$B1:$AH665,20,FALSE)-AVERAGE('The List'!U2:U665))/STDEV('The List'!U2:U665)</f>
        <v>0.125941416767793</v>
      </c>
      <c r="I232" s="77">
        <f>(VLOOKUP($A232,'The List'!$B1:$AH665,21,FALSE)-AVERAGE('The List'!V2:V665))/STDEV('The List'!V2:V665)</f>
        <v>0.290447694778235</v>
      </c>
      <c r="J232" s="77">
        <f>(VLOOKUP($A232,'The List'!$B1:$AH665,22,FALSE)-AVERAGE('The List'!W2:W665))/STDEV('The List'!W2:W665)</f>
        <v>0.509617732735226</v>
      </c>
      <c r="K232" s="77">
        <f>(VLOOKUP($A232,'The List'!$B1:$AH665,23,FALSE)-AVERAGE('The List'!X2:X665))/STDEV('The List'!X2:X665)</f>
        <v>0.448679048231164</v>
      </c>
      <c r="L232" s="77">
        <f>(VLOOKUP($A232,'The List'!$B1:$AH665,24,FALSE)-AVERAGE('The List'!Y2:Y665))/STDEV('The List'!Y2:Y665)</f>
        <v>-0.579373581561479</v>
      </c>
      <c r="M232" s="77">
        <f>(VLOOKUP($A232,'The List'!$B1:$AH665,25,FALSE)-AVERAGE('The List'!Z2:Z665))/STDEV('The List'!Z2:Z665)</f>
        <v>-0.753192343975951</v>
      </c>
      <c r="N232" s="77">
        <f>(VLOOKUP($A232,'The List'!$B1:$AH665,26,FALSE)-AVERAGE('The List'!AA2:AA665))/STDEV('The List'!AA2:AA665)</f>
        <v>-0.9197696008502</v>
      </c>
      <c r="O232" s="77">
        <f>(VLOOKUP($A232,'The List'!$B1:$AH665,27,FALSE)-AVERAGE('The List'!AB2:AB665))/STDEV('The List'!AB2:AB665)</f>
        <v>0.321898608725103</v>
      </c>
      <c r="P232" s="77">
        <f>(VLOOKUP($A232,'The List'!$B1:$AH665,28,FALSE)-AVERAGE('The List'!AC2:AC665))/STDEV('The List'!AC2:AC665)</f>
        <v>-0.257751696878389</v>
      </c>
      <c r="Q232" s="77">
        <f>(VLOOKUP($A232,'The List'!$B1:$AH665,29,FALSE)-AVERAGE('The List'!AD2:AD665))/STDEV('The List'!AD2:AD665)</f>
        <v>0.607362794632352</v>
      </c>
      <c r="R232" s="77">
        <f>(VLOOKUP($A232,'The List'!$B1:$AH665,30,FALSE)-AVERAGE('The List'!AE2:AE665))/STDEV('The List'!AE2:AE665)</f>
        <v>0.275664827062736</v>
      </c>
      <c r="S232" s="77">
        <f>(VLOOKUP($A232,'The List'!$B1:$AH665,31,FALSE)-AVERAGE('The List'!AF2:AF665))/STDEV('The List'!AF2:AF665)</f>
        <v>-0.53527664146433</v>
      </c>
      <c r="T232" s="77">
        <f>(VLOOKUP($A232,'The List'!$B1:$AH665,32,FALSE)-AVERAGE('The List'!AG2:AG665))/STDEV('The List'!AG2:AG665)</f>
        <v>-0.534780773728081</v>
      </c>
      <c r="U232" s="77">
        <f>(VLOOKUP($A232,'The List'!$B1:$AH665,33,FALSE)-AVERAGE('The List'!AH2:AH665))/STDEV('The List'!AH2:AH665)</f>
        <v>0.178455424474475</v>
      </c>
      <c r="V232" s="77"/>
      <c r="W232" s="89"/>
      <c r="X232" s="79"/>
      <c r="Y232" s="79"/>
      <c r="Z232" s="79"/>
      <c r="AA232" s="79"/>
      <c r="AB232" s="79"/>
      <c r="AC232" s="82"/>
      <c r="AD232" s="83"/>
      <c r="AE232" s="84"/>
    </row>
    <row r="233" ht="21.25" customHeight="1">
      <c r="A233" t="s" s="10">
        <v>666</v>
      </c>
      <c r="B233" t="s" s="86">
        <f>VLOOKUP(A233,'Player Data'!A1:B667,2,FALSE)</f>
        <v>914</v>
      </c>
      <c r="C233" s="74">
        <f>((E233)*'Settings'!$C$12)+(F233*'Settings'!$C$2)+(G233*'Settings'!$C$3)+(H233*'Settings'!$C$4)+(I233*'Settings'!$C$5)+(K233*'Settings'!$C$9)+(N233*'Settings'!$C$6)+(J233*'Settings'!$C$8)+(O233*'Settings'!$C$7)+(P233*'Settings'!$C$14)+(Q233*'Settings'!$C$15)+(R233*'Settings'!$C$16)+(S233*'Settings'!$C$17)+(T233*'Settings'!$C$18)+(U233*'Settings'!$C$19)+(L233*'Settings'!$C$10)+('Settings'!$C$11*M233)</f>
        <v>-3.25985753990604</v>
      </c>
      <c r="D233" s="79">
        <f>IF('Settings'!$E$12="YES",VLOOKUP(A233,'Player Data'!A1:E667,5,FALSE),82)</f>
        <v>67.7325</v>
      </c>
      <c r="E233" s="77">
        <f>(VLOOKUP($A233,'The List'!$B1:$AH665,17,FALSE)-AVERAGE('The List'!R2:R665))/STDEV('The List'!R2:R665)</f>
        <v>-0.583557054890155</v>
      </c>
      <c r="F233" s="77">
        <f>(VLOOKUP($A233,'The List'!$B1:$AH665,18,FALSE)-AVERAGE('The List'!S2:S665))/STDEV('The List'!S2:S665)</f>
        <v>0.231715101619673</v>
      </c>
      <c r="G233" s="77">
        <f>(VLOOKUP($A233,'The List'!$B1:$AH665,19,FALSE)-AVERAGE('The List'!T2:T665))/STDEV('The List'!T2:T665)</f>
        <v>-0.404650158406702</v>
      </c>
      <c r="H233" s="77">
        <f>(VLOOKUP($A233,'The List'!$B1:$AH665,20,FALSE)-AVERAGE('The List'!U2:U665))/STDEV('The List'!U2:U665)</f>
        <v>-0.145984973096773</v>
      </c>
      <c r="I233" s="77">
        <f>(VLOOKUP($A233,'The List'!$B1:$AH665,21,FALSE)-AVERAGE('The List'!V2:V665))/STDEV('The List'!V2:V665)</f>
        <v>-0.06786248366822729</v>
      </c>
      <c r="J233" s="77">
        <f>(VLOOKUP($A233,'The List'!$B1:$AH665,22,FALSE)-AVERAGE('The List'!W2:W665))/STDEV('The List'!W2:W665)</f>
        <v>-0.29760675536948</v>
      </c>
      <c r="K233" s="77">
        <f>(VLOOKUP($A233,'The List'!$B1:$AH665,23,FALSE)-AVERAGE('The List'!X2:X665))/STDEV('The List'!X2:X665)</f>
        <v>-0.43914168581913</v>
      </c>
      <c r="L233" s="77">
        <f>(VLOOKUP($A233,'The List'!$B1:$AH665,24,FALSE)-AVERAGE('The List'!Y2:Y665))/STDEV('The List'!Y2:Y665)</f>
        <v>-0.36034884959568</v>
      </c>
      <c r="M233" s="77">
        <f>(VLOOKUP($A233,'The List'!$B1:$AH665,25,FALSE)-AVERAGE('The List'!Z2:Z665))/STDEV('The List'!Z2:Z665)</f>
        <v>-0.529172510774689</v>
      </c>
      <c r="N233" s="77">
        <f>(VLOOKUP($A233,'The List'!$B1:$AH665,26,FALSE)-AVERAGE('The List'!AA2:AA665))/STDEV('The List'!AA2:AA665)</f>
        <v>-0.725447966264265</v>
      </c>
      <c r="O233" s="77">
        <f>(VLOOKUP($A233,'The List'!$B1:$AH665,27,FALSE)-AVERAGE('The List'!AB2:AB665))/STDEV('The List'!AB2:AB665)</f>
        <v>-0.638987405023174</v>
      </c>
      <c r="P233" s="77">
        <f>(VLOOKUP($A233,'The List'!$B1:$AH665,28,FALSE)-AVERAGE('The List'!AC2:AC665))/STDEV('The List'!AC2:AC665)</f>
        <v>-1.85447034736739</v>
      </c>
      <c r="Q233" s="77">
        <f>(VLOOKUP($A233,'The List'!$B1:$AH665,29,FALSE)-AVERAGE('The List'!AD2:AD665))/STDEV('The List'!AD2:AD665)</f>
        <v>-1.05973600021664</v>
      </c>
      <c r="R233" s="77">
        <f>(VLOOKUP($A233,'The List'!$B1:$AH665,30,FALSE)-AVERAGE('The List'!AE2:AE665))/STDEV('The List'!AE2:AE665)</f>
        <v>-0.164021880202477</v>
      </c>
      <c r="S233" s="77">
        <f>(VLOOKUP($A233,'The List'!$B1:$AH665,31,FALSE)-AVERAGE('The List'!AF2:AF665))/STDEV('The List'!AF2:AF665)</f>
        <v>-0.566201539803086</v>
      </c>
      <c r="T233" s="77">
        <f>(VLOOKUP($A233,'The List'!$B1:$AH665,32,FALSE)-AVERAGE('The List'!AG2:AG665))/STDEV('The List'!AG2:AG665)</f>
        <v>-0.556235095828911</v>
      </c>
      <c r="U233" s="77">
        <f>(VLOOKUP($A233,'The List'!$B1:$AH665,33,FALSE)-AVERAGE('The List'!AH2:AH665))/STDEV('The List'!AH2:AH665)</f>
        <v>-0.754176480044953</v>
      </c>
      <c r="V233" s="77"/>
      <c r="W233" s="79"/>
      <c r="X233" s="77"/>
      <c r="Y233" s="77"/>
      <c r="Z233" s="77"/>
      <c r="AA233" s="77"/>
      <c r="AB233" s="77"/>
      <c r="AC233" s="77"/>
      <c r="AD233" s="77"/>
      <c r="AE233" s="84"/>
    </row>
    <row r="234" ht="21.25" customHeight="1">
      <c r="A234" t="s" s="10">
        <v>529</v>
      </c>
      <c r="B234" t="s" s="86">
        <f>VLOOKUP(A234,'Player Data'!A1:B667,2,FALSE)</f>
        <v>342</v>
      </c>
      <c r="C234" s="74">
        <f>((E234)*'Settings'!$C$12)+(F234*'Settings'!$C$2)+(G234*'Settings'!$C$3)+(H234*'Settings'!$C$4)+(I234*'Settings'!$C$5)+(K234*'Settings'!$C$9)+(N234*'Settings'!$C$6)+(J234*'Settings'!$C$8)+(O234*'Settings'!$C$7)+(P234*'Settings'!$C$14)+(Q234*'Settings'!$C$15)+(R234*'Settings'!$C$16)+(S234*'Settings'!$C$17)+(T234*'Settings'!$C$18)+(U234*'Settings'!$C$19)+(L234*'Settings'!$C$10)+('Settings'!$C$11*M234)</f>
        <v>0.78305213257355</v>
      </c>
      <c r="D234" s="79">
        <f>IF('Settings'!$E$12="YES",VLOOKUP(A234,'Player Data'!A1:E667,5,FALSE),82)</f>
        <v>79.89749999999999</v>
      </c>
      <c r="E234" s="77">
        <f>(VLOOKUP($A234,'The List'!$B1:$AH665,17,FALSE)-AVERAGE('The List'!R2:R665))/STDEV('The List'!R2:R665)</f>
        <v>-0.453809756588445</v>
      </c>
      <c r="F234" s="77">
        <f>(VLOOKUP($A234,'The List'!$B1:$AH665,18,FALSE)-AVERAGE('The List'!S2:S665))/STDEV('The List'!S2:S665)</f>
        <v>0.323762493282868</v>
      </c>
      <c r="G234" s="77">
        <f>(VLOOKUP($A234,'The List'!$B1:$AH665,19,FALSE)-AVERAGE('The List'!T2:T665))/STDEV('The List'!T2:T665)</f>
        <v>-0.0389794453903489</v>
      </c>
      <c r="H234" s="77">
        <f>(VLOOKUP($A234,'The List'!$B1:$AH665,20,FALSE)-AVERAGE('The List'!U2:U665))/STDEV('The List'!U2:U665)</f>
        <v>0.122957015535593</v>
      </c>
      <c r="I234" s="77">
        <f>(VLOOKUP($A234,'The List'!$B1:$AH665,21,FALSE)-AVERAGE('The List'!V2:V665))/STDEV('The List'!V2:V665)</f>
        <v>0.18750868064518</v>
      </c>
      <c r="J234" s="77">
        <f>(VLOOKUP($A234,'The List'!$B1:$AH665,22,FALSE)-AVERAGE('The List'!W2:W665))/STDEV('The List'!W2:W665)</f>
        <v>-0.139093052005907</v>
      </c>
      <c r="K234" s="77">
        <f>(VLOOKUP($A234,'The List'!$B1:$AH665,23,FALSE)-AVERAGE('The List'!X2:X665))/STDEV('The List'!X2:X665)</f>
        <v>-0.0961315776732444</v>
      </c>
      <c r="L234" s="77">
        <f>(VLOOKUP($A234,'The List'!$B1:$AH665,24,FALSE)-AVERAGE('The List'!Y2:Y665))/STDEV('The List'!Y2:Y665)</f>
        <v>-0.275840122660239</v>
      </c>
      <c r="M234" s="77">
        <f>(VLOOKUP($A234,'The List'!$B1:$AH665,25,FALSE)-AVERAGE('The List'!Z2:Z665))/STDEV('The List'!Z2:Z665)</f>
        <v>-0.302185115171842</v>
      </c>
      <c r="N234" s="77">
        <f>(VLOOKUP($A234,'The List'!$B1:$AH665,26,FALSE)-AVERAGE('The List'!AA2:AA665))/STDEV('The List'!AA2:AA665)</f>
        <v>-0.763062846865685</v>
      </c>
      <c r="O234" s="77">
        <f>(VLOOKUP($A234,'The List'!$B1:$AH665,27,FALSE)-AVERAGE('The List'!AB2:AB665))/STDEV('The List'!AB2:AB665)</f>
        <v>-0.200068541927478</v>
      </c>
      <c r="P234" s="77">
        <f>(VLOOKUP($A234,'The List'!$B1:$AH665,28,FALSE)-AVERAGE('The List'!AC2:AC665))/STDEV('The List'!AC2:AC665)</f>
        <v>1.16995482857478</v>
      </c>
      <c r="Q234" s="77">
        <f>(VLOOKUP($A234,'The List'!$B1:$AH665,29,FALSE)-AVERAGE('The List'!AD2:AD665))/STDEV('The List'!AD2:AD665)</f>
        <v>0.68940577325167</v>
      </c>
      <c r="R234" s="77">
        <f>(VLOOKUP($A234,'The List'!$B1:$AH665,30,FALSE)-AVERAGE('The List'!AE2:AE665))/STDEV('The List'!AE2:AE665)</f>
        <v>0.568269012551627</v>
      </c>
      <c r="S234" s="77">
        <f>(VLOOKUP($A234,'The List'!$B1:$AH665,31,FALSE)-AVERAGE('The List'!AF2:AF665))/STDEV('The List'!AF2:AF665)</f>
        <v>1.2321333191471</v>
      </c>
      <c r="T234" s="77">
        <f>(VLOOKUP($A234,'The List'!$B1:$AH665,32,FALSE)-AVERAGE('The List'!AG2:AG665))/STDEV('The List'!AG2:AG665)</f>
        <v>1.18875798774044</v>
      </c>
      <c r="U234" s="77">
        <f>(VLOOKUP($A234,'The List'!$B1:$AH665,33,FALSE)-AVERAGE('The List'!AH2:AH665))/STDEV('The List'!AH2:AH665)</f>
        <v>1.09967892044486</v>
      </c>
      <c r="V234" s="77"/>
      <c r="W234" s="89"/>
      <c r="X234" s="79"/>
      <c r="Y234" s="79"/>
      <c r="Z234" s="79"/>
      <c r="AA234" s="79"/>
      <c r="AB234" s="79"/>
      <c r="AC234" s="82"/>
      <c r="AD234" s="83"/>
      <c r="AE234" s="84"/>
    </row>
    <row r="235" ht="21.25" customHeight="1">
      <c r="A235" t="s" s="10">
        <v>458</v>
      </c>
      <c r="B235" t="s" s="86">
        <f>VLOOKUP(A235,'Player Data'!A1:B667,2,FALSE)</f>
        <v>912</v>
      </c>
      <c r="C235" s="74">
        <f>((E235)*'Settings'!$C$12)+(F235*'Settings'!$C$2)+(G235*'Settings'!$C$3)+(H235*'Settings'!$C$4)+(I235*'Settings'!$C$5)+(K235*'Settings'!$C$9)+(N235*'Settings'!$C$6)+(J235*'Settings'!$C$8)+(O235*'Settings'!$C$7)+(P235*'Settings'!$C$14)+(Q235*'Settings'!$C$15)+(R235*'Settings'!$C$16)+(S235*'Settings'!$C$17)+(T235*'Settings'!$C$18)+(U235*'Settings'!$C$19)+(L235*'Settings'!$C$10)+('Settings'!$C$11*M235)</f>
        <v>-1.5284415258973</v>
      </c>
      <c r="D235" s="79">
        <f>IF('Settings'!$E$12="YES",VLOOKUP(A235,'Player Data'!A1:E667,5,FALSE),82)</f>
        <v>74.145</v>
      </c>
      <c r="E235" s="77">
        <f>(VLOOKUP($A235,'The List'!$B1:$AH665,17,FALSE)-AVERAGE('The List'!R2:R665))/STDEV('The List'!R2:R665)</f>
        <v>0.8717696503014279</v>
      </c>
      <c r="F235" s="77">
        <f>(VLOOKUP($A235,'The List'!$B1:$AH665,18,FALSE)-AVERAGE('The List'!S2:S665))/STDEV('The List'!S2:S665)</f>
        <v>-0.786590698234763</v>
      </c>
      <c r="G235" s="77">
        <f>(VLOOKUP($A235,'The List'!$B1:$AH665,19,FALSE)-AVERAGE('The List'!T2:T665))/STDEV('The List'!T2:T665)</f>
        <v>0.565874034851046</v>
      </c>
      <c r="H235" s="77">
        <f>(VLOOKUP($A235,'The List'!$B1:$AH665,20,FALSE)-AVERAGE('The List'!U2:U665))/STDEV('The List'!U2:U665)</f>
        <v>-0.00610326833259737</v>
      </c>
      <c r="I235" s="77">
        <f>(VLOOKUP($A235,'The List'!$B1:$AH665,21,FALSE)-AVERAGE('The List'!V2:V665))/STDEV('The List'!V2:V665)</f>
        <v>-0.358183319871726</v>
      </c>
      <c r="J235" s="77">
        <f>(VLOOKUP($A235,'The List'!$B1:$AH665,22,FALSE)-AVERAGE('The List'!W2:W665))/STDEV('The List'!W2:W665)</f>
        <v>-0.59268337840066</v>
      </c>
      <c r="K235" s="77">
        <f>(VLOOKUP($A235,'The List'!$B1:$AH665,23,FALSE)-AVERAGE('The List'!X2:X665))/STDEV('The List'!X2:X665)</f>
        <v>0.411367022444277</v>
      </c>
      <c r="L235" s="77">
        <f>(VLOOKUP($A235,'The List'!$B1:$AH665,24,FALSE)-AVERAGE('The List'!Y2:Y665))/STDEV('The List'!Y2:Y665)</f>
        <v>-0.531176241692867</v>
      </c>
      <c r="M235" s="77">
        <f>(VLOOKUP($A235,'The List'!$B1:$AH665,25,FALSE)-AVERAGE('The List'!Z2:Z665))/STDEV('The List'!Z2:Z665)</f>
        <v>-0.0752667682102247</v>
      </c>
      <c r="N235" s="77">
        <f>(VLOOKUP($A235,'The List'!$B1:$AH665,26,FALSE)-AVERAGE('The List'!AA2:AA665))/STDEV('The List'!AA2:AA665)</f>
        <v>0.596036260788577</v>
      </c>
      <c r="O235" s="77">
        <f>(VLOOKUP($A235,'The List'!$B1:$AH665,27,FALSE)-AVERAGE('The List'!AB2:AB665))/STDEV('The List'!AB2:AB665)</f>
        <v>0.297495237148125</v>
      </c>
      <c r="P235" s="77">
        <f>(VLOOKUP($A235,'The List'!$B1:$AH665,28,FALSE)-AVERAGE('The List'!AC2:AC665))/STDEV('The List'!AC2:AC665)</f>
        <v>-1.95694482587471</v>
      </c>
      <c r="Q235" s="77">
        <f>(VLOOKUP($A235,'The List'!$B1:$AH665,29,FALSE)-AVERAGE('The List'!AD2:AD665))/STDEV('The List'!AD2:AD665)</f>
        <v>-0.008164964695264759</v>
      </c>
      <c r="R235" s="77">
        <f>(VLOOKUP($A235,'The List'!$B1:$AH665,30,FALSE)-AVERAGE('The List'!AE2:AE665))/STDEV('The List'!AE2:AE665)</f>
        <v>-0.865848017230362</v>
      </c>
      <c r="S235" s="77">
        <f>(VLOOKUP($A235,'The List'!$B1:$AH665,31,FALSE)-AVERAGE('The List'!AF2:AF665))/STDEV('The List'!AF2:AF665)</f>
        <v>-0.573894410680004</v>
      </c>
      <c r="T235" s="77">
        <f>(VLOOKUP($A235,'The List'!$B1:$AH665,32,FALSE)-AVERAGE('The List'!AG2:AG665))/STDEV('The List'!AG2:AG665)</f>
        <v>-0.625770787132651</v>
      </c>
      <c r="U235" s="77">
        <f>(VLOOKUP($A235,'The List'!$B1:$AH665,33,FALSE)-AVERAGE('The List'!AH2:AH665))/STDEV('The List'!AH2:AH665)</f>
        <v>-1.23143509451486</v>
      </c>
      <c r="V235" s="77"/>
      <c r="W235" s="89"/>
      <c r="X235" s="79"/>
      <c r="Y235" s="79"/>
      <c r="Z235" s="79"/>
      <c r="AA235" s="79"/>
      <c r="AB235" s="79"/>
      <c r="AC235" s="82"/>
      <c r="AD235" s="83"/>
      <c r="AE235" s="84"/>
    </row>
    <row r="236" ht="21.25" customHeight="1">
      <c r="A236" t="s" s="10">
        <v>715</v>
      </c>
      <c r="B236" t="s" s="86">
        <f>VLOOKUP(A236,'Player Data'!A1:B667,2,FALSE)</f>
        <v>909</v>
      </c>
      <c r="C236" s="74">
        <f>((E236)*'Settings'!$C$12)+(F236*'Settings'!$C$2)+(G236*'Settings'!$C$3)+(H236*'Settings'!$C$4)+(I236*'Settings'!$C$5)+(K236*'Settings'!$C$9)+(N236*'Settings'!$C$6)+(J236*'Settings'!$C$8)+(O236*'Settings'!$C$7)+(P236*'Settings'!$C$14)+(Q236*'Settings'!$C$15)+(R236*'Settings'!$C$16)+(S236*'Settings'!$C$17)+(T236*'Settings'!$C$18)+(U236*'Settings'!$C$19)+(L236*'Settings'!$C$10)+('Settings'!$C$11*M236)</f>
        <v>-2.49365699621147</v>
      </c>
      <c r="D236" s="79">
        <f>IF('Settings'!$E$12="YES",VLOOKUP(A236,'Player Data'!A1:E667,5,FALSE),82)</f>
        <v>63.33</v>
      </c>
      <c r="E236" s="77">
        <f>(VLOOKUP($A236,'The List'!$B1:$AH665,17,FALSE)-AVERAGE('The List'!R2:R665))/STDEV('The List'!R2:R665)</f>
        <v>-0.339585584991004</v>
      </c>
      <c r="F236" s="77">
        <f>(VLOOKUP($A236,'The List'!$B1:$AH665,18,FALSE)-AVERAGE('The List'!S2:S665))/STDEV('The List'!S2:S665)</f>
        <v>-0.182248139432373</v>
      </c>
      <c r="G236" s="77">
        <f>(VLOOKUP($A236,'The List'!$B1:$AH665,19,FALSE)-AVERAGE('The List'!T2:T665))/STDEV('The List'!T2:T665)</f>
        <v>-0.263151388356508</v>
      </c>
      <c r="H236" s="77">
        <f>(VLOOKUP($A236,'The List'!$B1:$AH665,20,FALSE)-AVERAGE('The List'!U2:U665))/STDEV('The List'!U2:U665)</f>
        <v>-0.246272250997122</v>
      </c>
      <c r="I236" s="77">
        <f>(VLOOKUP($A236,'The List'!$B1:$AH665,21,FALSE)-AVERAGE('The List'!V2:V665))/STDEV('The List'!V2:V665)</f>
        <v>-0.497359949667471</v>
      </c>
      <c r="J236" s="77">
        <f>(VLOOKUP($A236,'The List'!$B1:$AH665,22,FALSE)-AVERAGE('The List'!W2:W665))/STDEV('The List'!W2:W665)</f>
        <v>-0.0886676033939202</v>
      </c>
      <c r="K236" s="77">
        <f>(VLOOKUP($A236,'The List'!$B1:$AH665,23,FALSE)-AVERAGE('The List'!X2:X665))/STDEV('The List'!X2:X665)</f>
        <v>-0.142702548827791</v>
      </c>
      <c r="L236" s="77">
        <f>(VLOOKUP($A236,'The List'!$B1:$AH665,24,FALSE)-AVERAGE('The List'!Y2:Y665))/STDEV('The List'!Y2:Y665)</f>
        <v>-0.375129764849146</v>
      </c>
      <c r="M236" s="77">
        <f>(VLOOKUP($A236,'The List'!$B1:$AH665,25,FALSE)-AVERAGE('The List'!Z2:Z665))/STDEV('The List'!Z2:Z665)</f>
        <v>0.254599335872098</v>
      </c>
      <c r="N236" s="77">
        <f>(VLOOKUP($A236,'The List'!$B1:$AH665,26,FALSE)-AVERAGE('The List'!AA2:AA665))/STDEV('The List'!AA2:AA665)</f>
        <v>-0.74221504972171</v>
      </c>
      <c r="O236" s="77">
        <f>(VLOOKUP($A236,'The List'!$B1:$AH665,27,FALSE)-AVERAGE('The List'!AB2:AB665))/STDEV('The List'!AB2:AB665)</f>
        <v>-0.784695597171912</v>
      </c>
      <c r="P236" s="77">
        <f>(VLOOKUP($A236,'The List'!$B1:$AH665,28,FALSE)-AVERAGE('The List'!AC2:AC665))/STDEV('The List'!AC2:AC665)</f>
        <v>-0.665979920205619</v>
      </c>
      <c r="Q236" s="77">
        <f>(VLOOKUP($A236,'The List'!$B1:$AH665,29,FALSE)-AVERAGE('The List'!AD2:AD665))/STDEV('The List'!AD2:AD665)</f>
        <v>0.305058872997474</v>
      </c>
      <c r="R236" s="77">
        <f>(VLOOKUP($A236,'The List'!$B1:$AH665,30,FALSE)-AVERAGE('The List'!AE2:AE665))/STDEV('The List'!AE2:AE665)</f>
        <v>-0.41856800722886</v>
      </c>
      <c r="S236" s="77">
        <f>(VLOOKUP($A236,'The List'!$B1:$AH665,31,FALSE)-AVERAGE('The List'!AF2:AF665))/STDEV('The List'!AF2:AF665)</f>
        <v>-0.0102463710205415</v>
      </c>
      <c r="T236" s="77">
        <f>(VLOOKUP($A236,'The List'!$B1:$AH665,32,FALSE)-AVERAGE('The List'!AG2:AG665))/STDEV('The List'!AG2:AG665)</f>
        <v>0.446658173871434</v>
      </c>
      <c r="U236" s="77">
        <f>(VLOOKUP($A236,'The List'!$B1:$AH665,33,FALSE)-AVERAGE('The List'!AH2:AH665))/STDEV('The List'!AH2:AH665)</f>
        <v>0.394011005319436</v>
      </c>
      <c r="V236" s="77"/>
      <c r="W236" s="89"/>
      <c r="X236" s="79"/>
      <c r="Y236" s="79"/>
      <c r="Z236" s="79"/>
      <c r="AA236" s="79"/>
      <c r="AB236" s="79"/>
      <c r="AC236" s="82"/>
      <c r="AD236" s="83"/>
      <c r="AE236" s="84"/>
    </row>
    <row r="237" ht="21.25" customHeight="1">
      <c r="A237" t="s" s="10">
        <v>344</v>
      </c>
      <c r="B237" t="s" s="86">
        <f>VLOOKUP(A237,'Player Data'!A1:B667,2,FALSE)</f>
        <v>911</v>
      </c>
      <c r="C237" s="74">
        <f>((E237)*'Settings'!$C$12)+(F237*'Settings'!$C$2)+(G237*'Settings'!$C$3)+(H237*'Settings'!$C$4)+(I237*'Settings'!$C$5)+(K237*'Settings'!$C$9)+(N237*'Settings'!$C$6)+(J237*'Settings'!$C$8)+(O237*'Settings'!$C$7)+(P237*'Settings'!$C$14)+(Q237*'Settings'!$C$15)+(R237*'Settings'!$C$16)+(S237*'Settings'!$C$17)+(T237*'Settings'!$C$18)+(U237*'Settings'!$C$19)+(L237*'Settings'!$C$10)+('Settings'!$C$11*M237)</f>
        <v>0.0812756138258017</v>
      </c>
      <c r="D237" s="79">
        <f>IF('Settings'!$E$12="YES",VLOOKUP(A237,'Player Data'!A1:E667,5,FALSE),82)</f>
        <v>78.265</v>
      </c>
      <c r="E237" s="77">
        <f>(VLOOKUP($A237,'The List'!$B1:$AH665,17,FALSE)-AVERAGE('The List'!R2:R665))/STDEV('The List'!R2:R665)</f>
        <v>-0.460802194649971</v>
      </c>
      <c r="F237" s="77">
        <f>(VLOOKUP($A237,'The List'!$B1:$AH665,18,FALSE)-AVERAGE('The List'!S2:S665))/STDEV('The List'!S2:S665)</f>
        <v>0.391488567032767</v>
      </c>
      <c r="G237" s="77">
        <f>(VLOOKUP($A237,'The List'!$B1:$AH665,19,FALSE)-AVERAGE('The List'!T2:T665))/STDEV('The List'!T2:T665)</f>
        <v>-0.156866784232745</v>
      </c>
      <c r="H237" s="77">
        <f>(VLOOKUP($A237,'The List'!$B1:$AH665,20,FALSE)-AVERAGE('The List'!U2:U665))/STDEV('The List'!U2:U665)</f>
        <v>0.0805270693297596</v>
      </c>
      <c r="I237" s="77">
        <f>(VLOOKUP($A237,'The List'!$B1:$AH665,21,FALSE)-AVERAGE('The List'!V2:V665))/STDEV('The List'!V2:V665)</f>
        <v>0.235810880393155</v>
      </c>
      <c r="J237" s="77">
        <f>(VLOOKUP($A237,'The List'!$B1:$AH665,22,FALSE)-AVERAGE('The List'!W2:W665))/STDEV('The List'!W2:W665)</f>
        <v>-0.183684920818394</v>
      </c>
      <c r="K237" s="77">
        <f>(VLOOKUP($A237,'The List'!$B1:$AH665,23,FALSE)-AVERAGE('The List'!X2:X665))/STDEV('The List'!X2:X665)</f>
        <v>-0.00307252487428542</v>
      </c>
      <c r="L237" s="77">
        <f>(VLOOKUP($A237,'The List'!$B1:$AH665,24,FALSE)-AVERAGE('The List'!Y2:Y665))/STDEV('The List'!Y2:Y665)</f>
        <v>-0.502472412034375</v>
      </c>
      <c r="M237" s="77">
        <f>(VLOOKUP($A237,'The List'!$B1:$AH665,25,FALSE)-AVERAGE('The List'!Z2:Z665))/STDEV('The List'!Z2:Z665)</f>
        <v>-0.674539564985582</v>
      </c>
      <c r="N237" s="77">
        <f>(VLOOKUP($A237,'The List'!$B1:$AH665,26,FALSE)-AVERAGE('The List'!AA2:AA665))/STDEV('The List'!AA2:AA665)</f>
        <v>-0.0048950810360079</v>
      </c>
      <c r="O237" s="77">
        <f>(VLOOKUP($A237,'The List'!$B1:$AH665,27,FALSE)-AVERAGE('The List'!AB2:AB665))/STDEV('The List'!AB2:AB665)</f>
        <v>1.65625230255899</v>
      </c>
      <c r="P237" s="77">
        <f>(VLOOKUP($A237,'The List'!$B1:$AH665,28,FALSE)-AVERAGE('The List'!AC2:AC665))/STDEV('The List'!AC2:AC665)</f>
        <v>-0.381189443457082</v>
      </c>
      <c r="Q237" s="77">
        <f>(VLOOKUP($A237,'The List'!$B1:$AH665,29,FALSE)-AVERAGE('The List'!AD2:AD665))/STDEV('The List'!AD2:AD665)</f>
        <v>-0.70888933457299</v>
      </c>
      <c r="R237" s="77">
        <f>(VLOOKUP($A237,'The List'!$B1:$AH665,30,FALSE)-AVERAGE('The List'!AE2:AE665))/STDEV('The List'!AE2:AE665)</f>
        <v>0.406243217809151</v>
      </c>
      <c r="S237" s="77">
        <f>(VLOOKUP($A237,'The List'!$B1:$AH665,31,FALSE)-AVERAGE('The List'!AF2:AF665))/STDEV('The List'!AF2:AF665)</f>
        <v>-0.542832810908393</v>
      </c>
      <c r="T237" s="77">
        <f>(VLOOKUP($A237,'The List'!$B1:$AH665,32,FALSE)-AVERAGE('The List'!AG2:AG665))/STDEV('The List'!AG2:AG665)</f>
        <v>-0.520144443806748</v>
      </c>
      <c r="U237" s="77">
        <f>(VLOOKUP($A237,'The List'!$B1:$AH665,33,FALSE)-AVERAGE('The List'!AH2:AH665))/STDEV('The List'!AH2:AH665)</f>
        <v>-0.151381395723154</v>
      </c>
      <c r="V237" s="77"/>
      <c r="W237" s="89"/>
      <c r="X237" s="79"/>
      <c r="Y237" s="79"/>
      <c r="Z237" s="79"/>
      <c r="AA237" s="79"/>
      <c r="AB237" s="79"/>
      <c r="AC237" s="82"/>
      <c r="AD237" s="83"/>
      <c r="AE237" s="84"/>
    </row>
    <row r="238" ht="21.25" customHeight="1">
      <c r="A238" t="s" s="10">
        <v>624</v>
      </c>
      <c r="B238" t="s" s="86">
        <f>VLOOKUP(A238,'Player Data'!A1:B667,2,FALSE)</f>
        <v>275</v>
      </c>
      <c r="C238" s="74">
        <f>((E238)*'Settings'!$C$12)+(F238*'Settings'!$C$2)+(G238*'Settings'!$C$3)+(H238*'Settings'!$C$4)+(I238*'Settings'!$C$5)+(K238*'Settings'!$C$9)+(N238*'Settings'!$C$6)+(J238*'Settings'!$C$8)+(O238*'Settings'!$C$7)+(P238*'Settings'!$C$14)+(Q238*'Settings'!$C$15)+(R238*'Settings'!$C$16)+(S238*'Settings'!$C$17)+(T238*'Settings'!$C$18)+(U238*'Settings'!$C$19)+(L238*'Settings'!$C$10)+('Settings'!$C$11*M238)</f>
        <v>-0.0666862130132128</v>
      </c>
      <c r="D238" s="79">
        <f>IF('Settings'!$E$12="YES",VLOOKUP(A238,'Player Data'!A1:E667,5,FALSE),82)</f>
        <v>73.8425</v>
      </c>
      <c r="E238" s="77">
        <f>(VLOOKUP($A238,'The List'!$B1:$AH665,17,FALSE)-AVERAGE('The List'!R2:R665))/STDEV('The List'!R2:R665)</f>
        <v>-0.0179130826250266</v>
      </c>
      <c r="F238" s="77">
        <f>(VLOOKUP($A238,'The List'!$B1:$AH665,18,FALSE)-AVERAGE('The List'!S2:S665))/STDEV('The List'!S2:S665)</f>
        <v>0.556193062736089</v>
      </c>
      <c r="G238" s="77">
        <f>(VLOOKUP($A238,'The List'!$B1:$AH665,19,FALSE)-AVERAGE('The List'!T2:T665))/STDEV('The List'!T2:T665)</f>
        <v>-0.194214791681005</v>
      </c>
      <c r="H238" s="77">
        <f>(VLOOKUP($A238,'The List'!$B1:$AH665,20,FALSE)-AVERAGE('The List'!U2:U665))/STDEV('The List'!U2:U665)</f>
        <v>0.132197879026646</v>
      </c>
      <c r="I238" s="77">
        <f>(VLOOKUP($A238,'The List'!$B1:$AH665,21,FALSE)-AVERAGE('The List'!V2:V665))/STDEV('The List'!V2:V665)</f>
        <v>0.387175363041954</v>
      </c>
      <c r="J238" s="77">
        <f>(VLOOKUP($A238,'The List'!$B1:$AH665,22,FALSE)-AVERAGE('The List'!W2:W665))/STDEV('The List'!W2:W665)</f>
        <v>-0.0608476283838872</v>
      </c>
      <c r="K238" s="77">
        <f>(VLOOKUP($A238,'The List'!$B1:$AH665,23,FALSE)-AVERAGE('The List'!X2:X665))/STDEV('The List'!X2:X665)</f>
        <v>-0.101058020819741</v>
      </c>
      <c r="L238" s="77">
        <f>(VLOOKUP($A238,'The List'!$B1:$AH665,24,FALSE)-AVERAGE('The List'!Y2:Y665))/STDEV('The List'!Y2:Y665)</f>
        <v>-0.514052712376402</v>
      </c>
      <c r="M238" s="77">
        <f>(VLOOKUP($A238,'The List'!$B1:$AH665,25,FALSE)-AVERAGE('The List'!Z2:Z665))/STDEV('The List'!Z2:Z665)</f>
        <v>-0.68622380585507</v>
      </c>
      <c r="N238" s="77">
        <f>(VLOOKUP($A238,'The List'!$B1:$AH665,26,FALSE)-AVERAGE('The List'!AA2:AA665))/STDEV('The List'!AA2:AA665)</f>
        <v>-0.733277741387922</v>
      </c>
      <c r="O238" s="77">
        <f>(VLOOKUP($A238,'The List'!$B1:$AH665,27,FALSE)-AVERAGE('The List'!AB2:AB665))/STDEV('The List'!AB2:AB665)</f>
        <v>-1.15992263150349</v>
      </c>
      <c r="P238" s="77">
        <f>(VLOOKUP($A238,'The List'!$B1:$AH665,28,FALSE)-AVERAGE('The List'!AC2:AC665))/STDEV('The List'!AC2:AC665)</f>
        <v>0.0184959150974122</v>
      </c>
      <c r="Q238" s="77">
        <f>(VLOOKUP($A238,'The List'!$B1:$AH665,29,FALSE)-AVERAGE('The List'!AD2:AD665))/STDEV('The List'!AD2:AD665)</f>
        <v>0.156653301257244</v>
      </c>
      <c r="R238" s="77">
        <f>(VLOOKUP($A238,'The List'!$B1:$AH665,30,FALSE)-AVERAGE('The List'!AE2:AE665))/STDEV('The List'!AE2:AE665)</f>
        <v>0.727257818163506</v>
      </c>
      <c r="S238" s="77">
        <f>(VLOOKUP($A238,'The List'!$B1:$AH665,31,FALSE)-AVERAGE('The List'!AF2:AF665))/STDEV('The List'!AF2:AF665)</f>
        <v>0.900662153951734</v>
      </c>
      <c r="T238" s="77">
        <f>(VLOOKUP($A238,'The List'!$B1:$AH665,32,FALSE)-AVERAGE('The List'!AG2:AG665))/STDEV('The List'!AG2:AG665)</f>
        <v>1.2995338115592</v>
      </c>
      <c r="U238" s="77">
        <f>(VLOOKUP($A238,'The List'!$B1:$AH665,33,FALSE)-AVERAGE('The List'!AH2:AH665))/STDEV('The List'!AH2:AH665)</f>
        <v>0.803556575475717</v>
      </c>
      <c r="V238" s="77"/>
      <c r="W238" s="89"/>
      <c r="X238" s="79"/>
      <c r="Y238" s="79"/>
      <c r="Z238" s="79"/>
      <c r="AA238" s="79"/>
      <c r="AB238" s="79"/>
      <c r="AC238" s="82"/>
      <c r="AD238" s="83"/>
      <c r="AE238" s="84"/>
    </row>
    <row r="239" ht="21.25" customHeight="1">
      <c r="A239" t="s" s="10">
        <v>741</v>
      </c>
      <c r="B239" t="s" s="86">
        <f>VLOOKUP(A239,'Player Data'!A1:B667,2,FALSE)</f>
        <v>911</v>
      </c>
      <c r="C239" s="74">
        <f>((E239)*'Settings'!$C$12)+(F239*'Settings'!$C$2)+(G239*'Settings'!$C$3)+(H239*'Settings'!$C$4)+(I239*'Settings'!$C$5)+(K239*'Settings'!$C$9)+(N239*'Settings'!$C$6)+(J239*'Settings'!$C$8)+(O239*'Settings'!$C$7)+(P239*'Settings'!$C$14)+(Q239*'Settings'!$C$15)+(R239*'Settings'!$C$16)+(S239*'Settings'!$C$17)+(T239*'Settings'!$C$18)+(U239*'Settings'!$C$19)+(L239*'Settings'!$C$10)+('Settings'!$C$11*M239)</f>
        <v>-1.60878012642959</v>
      </c>
      <c r="D239" s="79">
        <f>IF('Settings'!$E$12="YES",VLOOKUP(A239,'Player Data'!A1:E667,5,FALSE),82)</f>
        <v>71.435</v>
      </c>
      <c r="E239" s="77">
        <f>(VLOOKUP($A239,'The List'!$B1:$AH665,17,FALSE)-AVERAGE('The List'!R2:R665))/STDEV('The List'!R2:R665)</f>
        <v>-0.647395339146084</v>
      </c>
      <c r="F239" s="77">
        <f>(VLOOKUP($A239,'The List'!$B1:$AH665,18,FALSE)-AVERAGE('The List'!S2:S665))/STDEV('The List'!S2:S665)</f>
        <v>-0.0645205038990703</v>
      </c>
      <c r="G239" s="77">
        <f>(VLOOKUP($A239,'The List'!$B1:$AH665,19,FALSE)-AVERAGE('The List'!T2:T665))/STDEV('The List'!T2:T665)</f>
        <v>-0.0925158409704082</v>
      </c>
      <c r="H239" s="77">
        <f>(VLOOKUP($A239,'The List'!$B1:$AH665,20,FALSE)-AVERAGE('The List'!U2:U665))/STDEV('The List'!U2:U665)</f>
        <v>-0.0867851751617385</v>
      </c>
      <c r="I239" s="77">
        <f>(VLOOKUP($A239,'The List'!$B1:$AH665,21,FALSE)-AVERAGE('The List'!V2:V665))/STDEV('The List'!V2:V665)</f>
        <v>-0.110081273953585</v>
      </c>
      <c r="J239" s="77">
        <f>(VLOOKUP($A239,'The List'!$B1:$AH665,22,FALSE)-AVERAGE('The List'!W2:W665))/STDEV('The List'!W2:W665)</f>
        <v>0.350595619441188</v>
      </c>
      <c r="K239" s="77">
        <f>(VLOOKUP($A239,'The List'!$B1:$AH665,23,FALSE)-AVERAGE('The List'!X2:X665))/STDEV('The List'!X2:X665)</f>
        <v>0.168236725470586</v>
      </c>
      <c r="L239" s="77">
        <f>(VLOOKUP($A239,'The List'!$B1:$AH665,24,FALSE)-AVERAGE('The List'!Y2:Y665))/STDEV('The List'!Y2:Y665)</f>
        <v>-0.580182913902084</v>
      </c>
      <c r="M239" s="77">
        <f>(VLOOKUP($A239,'The List'!$B1:$AH665,25,FALSE)-AVERAGE('The List'!Z2:Z665))/STDEV('The List'!Z2:Z665)</f>
        <v>-0.754036664989997</v>
      </c>
      <c r="N239" s="77">
        <f>(VLOOKUP($A239,'The List'!$B1:$AH665,26,FALSE)-AVERAGE('The List'!AA2:AA665))/STDEV('The List'!AA2:AA665)</f>
        <v>-0.992776177520946</v>
      </c>
      <c r="O239" s="77">
        <f>(VLOOKUP($A239,'The List'!$B1:$AH665,27,FALSE)-AVERAGE('The List'!AB2:AB665))/STDEV('The List'!AB2:AB665)</f>
        <v>-1.24662527396727</v>
      </c>
      <c r="P239" s="77">
        <f>(VLOOKUP($A239,'The List'!$B1:$AH665,28,FALSE)-AVERAGE('The List'!AC2:AC665))/STDEV('The List'!AC2:AC665)</f>
        <v>-0.517123055556163</v>
      </c>
      <c r="Q239" s="77">
        <f>(VLOOKUP($A239,'The List'!$B1:$AH665,29,FALSE)-AVERAGE('The List'!AD2:AD665))/STDEV('The List'!AD2:AD665)</f>
        <v>-0.918596728642854</v>
      </c>
      <c r="R239" s="77">
        <f>(VLOOKUP($A239,'The List'!$B1:$AH665,30,FALSE)-AVERAGE('The List'!AE2:AE665))/STDEV('The List'!AE2:AE665)</f>
        <v>-0.0382114139029388</v>
      </c>
      <c r="S239" s="77">
        <f>(VLOOKUP($A239,'The List'!$B1:$AH665,31,FALSE)-AVERAGE('The List'!AF2:AF665))/STDEV('The List'!AF2:AF665)</f>
        <v>-0.558672741519353</v>
      </c>
      <c r="T239" s="77">
        <f>(VLOOKUP($A239,'The List'!$B1:$AH665,32,FALSE)-AVERAGE('The List'!AG2:AG665))/STDEV('The List'!AG2:AG665)</f>
        <v>-0.589409769185177</v>
      </c>
      <c r="U239" s="77">
        <f>(VLOOKUP($A239,'The List'!$B1:$AH665,33,FALSE)-AVERAGE('The List'!AH2:AH665))/STDEV('The List'!AH2:AH665)</f>
        <v>0.165143424844709</v>
      </c>
      <c r="V239" s="77"/>
      <c r="W239" s="89"/>
      <c r="X239" s="79"/>
      <c r="Y239" s="79"/>
      <c r="Z239" s="79"/>
      <c r="AA239" s="79"/>
      <c r="AB239" s="79"/>
      <c r="AC239" s="82"/>
      <c r="AD239" s="83"/>
      <c r="AE239" s="84"/>
    </row>
    <row r="240" ht="21.25" customHeight="1">
      <c r="A240" t="s" s="10">
        <v>511</v>
      </c>
      <c r="B240" t="s" s="86">
        <f>VLOOKUP(A240,'Player Data'!A1:B667,2,FALSE)</f>
        <v>907</v>
      </c>
      <c r="C240" s="74">
        <f>((E240)*'Settings'!$C$12)+(F240*'Settings'!$C$2)+(G240*'Settings'!$C$3)+(H240*'Settings'!$C$4)+(I240*'Settings'!$C$5)+(K240*'Settings'!$C$9)+(N240*'Settings'!$C$6)+(J240*'Settings'!$C$8)+(O240*'Settings'!$C$7)+(P240*'Settings'!$C$14)+(Q240*'Settings'!$C$15)+(R240*'Settings'!$C$16)+(S240*'Settings'!$C$17)+(T240*'Settings'!$C$18)+(U240*'Settings'!$C$19)+(L240*'Settings'!$C$10)+('Settings'!$C$11*M240)</f>
        <v>0.49166961904137</v>
      </c>
      <c r="D240" s="79">
        <f>IF('Settings'!$E$12="YES",VLOOKUP(A240,'Player Data'!A1:E667,5,FALSE),82)</f>
        <v>66.25749999999999</v>
      </c>
      <c r="E240" s="77">
        <f>(VLOOKUP($A240,'The List'!$B1:$AH665,17,FALSE)-AVERAGE('The List'!R2:R665))/STDEV('The List'!R2:R665)</f>
        <v>-0.27216139418798</v>
      </c>
      <c r="F240" s="77">
        <f>(VLOOKUP($A240,'The List'!$B1:$AH665,18,FALSE)-AVERAGE('The List'!S2:S665))/STDEV('The List'!S2:S665)</f>
        <v>0.199953874336686</v>
      </c>
      <c r="G240" s="77">
        <f>(VLOOKUP($A240,'The List'!$B1:$AH665,19,FALSE)-AVERAGE('The List'!T2:T665))/STDEV('The List'!T2:T665)</f>
        <v>-0.489169849155475</v>
      </c>
      <c r="H240" s="77">
        <f>(VLOOKUP($A240,'The List'!$B1:$AH665,20,FALSE)-AVERAGE('The List'!U2:U665))/STDEV('The List'!U2:U665)</f>
        <v>-0.212913440967007</v>
      </c>
      <c r="I240" s="77">
        <f>(VLOOKUP($A240,'The List'!$B1:$AH665,21,FALSE)-AVERAGE('The List'!V2:V665))/STDEV('The List'!V2:V665)</f>
        <v>0.0615220817385201</v>
      </c>
      <c r="J240" s="77">
        <f>(VLOOKUP($A240,'The List'!$B1:$AH665,22,FALSE)-AVERAGE('The List'!W2:W665))/STDEV('The List'!W2:W665)</f>
        <v>1.18996960033042</v>
      </c>
      <c r="K240" s="77">
        <f>(VLOOKUP($A240,'The List'!$B1:$AH665,23,FALSE)-AVERAGE('The List'!X2:X665))/STDEV('The List'!X2:X665)</f>
        <v>0.576667795268049</v>
      </c>
      <c r="L240" s="77">
        <f>(VLOOKUP($A240,'The List'!$B1:$AH665,24,FALSE)-AVERAGE('The List'!Y2:Y665))/STDEV('The List'!Y2:Y665)</f>
        <v>-0.443756406003031</v>
      </c>
      <c r="M240" s="77">
        <f>(VLOOKUP($A240,'The List'!$B1:$AH665,25,FALSE)-AVERAGE('The List'!Z2:Z665))/STDEV('The List'!Z2:Z665)</f>
        <v>-0.614180668837486</v>
      </c>
      <c r="N240" s="77">
        <f>(VLOOKUP($A240,'The List'!$B1:$AH665,26,FALSE)-AVERAGE('The List'!AA2:AA665))/STDEV('The List'!AA2:AA665)</f>
        <v>-0.89165619194183</v>
      </c>
      <c r="O240" s="77">
        <f>(VLOOKUP($A240,'The List'!$B1:$AH665,27,FALSE)-AVERAGE('The List'!AB2:AB665))/STDEV('The List'!AB2:AB665)</f>
        <v>1.09518401711405</v>
      </c>
      <c r="P240" s="77">
        <f>(VLOOKUP($A240,'The List'!$B1:$AH665,28,FALSE)-AVERAGE('The List'!AC2:AC665))/STDEV('The List'!AC2:AC665)</f>
        <v>1.03435190879542</v>
      </c>
      <c r="Q240" s="77">
        <f>(VLOOKUP($A240,'The List'!$B1:$AH665,29,FALSE)-AVERAGE('The List'!AD2:AD665))/STDEV('The List'!AD2:AD665)</f>
        <v>0.644208503074322</v>
      </c>
      <c r="R240" s="77">
        <f>(VLOOKUP($A240,'The List'!$B1:$AH665,30,FALSE)-AVERAGE('The List'!AE2:AE665))/STDEV('The List'!AE2:AE665)</f>
        <v>-0.0900152941977027</v>
      </c>
      <c r="S240" s="77">
        <f>(VLOOKUP($A240,'The List'!$B1:$AH665,31,FALSE)-AVERAGE('The List'!AF2:AF665))/STDEV('The List'!AF2:AF665)</f>
        <v>-0.307506341265217</v>
      </c>
      <c r="T240" s="77">
        <f>(VLOOKUP($A240,'The List'!$B1:$AH665,32,FALSE)-AVERAGE('The List'!AG2:AG665))/STDEV('The List'!AG2:AG665)</f>
        <v>-0.303871216248233</v>
      </c>
      <c r="U240" s="77">
        <f>(VLOOKUP($A240,'The List'!$B1:$AH665,33,FALSE)-AVERAGE('The List'!AH2:AH665))/STDEV('The List'!AH2:AH665)</f>
        <v>0.890703516076794</v>
      </c>
      <c r="V240" s="77"/>
      <c r="W240" s="79"/>
      <c r="X240" s="77"/>
      <c r="Y240" s="77"/>
      <c r="Z240" s="77"/>
      <c r="AA240" s="77"/>
      <c r="AB240" s="77"/>
      <c r="AC240" s="77"/>
      <c r="AD240" s="77"/>
      <c r="AE240" s="84"/>
    </row>
    <row r="241" ht="21.25" customHeight="1">
      <c r="A241" t="s" s="10">
        <v>662</v>
      </c>
      <c r="B241" t="s" s="86">
        <f>VLOOKUP(A241,'Player Data'!A1:B667,2,FALSE)</f>
        <v>342</v>
      </c>
      <c r="C241" s="74">
        <f>((E241)*'Settings'!$C$12)+(F241*'Settings'!$C$2)+(G241*'Settings'!$C$3)+(H241*'Settings'!$C$4)+(I241*'Settings'!$C$5)+(K241*'Settings'!$C$9)+(N241*'Settings'!$C$6)+(J241*'Settings'!$C$8)+(O241*'Settings'!$C$7)+(P241*'Settings'!$C$14)+(Q241*'Settings'!$C$15)+(R241*'Settings'!$C$16)+(S241*'Settings'!$C$17)+(T241*'Settings'!$C$18)+(U241*'Settings'!$C$19)+(L241*'Settings'!$C$10)+('Settings'!$C$11*M241)</f>
        <v>-0.865102991076996</v>
      </c>
      <c r="D241" s="79">
        <f>IF('Settings'!$E$12="YES",VLOOKUP(A241,'Player Data'!A1:E667,5,FALSE),82)</f>
        <v>77.16</v>
      </c>
      <c r="E241" s="77">
        <f>(VLOOKUP($A241,'The List'!$B1:$AH665,17,FALSE)-AVERAGE('The List'!R2:R665))/STDEV('The List'!R2:R665)</f>
        <v>-0.48376928769509</v>
      </c>
      <c r="F241" s="77">
        <f>(VLOOKUP($A241,'The List'!$B1:$AH665,18,FALSE)-AVERAGE('The List'!S2:S665))/STDEV('The List'!S2:S665)</f>
        <v>-0.13174354350929</v>
      </c>
      <c r="G241" s="77">
        <f>(VLOOKUP($A241,'The List'!$B1:$AH665,19,FALSE)-AVERAGE('The List'!T2:T665))/STDEV('The List'!T2:T665)</f>
        <v>0.130412807861924</v>
      </c>
      <c r="H241" s="77">
        <f>(VLOOKUP($A241,'The List'!$B1:$AH665,20,FALSE)-AVERAGE('The List'!U2:U665))/STDEV('The List'!U2:U665)</f>
        <v>0.0211099837502181</v>
      </c>
      <c r="I241" s="77">
        <f>(VLOOKUP($A241,'The List'!$B1:$AH665,21,FALSE)-AVERAGE('The List'!V2:V665))/STDEV('The List'!V2:V665)</f>
        <v>0.0748180469049821</v>
      </c>
      <c r="J241" s="77">
        <f>(VLOOKUP($A241,'The List'!$B1:$AH665,22,FALSE)-AVERAGE('The List'!W2:W665))/STDEV('The List'!W2:W665)</f>
        <v>-0.308341120205418</v>
      </c>
      <c r="K241" s="77">
        <f>(VLOOKUP($A241,'The List'!$B1:$AH665,23,FALSE)-AVERAGE('The List'!X2:X665))/STDEV('The List'!X2:X665)</f>
        <v>-0.189677382626501</v>
      </c>
      <c r="L241" s="77">
        <f>(VLOOKUP($A241,'The List'!$B1:$AH665,24,FALSE)-AVERAGE('The List'!Y2:Y665))/STDEV('The List'!Y2:Y665)</f>
        <v>0.683084808569431</v>
      </c>
      <c r="M241" s="77">
        <f>(VLOOKUP($A241,'The List'!$B1:$AH665,25,FALSE)-AVERAGE('The List'!Z2:Z665))/STDEV('The List'!Z2:Z665)</f>
        <v>0.26345492426248</v>
      </c>
      <c r="N241" s="77">
        <f>(VLOOKUP($A241,'The List'!$B1:$AH665,26,FALSE)-AVERAGE('The List'!AA2:AA665))/STDEV('The List'!AA2:AA665)</f>
        <v>-0.70867127128796</v>
      </c>
      <c r="O241" s="77">
        <f>(VLOOKUP($A241,'The List'!$B1:$AH665,27,FALSE)-AVERAGE('The List'!AB2:AB665))/STDEV('The List'!AB2:AB665)</f>
        <v>-0.96363541875773</v>
      </c>
      <c r="P241" s="77">
        <f>(VLOOKUP($A241,'The List'!$B1:$AH665,28,FALSE)-AVERAGE('The List'!AC2:AC665))/STDEV('The List'!AC2:AC665)</f>
        <v>-0.040241648420151</v>
      </c>
      <c r="Q241" s="77">
        <f>(VLOOKUP($A241,'The List'!$B1:$AH665,29,FALSE)-AVERAGE('The List'!AD2:AD665))/STDEV('The List'!AD2:AD665)</f>
        <v>-1.04842147131118</v>
      </c>
      <c r="R241" s="77">
        <f>(VLOOKUP($A241,'The List'!$B1:$AH665,30,FALSE)-AVERAGE('The List'!AE2:AE665))/STDEV('The List'!AE2:AE665)</f>
        <v>0.0616256042253299</v>
      </c>
      <c r="S241" s="77">
        <f>(VLOOKUP($A241,'The List'!$B1:$AH665,31,FALSE)-AVERAGE('The List'!AF2:AF665))/STDEV('The List'!AF2:AF665)</f>
        <v>0.26962220497601</v>
      </c>
      <c r="T241" s="77">
        <f>(VLOOKUP($A241,'The List'!$B1:$AH665,32,FALSE)-AVERAGE('The List'!AG2:AG665))/STDEV('The List'!AG2:AG665)</f>
        <v>0.524146035788386</v>
      </c>
      <c r="U241" s="77">
        <f>(VLOOKUP($A241,'The List'!$B1:$AH665,33,FALSE)-AVERAGE('The List'!AH2:AH665))/STDEV('The List'!AH2:AH665)</f>
        <v>0.755293336753706</v>
      </c>
      <c r="V241" s="77"/>
      <c r="W241" s="89"/>
      <c r="X241" s="79"/>
      <c r="Y241" s="79"/>
      <c r="Z241" s="79"/>
      <c r="AA241" s="79"/>
      <c r="AB241" s="79"/>
      <c r="AC241" s="82"/>
      <c r="AD241" s="83"/>
      <c r="AE241" s="84"/>
    </row>
    <row r="242" ht="21.25" customHeight="1">
      <c r="A242" t="s" s="10">
        <v>663</v>
      </c>
      <c r="B242" t="s" s="86">
        <f>VLOOKUP(A242,'Player Data'!A1:B667,2,FALSE)</f>
        <v>132</v>
      </c>
      <c r="C242" s="74">
        <f>((E242)*'Settings'!$C$12)+(F242*'Settings'!$C$2)+(G242*'Settings'!$C$3)+(H242*'Settings'!$C$4)+(I242*'Settings'!$C$5)+(K242*'Settings'!$C$9)+(N242*'Settings'!$C$6)+(J242*'Settings'!$C$8)+(O242*'Settings'!$C$7)+(P242*'Settings'!$C$14)+(Q242*'Settings'!$C$15)+(R242*'Settings'!$C$16)+(S242*'Settings'!$C$17)+(T242*'Settings'!$C$18)+(U242*'Settings'!$C$19)+(L242*'Settings'!$C$10)+('Settings'!$C$11*M242)</f>
        <v>-0.350701886855693</v>
      </c>
      <c r="D242" s="79">
        <f>IF('Settings'!$E$12="YES",VLOOKUP(A242,'Player Data'!A1:E667,5,FALSE),82)</f>
        <v>69.89</v>
      </c>
      <c r="E242" s="77">
        <f>(VLOOKUP($A242,'The List'!$B1:$AH665,17,FALSE)-AVERAGE('The List'!R2:R665))/STDEV('The List'!R2:R665)</f>
        <v>-1.06917887340114</v>
      </c>
      <c r="F242" s="77">
        <f>(VLOOKUP($A242,'The List'!$B1:$AH665,18,FALSE)-AVERAGE('The List'!S2:S665))/STDEV('The List'!S2:S665)</f>
        <v>0.27068251259156</v>
      </c>
      <c r="G242" s="77">
        <f>(VLOOKUP($A242,'The List'!$B1:$AH665,19,FALSE)-AVERAGE('The List'!T2:T665))/STDEV('The List'!T2:T665)</f>
        <v>-0.422127080379958</v>
      </c>
      <c r="H242" s="77">
        <f>(VLOOKUP($A242,'The List'!$B1:$AH665,20,FALSE)-AVERAGE('The List'!U2:U665))/STDEV('The List'!U2:U665)</f>
        <v>-0.139126583780078</v>
      </c>
      <c r="I242" s="77">
        <f>(VLOOKUP($A242,'The List'!$B1:$AH665,21,FALSE)-AVERAGE('The List'!V2:V665))/STDEV('The List'!V2:V665)</f>
        <v>-0.0612131928548212</v>
      </c>
      <c r="J242" s="77">
        <f>(VLOOKUP($A242,'The List'!$B1:$AH665,22,FALSE)-AVERAGE('The List'!W2:W665))/STDEV('The List'!W2:W665)</f>
        <v>-0.333086160353988</v>
      </c>
      <c r="K242" s="77">
        <f>(VLOOKUP($A242,'The List'!$B1:$AH665,23,FALSE)-AVERAGE('The List'!X2:X665))/STDEV('The List'!X2:X665)</f>
        <v>-0.420575027573322</v>
      </c>
      <c r="L242" s="77">
        <f>(VLOOKUP($A242,'The List'!$B1:$AH665,24,FALSE)-AVERAGE('The List'!Y2:Y665))/STDEV('The List'!Y2:Y665)</f>
        <v>-0.562022149322962</v>
      </c>
      <c r="M242" s="77">
        <f>(VLOOKUP($A242,'The List'!$B1:$AH665,25,FALSE)-AVERAGE('The List'!Z2:Z665))/STDEV('The List'!Z2:Z665)</f>
        <v>-0.735460959513093</v>
      </c>
      <c r="N242" s="77">
        <f>(VLOOKUP($A242,'The List'!$B1:$AH665,26,FALSE)-AVERAGE('The List'!AA2:AA665))/STDEV('The List'!AA2:AA665)</f>
        <v>-0.752758793596782</v>
      </c>
      <c r="O242" s="77">
        <f>(VLOOKUP($A242,'The List'!$B1:$AH665,27,FALSE)-AVERAGE('The List'!AB2:AB665))/STDEV('The List'!AB2:AB665)</f>
        <v>-0.601280426359752</v>
      </c>
      <c r="P242" s="77">
        <f>(VLOOKUP($A242,'The List'!$B1:$AH665,28,FALSE)-AVERAGE('The List'!AC2:AC665))/STDEV('The List'!AC2:AC665)</f>
        <v>1.03528969495763</v>
      </c>
      <c r="Q242" s="77">
        <f>(VLOOKUP($A242,'The List'!$B1:$AH665,29,FALSE)-AVERAGE('The List'!AD2:AD665))/STDEV('The List'!AD2:AD665)</f>
        <v>-1.35068104073354</v>
      </c>
      <c r="R242" s="77">
        <f>(VLOOKUP($A242,'The List'!$B1:$AH665,30,FALSE)-AVERAGE('The List'!AE2:AE665))/STDEV('The List'!AE2:AE665)</f>
        <v>0.372252668258456</v>
      </c>
      <c r="S242" s="77">
        <f>(VLOOKUP($A242,'The List'!$B1:$AH665,31,FALSE)-AVERAGE('The List'!AF2:AF665))/STDEV('The List'!AF2:AF665)</f>
        <v>-0.55062019550611</v>
      </c>
      <c r="T242" s="77">
        <f>(VLOOKUP($A242,'The List'!$B1:$AH665,32,FALSE)-AVERAGE('The List'!AG2:AG665))/STDEV('The List'!AG2:AG665)</f>
        <v>-0.57243124313522</v>
      </c>
      <c r="U242" s="77">
        <f>(VLOOKUP($A242,'The List'!$B1:$AH665,33,FALSE)-AVERAGE('The List'!AH2:AH665))/STDEV('The List'!AH2:AH665)</f>
        <v>0.205507796557234</v>
      </c>
      <c r="V242" s="77"/>
      <c r="W242" s="89"/>
      <c r="X242" s="79"/>
      <c r="Y242" s="79"/>
      <c r="Z242" s="79"/>
      <c r="AA242" s="79"/>
      <c r="AB242" s="79"/>
      <c r="AC242" s="82"/>
      <c r="AD242" s="83"/>
      <c r="AE242" s="84"/>
    </row>
    <row r="243" ht="21.25" customHeight="1">
      <c r="A243" t="s" s="10">
        <v>418</v>
      </c>
      <c r="B243" t="s" s="86">
        <f>VLOOKUP(A243,'Player Data'!A1:B667,2,FALSE)</f>
        <v>192</v>
      </c>
      <c r="C243" s="74">
        <f>((E243)*'Settings'!$C$12)+(F243*'Settings'!$C$2)+(G243*'Settings'!$C$3)+(H243*'Settings'!$C$4)+(I243*'Settings'!$C$5)+(K243*'Settings'!$C$9)+(N243*'Settings'!$C$6)+(J243*'Settings'!$C$8)+(O243*'Settings'!$C$7)+(P243*'Settings'!$C$14)+(Q243*'Settings'!$C$15)+(R243*'Settings'!$C$16)+(S243*'Settings'!$C$17)+(T243*'Settings'!$C$18)+(U243*'Settings'!$C$19)+(L243*'Settings'!$C$10)+('Settings'!$C$11*M243)</f>
        <v>1.08613159343556</v>
      </c>
      <c r="D243" s="79">
        <f>IF('Settings'!$E$12="YES",VLOOKUP(A243,'Player Data'!A1:E667,5,FALSE),82)</f>
        <v>73.855</v>
      </c>
      <c r="E243" s="77">
        <f>(VLOOKUP($A243,'The List'!$B1:$AH665,17,FALSE)-AVERAGE('The List'!R2:R665))/STDEV('The List'!R2:R665)</f>
        <v>0.945317738614416</v>
      </c>
      <c r="F243" s="77">
        <f>(VLOOKUP($A243,'The List'!$B1:$AH665,18,FALSE)-AVERAGE('The List'!S2:S665))/STDEV('The List'!S2:S665)</f>
        <v>-0.312431010644607</v>
      </c>
      <c r="G243" s="77">
        <f>(VLOOKUP($A243,'The List'!$B1:$AH665,19,FALSE)-AVERAGE('The List'!T2:T665))/STDEV('The List'!T2:T665)</f>
        <v>0.132857107489159</v>
      </c>
      <c r="H243" s="77">
        <f>(VLOOKUP($A243,'The List'!$B1:$AH665,20,FALSE)-AVERAGE('The List'!U2:U665))/STDEV('The List'!U2:U665)</f>
        <v>-0.0595030113206463</v>
      </c>
      <c r="I243" s="77">
        <f>(VLOOKUP($A243,'The List'!$B1:$AH665,21,FALSE)-AVERAGE('The List'!V2:V665))/STDEV('The List'!V2:V665)</f>
        <v>0.528772805081869</v>
      </c>
      <c r="J243" s="77">
        <f>(VLOOKUP($A243,'The List'!$B1:$AH665,22,FALSE)-AVERAGE('The List'!W2:W665))/STDEV('The List'!W2:W665)</f>
        <v>0.314872532570241</v>
      </c>
      <c r="K243" s="77">
        <f>(VLOOKUP($A243,'The List'!$B1:$AH665,23,FALSE)-AVERAGE('The List'!X2:X665))/STDEV('The List'!X2:X665)</f>
        <v>0.120250939019709</v>
      </c>
      <c r="L243" s="77">
        <f>(VLOOKUP($A243,'The List'!$B1:$AH665,24,FALSE)-AVERAGE('The List'!Y2:Y665))/STDEV('The List'!Y2:Y665)</f>
        <v>-0.568508080250765</v>
      </c>
      <c r="M243" s="77">
        <f>(VLOOKUP($A243,'The List'!$B1:$AH665,25,FALSE)-AVERAGE('The List'!Z2:Z665))/STDEV('The List'!Z2:Z665)</f>
        <v>-0.719302216043181</v>
      </c>
      <c r="N243" s="77">
        <f>(VLOOKUP($A243,'The List'!$B1:$AH665,26,FALSE)-AVERAGE('The List'!AA2:AA665))/STDEV('The List'!AA2:AA665)</f>
        <v>1.30962598470554</v>
      </c>
      <c r="O243" s="77">
        <f>(VLOOKUP($A243,'The List'!$B1:$AH665,27,FALSE)-AVERAGE('The List'!AB2:AB665))/STDEV('The List'!AB2:AB665)</f>
        <v>-0.469202632369127</v>
      </c>
      <c r="P243" s="77">
        <f>(VLOOKUP($A243,'The List'!$B1:$AH665,28,FALSE)-AVERAGE('The List'!AC2:AC665))/STDEV('The List'!AC2:AC665)</f>
        <v>-0.692944232216114</v>
      </c>
      <c r="Q243" s="77">
        <f>(VLOOKUP($A243,'The List'!$B1:$AH665,29,FALSE)-AVERAGE('The List'!AD2:AD665))/STDEV('The List'!AD2:AD665)</f>
        <v>0.643610940783781</v>
      </c>
      <c r="R243" s="77">
        <f>(VLOOKUP($A243,'The List'!$B1:$AH665,30,FALSE)-AVERAGE('The List'!AE2:AE665))/STDEV('The List'!AE2:AE665)</f>
        <v>-0.344950328034781</v>
      </c>
      <c r="S243" s="77">
        <f>(VLOOKUP($A243,'The List'!$B1:$AH665,31,FALSE)-AVERAGE('The List'!AF2:AF665))/STDEV('The List'!AF2:AF665)</f>
        <v>-0.573894410680004</v>
      </c>
      <c r="T243" s="77">
        <f>(VLOOKUP($A243,'The List'!$B1:$AH665,32,FALSE)-AVERAGE('The List'!AG2:AG665))/STDEV('The List'!AG2:AG665)</f>
        <v>-0.625770787132651</v>
      </c>
      <c r="U243" s="77">
        <f>(VLOOKUP($A243,'The List'!$B1:$AH665,33,FALSE)-AVERAGE('The List'!AH2:AH665))/STDEV('The List'!AH2:AH665)</f>
        <v>-1.23143509451486</v>
      </c>
      <c r="V243" s="77"/>
      <c r="W243" s="79"/>
      <c r="X243" s="77"/>
      <c r="Y243" s="77"/>
      <c r="Z243" s="77"/>
      <c r="AA243" s="77"/>
      <c r="AB243" s="77"/>
      <c r="AC243" s="77"/>
      <c r="AD243" s="77"/>
      <c r="AE243" s="84"/>
    </row>
    <row r="244" ht="21.25" customHeight="1">
      <c r="A244" t="s" s="10">
        <v>579</v>
      </c>
      <c r="B244" t="s" s="86">
        <f>VLOOKUP(A244,'Player Data'!A1:B667,2,FALSE)</f>
        <v>342</v>
      </c>
      <c r="C244" s="74">
        <f>((E244)*'Settings'!$C$12)+(F244*'Settings'!$C$2)+(G244*'Settings'!$C$3)+(H244*'Settings'!$C$4)+(I244*'Settings'!$C$5)+(K244*'Settings'!$C$9)+(N244*'Settings'!$C$6)+(J244*'Settings'!$C$8)+(O244*'Settings'!$C$7)+(P244*'Settings'!$C$14)+(Q244*'Settings'!$C$15)+(R244*'Settings'!$C$16)+(S244*'Settings'!$C$17)+(T244*'Settings'!$C$18)+(U244*'Settings'!$C$19)+(L244*'Settings'!$C$10)+('Settings'!$C$11*M244)</f>
        <v>0.761320581299481</v>
      </c>
      <c r="D244" s="79">
        <f>IF('Settings'!$E$12="YES",VLOOKUP(A244,'Player Data'!A1:E667,5,FALSE),82)</f>
        <v>80.89</v>
      </c>
      <c r="E244" s="77">
        <f>(VLOOKUP($A244,'The List'!$B1:$AH665,17,FALSE)-AVERAGE('The List'!R2:R665))/STDEV('The List'!R2:R665)</f>
        <v>0.0390447834907514</v>
      </c>
      <c r="F244" s="77">
        <f>(VLOOKUP($A244,'The List'!$B1:$AH665,18,FALSE)-AVERAGE('The List'!S2:S665))/STDEV('The List'!S2:S665)</f>
        <v>-0.475322398961638</v>
      </c>
      <c r="G244" s="77">
        <f>(VLOOKUP($A244,'The List'!$B1:$AH665,19,FALSE)-AVERAGE('The List'!T2:T665))/STDEV('The List'!T2:T665)</f>
        <v>0.485626832259249</v>
      </c>
      <c r="H244" s="77">
        <f>(VLOOKUP($A244,'The List'!$B1:$AH665,20,FALSE)-AVERAGE('The List'!U2:U665))/STDEV('The List'!U2:U665)</f>
        <v>0.0855449444985945</v>
      </c>
      <c r="I244" s="77">
        <f>(VLOOKUP($A244,'The List'!$B1:$AH665,21,FALSE)-AVERAGE('The List'!V2:V665))/STDEV('The List'!V2:V665)</f>
        <v>-0.208459406962892</v>
      </c>
      <c r="J244" s="77">
        <f>(VLOOKUP($A244,'The List'!$B1:$AH665,22,FALSE)-AVERAGE('The List'!W2:W665))/STDEV('The List'!W2:W665)</f>
        <v>-0.133056533767389</v>
      </c>
      <c r="K244" s="77">
        <f>(VLOOKUP($A244,'The List'!$B1:$AH665,23,FALSE)-AVERAGE('The List'!X2:X665))/STDEV('The List'!X2:X665)</f>
        <v>0.85756981495018</v>
      </c>
      <c r="L244" s="77">
        <f>(VLOOKUP($A244,'The List'!$B1:$AH665,24,FALSE)-AVERAGE('The List'!Y2:Y665))/STDEV('The List'!Y2:Y665)</f>
        <v>-0.185680651892606</v>
      </c>
      <c r="M244" s="77">
        <f>(VLOOKUP($A244,'The List'!$B1:$AH665,25,FALSE)-AVERAGE('The List'!Z2:Z665))/STDEV('The List'!Z2:Z665)</f>
        <v>-0.468338719821923</v>
      </c>
      <c r="N244" s="77">
        <f>(VLOOKUP($A244,'The List'!$B1:$AH665,26,FALSE)-AVERAGE('The List'!AA2:AA665))/STDEV('The List'!AA2:AA665)</f>
        <v>0.270293000715095</v>
      </c>
      <c r="O244" s="77">
        <f>(VLOOKUP($A244,'The List'!$B1:$AH665,27,FALSE)-AVERAGE('The List'!AB2:AB665))/STDEV('The List'!AB2:AB665)</f>
        <v>-0.910448024379133</v>
      </c>
      <c r="P244" s="77">
        <f>(VLOOKUP($A244,'The List'!$B1:$AH665,28,FALSE)-AVERAGE('The List'!AC2:AC665))/STDEV('The List'!AC2:AC665)</f>
        <v>-0.168387260700513</v>
      </c>
      <c r="Q244" s="77">
        <f>(VLOOKUP($A244,'The List'!$B1:$AH665,29,FALSE)-AVERAGE('The List'!AD2:AD665))/STDEV('The List'!AD2:AD665)</f>
        <v>-0.905001847182859</v>
      </c>
      <c r="R244" s="77">
        <f>(VLOOKUP($A244,'The List'!$B1:$AH665,30,FALSE)-AVERAGE('The List'!AE2:AE665))/STDEV('The List'!AE2:AE665)</f>
        <v>-0.32052512111105</v>
      </c>
      <c r="S244" s="77">
        <f>(VLOOKUP($A244,'The List'!$B1:$AH665,31,FALSE)-AVERAGE('The List'!AF2:AF665))/STDEV('The List'!AF2:AF665)</f>
        <v>-0.573894410680004</v>
      </c>
      <c r="T244" s="77">
        <f>(VLOOKUP($A244,'The List'!$B1:$AH665,32,FALSE)-AVERAGE('The List'!AG2:AG665))/STDEV('The List'!AG2:AG665)</f>
        <v>-0.625770787132651</v>
      </c>
      <c r="U244" s="77">
        <f>(VLOOKUP($A244,'The List'!$B1:$AH665,33,FALSE)-AVERAGE('The List'!AH2:AH665))/STDEV('The List'!AH2:AH665)</f>
        <v>-1.23143509451486</v>
      </c>
      <c r="V244" s="77"/>
      <c r="W244" s="79"/>
      <c r="X244" s="77"/>
      <c r="Y244" s="77"/>
      <c r="Z244" s="77"/>
      <c r="AA244" s="77"/>
      <c r="AB244" s="77"/>
      <c r="AC244" s="77"/>
      <c r="AD244" s="77"/>
      <c r="AE244" s="84"/>
    </row>
    <row r="245" ht="21.25" customHeight="1">
      <c r="A245" t="s" s="10">
        <v>617</v>
      </c>
      <c r="B245" t="s" s="86">
        <f>VLOOKUP(A245,'Player Data'!A1:B667,2,FALSE)</f>
        <v>259</v>
      </c>
      <c r="C245" s="74">
        <f>((E245)*'Settings'!$C$12)+(F245*'Settings'!$C$2)+(G245*'Settings'!$C$3)+(H245*'Settings'!$C$4)+(I245*'Settings'!$C$5)+(K245*'Settings'!$C$9)+(N245*'Settings'!$C$6)+(J245*'Settings'!$C$8)+(O245*'Settings'!$C$7)+(P245*'Settings'!$C$14)+(Q245*'Settings'!$C$15)+(R245*'Settings'!$C$16)+(S245*'Settings'!$C$17)+(T245*'Settings'!$C$18)+(U245*'Settings'!$C$19)+(L245*'Settings'!$C$10)+('Settings'!$C$11*M245)</f>
        <v>-1.03499206683792</v>
      </c>
      <c r="D245" s="79">
        <f>IF('Settings'!$E$12="YES",VLOOKUP(A245,'Player Data'!A1:E667,5,FALSE),82)</f>
        <v>75</v>
      </c>
      <c r="E245" s="77">
        <f>(VLOOKUP($A245,'The List'!$B1:$AH665,17,FALSE)-AVERAGE('The List'!R2:R665))/STDEV('The List'!R2:R665)</f>
        <v>-0.51766555688669</v>
      </c>
      <c r="F245" s="77">
        <f>(VLOOKUP($A245,'The List'!$B1:$AH665,18,FALSE)-AVERAGE('The List'!S2:S665))/STDEV('The List'!S2:S665)</f>
        <v>-0.0232915074220529</v>
      </c>
      <c r="G245" s="77">
        <f>(VLOOKUP($A245,'The List'!$B1:$AH665,19,FALSE)-AVERAGE('The List'!T2:T665))/STDEV('The List'!T2:T665)</f>
        <v>-0.0497047578800579</v>
      </c>
      <c r="H245" s="77">
        <f>(VLOOKUP($A245,'The List'!$B1:$AH665,20,FALSE)-AVERAGE('The List'!U2:U665))/STDEV('The List'!U2:U665)</f>
        <v>-0.0414565467058509</v>
      </c>
      <c r="I245" s="77">
        <f>(VLOOKUP($A245,'The List'!$B1:$AH665,21,FALSE)-AVERAGE('The List'!V2:V665))/STDEV('The List'!V2:V665)</f>
        <v>-0.217861055271773</v>
      </c>
      <c r="J245" s="77">
        <f>(VLOOKUP($A245,'The List'!$B1:$AH665,22,FALSE)-AVERAGE('The List'!W2:W665))/STDEV('The List'!W2:W665)</f>
        <v>0.06933281192831969</v>
      </c>
      <c r="K245" s="77">
        <f>(VLOOKUP($A245,'The List'!$B1:$AH665,23,FALSE)-AVERAGE('The List'!X2:X665))/STDEV('The List'!X2:X665)</f>
        <v>-0.00186830462995679</v>
      </c>
      <c r="L245" s="77">
        <f>(VLOOKUP($A245,'The List'!$B1:$AH665,24,FALSE)-AVERAGE('The List'!Y2:Y665))/STDEV('The List'!Y2:Y665)</f>
        <v>-0.580182913902084</v>
      </c>
      <c r="M245" s="77">
        <f>(VLOOKUP($A245,'The List'!$B1:$AH665,25,FALSE)-AVERAGE('The List'!Z2:Z665))/STDEV('The List'!Z2:Z665)</f>
        <v>-0.754036664989997</v>
      </c>
      <c r="N245" s="77">
        <f>(VLOOKUP($A245,'The List'!$B1:$AH665,26,FALSE)-AVERAGE('The List'!AA2:AA665))/STDEV('The List'!AA2:AA665)</f>
        <v>-0.792055794800504</v>
      </c>
      <c r="O245" s="77">
        <f>(VLOOKUP($A245,'The List'!$B1:$AH665,27,FALSE)-AVERAGE('The List'!AB2:AB665))/STDEV('The List'!AB2:AB665)</f>
        <v>-0.0648105474348399</v>
      </c>
      <c r="P245" s="77">
        <f>(VLOOKUP($A245,'The List'!$B1:$AH665,28,FALSE)-AVERAGE('The List'!AC2:AC665))/STDEV('The List'!AC2:AC665)</f>
        <v>0.0497893531664211</v>
      </c>
      <c r="Q245" s="77">
        <f>(VLOOKUP($A245,'The List'!$B1:$AH665,29,FALSE)-AVERAGE('The List'!AD2:AD665))/STDEV('The List'!AD2:AD665)</f>
        <v>-0.186568066925944</v>
      </c>
      <c r="R245" s="77">
        <f>(VLOOKUP($A245,'The List'!$B1:$AH665,30,FALSE)-AVERAGE('The List'!AE2:AE665))/STDEV('The List'!AE2:AE665)</f>
        <v>-0.0283410407959827</v>
      </c>
      <c r="S245" s="77">
        <f>(VLOOKUP($A245,'The List'!$B1:$AH665,31,FALSE)-AVERAGE('The List'!AF2:AF665))/STDEV('The List'!AF2:AF665)</f>
        <v>-0.573894410680004</v>
      </c>
      <c r="T245" s="77">
        <f>(VLOOKUP($A245,'The List'!$B1:$AH665,32,FALSE)-AVERAGE('The List'!AG2:AG665))/STDEV('The List'!AG2:AG665)</f>
        <v>-0.625770787132651</v>
      </c>
      <c r="U245" s="77">
        <f>(VLOOKUP($A245,'The List'!$B1:$AH665,33,FALSE)-AVERAGE('The List'!AH2:AH665))/STDEV('The List'!AH2:AH665)</f>
        <v>-1.23143509451486</v>
      </c>
      <c r="V245" s="77"/>
      <c r="W245" s="89"/>
      <c r="X245" s="79"/>
      <c r="Y245" s="79"/>
      <c r="Z245" s="79"/>
      <c r="AA245" s="79"/>
      <c r="AB245" s="79"/>
      <c r="AC245" s="82"/>
      <c r="AD245" s="83"/>
      <c r="AE245" s="84"/>
    </row>
    <row r="246" ht="21.25" customHeight="1">
      <c r="A246" t="s" s="10">
        <v>493</v>
      </c>
      <c r="B246" t="s" s="86">
        <f>VLOOKUP(A246,'Player Data'!A1:B667,2,FALSE)</f>
        <v>129</v>
      </c>
      <c r="C246" s="74">
        <f>((E246)*'Settings'!$C$12)+(F246*'Settings'!$C$2)+(G246*'Settings'!$C$3)+(H246*'Settings'!$C$4)+(I246*'Settings'!$C$5)+(K246*'Settings'!$C$9)+(N246*'Settings'!$C$6)+(J246*'Settings'!$C$8)+(O246*'Settings'!$C$7)+(P246*'Settings'!$C$14)+(Q246*'Settings'!$C$15)+(R246*'Settings'!$C$16)+(S246*'Settings'!$C$17)+(T246*'Settings'!$C$18)+(U246*'Settings'!$C$19)+(L246*'Settings'!$C$10)+('Settings'!$C$11*M246)</f>
        <v>-0.274171546405</v>
      </c>
      <c r="D246" s="79">
        <f>IF('Settings'!$E$12="YES",VLOOKUP(A246,'Player Data'!A1:E667,5,FALSE),82)</f>
        <v>76.88</v>
      </c>
      <c r="E246" s="77">
        <f>(VLOOKUP($A246,'The List'!$B1:$AH665,17,FALSE)-AVERAGE('The List'!R2:R665))/STDEV('The List'!R2:R665)</f>
        <v>-0.259508490770729</v>
      </c>
      <c r="F246" s="77">
        <f>(VLOOKUP($A246,'The List'!$B1:$AH665,18,FALSE)-AVERAGE('The List'!S2:S665))/STDEV('The List'!S2:S665)</f>
        <v>0.435462871426852</v>
      </c>
      <c r="G246" s="77">
        <f>(VLOOKUP($A246,'The List'!$B1:$AH665,19,FALSE)-AVERAGE('The List'!T2:T665))/STDEV('The List'!T2:T665)</f>
        <v>-0.332543243212917</v>
      </c>
      <c r="H246" s="77">
        <f>(VLOOKUP($A246,'The List'!$B1:$AH665,20,FALSE)-AVERAGE('The List'!U2:U665))/STDEV('The List'!U2:U665)</f>
        <v>-0.008589478039311531</v>
      </c>
      <c r="I246" s="77">
        <f>(VLOOKUP($A246,'The List'!$B1:$AH665,21,FALSE)-AVERAGE('The List'!V2:V665))/STDEV('The List'!V2:V665)</f>
        <v>-0.09465218745262841</v>
      </c>
      <c r="J246" s="77">
        <f>(VLOOKUP($A246,'The List'!$B1:$AH665,22,FALSE)-AVERAGE('The List'!W2:W665))/STDEV('The List'!W2:W665)</f>
        <v>-0.112682474285452</v>
      </c>
      <c r="K246" s="77">
        <f>(VLOOKUP($A246,'The List'!$B1:$AH665,23,FALSE)-AVERAGE('The List'!X2:X665))/STDEV('The List'!X2:X665)</f>
        <v>-0.321770517675454</v>
      </c>
      <c r="L246" s="77">
        <f>(VLOOKUP($A246,'The List'!$B1:$AH665,24,FALSE)-AVERAGE('The List'!Y2:Y665))/STDEV('The List'!Y2:Y665)</f>
        <v>0.427646635603956</v>
      </c>
      <c r="M246" s="77">
        <f>(VLOOKUP($A246,'The List'!$B1:$AH665,25,FALSE)-AVERAGE('The List'!Z2:Z665))/STDEV('The List'!Z2:Z665)</f>
        <v>1.41552566721447</v>
      </c>
      <c r="N246" s="77">
        <f>(VLOOKUP($A246,'The List'!$B1:$AH665,26,FALSE)-AVERAGE('The List'!AA2:AA665))/STDEV('The List'!AA2:AA665)</f>
        <v>-0.0376743482997817</v>
      </c>
      <c r="O246" s="77">
        <f>(VLOOKUP($A246,'The List'!$B1:$AH665,27,FALSE)-AVERAGE('The List'!AB2:AB665))/STDEV('The List'!AB2:AB665)</f>
        <v>-0.315349925593144</v>
      </c>
      <c r="P246" s="77">
        <f>(VLOOKUP($A246,'The List'!$B1:$AH665,28,FALSE)-AVERAGE('The List'!AC2:AC665))/STDEV('The List'!AC2:AC665)</f>
        <v>0.0770058788089287</v>
      </c>
      <c r="Q246" s="77">
        <f>(VLOOKUP($A246,'The List'!$B1:$AH665,29,FALSE)-AVERAGE('The List'!AD2:AD665))/STDEV('The List'!AD2:AD665)</f>
        <v>-0.6181752439171</v>
      </c>
      <c r="R246" s="77">
        <f>(VLOOKUP($A246,'The List'!$B1:$AH665,30,FALSE)-AVERAGE('The List'!AE2:AE665))/STDEV('The List'!AE2:AE665)</f>
        <v>0.558413797791903</v>
      </c>
      <c r="S246" s="77">
        <f>(VLOOKUP($A246,'The List'!$B1:$AH665,31,FALSE)-AVERAGE('The List'!AF2:AF665))/STDEV('The List'!AF2:AF665)</f>
        <v>1.6963218299044</v>
      </c>
      <c r="T246" s="77">
        <f>(VLOOKUP($A246,'The List'!$B1:$AH665,32,FALSE)-AVERAGE('The List'!AG2:AG665))/STDEV('The List'!AG2:AG665)</f>
        <v>1.5154121016086</v>
      </c>
      <c r="U246" s="77">
        <f>(VLOOKUP($A246,'The List'!$B1:$AH665,33,FALSE)-AVERAGE('The List'!AH2:AH665))/STDEV('The List'!AH2:AH665)</f>
        <v>1.17116923184982</v>
      </c>
      <c r="V246" s="77"/>
      <c r="W246" s="89"/>
      <c r="X246" s="79"/>
      <c r="Y246" s="79"/>
      <c r="Z246" s="79"/>
      <c r="AA246" s="79"/>
      <c r="AB246" s="79"/>
      <c r="AC246" s="82"/>
      <c r="AD246" s="83"/>
      <c r="AE246" s="84"/>
    </row>
    <row r="247" ht="21.25" customHeight="1">
      <c r="A247" t="s" s="10">
        <v>377</v>
      </c>
      <c r="B247" t="s" s="86">
        <f>VLOOKUP(A247,'Player Data'!A1:B667,2,FALSE)</f>
        <v>908</v>
      </c>
      <c r="C247" s="74">
        <f>((E247)*'Settings'!$C$12)+(F247*'Settings'!$C$2)+(G247*'Settings'!$C$3)+(H247*'Settings'!$C$4)+(I247*'Settings'!$C$5)+(K247*'Settings'!$C$9)+(N247*'Settings'!$C$6)+(J247*'Settings'!$C$8)+(O247*'Settings'!$C$7)+(P247*'Settings'!$C$14)+(Q247*'Settings'!$C$15)+(R247*'Settings'!$C$16)+(S247*'Settings'!$C$17)+(T247*'Settings'!$C$18)+(U247*'Settings'!$C$19)+(L247*'Settings'!$C$10)+('Settings'!$C$11*M247)</f>
        <v>-0.168805738106172</v>
      </c>
      <c r="D247" s="79">
        <f>IF('Settings'!$E$12="YES",VLOOKUP(A247,'Player Data'!A1:E667,5,FALSE),82)</f>
        <v>79.465</v>
      </c>
      <c r="E247" s="77">
        <f>(VLOOKUP($A247,'The List'!$B1:$AH665,17,FALSE)-AVERAGE('The List'!R2:R665))/STDEV('The List'!R2:R665)</f>
        <v>-0.265693899318305</v>
      </c>
      <c r="F247" s="77">
        <f>(VLOOKUP($A247,'The List'!$B1:$AH665,18,FALSE)-AVERAGE('The List'!S2:S665))/STDEV('The List'!S2:S665)</f>
        <v>0.601605417220053</v>
      </c>
      <c r="G247" s="77">
        <f>(VLOOKUP($A247,'The List'!$B1:$AH665,19,FALSE)-AVERAGE('The List'!T2:T665))/STDEV('The List'!T2:T665)</f>
        <v>-0.373203941304629</v>
      </c>
      <c r="H247" s="77">
        <f>(VLOOKUP($A247,'The List'!$B1:$AH665,20,FALSE)-AVERAGE('The List'!U2:U665))/STDEV('The List'!U2:U665)</f>
        <v>0.0416776266235024</v>
      </c>
      <c r="I247" s="77">
        <f>(VLOOKUP($A247,'The List'!$B1:$AH665,21,FALSE)-AVERAGE('The List'!V2:V665))/STDEV('The List'!V2:V665)</f>
        <v>0.296125343566501</v>
      </c>
      <c r="J247" s="77">
        <f>(VLOOKUP($A247,'The List'!$B1:$AH665,22,FALSE)-AVERAGE('The List'!W2:W665))/STDEV('The List'!W2:W665)</f>
        <v>0.253202317076068</v>
      </c>
      <c r="K247" s="77">
        <f>(VLOOKUP($A247,'The List'!$B1:$AH665,23,FALSE)-AVERAGE('The List'!X2:X665))/STDEV('The List'!X2:X665)</f>
        <v>-0.229068589685146</v>
      </c>
      <c r="L247" s="77">
        <f>(VLOOKUP($A247,'The List'!$B1:$AH665,24,FALSE)-AVERAGE('The List'!Y2:Y665))/STDEV('The List'!Y2:Y665)</f>
        <v>-0.07145543458686369</v>
      </c>
      <c r="M247" s="77">
        <f>(VLOOKUP($A247,'The List'!$B1:$AH665,25,FALSE)-AVERAGE('The List'!Z2:Z665))/STDEV('The List'!Z2:Z665)</f>
        <v>0.168750100255405</v>
      </c>
      <c r="N247" s="77">
        <f>(VLOOKUP($A247,'The List'!$B1:$AH665,26,FALSE)-AVERAGE('The List'!AA2:AA665))/STDEV('The List'!AA2:AA665)</f>
        <v>-0.315025472802075</v>
      </c>
      <c r="O247" s="77">
        <f>(VLOOKUP($A247,'The List'!$B1:$AH665,27,FALSE)-AVERAGE('The List'!AB2:AB665))/STDEV('The List'!AB2:AB665)</f>
        <v>1.49713940254064</v>
      </c>
      <c r="P247" s="77">
        <f>(VLOOKUP($A247,'The List'!$B1:$AH665,28,FALSE)-AVERAGE('The List'!AC2:AC665))/STDEV('The List'!AC2:AC665)</f>
        <v>-0.149238495100876</v>
      </c>
      <c r="Q247" s="77">
        <f>(VLOOKUP($A247,'The List'!$B1:$AH665,29,FALSE)-AVERAGE('The List'!AD2:AD665))/STDEV('The List'!AD2:AD665)</f>
        <v>0.343302984607697</v>
      </c>
      <c r="R247" s="77">
        <f>(VLOOKUP($A247,'The List'!$B1:$AH665,30,FALSE)-AVERAGE('The List'!AE2:AE665))/STDEV('The List'!AE2:AE665)</f>
        <v>0.542496768949167</v>
      </c>
      <c r="S247" s="77">
        <f>(VLOOKUP($A247,'The List'!$B1:$AH665,31,FALSE)-AVERAGE('The List'!AF2:AF665))/STDEV('The List'!AF2:AF665)</f>
        <v>-0.441788411433105</v>
      </c>
      <c r="T247" s="77">
        <f>(VLOOKUP($A247,'The List'!$B1:$AH665,32,FALSE)-AVERAGE('The List'!AG2:AG665))/STDEV('The List'!AG2:AG665)</f>
        <v>-0.36313654093596</v>
      </c>
      <c r="U247" s="77">
        <f>(VLOOKUP($A247,'The List'!$B1:$AH665,33,FALSE)-AVERAGE('The List'!AH2:AH665))/STDEV('The List'!AH2:AH665)</f>
        <v>0.348524002915763</v>
      </c>
      <c r="V247" s="77"/>
      <c r="W247" s="89"/>
      <c r="X247" s="79"/>
      <c r="Y247" s="79"/>
      <c r="Z247" s="79"/>
      <c r="AA247" s="79"/>
      <c r="AB247" s="79"/>
      <c r="AC247" s="82"/>
      <c r="AD247" s="83"/>
      <c r="AE247" s="84"/>
    </row>
    <row r="248" ht="21.25" customHeight="1">
      <c r="A248" t="s" s="10">
        <v>722</v>
      </c>
      <c r="B248" t="s" s="86">
        <f>VLOOKUP(A248,'Player Data'!A1:B667,2,FALSE)</f>
        <v>878</v>
      </c>
      <c r="C248" s="74">
        <f>((E248)*'Settings'!$C$12)+(F248*'Settings'!$C$2)+(G248*'Settings'!$C$3)+(H248*'Settings'!$C$4)+(I248*'Settings'!$C$5)+(K248*'Settings'!$C$9)+(N248*'Settings'!$C$6)+(J248*'Settings'!$C$8)+(O248*'Settings'!$C$7)+(P248*'Settings'!$C$14)+(Q248*'Settings'!$C$15)+(R248*'Settings'!$C$16)+(S248*'Settings'!$C$17)+(T248*'Settings'!$C$18)+(U248*'Settings'!$C$19)+(L248*'Settings'!$C$10)+('Settings'!$C$11*M248)</f>
        <v>-1.00238459171656</v>
      </c>
      <c r="D248" s="79">
        <f>IF('Settings'!$E$12="YES",VLOOKUP(A248,'Player Data'!A1:E667,5,FALSE),82)</f>
        <v>74.4025</v>
      </c>
      <c r="E248" s="77">
        <f>(VLOOKUP($A248,'The List'!$B1:$AH665,17,FALSE)-AVERAGE('The List'!R2:R665))/STDEV('The List'!R2:R665)</f>
        <v>-0.736318730839733</v>
      </c>
      <c r="F248" s="77">
        <f>(VLOOKUP($A248,'The List'!$B1:$AH665,18,FALSE)-AVERAGE('The List'!S2:S665))/STDEV('The List'!S2:S665)</f>
        <v>0.424249562396372</v>
      </c>
      <c r="G248" s="77">
        <f>(VLOOKUP($A248,'The List'!$B1:$AH665,19,FALSE)-AVERAGE('The List'!T2:T665))/STDEV('The List'!T2:T665)</f>
        <v>-0.42288265661314</v>
      </c>
      <c r="H248" s="77">
        <f>(VLOOKUP($A248,'The List'!$B1:$AH665,20,FALSE)-AVERAGE('The List'!U2:U665))/STDEV('The List'!U2:U665)</f>
        <v>-0.0697923153414049</v>
      </c>
      <c r="I248" s="77">
        <f>(VLOOKUP($A248,'The List'!$B1:$AH665,21,FALSE)-AVERAGE('The List'!V2:V665))/STDEV('The List'!V2:V665)</f>
        <v>-0.283037922733159</v>
      </c>
      <c r="J248" s="77">
        <f>(VLOOKUP($A248,'The List'!$B1:$AH665,22,FALSE)-AVERAGE('The List'!W2:W665))/STDEV('The List'!W2:W665)</f>
        <v>-0.372334754080378</v>
      </c>
      <c r="K248" s="77">
        <f>(VLOOKUP($A248,'The List'!$B1:$AH665,23,FALSE)-AVERAGE('The List'!X2:X665))/STDEV('The List'!X2:X665)</f>
        <v>-0.485672547843351</v>
      </c>
      <c r="L248" s="77">
        <f>(VLOOKUP($A248,'The List'!$B1:$AH665,24,FALSE)-AVERAGE('The List'!Y2:Y665))/STDEV('The List'!Y2:Y665)</f>
        <v>-0.574446410237036</v>
      </c>
      <c r="M248" s="77">
        <f>(VLOOKUP($A248,'The List'!$B1:$AH665,25,FALSE)-AVERAGE('The List'!Z2:Z665))/STDEV('The List'!Z2:Z665)</f>
        <v>-0.748153926541257</v>
      </c>
      <c r="N248" s="77">
        <f>(VLOOKUP($A248,'The List'!$B1:$AH665,26,FALSE)-AVERAGE('The List'!AA2:AA665))/STDEV('The List'!AA2:AA665)</f>
        <v>-0.961895055326251</v>
      </c>
      <c r="O248" s="77">
        <f>(VLOOKUP($A248,'The List'!$B1:$AH665,27,FALSE)-AVERAGE('The List'!AB2:AB665))/STDEV('The List'!AB2:AB665)</f>
        <v>-1.14202067193186</v>
      </c>
      <c r="P248" s="77">
        <f>(VLOOKUP($A248,'The List'!$B1:$AH665,28,FALSE)-AVERAGE('The List'!AC2:AC665))/STDEV('The List'!AC2:AC665)</f>
        <v>0.726854028402972</v>
      </c>
      <c r="Q248" s="77">
        <f>(VLOOKUP($A248,'The List'!$B1:$AH665,29,FALSE)-AVERAGE('The List'!AD2:AD665))/STDEV('The List'!AD2:AD665)</f>
        <v>-0.84327809667026</v>
      </c>
      <c r="R248" s="77">
        <f>(VLOOKUP($A248,'The List'!$B1:$AH665,30,FALSE)-AVERAGE('The List'!AE2:AE665))/STDEV('The List'!AE2:AE665)</f>
        <v>0.569165590036825</v>
      </c>
      <c r="S248" s="77">
        <f>(VLOOKUP($A248,'The List'!$B1:$AH665,31,FALSE)-AVERAGE('The List'!AF2:AF665))/STDEV('The List'!AF2:AF665)</f>
        <v>-0.537062652305754</v>
      </c>
      <c r="T248" s="77">
        <f>(VLOOKUP($A248,'The List'!$B1:$AH665,32,FALSE)-AVERAGE('The List'!AG2:AG665))/STDEV('The List'!AG2:AG665)</f>
        <v>-0.551467362908165</v>
      </c>
      <c r="U248" s="77">
        <f>(VLOOKUP($A248,'The List'!$B1:$AH665,33,FALSE)-AVERAGE('The List'!AH2:AH665))/STDEV('The List'!AH2:AH665)</f>
        <v>0.333490187638341</v>
      </c>
      <c r="V248" s="77"/>
      <c r="W248" s="79"/>
      <c r="X248" s="77"/>
      <c r="Y248" s="77"/>
      <c r="Z248" s="77"/>
      <c r="AA248" s="77"/>
      <c r="AB248" s="77"/>
      <c r="AC248" s="77"/>
      <c r="AD248" s="77"/>
      <c r="AE248" s="84"/>
    </row>
    <row r="249" ht="21.25" customHeight="1">
      <c r="A249" t="s" s="10">
        <v>672</v>
      </c>
      <c r="B249" t="s" s="86">
        <f>VLOOKUP(A249,'Player Data'!A1:B667,2,FALSE)</f>
        <v>174</v>
      </c>
      <c r="C249" s="74">
        <f>((E249)*'Settings'!$C$12)+(F249*'Settings'!$C$2)+(G249*'Settings'!$C$3)+(H249*'Settings'!$C$4)+(I249*'Settings'!$C$5)+(K249*'Settings'!$C$9)+(N249*'Settings'!$C$6)+(J249*'Settings'!$C$8)+(O249*'Settings'!$C$7)+(P249*'Settings'!$C$14)+(Q249*'Settings'!$C$15)+(R249*'Settings'!$C$16)+(S249*'Settings'!$C$17)+(T249*'Settings'!$C$18)+(U249*'Settings'!$C$19)+(L249*'Settings'!$C$10)+('Settings'!$C$11*M249)</f>
        <v>-1.3619252919749</v>
      </c>
      <c r="D249" s="79">
        <f>IF('Settings'!$E$12="YES",VLOOKUP(A249,'Player Data'!A1:E667,5,FALSE),82)</f>
        <v>74.0475</v>
      </c>
      <c r="E249" s="77">
        <f>(VLOOKUP($A249,'The List'!$B1:$AH665,17,FALSE)-AVERAGE('The List'!R2:R665))/STDEV('The List'!R2:R665)</f>
        <v>-0.838784243248262</v>
      </c>
      <c r="F249" s="77">
        <f>(VLOOKUP($A249,'The List'!$B1:$AH665,18,FALSE)-AVERAGE('The List'!S2:S665))/STDEV('The List'!S2:S665)</f>
        <v>0.264187712353366</v>
      </c>
      <c r="G249" s="77">
        <f>(VLOOKUP($A249,'The List'!$B1:$AH665,19,FALSE)-AVERAGE('The List'!T2:T665))/STDEV('The List'!T2:T665)</f>
        <v>-0.343786834424878</v>
      </c>
      <c r="H249" s="77">
        <f>(VLOOKUP($A249,'The List'!$B1:$AH665,20,FALSE)-AVERAGE('The List'!U2:U665))/STDEV('The List'!U2:U665)</f>
        <v>-0.093425081548586</v>
      </c>
      <c r="I249" s="77">
        <f>(VLOOKUP($A249,'The List'!$B1:$AH665,21,FALSE)-AVERAGE('The List'!V2:V665))/STDEV('The List'!V2:V665)</f>
        <v>-0.286428697018611</v>
      </c>
      <c r="J249" s="77">
        <f>(VLOOKUP($A249,'The List'!$B1:$AH665,22,FALSE)-AVERAGE('The List'!W2:W665))/STDEV('The List'!W2:W665)</f>
        <v>-0.284547426125822</v>
      </c>
      <c r="K249" s="77">
        <f>(VLOOKUP($A249,'The List'!$B1:$AH665,23,FALSE)-AVERAGE('The List'!X2:X665))/STDEV('The List'!X2:X665)</f>
        <v>-0.366228388710961</v>
      </c>
      <c r="L249" s="77">
        <f>(VLOOKUP($A249,'The List'!$B1:$AH665,24,FALSE)-AVERAGE('The List'!Y2:Y665))/STDEV('The List'!Y2:Y665)</f>
        <v>-0.574350690055465</v>
      </c>
      <c r="M249" s="77">
        <f>(VLOOKUP($A249,'The List'!$B1:$AH665,25,FALSE)-AVERAGE('The List'!Z2:Z665))/STDEV('The List'!Z2:Z665)</f>
        <v>-0.74805401814275</v>
      </c>
      <c r="N249" s="77">
        <f>(VLOOKUP($A249,'The List'!$B1:$AH665,26,FALSE)-AVERAGE('The List'!AA2:AA665))/STDEV('The List'!AA2:AA665)</f>
        <v>-0.851014172582475</v>
      </c>
      <c r="O249" s="77">
        <f>(VLOOKUP($A249,'The List'!$B1:$AH665,27,FALSE)-AVERAGE('The List'!AB2:AB665))/STDEV('The List'!AB2:AB665)</f>
        <v>-0.60564644754271</v>
      </c>
      <c r="P249" s="77">
        <f>(VLOOKUP($A249,'The List'!$B1:$AH665,28,FALSE)-AVERAGE('The List'!AC2:AC665))/STDEV('The List'!AC2:AC665)</f>
        <v>0.22134508840866</v>
      </c>
      <c r="Q249" s="77">
        <f>(VLOOKUP($A249,'The List'!$B1:$AH665,29,FALSE)-AVERAGE('The List'!AD2:AD665))/STDEV('The List'!AD2:AD665)</f>
        <v>-0.429076583827465</v>
      </c>
      <c r="R249" s="77">
        <f>(VLOOKUP($A249,'The List'!$B1:$AH665,30,FALSE)-AVERAGE('The List'!AE2:AE665))/STDEV('The List'!AE2:AE665)</f>
        <v>0.214857570514653</v>
      </c>
      <c r="S249" s="77">
        <f>(VLOOKUP($A249,'The List'!$B1:$AH665,31,FALSE)-AVERAGE('The List'!AF2:AF665))/STDEV('The List'!AF2:AF665)</f>
        <v>-0.549595694010186</v>
      </c>
      <c r="T249" s="77">
        <f>(VLOOKUP($A249,'The List'!$B1:$AH665,32,FALSE)-AVERAGE('The List'!AG2:AG665))/STDEV('The List'!AG2:AG665)</f>
        <v>-0.592687536675839</v>
      </c>
      <c r="U249" s="77">
        <f>(VLOOKUP($A249,'The List'!$B1:$AH665,33,FALSE)-AVERAGE('The List'!AH2:AH665))/STDEV('The List'!AH2:AH665)</f>
        <v>0.756701497937953</v>
      </c>
      <c r="V249" s="77"/>
      <c r="W249" s="89"/>
      <c r="X249" s="79"/>
      <c r="Y249" s="79"/>
      <c r="Z249" s="79"/>
      <c r="AA249" s="79"/>
      <c r="AB249" s="79"/>
      <c r="AC249" s="82"/>
      <c r="AD249" s="83"/>
      <c r="AE249" s="84"/>
    </row>
    <row r="250" ht="21.25" customHeight="1">
      <c r="A250" t="s" s="10">
        <v>476</v>
      </c>
      <c r="B250" t="s" s="86">
        <f>VLOOKUP(A250,'Player Data'!A1:B667,2,FALSE)</f>
        <v>899</v>
      </c>
      <c r="C250" s="74">
        <f>((E250)*'Settings'!$C$12)+(F250*'Settings'!$C$2)+(G250*'Settings'!$C$3)+(H250*'Settings'!$C$4)+(I250*'Settings'!$C$5)+(K250*'Settings'!$C$9)+(N250*'Settings'!$C$6)+(J250*'Settings'!$C$8)+(O250*'Settings'!$C$7)+(P250*'Settings'!$C$14)+(Q250*'Settings'!$C$15)+(R250*'Settings'!$C$16)+(S250*'Settings'!$C$17)+(T250*'Settings'!$C$18)+(U250*'Settings'!$C$19)+(L250*'Settings'!$C$10)+('Settings'!$C$11*M250)</f>
        <v>1.78946592001107</v>
      </c>
      <c r="D250" s="79">
        <f>IF('Settings'!$E$12="YES",VLOOKUP(A250,'Player Data'!A1:E667,5,FALSE),82)</f>
        <v>79.0575</v>
      </c>
      <c r="E250" s="77">
        <f>(VLOOKUP($A250,'The List'!$B1:$AH665,17,FALSE)-AVERAGE('The List'!R2:R665))/STDEV('The List'!R2:R665)</f>
        <v>1.74837886748056</v>
      </c>
      <c r="F250" s="77">
        <f>(VLOOKUP($A250,'The List'!$B1:$AH665,18,FALSE)-AVERAGE('The List'!S2:S665))/STDEV('The List'!S2:S665)</f>
        <v>-0.710501713893737</v>
      </c>
      <c r="G250" s="77">
        <f>(VLOOKUP($A250,'The List'!$B1:$AH665,19,FALSE)-AVERAGE('The List'!T2:T665))/STDEV('The List'!T2:T665)</f>
        <v>0.522750580298119</v>
      </c>
      <c r="H250" s="77">
        <f>(VLOOKUP($A250,'The List'!$B1:$AH665,20,FALSE)-AVERAGE('The List'!U2:U665))/STDEV('The List'!U2:U665)</f>
        <v>0.00170070182225906</v>
      </c>
      <c r="I250" s="77">
        <f>(VLOOKUP($A250,'The List'!$B1:$AH665,21,FALSE)-AVERAGE('The List'!V2:V665))/STDEV('The List'!V2:V665)</f>
        <v>-0.0905531710861414</v>
      </c>
      <c r="J250" s="77">
        <f>(VLOOKUP($A250,'The List'!$B1:$AH665,22,FALSE)-AVERAGE('The List'!W2:W665))/STDEV('The List'!W2:W665)</f>
        <v>-0.469558064456135</v>
      </c>
      <c r="K250" s="77">
        <f>(VLOOKUP($A250,'The List'!$B1:$AH665,23,FALSE)-AVERAGE('The List'!X2:X665))/STDEV('The List'!X2:X665)</f>
        <v>0.0813643988566394</v>
      </c>
      <c r="L250" s="77">
        <f>(VLOOKUP($A250,'The List'!$B1:$AH665,24,FALSE)-AVERAGE('The List'!Y2:Y665))/STDEV('The List'!Y2:Y665)</f>
        <v>-0.533560239049745</v>
      </c>
      <c r="M250" s="77">
        <f>(VLOOKUP($A250,'The List'!$B1:$AH665,25,FALSE)-AVERAGE('The List'!Z2:Z665))/STDEV('The List'!Z2:Z665)</f>
        <v>-0.467756473997107</v>
      </c>
      <c r="N250" s="77">
        <f>(VLOOKUP($A250,'The List'!$B1:$AH665,26,FALSE)-AVERAGE('The List'!AA2:AA665))/STDEV('The List'!AA2:AA665)</f>
        <v>1.06476521476129</v>
      </c>
      <c r="O250" s="77">
        <f>(VLOOKUP($A250,'The List'!$B1:$AH665,27,FALSE)-AVERAGE('The List'!AB2:AB665))/STDEV('The List'!AB2:AB665)</f>
        <v>-0.479480238309988</v>
      </c>
      <c r="P250" s="77">
        <f>(VLOOKUP($A250,'The List'!$B1:$AH665,28,FALSE)-AVERAGE('The List'!AC2:AC665))/STDEV('The List'!AC2:AC665)</f>
        <v>0.921640611074902</v>
      </c>
      <c r="Q250" s="77">
        <f>(VLOOKUP($A250,'The List'!$B1:$AH665,29,FALSE)-AVERAGE('The List'!AD2:AD665))/STDEV('The List'!AD2:AD665)</f>
        <v>1.48536304938521</v>
      </c>
      <c r="R250" s="77">
        <f>(VLOOKUP($A250,'The List'!$B1:$AH665,30,FALSE)-AVERAGE('The List'!AE2:AE665))/STDEV('The List'!AE2:AE665)</f>
        <v>-0.652206617509632</v>
      </c>
      <c r="S250" s="77">
        <f>(VLOOKUP($A250,'The List'!$B1:$AH665,31,FALSE)-AVERAGE('The List'!AF2:AF665))/STDEV('The List'!AF2:AF665)</f>
        <v>-0.573894410680004</v>
      </c>
      <c r="T250" s="77">
        <f>(VLOOKUP($A250,'The List'!$B1:$AH665,32,FALSE)-AVERAGE('The List'!AG2:AG665))/STDEV('The List'!AG2:AG665)</f>
        <v>-0.625770787132651</v>
      </c>
      <c r="U250" s="77">
        <f>(VLOOKUP($A250,'The List'!$B1:$AH665,33,FALSE)-AVERAGE('The List'!AH2:AH665))/STDEV('The List'!AH2:AH665)</f>
        <v>-1.23143509451486</v>
      </c>
      <c r="V250" s="77"/>
      <c r="W250" s="79"/>
      <c r="X250" s="77"/>
      <c r="Y250" s="77"/>
      <c r="Z250" s="77"/>
      <c r="AA250" s="77"/>
      <c r="AB250" s="77"/>
      <c r="AC250" s="77"/>
      <c r="AD250" s="77"/>
      <c r="AE250" s="84"/>
    </row>
    <row r="251" ht="21.25" customHeight="1">
      <c r="A251" t="s" s="10">
        <v>536</v>
      </c>
      <c r="B251" t="s" s="86">
        <f>VLOOKUP(A251,'Player Data'!A1:B667,2,FALSE)</f>
        <v>904</v>
      </c>
      <c r="C251" s="74">
        <f>((E251)*'Settings'!$C$12)+(F251*'Settings'!$C$2)+(G251*'Settings'!$C$3)+(H251*'Settings'!$C$4)+(I251*'Settings'!$C$5)+(K251*'Settings'!$C$9)+(N251*'Settings'!$C$6)+(J251*'Settings'!$C$8)+(O251*'Settings'!$C$7)+(P251*'Settings'!$C$14)+(Q251*'Settings'!$C$15)+(R251*'Settings'!$C$16)+(S251*'Settings'!$C$17)+(T251*'Settings'!$C$18)+(U251*'Settings'!$C$19)+(L251*'Settings'!$C$10)+('Settings'!$C$11*M251)</f>
        <v>-1.33172586433082</v>
      </c>
      <c r="D251" s="79">
        <f>IF('Settings'!$E$12="YES",VLOOKUP(A251,'Player Data'!A1:E667,5,FALSE),82)</f>
        <v>71.13</v>
      </c>
      <c r="E251" s="77">
        <f>(VLOOKUP($A251,'The List'!$B1:$AH665,17,FALSE)-AVERAGE('The List'!R2:R665))/STDEV('The List'!R2:R665)</f>
        <v>-0.348316863613364</v>
      </c>
      <c r="F251" s="77">
        <f>(VLOOKUP($A251,'The List'!$B1:$AH665,18,FALSE)-AVERAGE('The List'!S2:S665))/STDEV('The List'!S2:S665)</f>
        <v>0.120548108150223</v>
      </c>
      <c r="G251" s="77">
        <f>(VLOOKUP($A251,'The List'!$B1:$AH665,19,FALSE)-AVERAGE('The List'!T2:T665))/STDEV('The List'!T2:T665)</f>
        <v>-0.353447983276325</v>
      </c>
      <c r="H251" s="77">
        <f>(VLOOKUP($A251,'The List'!$B1:$AH665,20,FALSE)-AVERAGE('The List'!U2:U665))/STDEV('The List'!U2:U665)</f>
        <v>-0.164716226062294</v>
      </c>
      <c r="I251" s="77">
        <f>(VLOOKUP($A251,'The List'!$B1:$AH665,21,FALSE)-AVERAGE('The List'!V2:V665))/STDEV('The List'!V2:V665)</f>
        <v>-0.396091303768378</v>
      </c>
      <c r="J251" s="77">
        <f>(VLOOKUP($A251,'The List'!$B1:$AH665,22,FALSE)-AVERAGE('The List'!W2:W665))/STDEV('The List'!W2:W665)</f>
        <v>0.0362762472372535</v>
      </c>
      <c r="K251" s="77">
        <f>(VLOOKUP($A251,'The List'!$B1:$AH665,23,FALSE)-AVERAGE('The List'!X2:X665))/STDEV('The List'!X2:X665)</f>
        <v>-0.195518860020136</v>
      </c>
      <c r="L251" s="77">
        <f>(VLOOKUP($A251,'The List'!$B1:$AH665,24,FALSE)-AVERAGE('The List'!Y2:Y665))/STDEV('The List'!Y2:Y665)</f>
        <v>1.57735603462318</v>
      </c>
      <c r="M251" s="77">
        <f>(VLOOKUP($A251,'The List'!$B1:$AH665,25,FALSE)-AVERAGE('The List'!Z2:Z665))/STDEV('The List'!Z2:Z665)</f>
        <v>0.796216458426057</v>
      </c>
      <c r="N251" s="77">
        <f>(VLOOKUP($A251,'The List'!$B1:$AH665,26,FALSE)-AVERAGE('The List'!AA2:AA665))/STDEV('The List'!AA2:AA665)</f>
        <v>-0.604062451413083</v>
      </c>
      <c r="O251" s="77">
        <f>(VLOOKUP($A251,'The List'!$B1:$AH665,27,FALSE)-AVERAGE('The List'!AB2:AB665))/STDEV('The List'!AB2:AB665)</f>
        <v>0.571917614629283</v>
      </c>
      <c r="P251" s="77">
        <f>(VLOOKUP($A251,'The List'!$B1:$AH665,28,FALSE)-AVERAGE('The List'!AC2:AC665))/STDEV('The List'!AC2:AC665)</f>
        <v>0.0968466259968795</v>
      </c>
      <c r="Q251" s="77">
        <f>(VLOOKUP($A251,'The List'!$B1:$AH665,29,FALSE)-AVERAGE('The List'!AD2:AD665))/STDEV('The List'!AD2:AD665)</f>
        <v>1.57395717602428</v>
      </c>
      <c r="R251" s="77">
        <f>(VLOOKUP($A251,'The List'!$B1:$AH665,30,FALSE)-AVERAGE('The List'!AE2:AE665))/STDEV('The List'!AE2:AE665)</f>
        <v>0.174053583716708</v>
      </c>
      <c r="S251" s="77">
        <f>(VLOOKUP($A251,'The List'!$B1:$AH665,31,FALSE)-AVERAGE('The List'!AF2:AF665))/STDEV('The List'!AF2:AF665)</f>
        <v>0.40219841489053</v>
      </c>
      <c r="T251" s="77">
        <f>(VLOOKUP($A251,'The List'!$B1:$AH665,32,FALSE)-AVERAGE('The List'!AG2:AG665))/STDEV('The List'!AG2:AG665)</f>
        <v>0.743041850038667</v>
      </c>
      <c r="U251" s="77">
        <f>(VLOOKUP($A251,'The List'!$B1:$AH665,33,FALSE)-AVERAGE('The List'!AH2:AH665))/STDEV('The List'!AH2:AH665)</f>
        <v>0.723794591437342</v>
      </c>
      <c r="V251" s="77"/>
      <c r="W251" s="89"/>
      <c r="X251" s="79"/>
      <c r="Y251" s="79"/>
      <c r="Z251" s="79"/>
      <c r="AA251" s="79"/>
      <c r="AB251" s="79"/>
      <c r="AC251" s="82"/>
      <c r="AD251" s="83"/>
      <c r="AE251" s="84"/>
    </row>
    <row r="252" ht="21.25" customHeight="1">
      <c r="A252" t="s" s="10">
        <v>731</v>
      </c>
      <c r="B252" t="s" s="86">
        <f>VLOOKUP(A252,'Player Data'!A1:B667,2,FALSE)</f>
        <v>903</v>
      </c>
      <c r="C252" s="74">
        <f>((E252)*'Settings'!$C$12)+(F252*'Settings'!$C$2)+(G252*'Settings'!$C$3)+(H252*'Settings'!$C$4)+(I252*'Settings'!$C$5)+(K252*'Settings'!$C$9)+(N252*'Settings'!$C$6)+(J252*'Settings'!$C$8)+(O252*'Settings'!$C$7)+(P252*'Settings'!$C$14)+(Q252*'Settings'!$C$15)+(R252*'Settings'!$C$16)+(S252*'Settings'!$C$17)+(T252*'Settings'!$C$18)+(U252*'Settings'!$C$19)+(L252*'Settings'!$C$10)+('Settings'!$C$11*M252)</f>
        <v>-2.29342379601174</v>
      </c>
      <c r="D252" s="79">
        <f>IF('Settings'!$E$12="YES",VLOOKUP(A252,'Player Data'!A1:E667,5,FALSE),82)</f>
        <v>74.565</v>
      </c>
      <c r="E252" s="77">
        <f>(VLOOKUP($A252,'The List'!$B1:$AH665,17,FALSE)-AVERAGE('The List'!R2:R665))/STDEV('The List'!R2:R665)</f>
        <v>-0.9316074341906559</v>
      </c>
      <c r="F252" s="77">
        <f>(VLOOKUP($A252,'The List'!$B1:$AH665,18,FALSE)-AVERAGE('The List'!S2:S665))/STDEV('The List'!S2:S665)</f>
        <v>0.463862050657431</v>
      </c>
      <c r="G252" s="77">
        <f>(VLOOKUP($A252,'The List'!$B1:$AH665,19,FALSE)-AVERAGE('The List'!T2:T665))/STDEV('The List'!T2:T665)</f>
        <v>-0.492615125035353</v>
      </c>
      <c r="H252" s="77">
        <f>(VLOOKUP($A252,'The List'!$B1:$AH665,20,FALSE)-AVERAGE('The List'!U2:U665))/STDEV('The List'!U2:U665)</f>
        <v>-0.0950943403094241</v>
      </c>
      <c r="I252" s="77">
        <f>(VLOOKUP($A252,'The List'!$B1:$AH665,21,FALSE)-AVERAGE('The List'!V2:V665))/STDEV('The List'!V2:V665)</f>
        <v>-0.137841888992471</v>
      </c>
      <c r="J252" s="77">
        <f>(VLOOKUP($A252,'The List'!$B1:$AH665,22,FALSE)-AVERAGE('The List'!W2:W665))/STDEV('The List'!W2:W665)</f>
        <v>-0.104191149311799</v>
      </c>
      <c r="K252" s="77">
        <f>(VLOOKUP($A252,'The List'!$B1:$AH665,23,FALSE)-AVERAGE('The List'!X2:X665))/STDEV('The List'!X2:X665)</f>
        <v>-0.356071866245359</v>
      </c>
      <c r="L252" s="77">
        <f>(VLOOKUP($A252,'The List'!$B1:$AH665,24,FALSE)-AVERAGE('The List'!Y2:Y665))/STDEV('The List'!Y2:Y665)</f>
        <v>-0.574898212876036</v>
      </c>
      <c r="M252" s="77">
        <f>(VLOOKUP($A252,'The List'!$B1:$AH665,25,FALSE)-AVERAGE('The List'!Z2:Z665))/STDEV('The List'!Z2:Z665)</f>
        <v>-0.743800003075042</v>
      </c>
      <c r="N252" s="77">
        <f>(VLOOKUP($A252,'The List'!$B1:$AH665,26,FALSE)-AVERAGE('The List'!AA2:AA665))/STDEV('The List'!AA2:AA665)</f>
        <v>-1.08607769397048</v>
      </c>
      <c r="O252" s="77">
        <f>(VLOOKUP($A252,'The List'!$B1:$AH665,27,FALSE)-AVERAGE('The List'!AB2:AB665))/STDEV('The List'!AB2:AB665)</f>
        <v>-1.14063345156545</v>
      </c>
      <c r="P252" s="77">
        <f>(VLOOKUP($A252,'The List'!$B1:$AH665,28,FALSE)-AVERAGE('The List'!AC2:AC665))/STDEV('The List'!AC2:AC665)</f>
        <v>-0.684679272425509</v>
      </c>
      <c r="Q252" s="77">
        <f>(VLOOKUP($A252,'The List'!$B1:$AH665,29,FALSE)-AVERAGE('The List'!AD2:AD665))/STDEV('The List'!AD2:AD665)</f>
        <v>-1.61464060967215</v>
      </c>
      <c r="R252" s="77">
        <f>(VLOOKUP($A252,'The List'!$B1:$AH665,30,FALSE)-AVERAGE('The List'!AE2:AE665))/STDEV('The List'!AE2:AE665)</f>
        <v>0.4797087005918</v>
      </c>
      <c r="S252" s="77">
        <f>(VLOOKUP($A252,'The List'!$B1:$AH665,31,FALSE)-AVERAGE('The List'!AF2:AF665))/STDEV('The List'!AF2:AF665)</f>
        <v>-0.572774584922076</v>
      </c>
      <c r="T252" s="77">
        <f>(VLOOKUP($A252,'The List'!$B1:$AH665,32,FALSE)-AVERAGE('The List'!AG2:AG665))/STDEV('The List'!AG2:AG665)</f>
        <v>-0.609889662601228</v>
      </c>
      <c r="U252" s="77">
        <f>(VLOOKUP($A252,'The List'!$B1:$AH665,33,FALSE)-AVERAGE('The List'!AH2:AH665))/STDEV('The List'!AH2:AH665)</f>
        <v>-0.91517213109627</v>
      </c>
      <c r="V252" s="77"/>
      <c r="W252" s="89"/>
      <c r="X252" s="79"/>
      <c r="Y252" s="79"/>
      <c r="Z252" s="79"/>
      <c r="AA252" s="79"/>
      <c r="AB252" s="79"/>
      <c r="AC252" s="82"/>
      <c r="AD252" s="83"/>
      <c r="AE252" s="84"/>
    </row>
    <row r="253" ht="21.25" customHeight="1">
      <c r="A253" t="s" s="10">
        <v>538</v>
      </c>
      <c r="B253" t="s" s="86">
        <f>VLOOKUP(A253,'Player Data'!A1:B667,2,FALSE)</f>
        <v>901</v>
      </c>
      <c r="C253" s="74">
        <f>((E253)*'Settings'!$C$12)+(F253*'Settings'!$C$2)+(G253*'Settings'!$C$3)+(H253*'Settings'!$C$4)+(I253*'Settings'!$C$5)+(K253*'Settings'!$C$9)+(N253*'Settings'!$C$6)+(J253*'Settings'!$C$8)+(O253*'Settings'!$C$7)+(P253*'Settings'!$C$14)+(Q253*'Settings'!$C$15)+(R253*'Settings'!$C$16)+(S253*'Settings'!$C$17)+(T253*'Settings'!$C$18)+(U253*'Settings'!$C$19)+(L253*'Settings'!$C$10)+('Settings'!$C$11*M253)</f>
        <v>-0.709240997538689</v>
      </c>
      <c r="D253" s="79">
        <f>IF('Settings'!$E$12="YES",VLOOKUP(A253,'Player Data'!A1:E667,5,FALSE),82)</f>
        <v>77.6725</v>
      </c>
      <c r="E253" s="77">
        <f>(VLOOKUP($A253,'The List'!$B1:$AH665,17,FALSE)-AVERAGE('The List'!R2:R665))/STDEV('The List'!R2:R665)</f>
        <v>-0.71384148789767</v>
      </c>
      <c r="F253" s="77">
        <f>(VLOOKUP($A253,'The List'!$B1:$AH665,18,FALSE)-AVERAGE('The List'!S2:S665))/STDEV('The List'!S2:S665)</f>
        <v>0.23502937226184</v>
      </c>
      <c r="G253" s="77">
        <f>(VLOOKUP($A253,'The List'!$B1:$AH665,19,FALSE)-AVERAGE('The List'!T2:T665))/STDEV('The List'!T2:T665)</f>
        <v>-0.239018622861285</v>
      </c>
      <c r="H253" s="77">
        <f>(VLOOKUP($A253,'The List'!$B1:$AH665,20,FALSE)-AVERAGE('The List'!U2:U665))/STDEV('The List'!U2:U665)</f>
        <v>-0.0416119828274061</v>
      </c>
      <c r="I253" s="77">
        <f>(VLOOKUP($A253,'The List'!$B1:$AH665,21,FALSE)-AVERAGE('The List'!V2:V665))/STDEV('The List'!V2:V665)</f>
        <v>-0.0488549311938547</v>
      </c>
      <c r="J253" s="77">
        <f>(VLOOKUP($A253,'The List'!$B1:$AH665,22,FALSE)-AVERAGE('The List'!W2:W665))/STDEV('The List'!W2:W665)</f>
        <v>-0.598518589335915</v>
      </c>
      <c r="K253" s="77">
        <f>(VLOOKUP($A253,'The List'!$B1:$AH665,23,FALSE)-AVERAGE('The List'!X2:X665))/STDEV('The List'!X2:X665)</f>
        <v>-0.736129122583362</v>
      </c>
      <c r="L253" s="77">
        <f>(VLOOKUP($A253,'The List'!$B1:$AH665,24,FALSE)-AVERAGE('The List'!Y2:Y665))/STDEV('The List'!Y2:Y665)</f>
        <v>0.823359947827366</v>
      </c>
      <c r="M253" s="77">
        <f>(VLOOKUP($A253,'The List'!$B1:$AH665,25,FALSE)-AVERAGE('The List'!Z2:Z665))/STDEV('The List'!Z2:Z665)</f>
        <v>0.215490037812313</v>
      </c>
      <c r="N253" s="77">
        <f>(VLOOKUP($A253,'The List'!$B1:$AH665,26,FALSE)-AVERAGE('The List'!AA2:AA665))/STDEV('The List'!AA2:AA665)</f>
        <v>-0.475048048980538</v>
      </c>
      <c r="O253" s="77">
        <f>(VLOOKUP($A253,'The List'!$B1:$AH665,27,FALSE)-AVERAGE('The List'!AB2:AB665))/STDEV('The List'!AB2:AB665)</f>
        <v>0.10701585253651</v>
      </c>
      <c r="P253" s="77">
        <f>(VLOOKUP($A253,'The List'!$B1:$AH665,28,FALSE)-AVERAGE('The List'!AC2:AC665))/STDEV('The List'!AC2:AC665)</f>
        <v>0.554780355818511</v>
      </c>
      <c r="Q253" s="77">
        <f>(VLOOKUP($A253,'The List'!$B1:$AH665,29,FALSE)-AVERAGE('The List'!AD2:AD665))/STDEV('The List'!AD2:AD665)</f>
        <v>-0.555180371343974</v>
      </c>
      <c r="R253" s="77">
        <f>(VLOOKUP($A253,'The List'!$B1:$AH665,30,FALSE)-AVERAGE('The List'!AE2:AE665))/STDEV('The List'!AE2:AE665)</f>
        <v>0.444290966480053</v>
      </c>
      <c r="S253" s="77">
        <f>(VLOOKUP($A253,'The List'!$B1:$AH665,31,FALSE)-AVERAGE('The List'!AF2:AF665))/STDEV('The List'!AF2:AF665)</f>
        <v>-0.537707818777704</v>
      </c>
      <c r="T253" s="77">
        <f>(VLOOKUP($A253,'The List'!$B1:$AH665,32,FALSE)-AVERAGE('The List'!AG2:AG665))/STDEV('The List'!AG2:AG665)</f>
        <v>-0.5321355968684111</v>
      </c>
      <c r="U253" s="77">
        <f>(VLOOKUP($A253,'The List'!$B1:$AH665,33,FALSE)-AVERAGE('The List'!AH2:AH665))/STDEV('The List'!AH2:AH665)</f>
        <v>0.0891032987372746</v>
      </c>
      <c r="V253" s="77"/>
      <c r="W253" s="89"/>
      <c r="X253" s="79"/>
      <c r="Y253" s="79"/>
      <c r="Z253" s="79"/>
      <c r="AA253" s="79"/>
      <c r="AB253" s="79"/>
      <c r="AC253" s="82"/>
      <c r="AD253" s="83"/>
      <c r="AE253" s="84"/>
    </row>
    <row r="254" ht="21.25" customHeight="1">
      <c r="A254" t="s" s="10">
        <v>483</v>
      </c>
      <c r="B254" t="s" s="86">
        <f>VLOOKUP(A254,'Player Data'!A1:B667,2,FALSE)</f>
        <v>132</v>
      </c>
      <c r="C254" s="74">
        <f>((E254)*'Settings'!$C$12)+(F254*'Settings'!$C$2)+(G254*'Settings'!$C$3)+(H254*'Settings'!$C$4)+(I254*'Settings'!$C$5)+(K254*'Settings'!$C$9)+(N254*'Settings'!$C$6)+(J254*'Settings'!$C$8)+(O254*'Settings'!$C$7)+(P254*'Settings'!$C$14)+(Q254*'Settings'!$C$15)+(R254*'Settings'!$C$16)+(S254*'Settings'!$C$17)+(T254*'Settings'!$C$18)+(U254*'Settings'!$C$19)+(L254*'Settings'!$C$10)+('Settings'!$C$11*M254)</f>
        <v>-0.264149396526303</v>
      </c>
      <c r="D254" s="79">
        <f>IF('Settings'!$E$12="YES",VLOOKUP(A254,'Player Data'!A1:E667,5,FALSE),82)</f>
        <v>69.89</v>
      </c>
      <c r="E254" s="77">
        <f>(VLOOKUP($A254,'The List'!$B1:$AH665,17,FALSE)-AVERAGE('The List'!R2:R665))/STDEV('The List'!R2:R665)</f>
        <v>-0.899755329503878</v>
      </c>
      <c r="F254" s="77">
        <f>(VLOOKUP($A254,'The List'!$B1:$AH665,18,FALSE)-AVERAGE('The List'!S2:S665))/STDEV('The List'!S2:S665)</f>
        <v>0.374551721981342</v>
      </c>
      <c r="G254" s="77">
        <f>(VLOOKUP($A254,'The List'!$B1:$AH665,19,FALSE)-AVERAGE('The List'!T2:T665))/STDEV('The List'!T2:T665)</f>
        <v>-0.603893442057395</v>
      </c>
      <c r="H254" s="77">
        <f>(VLOOKUP($A254,'The List'!$B1:$AH665,20,FALSE)-AVERAGE('The List'!U2:U665))/STDEV('The List'!U2:U665)</f>
        <v>-0.204800221793983</v>
      </c>
      <c r="I254" s="77">
        <f>(VLOOKUP($A254,'The List'!$B1:$AH665,21,FALSE)-AVERAGE('The List'!V2:V665))/STDEV('The List'!V2:V665)</f>
        <v>0.424781794089602</v>
      </c>
      <c r="J254" s="77">
        <f>(VLOOKUP($A254,'The List'!$B1:$AH665,22,FALSE)-AVERAGE('The List'!W2:W665))/STDEV('The List'!W2:W665)</f>
        <v>-0.579497852716147</v>
      </c>
      <c r="K254" s="77">
        <f>(VLOOKUP($A254,'The List'!$B1:$AH665,23,FALSE)-AVERAGE('The List'!X2:X665))/STDEV('The List'!X2:X665)</f>
        <v>-0.720963152968745</v>
      </c>
      <c r="L254" s="77">
        <f>(VLOOKUP($A254,'The List'!$B1:$AH665,24,FALSE)-AVERAGE('The List'!Y2:Y665))/STDEV('The List'!Y2:Y665)</f>
        <v>-0.330397785216506</v>
      </c>
      <c r="M254" s="77">
        <f>(VLOOKUP($A254,'The List'!$B1:$AH665,25,FALSE)-AVERAGE('The List'!Z2:Z665))/STDEV('The List'!Z2:Z665)</f>
        <v>-0.498935862910831</v>
      </c>
      <c r="N254" s="77">
        <f>(VLOOKUP($A254,'The List'!$B1:$AH665,26,FALSE)-AVERAGE('The List'!AA2:AA665))/STDEV('The List'!AA2:AA665)</f>
        <v>-0.889860433491047</v>
      </c>
      <c r="O254" s="77">
        <f>(VLOOKUP($A254,'The List'!$B1:$AH665,27,FALSE)-AVERAGE('The List'!AB2:AB665))/STDEV('The List'!AB2:AB665)</f>
        <v>1.24282531205717</v>
      </c>
      <c r="P254" s="77">
        <f>(VLOOKUP($A254,'The List'!$B1:$AH665,28,FALSE)-AVERAGE('The List'!AC2:AC665))/STDEV('The List'!AC2:AC665)</f>
        <v>1.15123411591994</v>
      </c>
      <c r="Q254" s="77">
        <f>(VLOOKUP($A254,'The List'!$B1:$AH665,29,FALSE)-AVERAGE('The List'!AD2:AD665))/STDEV('The List'!AD2:AD665)</f>
        <v>0.147672511198137</v>
      </c>
      <c r="R254" s="77">
        <f>(VLOOKUP($A254,'The List'!$B1:$AH665,30,FALSE)-AVERAGE('The List'!AE2:AE665))/STDEV('The List'!AE2:AE665)</f>
        <v>0.478913255285119</v>
      </c>
      <c r="S254" s="77">
        <f>(VLOOKUP($A254,'The List'!$B1:$AH665,31,FALSE)-AVERAGE('The List'!AF2:AF665))/STDEV('The List'!AF2:AF665)</f>
        <v>-0.531979648143148</v>
      </c>
      <c r="T254" s="77">
        <f>(VLOOKUP($A254,'The List'!$B1:$AH665,32,FALSE)-AVERAGE('The List'!AG2:AG665))/STDEV('The List'!AG2:AG665)</f>
        <v>-0.59454175996315</v>
      </c>
      <c r="U254" s="77">
        <f>(VLOOKUP($A254,'The List'!$B1:$AH665,33,FALSE)-AVERAGE('The List'!AH2:AH665))/STDEV('The List'!AH2:AH665)</f>
        <v>1.43431947668044</v>
      </c>
      <c r="V254" s="77"/>
      <c r="W254" s="89"/>
      <c r="X254" s="79"/>
      <c r="Y254" s="79"/>
      <c r="Z254" s="79"/>
      <c r="AA254" s="79"/>
      <c r="AB254" s="79"/>
      <c r="AC254" s="82"/>
      <c r="AD254" s="83"/>
      <c r="AE254" s="84"/>
    </row>
    <row r="255" ht="21.25" customHeight="1">
      <c r="A255" t="s" s="10">
        <v>761</v>
      </c>
      <c r="B255" t="s" s="86">
        <f>VLOOKUP(A255,'Player Data'!A1:B667,2,FALSE)</f>
        <v>914</v>
      </c>
      <c r="C255" s="74">
        <f>((E255)*'Settings'!$C$12)+(F255*'Settings'!$C$2)+(G255*'Settings'!$C$3)+(H255*'Settings'!$C$4)+(I255*'Settings'!$C$5)+(K255*'Settings'!$C$9)+(N255*'Settings'!$C$6)+(J255*'Settings'!$C$8)+(O255*'Settings'!$C$7)+(P255*'Settings'!$C$14)+(Q255*'Settings'!$C$15)+(R255*'Settings'!$C$16)+(S255*'Settings'!$C$17)+(T255*'Settings'!$C$18)+(U255*'Settings'!$C$19)+(L255*'Settings'!$C$10)+('Settings'!$C$11*M255)</f>
        <v>-3.28885355628027</v>
      </c>
      <c r="D255" s="79">
        <f>IF('Settings'!$E$12="YES",VLOOKUP(A255,'Player Data'!A1:E667,5,FALSE),82)</f>
        <v>70.5175</v>
      </c>
      <c r="E255" s="77">
        <f>(VLOOKUP($A255,'The List'!$B1:$AH665,17,FALSE)-AVERAGE('The List'!R2:R665))/STDEV('The List'!R2:R665)</f>
        <v>-0.7962433052432391</v>
      </c>
      <c r="F255" s="77">
        <f>(VLOOKUP($A255,'The List'!$B1:$AH665,18,FALSE)-AVERAGE('The List'!S2:S665))/STDEV('The List'!S2:S665)</f>
        <v>-0.063074480344235</v>
      </c>
      <c r="G255" s="77">
        <f>(VLOOKUP($A255,'The List'!$B1:$AH665,19,FALSE)-AVERAGE('The List'!T2:T665))/STDEV('The List'!T2:T665)</f>
        <v>-0.265705906903969</v>
      </c>
      <c r="H255" s="77">
        <f>(VLOOKUP($A255,'The List'!$B1:$AH665,20,FALSE)-AVERAGE('The List'!U2:U665))/STDEV('The List'!U2:U665)</f>
        <v>-0.193688657816568</v>
      </c>
      <c r="I255" s="77">
        <f>(VLOOKUP($A255,'The List'!$B1:$AH665,21,FALSE)-AVERAGE('The List'!V2:V665))/STDEV('The List'!V2:V665)</f>
        <v>-0.427031462323074</v>
      </c>
      <c r="J255" s="77">
        <f>(VLOOKUP($A255,'The List'!$B1:$AH665,22,FALSE)-AVERAGE('The List'!W2:W665))/STDEV('The List'!W2:W665)</f>
        <v>-0.109992360066184</v>
      </c>
      <c r="K255" s="77">
        <f>(VLOOKUP($A255,'The List'!$B1:$AH665,23,FALSE)-AVERAGE('The List'!X2:X665))/STDEV('The List'!X2:X665)</f>
        <v>-0.114706822785612</v>
      </c>
      <c r="L255" s="77">
        <f>(VLOOKUP($A255,'The List'!$B1:$AH665,24,FALSE)-AVERAGE('The List'!Y2:Y665))/STDEV('The List'!Y2:Y665)</f>
        <v>-0.580182913902084</v>
      </c>
      <c r="M255" s="77">
        <f>(VLOOKUP($A255,'The List'!$B1:$AH665,25,FALSE)-AVERAGE('The List'!Z2:Z665))/STDEV('The List'!Z2:Z665)</f>
        <v>-0.754036664989997</v>
      </c>
      <c r="N255" s="77">
        <f>(VLOOKUP($A255,'The List'!$B1:$AH665,26,FALSE)-AVERAGE('The List'!AA2:AA665))/STDEV('The List'!AA2:AA665)</f>
        <v>-0.883070939462795</v>
      </c>
      <c r="O255" s="77">
        <f>(VLOOKUP($A255,'The List'!$B1:$AH665,27,FALSE)-AVERAGE('The List'!AB2:AB665))/STDEV('The List'!AB2:AB665)</f>
        <v>-1.32631712332613</v>
      </c>
      <c r="P255" s="77">
        <f>(VLOOKUP($A255,'The List'!$B1:$AH665,28,FALSE)-AVERAGE('The List'!AC2:AC665))/STDEV('The List'!AC2:AC665)</f>
        <v>-1.53526394446058</v>
      </c>
      <c r="Q255" s="77">
        <f>(VLOOKUP($A255,'The List'!$B1:$AH665,29,FALSE)-AVERAGE('The List'!AD2:AD665))/STDEV('The List'!AD2:AD665)</f>
        <v>-1.07399564671947</v>
      </c>
      <c r="R255" s="77">
        <f>(VLOOKUP($A255,'The List'!$B1:$AH665,30,FALSE)-AVERAGE('The List'!AE2:AE665))/STDEV('The List'!AE2:AE665)</f>
        <v>-0.373265207443354</v>
      </c>
      <c r="S255" s="77">
        <f>(VLOOKUP($A255,'The List'!$B1:$AH665,31,FALSE)-AVERAGE('The List'!AF2:AF665))/STDEV('The List'!AF2:AF665)</f>
        <v>-0.484529503689539</v>
      </c>
      <c r="T255" s="77">
        <f>(VLOOKUP($A255,'The List'!$B1:$AH665,32,FALSE)-AVERAGE('The List'!AG2:AG665))/STDEV('The List'!AG2:AG665)</f>
        <v>-0.424139166458702</v>
      </c>
      <c r="U255" s="77">
        <f>(VLOOKUP($A255,'The List'!$B1:$AH665,33,FALSE)-AVERAGE('The List'!AH2:AH665))/STDEV('The List'!AH2:AH665)</f>
        <v>0.220879172483958</v>
      </c>
      <c r="V255" s="77"/>
      <c r="W255" s="89"/>
      <c r="X255" s="79"/>
      <c r="Y255" s="79"/>
      <c r="Z255" s="79"/>
      <c r="AA255" s="79"/>
      <c r="AB255" s="79"/>
      <c r="AC255" s="82"/>
      <c r="AD255" s="83"/>
      <c r="AE255" s="84"/>
    </row>
    <row r="256" ht="21.25" customHeight="1">
      <c r="A256" t="s" s="10">
        <v>415</v>
      </c>
      <c r="B256" t="s" s="86">
        <f>VLOOKUP(A256,'Player Data'!A1:B667,2,FALSE)</f>
        <v>156</v>
      </c>
      <c r="C256" s="74">
        <f>((E256)*'Settings'!$C$12)+(F256*'Settings'!$C$2)+(G256*'Settings'!$C$3)+(H256*'Settings'!$C$4)+(I256*'Settings'!$C$5)+(K256*'Settings'!$C$9)+(N256*'Settings'!$C$6)+(J256*'Settings'!$C$8)+(O256*'Settings'!$C$7)+(P256*'Settings'!$C$14)+(Q256*'Settings'!$C$15)+(R256*'Settings'!$C$16)+(S256*'Settings'!$C$17)+(T256*'Settings'!$C$18)+(U256*'Settings'!$C$19)+(L256*'Settings'!$C$10)+('Settings'!$C$11*M256)</f>
        <v>-1.81722078993685</v>
      </c>
      <c r="D256" s="79">
        <f>IF('Settings'!$E$12="YES",VLOOKUP(A256,'Player Data'!A1:E667,5,FALSE),82)</f>
        <v>77.0125</v>
      </c>
      <c r="E256" s="77">
        <f>(VLOOKUP($A256,'The List'!$B1:$AH665,17,FALSE)-AVERAGE('The List'!R2:R665))/STDEV('The List'!R2:R665)</f>
        <v>-0.431878752489104</v>
      </c>
      <c r="F256" s="77">
        <f>(VLOOKUP($A256,'The List'!$B1:$AH665,18,FALSE)-AVERAGE('The List'!S2:S665))/STDEV('The List'!S2:S665)</f>
        <v>0.07072429696256929</v>
      </c>
      <c r="G256" s="77">
        <f>(VLOOKUP($A256,'The List'!$B1:$AH665,19,FALSE)-AVERAGE('The List'!T2:T665))/STDEV('The List'!T2:T665)</f>
        <v>-0.150118760336904</v>
      </c>
      <c r="H256" s="77">
        <f>(VLOOKUP($A256,'The List'!$B1:$AH665,20,FALSE)-AVERAGE('The List'!U2:U665))/STDEV('The List'!U2:U665)</f>
        <v>-0.0610846362988188</v>
      </c>
      <c r="I256" s="77">
        <f>(VLOOKUP($A256,'The List'!$B1:$AH665,21,FALSE)-AVERAGE('The List'!V2:V665))/STDEV('The List'!V2:V665)</f>
        <v>-0.337475183984756</v>
      </c>
      <c r="J256" s="77">
        <f>(VLOOKUP($A256,'The List'!$B1:$AH665,22,FALSE)-AVERAGE('The List'!W2:W665))/STDEV('The List'!W2:W665)</f>
        <v>-0.687004717424757</v>
      </c>
      <c r="K256" s="77">
        <f>(VLOOKUP($A256,'The List'!$B1:$AH665,23,FALSE)-AVERAGE('The List'!X2:X665))/STDEV('The List'!X2:X665)</f>
        <v>-0.755287793750529</v>
      </c>
      <c r="L256" s="77">
        <f>(VLOOKUP($A256,'The List'!$B1:$AH665,24,FALSE)-AVERAGE('The List'!Y2:Y665))/STDEV('The List'!Y2:Y665)</f>
        <v>-0.305669246479028</v>
      </c>
      <c r="M256" s="77">
        <f>(VLOOKUP($A256,'The List'!$B1:$AH665,25,FALSE)-AVERAGE('The List'!Z2:Z665))/STDEV('The List'!Z2:Z665)</f>
        <v>0.757113492610526</v>
      </c>
      <c r="N256" s="77">
        <f>(VLOOKUP($A256,'The List'!$B1:$AH665,26,FALSE)-AVERAGE('The List'!AA2:AA665))/STDEV('The List'!AA2:AA665)</f>
        <v>0.123219516118623</v>
      </c>
      <c r="O256" s="77">
        <f>(VLOOKUP($A256,'The List'!$B1:$AH665,27,FALSE)-AVERAGE('The List'!AB2:AB665))/STDEV('The List'!AB2:AB665)</f>
        <v>0.802068985497531</v>
      </c>
      <c r="P256" s="77">
        <f>(VLOOKUP($A256,'The List'!$B1:$AH665,28,FALSE)-AVERAGE('The List'!AC2:AC665))/STDEV('The List'!AC2:AC665)</f>
        <v>-0.768282864945856</v>
      </c>
      <c r="Q256" s="77">
        <f>(VLOOKUP($A256,'The List'!$B1:$AH665,29,FALSE)-AVERAGE('The List'!AD2:AD665))/STDEV('The List'!AD2:AD665)</f>
        <v>1.02734276869468</v>
      </c>
      <c r="R256" s="77">
        <f>(VLOOKUP($A256,'The List'!$B1:$AH665,30,FALSE)-AVERAGE('The List'!AE2:AE665))/STDEV('The List'!AE2:AE665)</f>
        <v>-0.0371250769964848</v>
      </c>
      <c r="S256" s="77">
        <f>(VLOOKUP($A256,'The List'!$B1:$AH665,31,FALSE)-AVERAGE('The List'!AF2:AF665))/STDEV('The List'!AF2:AF665)</f>
        <v>0.0978288819335463</v>
      </c>
      <c r="T256" s="77">
        <f>(VLOOKUP($A256,'The List'!$B1:$AH665,32,FALSE)-AVERAGE('The List'!AG2:AG665))/STDEV('The List'!AG2:AG665)</f>
        <v>0.101880601700941</v>
      </c>
      <c r="U256" s="77">
        <f>(VLOOKUP($A256,'The List'!$B1:$AH665,33,FALSE)-AVERAGE('The List'!AH2:AH665))/STDEV('The List'!AH2:AH665)</f>
        <v>1.01438529212911</v>
      </c>
      <c r="V256" s="77"/>
      <c r="W256" s="89"/>
      <c r="X256" s="79"/>
      <c r="Y256" s="79"/>
      <c r="Z256" s="79"/>
      <c r="AA256" s="79"/>
      <c r="AB256" s="79"/>
      <c r="AC256" s="82"/>
      <c r="AD256" s="83"/>
      <c r="AE256" s="84"/>
    </row>
    <row r="257" ht="21.25" customHeight="1">
      <c r="A257" t="s" s="10">
        <v>626</v>
      </c>
      <c r="B257" t="s" s="86">
        <f>VLOOKUP(A257,'Player Data'!A1:B667,2,FALSE)</f>
        <v>259</v>
      </c>
      <c r="C257" s="74">
        <f>((E257)*'Settings'!$C$12)+(F257*'Settings'!$C$2)+(G257*'Settings'!$C$3)+(H257*'Settings'!$C$4)+(I257*'Settings'!$C$5)+(K257*'Settings'!$C$9)+(N257*'Settings'!$C$6)+(J257*'Settings'!$C$8)+(O257*'Settings'!$C$7)+(P257*'Settings'!$C$14)+(Q257*'Settings'!$C$15)+(R257*'Settings'!$C$16)+(S257*'Settings'!$C$17)+(T257*'Settings'!$C$18)+(U257*'Settings'!$C$19)+(L257*'Settings'!$C$10)+('Settings'!$C$11*M257)</f>
        <v>-1.4795595547711</v>
      </c>
      <c r="D257" s="79">
        <f>IF('Settings'!$E$12="YES",VLOOKUP(A257,'Player Data'!A1:E667,5,FALSE),82)</f>
        <v>70.5475</v>
      </c>
      <c r="E257" s="77">
        <f>(VLOOKUP($A257,'The List'!$B1:$AH665,17,FALSE)-AVERAGE('The List'!R2:R665))/STDEV('The List'!R2:R665)</f>
        <v>-0.402763381954727</v>
      </c>
      <c r="F257" s="77">
        <f>(VLOOKUP($A257,'The List'!$B1:$AH665,18,FALSE)-AVERAGE('The List'!S2:S665))/STDEV('The List'!S2:S665)</f>
        <v>0.159183235553531</v>
      </c>
      <c r="G257" s="77">
        <f>(VLOOKUP($A257,'The List'!$B1:$AH665,19,FALSE)-AVERAGE('The List'!T2:T665))/STDEV('The List'!T2:T665)</f>
        <v>-0.433891158058032</v>
      </c>
      <c r="H257" s="77">
        <f>(VLOOKUP($A257,'The List'!$B1:$AH665,20,FALSE)-AVERAGE('The List'!U2:U665))/STDEV('The List'!U2:U665)</f>
        <v>-0.197114458889916</v>
      </c>
      <c r="I257" s="77">
        <f>(VLOOKUP($A257,'The List'!$B1:$AH665,21,FALSE)-AVERAGE('The List'!V2:V665))/STDEV('The List'!V2:V665)</f>
        <v>0.0751585489744985</v>
      </c>
      <c r="J257" s="77">
        <f>(VLOOKUP($A257,'The List'!$B1:$AH665,22,FALSE)-AVERAGE('The List'!W2:W665))/STDEV('The List'!W2:W665)</f>
        <v>-0.728771927914836</v>
      </c>
      <c r="K257" s="77">
        <f>(VLOOKUP($A257,'The List'!$B1:$AH665,23,FALSE)-AVERAGE('The List'!X2:X665))/STDEV('The List'!X2:X665)</f>
        <v>-0.8142909078612</v>
      </c>
      <c r="L257" s="77">
        <f>(VLOOKUP($A257,'The List'!$B1:$AH665,24,FALSE)-AVERAGE('The List'!Y2:Y665))/STDEV('The List'!Y2:Y665)</f>
        <v>1.22842195423151</v>
      </c>
      <c r="M257" s="77">
        <f>(VLOOKUP($A257,'The List'!$B1:$AH665,25,FALSE)-AVERAGE('The List'!Z2:Z665))/STDEV('The List'!Z2:Z665)</f>
        <v>1.41539538675582</v>
      </c>
      <c r="N257" s="77">
        <f>(VLOOKUP($A257,'The List'!$B1:$AH665,26,FALSE)-AVERAGE('The List'!AA2:AA665))/STDEV('The List'!AA2:AA665)</f>
        <v>-0.398522651680556</v>
      </c>
      <c r="O257" s="77">
        <f>(VLOOKUP($A257,'The List'!$B1:$AH665,27,FALSE)-AVERAGE('The List'!AB2:AB665))/STDEV('The List'!AB2:AB665)</f>
        <v>-0.6674745444878361</v>
      </c>
      <c r="P257" s="77">
        <f>(VLOOKUP($A257,'The List'!$B1:$AH665,28,FALSE)-AVERAGE('The List'!AC2:AC665))/STDEV('The List'!AC2:AC665)</f>
        <v>-0.06719662169934169</v>
      </c>
      <c r="Q257" s="77">
        <f>(VLOOKUP($A257,'The List'!$B1:$AH665,29,FALSE)-AVERAGE('The List'!AD2:AD665))/STDEV('The List'!AD2:AD665)</f>
        <v>-0.759759989059813</v>
      </c>
      <c r="R257" s="77">
        <f>(VLOOKUP($A257,'The List'!$B1:$AH665,30,FALSE)-AVERAGE('The List'!AE2:AE665))/STDEV('The List'!AE2:AE665)</f>
        <v>0.145288049255088</v>
      </c>
      <c r="S257" s="77">
        <f>(VLOOKUP($A257,'The List'!$B1:$AH665,31,FALSE)-AVERAGE('The List'!AF2:AF665))/STDEV('The List'!AF2:AF665)</f>
        <v>-0.463729646120607</v>
      </c>
      <c r="T257" s="77">
        <f>(VLOOKUP($A257,'The List'!$B1:$AH665,32,FALSE)-AVERAGE('The List'!AG2:AG665))/STDEV('The List'!AG2:AG665)</f>
        <v>-0.486214570613476</v>
      </c>
      <c r="U257" s="77">
        <f>(VLOOKUP($A257,'The List'!$B1:$AH665,33,FALSE)-AVERAGE('The List'!AH2:AH665))/STDEV('The List'!AH2:AH665)</f>
        <v>0.837514775407831</v>
      </c>
      <c r="V257" s="77"/>
      <c r="W257" s="89"/>
      <c r="X257" s="79"/>
      <c r="Y257" s="79"/>
      <c r="Z257" s="79"/>
      <c r="AA257" s="79"/>
      <c r="AB257" s="79"/>
      <c r="AC257" s="82"/>
      <c r="AD257" s="83"/>
      <c r="AE257" s="84"/>
    </row>
    <row r="258" ht="21.25" customHeight="1">
      <c r="A258" t="s" s="10">
        <v>745</v>
      </c>
      <c r="B258" t="s" s="86">
        <f>VLOOKUP(A258,'Player Data'!A1:B667,2,FALSE)</f>
        <v>165</v>
      </c>
      <c r="C258" s="74">
        <f>((E258)*'Settings'!$C$12)+(F258*'Settings'!$C$2)+(G258*'Settings'!$C$3)+(H258*'Settings'!$C$4)+(I258*'Settings'!$C$5)+(K258*'Settings'!$C$9)+(N258*'Settings'!$C$6)+(J258*'Settings'!$C$8)+(O258*'Settings'!$C$7)+(P258*'Settings'!$C$14)+(Q258*'Settings'!$C$15)+(R258*'Settings'!$C$16)+(S258*'Settings'!$C$17)+(T258*'Settings'!$C$18)+(U258*'Settings'!$C$19)+(L258*'Settings'!$C$10)+('Settings'!$C$11*M258)</f>
        <v>-2.06377626525666</v>
      </c>
      <c r="D258" s="79">
        <f>IF('Settings'!$E$12="YES",VLOOKUP(A258,'Player Data'!A1:E667,5,FALSE),82)</f>
        <v>67.14</v>
      </c>
      <c r="E258" s="77">
        <f>(VLOOKUP($A258,'The List'!$B1:$AH665,17,FALSE)-AVERAGE('The List'!R2:R665))/STDEV('The List'!R2:R665)</f>
        <v>-1.04537215015969</v>
      </c>
      <c r="F258" s="77">
        <f>(VLOOKUP($A258,'The List'!$B1:$AH665,18,FALSE)-AVERAGE('The List'!S2:S665))/STDEV('The List'!S2:S665)</f>
        <v>-0.274181744285084</v>
      </c>
      <c r="G258" s="77">
        <f>(VLOOKUP($A258,'The List'!$B1:$AH665,19,FALSE)-AVERAGE('The List'!T2:T665))/STDEV('The List'!T2:T665)</f>
        <v>-0.232115601199661</v>
      </c>
      <c r="H258" s="77">
        <f>(VLOOKUP($A258,'The List'!$B1:$AH665,20,FALSE)-AVERAGE('The List'!U2:U665))/STDEV('The List'!U2:U665)</f>
        <v>-0.268785475449513</v>
      </c>
      <c r="I258" s="77">
        <f>(VLOOKUP($A258,'The List'!$B1:$AH665,21,FALSE)-AVERAGE('The List'!V2:V665))/STDEV('The List'!V2:V665)</f>
        <v>-0.424613920868065</v>
      </c>
      <c r="J258" s="77">
        <f>(VLOOKUP($A258,'The List'!$B1:$AH665,22,FALSE)-AVERAGE('The List'!W2:W665))/STDEV('The List'!W2:W665)</f>
        <v>-0.408540395210239</v>
      </c>
      <c r="K258" s="77">
        <f>(VLOOKUP($A258,'The List'!$B1:$AH665,23,FALSE)-AVERAGE('The List'!X2:X665))/STDEV('The List'!X2:X665)</f>
        <v>-0.459062258211848</v>
      </c>
      <c r="L258" s="77">
        <f>(VLOOKUP($A258,'The List'!$B1:$AH665,24,FALSE)-AVERAGE('The List'!Y2:Y665))/STDEV('The List'!Y2:Y665)</f>
        <v>-0.579711578503549</v>
      </c>
      <c r="M258" s="77">
        <f>(VLOOKUP($A258,'The List'!$B1:$AH665,25,FALSE)-AVERAGE('The List'!Z2:Z665))/STDEV('The List'!Z2:Z665)</f>
        <v>-0.75356167366243</v>
      </c>
      <c r="N258" s="77">
        <f>(VLOOKUP($A258,'The List'!$B1:$AH665,26,FALSE)-AVERAGE('The List'!AA2:AA665))/STDEV('The List'!AA2:AA665)</f>
        <v>-0.805598579491732</v>
      </c>
      <c r="O258" s="77">
        <f>(VLOOKUP($A258,'The List'!$B1:$AH665,27,FALSE)-AVERAGE('The List'!AB2:AB665))/STDEV('The List'!AB2:AB665)</f>
        <v>-1.01728098412024</v>
      </c>
      <c r="P258" s="77">
        <f>(VLOOKUP($A258,'The List'!$B1:$AH665,28,FALSE)-AVERAGE('The List'!AC2:AC665))/STDEV('The List'!AC2:AC665)</f>
        <v>0.131795838799732</v>
      </c>
      <c r="Q258" s="77">
        <f>(VLOOKUP($A258,'The List'!$B1:$AH665,29,FALSE)-AVERAGE('The List'!AD2:AD665))/STDEV('The List'!AD2:AD665)</f>
        <v>-1.17564603645821</v>
      </c>
      <c r="R258" s="77">
        <f>(VLOOKUP($A258,'The List'!$B1:$AH665,30,FALSE)-AVERAGE('The List'!AE2:AE665))/STDEV('The List'!AE2:AE665)</f>
        <v>-0.312283150745721</v>
      </c>
      <c r="S258" s="77">
        <f>(VLOOKUP($A258,'The List'!$B1:$AH665,31,FALSE)-AVERAGE('The List'!AF2:AF665))/STDEV('The List'!AF2:AF665)</f>
        <v>-0.510543151873981</v>
      </c>
      <c r="T258" s="77">
        <f>(VLOOKUP($A258,'The List'!$B1:$AH665,32,FALSE)-AVERAGE('The List'!AG2:AG665))/STDEV('The List'!AG2:AG665)</f>
        <v>-0.501943410537346</v>
      </c>
      <c r="U258" s="77">
        <f>(VLOOKUP($A258,'The List'!$B1:$AH665,33,FALSE)-AVERAGE('The List'!AH2:AH665))/STDEV('The List'!AH2:AH665)</f>
        <v>0.366029275726291</v>
      </c>
      <c r="V258" s="77"/>
      <c r="W258" s="79"/>
      <c r="X258" s="77"/>
      <c r="Y258" s="77"/>
      <c r="Z258" s="77"/>
      <c r="AA258" s="77"/>
      <c r="AB258" s="77"/>
      <c r="AC258" s="77"/>
      <c r="AD258" s="77"/>
      <c r="AE258" s="84"/>
    </row>
    <row r="259" ht="21.25" customHeight="1">
      <c r="A259" t="s" s="10">
        <v>613</v>
      </c>
      <c r="B259" t="s" s="86">
        <f>VLOOKUP(A259,'Player Data'!A1:B667,2,FALSE)</f>
        <v>903</v>
      </c>
      <c r="C259" s="74">
        <f>((E259)*'Settings'!$C$12)+(F259*'Settings'!$C$2)+(G259*'Settings'!$C$3)+(H259*'Settings'!$C$4)+(I259*'Settings'!$C$5)+(K259*'Settings'!$C$9)+(N259*'Settings'!$C$6)+(J259*'Settings'!$C$8)+(O259*'Settings'!$C$7)+(P259*'Settings'!$C$14)+(Q259*'Settings'!$C$15)+(R259*'Settings'!$C$16)+(S259*'Settings'!$C$17)+(T259*'Settings'!$C$18)+(U259*'Settings'!$C$19)+(L259*'Settings'!$C$10)+('Settings'!$C$11*M259)</f>
        <v>-0.913052162695858</v>
      </c>
      <c r="D259" s="79">
        <f>IF('Settings'!$E$12="YES",VLOOKUP(A259,'Player Data'!A1:E667,5,FALSE),82)</f>
        <v>77.16249999999999</v>
      </c>
      <c r="E259" s="77">
        <f>(VLOOKUP($A259,'The List'!$B1:$AH665,17,FALSE)-AVERAGE('The List'!R2:R665))/STDEV('The List'!R2:R665)</f>
        <v>-0.612561418276824</v>
      </c>
      <c r="F259" s="77">
        <f>(VLOOKUP($A259,'The List'!$B1:$AH665,18,FALSE)-AVERAGE('The List'!S2:S665))/STDEV('The List'!S2:S665)</f>
        <v>-0.0125054900033666</v>
      </c>
      <c r="G259" s="77">
        <f>(VLOOKUP($A259,'The List'!$B1:$AH665,19,FALSE)-AVERAGE('The List'!T2:T665))/STDEV('The List'!T2:T665)</f>
        <v>-0.09505095682730021</v>
      </c>
      <c r="H259" s="77">
        <f>(VLOOKUP($A259,'The List'!$B1:$AH665,20,FALSE)-AVERAGE('The List'!U2:U665))/STDEV('The List'!U2:U665)</f>
        <v>-0.0647163283659785</v>
      </c>
      <c r="I259" s="77">
        <f>(VLOOKUP($A259,'The List'!$B1:$AH665,21,FALSE)-AVERAGE('The List'!V2:V665))/STDEV('The List'!V2:V665)</f>
        <v>-0.286880050786288</v>
      </c>
      <c r="J259" s="77">
        <f>(VLOOKUP($A259,'The List'!$B1:$AH665,22,FALSE)-AVERAGE('The List'!W2:W665))/STDEV('The List'!W2:W665)</f>
        <v>-0.421724274250019</v>
      </c>
      <c r="K259" s="77">
        <f>(VLOOKUP($A259,'The List'!$B1:$AH665,23,FALSE)-AVERAGE('The List'!X2:X665))/STDEV('The List'!X2:X665)</f>
        <v>-0.419904122280444</v>
      </c>
      <c r="L259" s="77">
        <f>(VLOOKUP($A259,'The List'!$B1:$AH665,24,FALSE)-AVERAGE('The List'!Y2:Y665))/STDEV('The List'!Y2:Y665)</f>
        <v>0.378863951945416</v>
      </c>
      <c r="M259" s="77">
        <f>(VLOOKUP($A259,'The List'!$B1:$AH665,25,FALSE)-AVERAGE('The List'!Z2:Z665))/STDEV('The List'!Z2:Z665)</f>
        <v>0.349012184476552</v>
      </c>
      <c r="N259" s="77">
        <f>(VLOOKUP($A259,'The List'!$B1:$AH665,26,FALSE)-AVERAGE('The List'!AA2:AA665))/STDEV('The List'!AA2:AA665)</f>
        <v>-0.615402128607575</v>
      </c>
      <c r="O259" s="77">
        <f>(VLOOKUP($A259,'The List'!$B1:$AH665,27,FALSE)-AVERAGE('The List'!AB2:AB665))/STDEV('The List'!AB2:AB665)</f>
        <v>-0.15795354217085</v>
      </c>
      <c r="P259" s="77">
        <f>(VLOOKUP($A259,'The List'!$B1:$AH665,28,FALSE)-AVERAGE('The List'!AC2:AC665))/STDEV('The List'!AC2:AC665)</f>
        <v>0.516690585809116</v>
      </c>
      <c r="Q259" s="77">
        <f>(VLOOKUP($A259,'The List'!$B1:$AH665,29,FALSE)-AVERAGE('The List'!AD2:AD665))/STDEV('The List'!AD2:AD665)</f>
        <v>-0.0622674922855868</v>
      </c>
      <c r="R259" s="77">
        <f>(VLOOKUP($A259,'The List'!$B1:$AH665,30,FALSE)-AVERAGE('The List'!AE2:AE665))/STDEV('The List'!AE2:AE665)</f>
        <v>0.014635969906091</v>
      </c>
      <c r="S259" s="77">
        <f>(VLOOKUP($A259,'The List'!$B1:$AH665,31,FALSE)-AVERAGE('The List'!AF2:AF665))/STDEV('The List'!AF2:AF665)</f>
        <v>1.28695174093852</v>
      </c>
      <c r="T259" s="77">
        <f>(VLOOKUP($A259,'The List'!$B1:$AH665,32,FALSE)-AVERAGE('The List'!AG2:AG665))/STDEV('The List'!AG2:AG665)</f>
        <v>1.54016533655673</v>
      </c>
      <c r="U259" s="77">
        <f>(VLOOKUP($A259,'The List'!$B1:$AH665,33,FALSE)-AVERAGE('The List'!AH2:AH665))/STDEV('The List'!AH2:AH665)</f>
        <v>0.933033510764075</v>
      </c>
      <c r="V259" s="77"/>
      <c r="W259" s="89"/>
      <c r="X259" s="79"/>
      <c r="Y259" s="79"/>
      <c r="Z259" s="79"/>
      <c r="AA259" s="79"/>
      <c r="AB259" s="79"/>
      <c r="AC259" s="82"/>
      <c r="AD259" s="83"/>
      <c r="AE259" s="84"/>
    </row>
    <row r="260" ht="21.25" customHeight="1">
      <c r="A260" t="s" s="10">
        <v>528</v>
      </c>
      <c r="B260" t="s" s="86">
        <f>VLOOKUP(A260,'Player Data'!A1:B667,2,FALSE)</f>
        <v>913</v>
      </c>
      <c r="C260" s="74">
        <f>((E260)*'Settings'!$C$12)+(F260*'Settings'!$C$2)+(G260*'Settings'!$C$3)+(H260*'Settings'!$C$4)+(I260*'Settings'!$C$5)+(K260*'Settings'!$C$9)+(N260*'Settings'!$C$6)+(J260*'Settings'!$C$8)+(O260*'Settings'!$C$7)+(P260*'Settings'!$C$14)+(Q260*'Settings'!$C$15)+(R260*'Settings'!$C$16)+(S260*'Settings'!$C$17)+(T260*'Settings'!$C$18)+(U260*'Settings'!$C$19)+(L260*'Settings'!$C$10)+('Settings'!$C$11*M260)</f>
        <v>-2.07776362784574</v>
      </c>
      <c r="D260" s="79">
        <f>IF('Settings'!$E$12="YES",VLOOKUP(A260,'Player Data'!A1:E667,5,FALSE),82)</f>
        <v>76.7675</v>
      </c>
      <c r="E260" s="77">
        <f>(VLOOKUP($A260,'The List'!$B1:$AH665,17,FALSE)-AVERAGE('The List'!R2:R665))/STDEV('The List'!R2:R665)</f>
        <v>-0.212871045887566</v>
      </c>
      <c r="F260" s="77">
        <f>(VLOOKUP($A260,'The List'!$B1:$AH665,18,FALSE)-AVERAGE('The List'!S2:S665))/STDEV('The List'!S2:S665)</f>
        <v>0.206608259377291</v>
      </c>
      <c r="G260" s="77">
        <f>(VLOOKUP($A260,'The List'!$B1:$AH665,19,FALSE)-AVERAGE('The List'!T2:T665))/STDEV('The List'!T2:T665)</f>
        <v>-0.272547517632656</v>
      </c>
      <c r="H260" s="77">
        <f>(VLOOKUP($A260,'The List'!$B1:$AH665,20,FALSE)-AVERAGE('The List'!U2:U665))/STDEV('The List'!U2:U665)</f>
        <v>-0.0753540585169112</v>
      </c>
      <c r="I260" s="77">
        <f>(VLOOKUP($A260,'The List'!$B1:$AH665,21,FALSE)-AVERAGE('The List'!V2:V665))/STDEV('The List'!V2:V665)</f>
        <v>0.520582347477717</v>
      </c>
      <c r="J260" s="77">
        <f>(VLOOKUP($A260,'The List'!$B1:$AH665,22,FALSE)-AVERAGE('The List'!W2:W665))/STDEV('The List'!W2:W665)</f>
        <v>0.314658397551357</v>
      </c>
      <c r="K260" s="77">
        <f>(VLOOKUP($A260,'The List'!$B1:$AH665,23,FALSE)-AVERAGE('The List'!X2:X665))/STDEV('The List'!X2:X665)</f>
        <v>0.24465552899402</v>
      </c>
      <c r="L260" s="77">
        <f>(VLOOKUP($A260,'The List'!$B1:$AH665,24,FALSE)-AVERAGE('The List'!Y2:Y665))/STDEV('The List'!Y2:Y665)</f>
        <v>-0.119759362992731</v>
      </c>
      <c r="M260" s="77">
        <f>(VLOOKUP($A260,'The List'!$B1:$AH665,25,FALSE)-AVERAGE('The List'!Z2:Z665))/STDEV('The List'!Z2:Z665)</f>
        <v>-0.437189744021795</v>
      </c>
      <c r="N260" s="77">
        <f>(VLOOKUP($A260,'The List'!$B1:$AH665,26,FALSE)-AVERAGE('The List'!AA2:AA665))/STDEV('The List'!AA2:AA665)</f>
        <v>-0.376021551596582</v>
      </c>
      <c r="O260" s="77">
        <f>(VLOOKUP($A260,'The List'!$B1:$AH665,27,FALSE)-AVERAGE('The List'!AB2:AB665))/STDEV('The List'!AB2:AB665)</f>
        <v>-0.133312257280314</v>
      </c>
      <c r="P260" s="77">
        <f>(VLOOKUP($A260,'The List'!$B1:$AH665,28,FALSE)-AVERAGE('The List'!AC2:AC665))/STDEV('The List'!AC2:AC665)</f>
        <v>-2.40104069446553</v>
      </c>
      <c r="Q260" s="77">
        <f>(VLOOKUP($A260,'The List'!$B1:$AH665,29,FALSE)-AVERAGE('The List'!AD2:AD665))/STDEV('The List'!AD2:AD665)</f>
        <v>-0.50957704969238</v>
      </c>
      <c r="R260" s="77">
        <f>(VLOOKUP($A260,'The List'!$B1:$AH665,30,FALSE)-AVERAGE('The List'!AE2:AE665))/STDEV('The List'!AE2:AE665)</f>
        <v>-0.219151282770901</v>
      </c>
      <c r="S260" s="77">
        <f>(VLOOKUP($A260,'The List'!$B1:$AH665,31,FALSE)-AVERAGE('The List'!AF2:AF665))/STDEV('The List'!AF2:AF665)</f>
        <v>-0.462688408134062</v>
      </c>
      <c r="T260" s="77">
        <f>(VLOOKUP($A260,'The List'!$B1:$AH665,32,FALSE)-AVERAGE('The List'!AG2:AG665))/STDEV('The List'!AG2:AG665)</f>
        <v>-0.424589263356784</v>
      </c>
      <c r="U260" s="77">
        <f>(VLOOKUP($A260,'The List'!$B1:$AH665,33,FALSE)-AVERAGE('The List'!AH2:AH665))/STDEV('The List'!AH2:AH665)</f>
        <v>0.446953759929452</v>
      </c>
      <c r="V260" s="77"/>
      <c r="W260" s="79"/>
      <c r="X260" s="77"/>
      <c r="Y260" s="77"/>
      <c r="Z260" s="77"/>
      <c r="AA260" s="77"/>
      <c r="AB260" s="77"/>
      <c r="AC260" s="77"/>
      <c r="AD260" s="77"/>
      <c r="AE260" s="84"/>
    </row>
    <row r="261" ht="21.25" customHeight="1">
      <c r="A261" t="s" s="10">
        <v>496</v>
      </c>
      <c r="B261" t="s" s="86">
        <f>VLOOKUP(A261,'Player Data'!A1:B667,2,FALSE)</f>
        <v>154</v>
      </c>
      <c r="C261" s="74">
        <f>((E261)*'Settings'!$C$12)+(F261*'Settings'!$C$2)+(G261*'Settings'!$C$3)+(H261*'Settings'!$C$4)+(I261*'Settings'!$C$5)+(K261*'Settings'!$C$9)+(N261*'Settings'!$C$6)+(J261*'Settings'!$C$8)+(O261*'Settings'!$C$7)+(P261*'Settings'!$C$14)+(Q261*'Settings'!$C$15)+(R261*'Settings'!$C$16)+(S261*'Settings'!$C$17)+(T261*'Settings'!$C$18)+(U261*'Settings'!$C$19)+(L261*'Settings'!$C$10)+('Settings'!$C$11*M261)</f>
        <v>0.490068450003479</v>
      </c>
      <c r="D261" s="79">
        <f>IF('Settings'!$E$12="YES",VLOOKUP(A261,'Player Data'!A1:E667,5,FALSE),82)</f>
        <v>80.1525</v>
      </c>
      <c r="E261" s="77">
        <f>(VLOOKUP($A261,'The List'!$B1:$AH665,17,FALSE)-AVERAGE('The List'!R2:R665))/STDEV('The List'!R2:R665)</f>
        <v>1.57732950615087</v>
      </c>
      <c r="F261" s="77">
        <f>(VLOOKUP($A261,'The List'!$B1:$AH665,18,FALSE)-AVERAGE('The List'!S2:S665))/STDEV('The List'!S2:S665)</f>
        <v>-0.6849782363306191</v>
      </c>
      <c r="G261" s="77">
        <f>(VLOOKUP($A261,'The List'!$B1:$AH665,19,FALSE)-AVERAGE('The List'!T2:T665))/STDEV('The List'!T2:T665)</f>
        <v>0.485508936785934</v>
      </c>
      <c r="H261" s="77">
        <f>(VLOOKUP($A261,'The List'!$B1:$AH665,20,FALSE)-AVERAGE('The List'!U2:U665))/STDEV('The List'!U2:U665)</f>
        <v>-0.0098268190454768</v>
      </c>
      <c r="I261" s="77">
        <f>(VLOOKUP($A261,'The List'!$B1:$AH665,21,FALSE)-AVERAGE('The List'!V2:V665))/STDEV('The List'!V2:V665)</f>
        <v>-0.217548335302139</v>
      </c>
      <c r="J261" s="77">
        <f>(VLOOKUP($A261,'The List'!$B1:$AH665,22,FALSE)-AVERAGE('The List'!W2:W665))/STDEV('The List'!W2:W665)</f>
        <v>-0.688023893197562</v>
      </c>
      <c r="K261" s="77">
        <f>(VLOOKUP($A261,'The List'!$B1:$AH665,23,FALSE)-AVERAGE('The List'!X2:X665))/STDEV('The List'!X2:X665)</f>
        <v>-0.146815257608172</v>
      </c>
      <c r="L261" s="77">
        <f>(VLOOKUP($A261,'The List'!$B1:$AH665,24,FALSE)-AVERAGE('The List'!Y2:Y665))/STDEV('The List'!Y2:Y665)</f>
        <v>-0.5072125660083</v>
      </c>
      <c r="M261" s="77">
        <f>(VLOOKUP($A261,'The List'!$B1:$AH665,25,FALSE)-AVERAGE('The List'!Z2:Z665))/STDEV('The List'!Z2:Z665)</f>
        <v>0.378880268708067</v>
      </c>
      <c r="N261" s="77">
        <f>(VLOOKUP($A261,'The List'!$B1:$AH665,26,FALSE)-AVERAGE('The List'!AA2:AA665))/STDEV('The List'!AA2:AA665)</f>
        <v>1.13316826412788</v>
      </c>
      <c r="O261" s="77">
        <f>(VLOOKUP($A261,'The List'!$B1:$AH665,27,FALSE)-AVERAGE('The List'!AB2:AB665))/STDEV('The List'!AB2:AB665)</f>
        <v>-0.781734924483536</v>
      </c>
      <c r="P261" s="77">
        <f>(VLOOKUP($A261,'The List'!$B1:$AH665,28,FALSE)-AVERAGE('The List'!AC2:AC665))/STDEV('The List'!AC2:AC665)</f>
        <v>-0.0792669216694054</v>
      </c>
      <c r="Q261" s="77">
        <f>(VLOOKUP($A261,'The List'!$B1:$AH665,29,FALSE)-AVERAGE('The List'!AD2:AD665))/STDEV('The List'!AD2:AD665)</f>
        <v>-0.468077821143538</v>
      </c>
      <c r="R261" s="77">
        <f>(VLOOKUP($A261,'The List'!$B1:$AH665,30,FALSE)-AVERAGE('The List'!AE2:AE665))/STDEV('The List'!AE2:AE665)</f>
        <v>-0.686202933290548</v>
      </c>
      <c r="S261" s="77">
        <f>(VLOOKUP($A261,'The List'!$B1:$AH665,31,FALSE)-AVERAGE('The List'!AF2:AF665))/STDEV('The List'!AF2:AF665)</f>
        <v>-0.573894410680004</v>
      </c>
      <c r="T261" s="77">
        <f>(VLOOKUP($A261,'The List'!$B1:$AH665,32,FALSE)-AVERAGE('The List'!AG2:AG665))/STDEV('The List'!AG2:AG665)</f>
        <v>-0.625770787132651</v>
      </c>
      <c r="U261" s="77">
        <f>(VLOOKUP($A261,'The List'!$B1:$AH665,33,FALSE)-AVERAGE('The List'!AH2:AH665))/STDEV('The List'!AH2:AH665)</f>
        <v>-1.23143509451486</v>
      </c>
      <c r="V261" s="77"/>
      <c r="W261" s="79"/>
      <c r="X261" s="77"/>
      <c r="Y261" s="77"/>
      <c r="Z261" s="77"/>
      <c r="AA261" s="77"/>
      <c r="AB261" s="77"/>
      <c r="AC261" s="77"/>
      <c r="AD261" s="77"/>
      <c r="AE261" s="84"/>
    </row>
    <row r="262" ht="21.25" customHeight="1">
      <c r="A262" t="s" s="10">
        <v>521</v>
      </c>
      <c r="B262" t="s" s="86">
        <f>VLOOKUP(A262,'Player Data'!A1:B667,2,FALSE)</f>
        <v>174</v>
      </c>
      <c r="C262" s="74">
        <f>((E262)*'Settings'!$C$12)+(F262*'Settings'!$C$2)+(G262*'Settings'!$C$3)+(H262*'Settings'!$C$4)+(I262*'Settings'!$C$5)+(K262*'Settings'!$C$9)+(N262*'Settings'!$C$6)+(J262*'Settings'!$C$8)+(O262*'Settings'!$C$7)+(P262*'Settings'!$C$14)+(Q262*'Settings'!$C$15)+(R262*'Settings'!$C$16)+(S262*'Settings'!$C$17)+(T262*'Settings'!$C$18)+(U262*'Settings'!$C$19)+(L262*'Settings'!$C$10)+('Settings'!$C$11*M262)</f>
        <v>-0.312268507884213</v>
      </c>
      <c r="D262" s="79">
        <f>IF('Settings'!$E$12="YES",VLOOKUP(A262,'Player Data'!A1:E667,5,FALSE),82)</f>
        <v>82.03</v>
      </c>
      <c r="E262" s="77">
        <f>(VLOOKUP($A262,'The List'!$B1:$AH665,17,FALSE)-AVERAGE('The List'!R2:R665))/STDEV('The List'!R2:R665)</f>
        <v>0.405114354009577</v>
      </c>
      <c r="F262" s="77">
        <f>(VLOOKUP($A262,'The List'!$B1:$AH665,18,FALSE)-AVERAGE('The List'!S2:S665))/STDEV('The List'!S2:S665)</f>
        <v>-0.080480631300517</v>
      </c>
      <c r="G262" s="77">
        <f>(VLOOKUP($A262,'The List'!$B1:$AH665,19,FALSE)-AVERAGE('The List'!T2:T665))/STDEV('The List'!T2:T665)</f>
        <v>0.0968105315216982</v>
      </c>
      <c r="H262" s="77">
        <f>(VLOOKUP($A262,'The List'!$B1:$AH665,20,FALSE)-AVERAGE('The List'!U2:U665))/STDEV('The List'!U2:U665)</f>
        <v>0.0235425110710128</v>
      </c>
      <c r="I262" s="77">
        <f>(VLOOKUP($A262,'The List'!$B1:$AH665,21,FALSE)-AVERAGE('The List'!V2:V665))/STDEV('The List'!V2:V665)</f>
        <v>1.20396030855954</v>
      </c>
      <c r="J262" s="77">
        <f>(VLOOKUP($A262,'The List'!$B1:$AH665,22,FALSE)-AVERAGE('The List'!W2:W665))/STDEV('The List'!W2:W665)</f>
        <v>-0.259899439750322</v>
      </c>
      <c r="K262" s="77">
        <f>(VLOOKUP($A262,'The List'!$B1:$AH665,23,FALSE)-AVERAGE('The List'!X2:X665))/STDEV('The List'!X2:X665)</f>
        <v>-0.337552520872781</v>
      </c>
      <c r="L262" s="77">
        <f>(VLOOKUP($A262,'The List'!$B1:$AH665,24,FALSE)-AVERAGE('The List'!Y2:Y665))/STDEV('The List'!Y2:Y665)</f>
        <v>0.731302987230837</v>
      </c>
      <c r="M262" s="77">
        <f>(VLOOKUP($A262,'The List'!$B1:$AH665,25,FALSE)-AVERAGE('The List'!Z2:Z665))/STDEV('The List'!Z2:Z665)</f>
        <v>1.48366288644739</v>
      </c>
      <c r="N262" s="77">
        <f>(VLOOKUP($A262,'The List'!$B1:$AH665,26,FALSE)-AVERAGE('The List'!AA2:AA665))/STDEV('The List'!AA2:AA665)</f>
        <v>-0.741055837414495</v>
      </c>
      <c r="O262" s="77">
        <f>(VLOOKUP($A262,'The List'!$B1:$AH665,27,FALSE)-AVERAGE('The List'!AB2:AB665))/STDEV('The List'!AB2:AB665)</f>
        <v>-0.337848939828574</v>
      </c>
      <c r="P262" s="77">
        <f>(VLOOKUP($A262,'The List'!$B1:$AH665,28,FALSE)-AVERAGE('The List'!AC2:AC665))/STDEV('The List'!AC2:AC665)</f>
        <v>-0.453950358377658</v>
      </c>
      <c r="Q262" s="77">
        <f>(VLOOKUP($A262,'The List'!$B1:$AH665,29,FALSE)-AVERAGE('The List'!AD2:AD665))/STDEV('The List'!AD2:AD665)</f>
        <v>-0.114705354723281</v>
      </c>
      <c r="R262" s="77">
        <f>(VLOOKUP($A262,'The List'!$B1:$AH665,30,FALSE)-AVERAGE('The List'!AE2:AE665))/STDEV('The List'!AE2:AE665)</f>
        <v>-0.106556098829713</v>
      </c>
      <c r="S262" s="77">
        <f>(VLOOKUP($A262,'The List'!$B1:$AH665,31,FALSE)-AVERAGE('The List'!AF2:AF665))/STDEV('The List'!AF2:AF665)</f>
        <v>2.94546259212287</v>
      </c>
      <c r="T262" s="77">
        <f>(VLOOKUP($A262,'The List'!$B1:$AH665,32,FALSE)-AVERAGE('The List'!AG2:AG665))/STDEV('The List'!AG2:AG665)</f>
        <v>3.03756672226978</v>
      </c>
      <c r="U262" s="77">
        <f>(VLOOKUP($A262,'The List'!$B1:$AH665,33,FALSE)-AVERAGE('The List'!AH2:AH665))/STDEV('The List'!AH2:AH665)</f>
        <v>1.05957752626924</v>
      </c>
      <c r="V262" s="77"/>
      <c r="W262" s="89"/>
      <c r="X262" s="79"/>
      <c r="Y262" s="79"/>
      <c r="Z262" s="79"/>
      <c r="AA262" s="79"/>
      <c r="AB262" s="79"/>
      <c r="AC262" s="82"/>
      <c r="AD262" s="83"/>
      <c r="AE262" s="84"/>
    </row>
    <row r="263" ht="21.25" customHeight="1">
      <c r="A263" t="s" s="10">
        <v>575</v>
      </c>
      <c r="B263" t="s" s="86">
        <f>VLOOKUP(A263,'Player Data'!A1:B667,2,FALSE)</f>
        <v>149</v>
      </c>
      <c r="C263" s="74">
        <f>((E263)*'Settings'!$C$12)+(F263*'Settings'!$C$2)+(G263*'Settings'!$C$3)+(H263*'Settings'!$C$4)+(I263*'Settings'!$C$5)+(K263*'Settings'!$C$9)+(N263*'Settings'!$C$6)+(J263*'Settings'!$C$8)+(O263*'Settings'!$C$7)+(P263*'Settings'!$C$14)+(Q263*'Settings'!$C$15)+(R263*'Settings'!$C$16)+(S263*'Settings'!$C$17)+(T263*'Settings'!$C$18)+(U263*'Settings'!$C$19)+(L263*'Settings'!$C$10)+('Settings'!$C$11*M263)</f>
        <v>1.28037295444817</v>
      </c>
      <c r="D263" s="79">
        <f>IF('Settings'!$E$12="YES",VLOOKUP(A263,'Player Data'!A1:E667,5,FALSE),82)</f>
        <v>79.8875</v>
      </c>
      <c r="E263" s="77">
        <f>(VLOOKUP($A263,'The List'!$B1:$AH665,17,FALSE)-AVERAGE('The List'!R2:R665))/STDEV('The List'!R2:R665)</f>
        <v>-0.5474016808921029</v>
      </c>
      <c r="F263" s="77">
        <f>(VLOOKUP($A263,'The List'!$B1:$AH665,18,FALSE)-AVERAGE('The List'!S2:S665))/STDEV('The List'!S2:S665)</f>
        <v>-0.0502102363423441</v>
      </c>
      <c r="G263" s="77">
        <f>(VLOOKUP($A263,'The List'!$B1:$AH665,19,FALSE)-AVERAGE('The List'!T2:T665))/STDEV('The List'!T2:T665)</f>
        <v>2.5163196125713e-05</v>
      </c>
      <c r="H263" s="77">
        <f>(VLOOKUP($A263,'The List'!$B1:$AH665,20,FALSE)-AVERAGE('The List'!U2:U665))/STDEV('The List'!U2:U665)</f>
        <v>-0.0228073113420351</v>
      </c>
      <c r="I263" s="77">
        <f>(VLOOKUP($A263,'The List'!$B1:$AH665,21,FALSE)-AVERAGE('The List'!V2:V665))/STDEV('The List'!V2:V665)</f>
        <v>0.7891616922859001</v>
      </c>
      <c r="J263" s="77">
        <f>(VLOOKUP($A263,'The List'!$B1:$AH665,22,FALSE)-AVERAGE('The List'!W2:W665))/STDEV('The List'!W2:W665)</f>
        <v>0.187435313707307</v>
      </c>
      <c r="K263" s="77">
        <f>(VLOOKUP($A263,'The List'!$B1:$AH665,23,FALSE)-AVERAGE('The List'!X2:X665))/STDEV('The List'!X2:X665)</f>
        <v>-0.0128784683288638</v>
      </c>
      <c r="L263" s="77">
        <f>(VLOOKUP($A263,'The List'!$B1:$AH665,24,FALSE)-AVERAGE('The List'!Y2:Y665))/STDEV('The List'!Y2:Y665)</f>
        <v>-0.554294683274398</v>
      </c>
      <c r="M263" s="77">
        <f>(VLOOKUP($A263,'The List'!$B1:$AH665,25,FALSE)-AVERAGE('The List'!Z2:Z665))/STDEV('The List'!Z2:Z665)</f>
        <v>-0.726891928115728</v>
      </c>
      <c r="N263" s="77">
        <f>(VLOOKUP($A263,'The List'!$B1:$AH665,26,FALSE)-AVERAGE('The List'!AA2:AA665))/STDEV('The List'!AA2:AA665)</f>
        <v>-0.863063832263724</v>
      </c>
      <c r="O263" s="77">
        <f>(VLOOKUP($A263,'The List'!$B1:$AH665,27,FALSE)-AVERAGE('The List'!AB2:AB665))/STDEV('The List'!AB2:AB665)</f>
        <v>-0.207632027040164</v>
      </c>
      <c r="P263" s="77">
        <f>(VLOOKUP($A263,'The List'!$B1:$AH665,28,FALSE)-AVERAGE('The List'!AC2:AC665))/STDEV('The List'!AC2:AC665)</f>
        <v>1.41733863590108</v>
      </c>
      <c r="Q263" s="77">
        <f>(VLOOKUP($A263,'The List'!$B1:$AH665,29,FALSE)-AVERAGE('The List'!AD2:AD665))/STDEV('The List'!AD2:AD665)</f>
        <v>-0.357233957334238</v>
      </c>
      <c r="R263" s="77">
        <f>(VLOOKUP($A263,'The List'!$B1:$AH665,30,FALSE)-AVERAGE('The List'!AE2:AE665))/STDEV('The List'!AE2:AE665)</f>
        <v>0.128229554473111</v>
      </c>
      <c r="S263" s="77">
        <f>(VLOOKUP($A263,'The List'!$B1:$AH665,31,FALSE)-AVERAGE('The List'!AF2:AF665))/STDEV('The List'!AF2:AF665)</f>
        <v>-0.270252739228453</v>
      </c>
      <c r="T263" s="77">
        <f>(VLOOKUP($A263,'The List'!$B1:$AH665,32,FALSE)-AVERAGE('The List'!AG2:AG665))/STDEV('The List'!AG2:AG665)</f>
        <v>-0.291340383766721</v>
      </c>
      <c r="U263" s="77">
        <f>(VLOOKUP($A263,'The List'!$B1:$AH665,33,FALSE)-AVERAGE('The List'!AH2:AH665))/STDEV('The List'!AH2:AH665)</f>
        <v>0.995570954908603</v>
      </c>
      <c r="V263" s="77"/>
      <c r="W263" s="79"/>
      <c r="X263" s="77"/>
      <c r="Y263" s="77"/>
      <c r="Z263" s="77"/>
      <c r="AA263" s="77"/>
      <c r="AB263" s="77"/>
      <c r="AC263" s="77"/>
      <c r="AD263" s="77"/>
      <c r="AE263" s="84"/>
    </row>
    <row r="264" ht="21.25" customHeight="1">
      <c r="A264" t="s" s="10">
        <v>576</v>
      </c>
      <c r="B264" t="s" s="86">
        <f>VLOOKUP(A264,'Player Data'!A1:B667,2,FALSE)</f>
        <v>900</v>
      </c>
      <c r="C264" s="74">
        <f>((E264)*'Settings'!$C$12)+(F264*'Settings'!$C$2)+(G264*'Settings'!$C$3)+(H264*'Settings'!$C$4)+(I264*'Settings'!$C$5)+(K264*'Settings'!$C$9)+(N264*'Settings'!$C$6)+(J264*'Settings'!$C$8)+(O264*'Settings'!$C$7)+(P264*'Settings'!$C$14)+(Q264*'Settings'!$C$15)+(R264*'Settings'!$C$16)+(S264*'Settings'!$C$17)+(T264*'Settings'!$C$18)+(U264*'Settings'!$C$19)+(L264*'Settings'!$C$10)+('Settings'!$C$11*M264)</f>
        <v>-0.241181232174002</v>
      </c>
      <c r="D264" s="79">
        <f>IF('Settings'!$E$12="YES",VLOOKUP(A264,'Player Data'!A1:E667,5,FALSE),82)</f>
        <v>75.04000000000001</v>
      </c>
      <c r="E264" s="77">
        <f>(VLOOKUP($A264,'The List'!$B1:$AH665,17,FALSE)-AVERAGE('The List'!R2:R665))/STDEV('The List'!R2:R665)</f>
        <v>-0.312540157777694</v>
      </c>
      <c r="F264" s="77">
        <f>(VLOOKUP($A264,'The List'!$B1:$AH665,18,FALSE)-AVERAGE('The List'!S2:S665))/STDEV('The List'!S2:S665)</f>
        <v>-0.146161572430843</v>
      </c>
      <c r="G264" s="77">
        <f>(VLOOKUP($A264,'The List'!$B1:$AH665,19,FALSE)-AVERAGE('The List'!T2:T665))/STDEV('The List'!T2:T665)</f>
        <v>-0.09549141433051039</v>
      </c>
      <c r="H264" s="77">
        <f>(VLOOKUP($A264,'The List'!$B1:$AH665,20,FALSE)-AVERAGE('The List'!U2:U665))/STDEV('The List'!U2:U665)</f>
        <v>-0.125742919888423</v>
      </c>
      <c r="I264" s="77">
        <f>(VLOOKUP($A264,'The List'!$B1:$AH665,21,FALSE)-AVERAGE('The List'!V2:V665))/STDEV('The List'!V2:V665)</f>
        <v>-0.232522938975993</v>
      </c>
      <c r="J264" s="77">
        <f>(VLOOKUP($A264,'The List'!$B1:$AH665,22,FALSE)-AVERAGE('The List'!W2:W665))/STDEV('The List'!W2:W665)</f>
        <v>-0.39889708764996</v>
      </c>
      <c r="K264" s="77">
        <f>(VLOOKUP($A264,'The List'!$B1:$AH665,23,FALSE)-AVERAGE('The List'!X2:X665))/STDEV('The List'!X2:X665)</f>
        <v>-0.326956062778761</v>
      </c>
      <c r="L264" s="77">
        <f>(VLOOKUP($A264,'The List'!$B1:$AH665,24,FALSE)-AVERAGE('The List'!Y2:Y665))/STDEV('The List'!Y2:Y665)</f>
        <v>-0.374468724962781</v>
      </c>
      <c r="M264" s="77">
        <f>(VLOOKUP($A264,'The List'!$B1:$AH665,25,FALSE)-AVERAGE('The List'!Z2:Z665))/STDEV('The List'!Z2:Z665)</f>
        <v>-0.340109979749428</v>
      </c>
      <c r="N264" s="77">
        <f>(VLOOKUP($A264,'The List'!$B1:$AH665,26,FALSE)-AVERAGE('The List'!AA2:AA665))/STDEV('The List'!AA2:AA665)</f>
        <v>-0.325833817298588</v>
      </c>
      <c r="O264" s="77">
        <f>(VLOOKUP($A264,'The List'!$B1:$AH665,27,FALSE)-AVERAGE('The List'!AB2:AB665))/STDEV('The List'!AB2:AB665)</f>
        <v>0.021974928607163</v>
      </c>
      <c r="P264" s="77">
        <f>(VLOOKUP($A264,'The List'!$B1:$AH665,28,FALSE)-AVERAGE('The List'!AC2:AC665))/STDEV('The List'!AC2:AC665)</f>
        <v>0.885784573640693</v>
      </c>
      <c r="Q264" s="77">
        <f>(VLOOKUP($A264,'The List'!$B1:$AH665,29,FALSE)-AVERAGE('The List'!AD2:AD665))/STDEV('The List'!AD2:AD665)</f>
        <v>-0.642748549357827</v>
      </c>
      <c r="R264" s="77">
        <f>(VLOOKUP($A264,'The List'!$B1:$AH665,30,FALSE)-AVERAGE('The List'!AE2:AE665))/STDEV('The List'!AE2:AE665)</f>
        <v>-0.125186250749452</v>
      </c>
      <c r="S264" s="77">
        <f>(VLOOKUP($A264,'The List'!$B1:$AH665,31,FALSE)-AVERAGE('The List'!AF2:AF665))/STDEV('The List'!AF2:AF665)</f>
        <v>-0.562278755944003</v>
      </c>
      <c r="T264" s="77">
        <f>(VLOOKUP($A264,'The List'!$B1:$AH665,32,FALSE)-AVERAGE('The List'!AG2:AG665))/STDEV('The List'!AG2:AG665)</f>
        <v>-0.548824863200217</v>
      </c>
      <c r="U264" s="77">
        <f>(VLOOKUP($A264,'The List'!$B1:$AH665,33,FALSE)-AVERAGE('The List'!AH2:AH665))/STDEV('The List'!AH2:AH665)</f>
        <v>-0.604278492649499</v>
      </c>
      <c r="V264" s="77"/>
      <c r="W264" s="89"/>
      <c r="X264" s="79"/>
      <c r="Y264" s="79"/>
      <c r="Z264" s="79"/>
      <c r="AA264" s="79"/>
      <c r="AB264" s="79"/>
      <c r="AC264" s="82"/>
      <c r="AD264" s="83"/>
      <c r="AE264" s="84"/>
    </row>
    <row r="265" ht="21.25" customHeight="1">
      <c r="A265" t="s" s="10">
        <v>776</v>
      </c>
      <c r="B265" t="s" s="86">
        <f>VLOOKUP(A265,'Player Data'!A1:B667,2,FALSE)</f>
        <v>910</v>
      </c>
      <c r="C265" s="74">
        <f>((E265)*'Settings'!$C$12)+(F265*'Settings'!$C$2)+(G265*'Settings'!$C$3)+(H265*'Settings'!$C$4)+(I265*'Settings'!$C$5)+(K265*'Settings'!$C$9)+(N265*'Settings'!$C$6)+(J265*'Settings'!$C$8)+(O265*'Settings'!$C$7)+(P265*'Settings'!$C$14)+(Q265*'Settings'!$C$15)+(R265*'Settings'!$C$16)+(S265*'Settings'!$C$17)+(T265*'Settings'!$C$18)+(U265*'Settings'!$C$19)+(L265*'Settings'!$C$10)+('Settings'!$C$11*M265)</f>
        <v>-2.97811996507374</v>
      </c>
      <c r="D265" s="79">
        <f>IF('Settings'!$E$12="YES",VLOOKUP(A265,'Player Data'!A1:E667,5,FALSE),82)</f>
        <v>64.61750000000001</v>
      </c>
      <c r="E265" s="77">
        <f>(VLOOKUP($A265,'The List'!$B1:$AH665,17,FALSE)-AVERAGE('The List'!R2:R665))/STDEV('The List'!R2:R665)</f>
        <v>-0.785251409871752</v>
      </c>
      <c r="F265" s="77">
        <f>(VLOOKUP($A265,'The List'!$B1:$AH665,18,FALSE)-AVERAGE('The List'!S2:S665))/STDEV('The List'!S2:S665)</f>
        <v>-0.0739007093610784</v>
      </c>
      <c r="G265" s="77">
        <f>(VLOOKUP($A265,'The List'!$B1:$AH665,19,FALSE)-AVERAGE('The List'!T2:T665))/STDEV('The List'!T2:T665)</f>
        <v>-0.496454984215803</v>
      </c>
      <c r="H265" s="77">
        <f>(VLOOKUP($A265,'The List'!$B1:$AH665,20,FALSE)-AVERAGE('The List'!U2:U665))/STDEV('The List'!U2:U665)</f>
        <v>-0.341917845112778</v>
      </c>
      <c r="I265" s="77">
        <f>(VLOOKUP($A265,'The List'!$B1:$AH665,21,FALSE)-AVERAGE('The List'!V2:V665))/STDEV('The List'!V2:V665)</f>
        <v>-0.611225400374558</v>
      </c>
      <c r="J265" s="77">
        <f>(VLOOKUP($A265,'The List'!$B1:$AH665,22,FALSE)-AVERAGE('The List'!W2:W665))/STDEV('The List'!W2:W665)</f>
        <v>-0.169041056958254</v>
      </c>
      <c r="K265" s="77">
        <f>(VLOOKUP($A265,'The List'!$B1:$AH665,23,FALSE)-AVERAGE('The List'!X2:X665))/STDEV('The List'!X2:X665)</f>
        <v>-0.385081203415499</v>
      </c>
      <c r="L265" s="77">
        <f>(VLOOKUP($A265,'The List'!$B1:$AH665,24,FALSE)-AVERAGE('The List'!Y2:Y665))/STDEV('The List'!Y2:Y665)</f>
        <v>-0.5721419573626459</v>
      </c>
      <c r="M265" s="77">
        <f>(VLOOKUP($A265,'The List'!$B1:$AH665,25,FALSE)-AVERAGE('The List'!Z2:Z665))/STDEV('The List'!Z2:Z665)</f>
        <v>-0.745837114706095</v>
      </c>
      <c r="N265" s="77">
        <f>(VLOOKUP($A265,'The List'!$B1:$AH665,26,FALSE)-AVERAGE('The List'!AA2:AA665))/STDEV('The List'!AA2:AA665)</f>
        <v>-0.880336534289185</v>
      </c>
      <c r="O265" s="77">
        <f>(VLOOKUP($A265,'The List'!$B1:$AH665,27,FALSE)-AVERAGE('The List'!AB2:AB665))/STDEV('The List'!AB2:AB665)</f>
        <v>-0.89751587140203</v>
      </c>
      <c r="P265" s="77">
        <f>(VLOOKUP($A265,'The List'!$B1:$AH665,28,FALSE)-AVERAGE('The List'!AC2:AC665))/STDEV('The List'!AC2:AC665)</f>
        <v>-0.531121133417614</v>
      </c>
      <c r="Q265" s="77">
        <f>(VLOOKUP($A265,'The List'!$B1:$AH665,29,FALSE)-AVERAGE('The List'!AD2:AD665))/STDEV('The List'!AD2:AD665)</f>
        <v>-1.1933853986802</v>
      </c>
      <c r="R265" s="77">
        <f>(VLOOKUP($A265,'The List'!$B1:$AH665,30,FALSE)-AVERAGE('The List'!AE2:AE665))/STDEV('The List'!AE2:AE665)</f>
        <v>-0.103122397228769</v>
      </c>
      <c r="S265" s="77">
        <f>(VLOOKUP($A265,'The List'!$B1:$AH665,31,FALSE)-AVERAGE('The List'!AF2:AF665))/STDEV('The List'!AF2:AF665)</f>
        <v>-0.5492530467729581</v>
      </c>
      <c r="T265" s="77">
        <f>(VLOOKUP($A265,'The List'!$B1:$AH665,32,FALSE)-AVERAGE('The List'!AG2:AG665))/STDEV('The List'!AG2:AG665)</f>
        <v>-0.607552774480807</v>
      </c>
      <c r="U265" s="77">
        <f>(VLOOKUP($A265,'The List'!$B1:$AH665,33,FALSE)-AVERAGE('The List'!AH2:AH665))/STDEV('The List'!AH2:AH665)</f>
        <v>1.44279719408109</v>
      </c>
      <c r="V265" s="77"/>
      <c r="W265" s="89"/>
      <c r="X265" s="79"/>
      <c r="Y265" s="79"/>
      <c r="Z265" s="79"/>
      <c r="AA265" s="79"/>
      <c r="AB265" s="79"/>
      <c r="AC265" s="82"/>
      <c r="AD265" s="83"/>
      <c r="AE265" s="84"/>
    </row>
    <row r="266" ht="21.25" customHeight="1">
      <c r="A266" t="s" s="10">
        <v>593</v>
      </c>
      <c r="B266" t="s" s="86">
        <f>VLOOKUP(A266,'Player Data'!A1:B667,2,FALSE)</f>
        <v>192</v>
      </c>
      <c r="C266" s="74">
        <f>((E266)*'Settings'!$C$12)+(F266*'Settings'!$C$2)+(G266*'Settings'!$C$3)+(H266*'Settings'!$C$4)+(I266*'Settings'!$C$5)+(K266*'Settings'!$C$9)+(N266*'Settings'!$C$6)+(J266*'Settings'!$C$8)+(O266*'Settings'!$C$7)+(P266*'Settings'!$C$14)+(Q266*'Settings'!$C$15)+(R266*'Settings'!$C$16)+(S266*'Settings'!$C$17)+(T266*'Settings'!$C$18)+(U266*'Settings'!$C$19)+(L266*'Settings'!$C$10)+('Settings'!$C$11*M266)</f>
        <v>-1.32913478811772</v>
      </c>
      <c r="D266" s="79">
        <f>IF('Settings'!$E$12="YES",VLOOKUP(A266,'Player Data'!A1:E667,5,FALSE),82)</f>
        <v>79.175</v>
      </c>
      <c r="E266" s="77">
        <f>(VLOOKUP($A266,'The List'!$B1:$AH665,17,FALSE)-AVERAGE('The List'!R2:R665))/STDEV('The List'!R2:R665)</f>
        <v>-0.141903669463305</v>
      </c>
      <c r="F266" s="77">
        <f>(VLOOKUP($A266,'The List'!$B1:$AH665,18,FALSE)-AVERAGE('The List'!S2:S665))/STDEV('The List'!S2:S665)</f>
        <v>0.515137407117547</v>
      </c>
      <c r="G266" s="77">
        <f>(VLOOKUP($A266,'The List'!$B1:$AH665,19,FALSE)-AVERAGE('The List'!T2:T665))/STDEV('The List'!T2:T665)</f>
        <v>-0.337733985593823</v>
      </c>
      <c r="H266" s="77">
        <f>(VLOOKUP($A266,'The List'!$B1:$AH665,20,FALSE)-AVERAGE('The List'!U2:U665))/STDEV('The List'!U2:U665)</f>
        <v>0.0244026427825961</v>
      </c>
      <c r="I266" s="77">
        <f>(VLOOKUP($A266,'The List'!$B1:$AH665,21,FALSE)-AVERAGE('The List'!V2:V665))/STDEV('The List'!V2:V665)</f>
        <v>0.219743159364146</v>
      </c>
      <c r="J266" s="77">
        <f>(VLOOKUP($A266,'The List'!$B1:$AH665,22,FALSE)-AVERAGE('The List'!W2:W665))/STDEV('The List'!W2:W665)</f>
        <v>-0.161269700156052</v>
      </c>
      <c r="K266" s="77">
        <f>(VLOOKUP($A266,'The List'!$B1:$AH665,23,FALSE)-AVERAGE('The List'!X2:X665))/STDEV('The List'!X2:X665)</f>
        <v>-0.220702164854717</v>
      </c>
      <c r="L266" s="77">
        <f>(VLOOKUP($A266,'The List'!$B1:$AH665,24,FALSE)-AVERAGE('The List'!Y2:Y665))/STDEV('The List'!Y2:Y665)</f>
        <v>1.61300657979855</v>
      </c>
      <c r="M266" s="77">
        <f>(VLOOKUP($A266,'The List'!$B1:$AH665,25,FALSE)-AVERAGE('The List'!Z2:Z665))/STDEV('The List'!Z2:Z665)</f>
        <v>1.88469704238533</v>
      </c>
      <c r="N266" s="77">
        <f>(VLOOKUP($A266,'The List'!$B1:$AH665,26,FALSE)-AVERAGE('The List'!AA2:AA665))/STDEV('The List'!AA2:AA665)</f>
        <v>-0.5771471047424021</v>
      </c>
      <c r="O266" s="77">
        <f>(VLOOKUP($A266,'The List'!$B1:$AH665,27,FALSE)-AVERAGE('The List'!AB2:AB665))/STDEV('The List'!AB2:AB665)</f>
        <v>-0.881152622943231</v>
      </c>
      <c r="P266" s="77">
        <f>(VLOOKUP($A266,'The List'!$B1:$AH665,28,FALSE)-AVERAGE('The List'!AC2:AC665))/STDEV('The List'!AC2:AC665)</f>
        <v>-0.928432099408468</v>
      </c>
      <c r="Q266" s="77">
        <f>(VLOOKUP($A266,'The List'!$B1:$AH665,29,FALSE)-AVERAGE('The List'!AD2:AD665))/STDEV('The List'!AD2:AD665)</f>
        <v>0.00615891424655453</v>
      </c>
      <c r="R266" s="77">
        <f>(VLOOKUP($A266,'The List'!$B1:$AH665,30,FALSE)-AVERAGE('The List'!AE2:AE665))/STDEV('The List'!AE2:AE665)</f>
        <v>0.408874585233278</v>
      </c>
      <c r="S266" s="77">
        <f>(VLOOKUP($A266,'The List'!$B1:$AH665,31,FALSE)-AVERAGE('The List'!AF2:AF665))/STDEV('The List'!AF2:AF665)</f>
        <v>1.19595898010282</v>
      </c>
      <c r="T266" s="77">
        <f>(VLOOKUP($A266,'The List'!$B1:$AH665,32,FALSE)-AVERAGE('The List'!AG2:AG665))/STDEV('The List'!AG2:AG665)</f>
        <v>1.85370694082005</v>
      </c>
      <c r="U266" s="77">
        <f>(VLOOKUP($A266,'The List'!$B1:$AH665,33,FALSE)-AVERAGE('The List'!AH2:AH665))/STDEV('The List'!AH2:AH665)</f>
        <v>0.724895471205122</v>
      </c>
      <c r="V266" s="77"/>
      <c r="W266" s="89"/>
      <c r="X266" s="79"/>
      <c r="Y266" s="79"/>
      <c r="Z266" s="79"/>
      <c r="AA266" s="79"/>
      <c r="AB266" s="79"/>
      <c r="AC266" s="82"/>
      <c r="AD266" s="83"/>
      <c r="AE266" s="84"/>
    </row>
    <row r="267" ht="21.25" customHeight="1">
      <c r="A267" t="s" s="10">
        <v>550</v>
      </c>
      <c r="B267" t="s" s="86">
        <f>VLOOKUP(A267,'Player Data'!A1:B667,2,FALSE)</f>
        <v>154</v>
      </c>
      <c r="C267" s="74">
        <f>((E267)*'Settings'!$C$12)+(F267*'Settings'!$C$2)+(G267*'Settings'!$C$3)+(H267*'Settings'!$C$4)+(I267*'Settings'!$C$5)+(K267*'Settings'!$C$9)+(N267*'Settings'!$C$6)+(J267*'Settings'!$C$8)+(O267*'Settings'!$C$7)+(P267*'Settings'!$C$14)+(Q267*'Settings'!$C$15)+(R267*'Settings'!$C$16)+(S267*'Settings'!$C$17)+(T267*'Settings'!$C$18)+(U267*'Settings'!$C$19)+(L267*'Settings'!$C$10)+('Settings'!$C$11*M267)</f>
        <v>-1.2457054715591</v>
      </c>
      <c r="D267" s="79">
        <f>IF('Settings'!$E$12="YES",VLOOKUP(A267,'Player Data'!A1:E667,5,FALSE),82)</f>
        <v>69.7325</v>
      </c>
      <c r="E267" s="77">
        <f>(VLOOKUP($A267,'The List'!$B1:$AH665,17,FALSE)-AVERAGE('The List'!R2:R665))/STDEV('The List'!R2:R665)</f>
        <v>0.720650782767262</v>
      </c>
      <c r="F267" s="77">
        <f>(VLOOKUP($A267,'The List'!$B1:$AH665,18,FALSE)-AVERAGE('The List'!S2:S665))/STDEV('The List'!S2:S665)</f>
        <v>-0.298820341731325</v>
      </c>
      <c r="G267" s="77">
        <f>(VLOOKUP($A267,'The List'!$B1:$AH665,19,FALSE)-AVERAGE('The List'!T2:T665))/STDEV('The List'!T2:T665)</f>
        <v>-0.179352430040599</v>
      </c>
      <c r="H267" s="77">
        <f>(VLOOKUP($A267,'The List'!$B1:$AH665,20,FALSE)-AVERAGE('The List'!U2:U665))/STDEV('The List'!U2:U665)</f>
        <v>-0.247215993091994</v>
      </c>
      <c r="I267" s="77">
        <f>(VLOOKUP($A267,'The List'!$B1:$AH665,21,FALSE)-AVERAGE('The List'!V2:V665))/STDEV('The List'!V2:V665)</f>
        <v>-0.740724420930031</v>
      </c>
      <c r="J267" s="77">
        <f>(VLOOKUP($A267,'The List'!$B1:$AH665,22,FALSE)-AVERAGE('The List'!W2:W665))/STDEV('The List'!W2:W665)</f>
        <v>-0.377999950349526</v>
      </c>
      <c r="K267" s="77">
        <f>(VLOOKUP($A267,'The List'!$B1:$AH665,23,FALSE)-AVERAGE('The List'!X2:X665))/STDEV('The List'!X2:X665)</f>
        <v>-0.299763196050261</v>
      </c>
      <c r="L267" s="77">
        <f>(VLOOKUP($A267,'The List'!$B1:$AH665,24,FALSE)-AVERAGE('The List'!Y2:Y665))/STDEV('The List'!Y2:Y665)</f>
        <v>-0.223904291910914</v>
      </c>
      <c r="M267" s="77">
        <f>(VLOOKUP($A267,'The List'!$B1:$AH665,25,FALSE)-AVERAGE('The List'!Z2:Z665))/STDEV('The List'!Z2:Z665)</f>
        <v>-0.461788892977747</v>
      </c>
      <c r="N267" s="77">
        <f>(VLOOKUP($A267,'The List'!$B1:$AH665,26,FALSE)-AVERAGE('The List'!AA2:AA665))/STDEV('The List'!AA2:AA665)</f>
        <v>0.623481550833486</v>
      </c>
      <c r="O267" s="77">
        <f>(VLOOKUP($A267,'The List'!$B1:$AH665,27,FALSE)-AVERAGE('The List'!AB2:AB665))/STDEV('The List'!AB2:AB665)</f>
        <v>-0.0199475011747306</v>
      </c>
      <c r="P267" s="77">
        <f>(VLOOKUP($A267,'The List'!$B1:$AH665,28,FALSE)-AVERAGE('The List'!AC2:AC665))/STDEV('The List'!AC2:AC665)</f>
        <v>-0.350526633640371</v>
      </c>
      <c r="Q267" s="77">
        <f>(VLOOKUP($A267,'The List'!$B1:$AH665,29,FALSE)-AVERAGE('The List'!AD2:AD665))/STDEV('The List'!AD2:AD665)</f>
        <v>0.990249263510516</v>
      </c>
      <c r="R267" s="77">
        <f>(VLOOKUP($A267,'The List'!$B1:$AH665,30,FALSE)-AVERAGE('The List'!AE2:AE665))/STDEV('The List'!AE2:AE665)</f>
        <v>-0.335588024547315</v>
      </c>
      <c r="S267" s="77">
        <f>(VLOOKUP($A267,'The List'!$B1:$AH665,31,FALSE)-AVERAGE('The List'!AF2:AF665))/STDEV('The List'!AF2:AF665)</f>
        <v>-0.573894410680004</v>
      </c>
      <c r="T267" s="77">
        <f>(VLOOKUP($A267,'The List'!$B1:$AH665,32,FALSE)-AVERAGE('The List'!AG2:AG665))/STDEV('The List'!AG2:AG665)</f>
        <v>-0.625770787132651</v>
      </c>
      <c r="U267" s="77">
        <f>(VLOOKUP($A267,'The List'!$B1:$AH665,33,FALSE)-AVERAGE('The List'!AH2:AH665))/STDEV('The List'!AH2:AH665)</f>
        <v>-1.23143509451486</v>
      </c>
      <c r="V267" s="77"/>
      <c r="W267" s="89"/>
      <c r="X267" s="79"/>
      <c r="Y267" s="79"/>
      <c r="Z267" s="79"/>
      <c r="AA267" s="79"/>
      <c r="AB267" s="79"/>
      <c r="AC267" s="82"/>
      <c r="AD267" s="83"/>
      <c r="AE267" s="84"/>
    </row>
    <row r="268" ht="21.25" customHeight="1">
      <c r="A268" t="s" s="10">
        <v>592</v>
      </c>
      <c r="B268" t="s" s="86">
        <f>VLOOKUP(A268,'Player Data'!A1:B667,2,FALSE)</f>
        <v>900</v>
      </c>
      <c r="C268" s="74">
        <f>((E268)*'Settings'!$C$12)+(F268*'Settings'!$C$2)+(G268*'Settings'!$C$3)+(H268*'Settings'!$C$4)+(I268*'Settings'!$C$5)+(K268*'Settings'!$C$9)+(N268*'Settings'!$C$6)+(J268*'Settings'!$C$8)+(O268*'Settings'!$C$7)+(P268*'Settings'!$C$14)+(Q268*'Settings'!$C$15)+(R268*'Settings'!$C$16)+(S268*'Settings'!$C$17)+(T268*'Settings'!$C$18)+(U268*'Settings'!$C$19)+(L268*'Settings'!$C$10)+('Settings'!$C$11*M268)</f>
        <v>0.141532455133007</v>
      </c>
      <c r="D268" s="79">
        <f>IF('Settings'!$E$12="YES",VLOOKUP(A268,'Player Data'!A1:E667,5,FALSE),82)</f>
        <v>73.30249999999999</v>
      </c>
      <c r="E268" s="77">
        <f>(VLOOKUP($A268,'The List'!$B1:$AH665,17,FALSE)-AVERAGE('The List'!R2:R665))/STDEV('The List'!R2:R665)</f>
        <v>-0.659414523231267</v>
      </c>
      <c r="F268" s="77">
        <f>(VLOOKUP($A268,'The List'!$B1:$AH665,18,FALSE)-AVERAGE('The List'!S2:S665))/STDEV('The List'!S2:S665)</f>
        <v>-0.138658149595232</v>
      </c>
      <c r="G268" s="77">
        <f>(VLOOKUP($A268,'The List'!$B1:$AH665,19,FALSE)-AVERAGE('The List'!T2:T665))/STDEV('The List'!T2:T665)</f>
        <v>-0.183828165116321</v>
      </c>
      <c r="H268" s="77">
        <f>(VLOOKUP($A268,'The List'!$B1:$AH665,20,FALSE)-AVERAGE('The List'!U2:U665))/STDEV('The List'!U2:U665)</f>
        <v>-0.177194346790207</v>
      </c>
      <c r="I268" s="77">
        <f>(VLOOKUP($A268,'The List'!$B1:$AH665,21,FALSE)-AVERAGE('The List'!V2:V665))/STDEV('The List'!V2:V665)</f>
        <v>-0.150691101432375</v>
      </c>
      <c r="J268" s="77">
        <f>(VLOOKUP($A268,'The List'!$B1:$AH665,22,FALSE)-AVERAGE('The List'!W2:W665))/STDEV('The List'!W2:W665)</f>
        <v>-0.053122305081603</v>
      </c>
      <c r="K268" s="77">
        <f>(VLOOKUP($A268,'The List'!$B1:$AH665,23,FALSE)-AVERAGE('The List'!X2:X665))/STDEV('The List'!X2:X665)</f>
        <v>-0.107477505146121</v>
      </c>
      <c r="L268" s="77">
        <f>(VLOOKUP($A268,'The List'!$B1:$AH665,24,FALSE)-AVERAGE('The List'!Y2:Y665))/STDEV('The List'!Y2:Y665)</f>
        <v>-0.56778347660801</v>
      </c>
      <c r="M268" s="77">
        <f>(VLOOKUP($A268,'The List'!$B1:$AH665,25,FALSE)-AVERAGE('The List'!Z2:Z665))/STDEV('The List'!Z2:Z665)</f>
        <v>-0.7410522984972</v>
      </c>
      <c r="N268" s="77">
        <f>(VLOOKUP($A268,'The List'!$B1:$AH665,26,FALSE)-AVERAGE('The List'!AA2:AA665))/STDEV('The List'!AA2:AA665)</f>
        <v>-0.894107683816124</v>
      </c>
      <c r="O268" s="77">
        <f>(VLOOKUP($A268,'The List'!$B1:$AH665,27,FALSE)-AVERAGE('The List'!AB2:AB665))/STDEV('The List'!AB2:AB665)</f>
        <v>0.602063370183999</v>
      </c>
      <c r="P268" s="77">
        <f>(VLOOKUP($A268,'The List'!$B1:$AH665,28,FALSE)-AVERAGE('The List'!AC2:AC665))/STDEV('The List'!AC2:AC665)</f>
        <v>1.61629506023918</v>
      </c>
      <c r="Q268" s="77">
        <f>(VLOOKUP($A268,'The List'!$B1:$AH665,29,FALSE)-AVERAGE('The List'!AD2:AD665))/STDEV('The List'!AD2:AD665)</f>
        <v>0.0435608523336357</v>
      </c>
      <c r="R268" s="77">
        <f>(VLOOKUP($A268,'The List'!$B1:$AH665,30,FALSE)-AVERAGE('The List'!AE2:AE665))/STDEV('The List'!AE2:AE665)</f>
        <v>-0.117919733207161</v>
      </c>
      <c r="S268" s="77">
        <f>(VLOOKUP($A268,'The List'!$B1:$AH665,31,FALSE)-AVERAGE('The List'!AF2:AF665))/STDEV('The List'!AF2:AF665)</f>
        <v>-0.315497555056738</v>
      </c>
      <c r="T268" s="77">
        <f>(VLOOKUP($A268,'The List'!$B1:$AH665,32,FALSE)-AVERAGE('The List'!AG2:AG665))/STDEV('The List'!AG2:AG665)</f>
        <v>-0.288338605183102</v>
      </c>
      <c r="U268" s="77">
        <f>(VLOOKUP($A268,'The List'!$B1:$AH665,33,FALSE)-AVERAGE('The List'!AH2:AH665))/STDEV('The List'!AH2:AH665)</f>
        <v>0.8033983790315909</v>
      </c>
      <c r="V268" s="77"/>
      <c r="W268" s="79"/>
      <c r="X268" s="77"/>
      <c r="Y268" s="77"/>
      <c r="Z268" s="77"/>
      <c r="AA268" s="77"/>
      <c r="AB268" s="77"/>
      <c r="AC268" s="77"/>
      <c r="AD268" s="77"/>
      <c r="AE268" s="84"/>
    </row>
    <row r="269" ht="21.25" customHeight="1">
      <c r="A269" t="s" s="10">
        <v>461</v>
      </c>
      <c r="B269" t="s" s="86">
        <f>VLOOKUP(A269,'Player Data'!A1:B667,2,FALSE)</f>
        <v>906</v>
      </c>
      <c r="C269" s="74">
        <f>((E269)*'Settings'!$C$12)+(F269*'Settings'!$C$2)+(G269*'Settings'!$C$3)+(H269*'Settings'!$C$4)+(I269*'Settings'!$C$5)+(K269*'Settings'!$C$9)+(N269*'Settings'!$C$6)+(J269*'Settings'!$C$8)+(O269*'Settings'!$C$7)+(P269*'Settings'!$C$14)+(Q269*'Settings'!$C$15)+(R269*'Settings'!$C$16)+(S269*'Settings'!$C$17)+(T269*'Settings'!$C$18)+(U269*'Settings'!$C$19)+(L269*'Settings'!$C$10)+('Settings'!$C$11*M269)</f>
        <v>0.692142260954932</v>
      </c>
      <c r="D269" s="79">
        <f>IF('Settings'!$E$12="YES",VLOOKUP(A269,'Player Data'!A1:E667,5,FALSE),82)</f>
        <v>79.8925</v>
      </c>
      <c r="E269" s="77">
        <f>(VLOOKUP($A269,'The List'!$B1:$AH665,17,FALSE)-AVERAGE('The List'!R2:R665))/STDEV('The List'!R2:R665)</f>
        <v>-0.541998459864634</v>
      </c>
      <c r="F269" s="77">
        <f>(VLOOKUP($A269,'The List'!$B1:$AH665,18,FALSE)-AVERAGE('The List'!S2:S665))/STDEV('The List'!S2:S665)</f>
        <v>0.52277163607198</v>
      </c>
      <c r="G269" s="77">
        <f>(VLOOKUP($A269,'The List'!$B1:$AH665,19,FALSE)-AVERAGE('The List'!T2:T665))/STDEV('The List'!T2:T665)</f>
        <v>-0.457525848448107</v>
      </c>
      <c r="H269" s="77">
        <f>(VLOOKUP($A269,'The List'!$B1:$AH665,20,FALSE)-AVERAGE('The List'!U2:U665))/STDEV('The List'!U2:U665)</f>
        <v>-0.0465247197766192</v>
      </c>
      <c r="I269" s="77">
        <f>(VLOOKUP($A269,'The List'!$B1:$AH665,21,FALSE)-AVERAGE('The List'!V2:V665))/STDEV('The List'!V2:V665)</f>
        <v>0.553246608754503</v>
      </c>
      <c r="J269" s="77">
        <f>(VLOOKUP($A269,'The List'!$B1:$AH665,22,FALSE)-AVERAGE('The List'!W2:W665))/STDEV('The List'!W2:W665)</f>
        <v>0.0233740753012776</v>
      </c>
      <c r="K269" s="77">
        <f>(VLOOKUP($A269,'The List'!$B1:$AH665,23,FALSE)-AVERAGE('The List'!X2:X665))/STDEV('The List'!X2:X665)</f>
        <v>-0.333874281967302</v>
      </c>
      <c r="L269" s="77">
        <f>(VLOOKUP($A269,'The List'!$B1:$AH665,24,FALSE)-AVERAGE('The List'!Y2:Y665))/STDEV('The List'!Y2:Y665)</f>
        <v>-0.568096944977047</v>
      </c>
      <c r="M269" s="77">
        <f>(VLOOKUP($A269,'The List'!$B1:$AH665,25,FALSE)-AVERAGE('The List'!Z2:Z665))/STDEV('The List'!Z2:Z665)</f>
        <v>-0.74171823901304</v>
      </c>
      <c r="N269" s="77">
        <f>(VLOOKUP($A269,'The List'!$B1:$AH665,26,FALSE)-AVERAGE('The List'!AA2:AA665))/STDEV('The List'!AA2:AA665)</f>
        <v>-0.638503524151032</v>
      </c>
      <c r="O269" s="77">
        <f>(VLOOKUP($A269,'The List'!$B1:$AH665,27,FALSE)-AVERAGE('The List'!AB2:AB665))/STDEV('The List'!AB2:AB665)</f>
        <v>0.694787033010854</v>
      </c>
      <c r="P269" s="77">
        <f>(VLOOKUP($A269,'The List'!$B1:$AH665,28,FALSE)-AVERAGE('The List'!AC2:AC665))/STDEV('The List'!AC2:AC665)</f>
        <v>1.04602767069489</v>
      </c>
      <c r="Q269" s="77">
        <f>(VLOOKUP($A269,'The List'!$B1:$AH665,29,FALSE)-AVERAGE('The List'!AD2:AD665))/STDEV('The List'!AD2:AD665)</f>
        <v>-0.297052973451676</v>
      </c>
      <c r="R269" s="77">
        <f>(VLOOKUP($A269,'The List'!$B1:$AH665,30,FALSE)-AVERAGE('The List'!AE2:AE665))/STDEV('The List'!AE2:AE665)</f>
        <v>0.705515758283755</v>
      </c>
      <c r="S269" s="77">
        <f>(VLOOKUP($A269,'The List'!$B1:$AH665,31,FALSE)-AVERAGE('The List'!AF2:AF665))/STDEV('The List'!AF2:AF665)</f>
        <v>-0.450490404217153</v>
      </c>
      <c r="T269" s="77">
        <f>(VLOOKUP($A269,'The List'!$B1:$AH665,32,FALSE)-AVERAGE('The List'!AG2:AG665))/STDEV('The List'!AG2:AG665)</f>
        <v>-0.50552761895214</v>
      </c>
      <c r="U269" s="77">
        <f>(VLOOKUP($A269,'The List'!$B1:$AH665,33,FALSE)-AVERAGE('The List'!AH2:AH665))/STDEV('The List'!AH2:AH665)</f>
        <v>1.13436004122522</v>
      </c>
      <c r="V269" s="77"/>
      <c r="W269" s="89"/>
      <c r="X269" s="79"/>
      <c r="Y269" s="79"/>
      <c r="Z269" s="79"/>
      <c r="AA269" s="79"/>
      <c r="AB269" s="79"/>
      <c r="AC269" s="82"/>
      <c r="AD269" s="83"/>
      <c r="AE269" s="84"/>
    </row>
    <row r="270" ht="21.25" customHeight="1">
      <c r="A270" t="s" s="10">
        <v>573</v>
      </c>
      <c r="B270" t="s" s="86">
        <f>VLOOKUP(A270,'Player Data'!A1:B667,2,FALSE)</f>
        <v>912</v>
      </c>
      <c r="C270" s="74">
        <f>((E270)*'Settings'!$C$12)+(F270*'Settings'!$C$2)+(G270*'Settings'!$C$3)+(H270*'Settings'!$C$4)+(I270*'Settings'!$C$5)+(K270*'Settings'!$C$9)+(N270*'Settings'!$C$6)+(J270*'Settings'!$C$8)+(O270*'Settings'!$C$7)+(P270*'Settings'!$C$14)+(Q270*'Settings'!$C$15)+(R270*'Settings'!$C$16)+(S270*'Settings'!$C$17)+(T270*'Settings'!$C$18)+(U270*'Settings'!$C$19)+(L270*'Settings'!$C$10)+('Settings'!$C$11*M270)</f>
        <v>-1.63698707027005</v>
      </c>
      <c r="D270" s="79">
        <f>IF('Settings'!$E$12="YES",VLOOKUP(A270,'Player Data'!A1:E667,5,FALSE),82)</f>
        <v>67.29000000000001</v>
      </c>
      <c r="E270" s="77">
        <f>(VLOOKUP($A270,'The List'!$B1:$AH665,17,FALSE)-AVERAGE('The List'!R2:R665))/STDEV('The List'!R2:R665)</f>
        <v>1.17855443396784</v>
      </c>
      <c r="F270" s="77">
        <f>(VLOOKUP($A270,'The List'!$B1:$AH665,18,FALSE)-AVERAGE('The List'!S2:S665))/STDEV('The List'!S2:S665)</f>
        <v>-0.732216920704451</v>
      </c>
      <c r="G270" s="77">
        <f>(VLOOKUP($A270,'The List'!$B1:$AH665,19,FALSE)-AVERAGE('The List'!T2:T665))/STDEV('The List'!T2:T665)</f>
        <v>0.0545987548745318</v>
      </c>
      <c r="H270" s="77">
        <f>(VLOOKUP($A270,'The List'!$B1:$AH665,20,FALSE)-AVERAGE('The List'!U2:U665))/STDEV('The List'!U2:U665)</f>
        <v>-0.298918498762123</v>
      </c>
      <c r="I270" s="77">
        <f>(VLOOKUP($A270,'The List'!$B1:$AH665,21,FALSE)-AVERAGE('The List'!V2:V665))/STDEV('The List'!V2:V665)</f>
        <v>-0.428554124429961</v>
      </c>
      <c r="J270" s="77">
        <f>(VLOOKUP($A270,'The List'!$B1:$AH665,22,FALSE)-AVERAGE('The List'!W2:W665))/STDEV('The List'!W2:W665)</f>
        <v>-0.5135662854680531</v>
      </c>
      <c r="K270" s="77">
        <f>(VLOOKUP($A270,'The List'!$B1:$AH665,23,FALSE)-AVERAGE('The List'!X2:X665))/STDEV('The List'!X2:X665)</f>
        <v>0.146157833456509</v>
      </c>
      <c r="L270" s="77">
        <f>(VLOOKUP($A270,'The List'!$B1:$AH665,24,FALSE)-AVERAGE('The List'!Y2:Y665))/STDEV('The List'!Y2:Y665)</f>
        <v>-0.530301208788167</v>
      </c>
      <c r="M270" s="77">
        <f>(VLOOKUP($A270,'The List'!$B1:$AH665,25,FALSE)-AVERAGE('The List'!Z2:Z665))/STDEV('The List'!Z2:Z665)</f>
        <v>-0.607084969791693</v>
      </c>
      <c r="N270" s="77">
        <f>(VLOOKUP($A270,'The List'!$B1:$AH665,26,FALSE)-AVERAGE('The List'!AA2:AA665))/STDEV('The List'!AA2:AA665)</f>
        <v>0.950407125088584</v>
      </c>
      <c r="O270" s="77">
        <f>(VLOOKUP($A270,'The List'!$B1:$AH665,27,FALSE)-AVERAGE('The List'!AB2:AB665))/STDEV('The List'!AB2:AB665)</f>
        <v>-0.572004562582241</v>
      </c>
      <c r="P270" s="77">
        <f>(VLOOKUP($A270,'The List'!$B1:$AH665,28,FALSE)-AVERAGE('The List'!AC2:AC665))/STDEV('The List'!AC2:AC665)</f>
        <v>-1.62737973855526</v>
      </c>
      <c r="Q270" s="77">
        <f>(VLOOKUP($A270,'The List'!$B1:$AH665,29,FALSE)-AVERAGE('The List'!AD2:AD665))/STDEV('The List'!AD2:AD665)</f>
        <v>-0.48865810902539</v>
      </c>
      <c r="R270" s="77">
        <f>(VLOOKUP($A270,'The List'!$B1:$AH665,30,FALSE)-AVERAGE('The List'!AE2:AE665))/STDEV('The List'!AE2:AE665)</f>
        <v>-0.825167807301214</v>
      </c>
      <c r="S270" s="77">
        <f>(VLOOKUP($A270,'The List'!$B1:$AH665,31,FALSE)-AVERAGE('The List'!AF2:AF665))/STDEV('The List'!AF2:AF665)</f>
        <v>-0.573894410680004</v>
      </c>
      <c r="T270" s="77">
        <f>(VLOOKUP($A270,'The List'!$B1:$AH665,32,FALSE)-AVERAGE('The List'!AG2:AG665))/STDEV('The List'!AG2:AG665)</f>
        <v>-0.625770787132651</v>
      </c>
      <c r="U270" s="77">
        <f>(VLOOKUP($A270,'The List'!$B1:$AH665,33,FALSE)-AVERAGE('The List'!AH2:AH665))/STDEV('The List'!AH2:AH665)</f>
        <v>-1.23143509451486</v>
      </c>
      <c r="V270" s="77"/>
      <c r="W270" s="89"/>
      <c r="X270" s="79"/>
      <c r="Y270" s="79"/>
      <c r="Z270" s="79"/>
      <c r="AA270" s="79"/>
      <c r="AB270" s="79"/>
      <c r="AC270" s="82"/>
      <c r="AD270" s="83"/>
      <c r="AE270" s="84"/>
    </row>
    <row r="271" ht="21.25" customHeight="1">
      <c r="A271" t="s" s="10">
        <v>764</v>
      </c>
      <c r="B271" t="s" s="86">
        <f>VLOOKUP(A271,'Player Data'!A1:B667,2,FALSE)</f>
        <v>342</v>
      </c>
      <c r="C271" s="74">
        <f>((E271)*'Settings'!$C$12)+(F271*'Settings'!$C$2)+(G271*'Settings'!$C$3)+(H271*'Settings'!$C$4)+(I271*'Settings'!$C$5)+(K271*'Settings'!$C$9)+(N271*'Settings'!$C$6)+(J271*'Settings'!$C$8)+(O271*'Settings'!$C$7)+(P271*'Settings'!$C$14)+(Q271*'Settings'!$C$15)+(R271*'Settings'!$C$16)+(S271*'Settings'!$C$17)+(T271*'Settings'!$C$18)+(U271*'Settings'!$C$19)+(L271*'Settings'!$C$10)+('Settings'!$C$11*M271)</f>
        <v>-1.89801863845451</v>
      </c>
      <c r="D271" s="79">
        <f>IF('Settings'!$E$12="YES",VLOOKUP(A271,'Player Data'!A1:E667,5,FALSE),82)</f>
        <v>60</v>
      </c>
      <c r="E271" s="77">
        <f>(VLOOKUP($A271,'The List'!$B1:$AH665,17,FALSE)-AVERAGE('The List'!R2:R665))/STDEV('The List'!R2:R665)</f>
        <v>-0.791930324166366</v>
      </c>
      <c r="F271" s="77">
        <f>(VLOOKUP($A271,'The List'!$B1:$AH665,18,FALSE)-AVERAGE('The List'!S2:S665))/STDEV('The List'!S2:S665)</f>
        <v>-0.288752862400457</v>
      </c>
      <c r="G271" s="77">
        <f>(VLOOKUP($A271,'The List'!$B1:$AH665,19,FALSE)-AVERAGE('The List'!T2:T665))/STDEV('The List'!T2:T665)</f>
        <v>-0.506026551621273</v>
      </c>
      <c r="H271" s="77">
        <f>(VLOOKUP($A271,'The List'!$B1:$AH665,20,FALSE)-AVERAGE('The List'!U2:U665))/STDEV('The List'!U2:U665)</f>
        <v>-0.445522842961768</v>
      </c>
      <c r="I271" s="77">
        <f>(VLOOKUP($A271,'The List'!$B1:$AH665,21,FALSE)-AVERAGE('The List'!V2:V665))/STDEV('The List'!V2:V665)</f>
        <v>-0.614555335527058</v>
      </c>
      <c r="J271" s="77">
        <f>(VLOOKUP($A271,'The List'!$B1:$AH665,22,FALSE)-AVERAGE('The List'!W2:W665))/STDEV('The List'!W2:W665)</f>
        <v>-0.131592161750348</v>
      </c>
      <c r="K271" s="77">
        <f>(VLOOKUP($A271,'The List'!$B1:$AH665,23,FALSE)-AVERAGE('The List'!X2:X665))/STDEV('The List'!X2:X665)</f>
        <v>-0.244255018384786</v>
      </c>
      <c r="L271" s="77">
        <f>(VLOOKUP($A271,'The List'!$B1:$AH665,24,FALSE)-AVERAGE('The List'!Y2:Y665))/STDEV('The List'!Y2:Y665)</f>
        <v>-0.580182913902084</v>
      </c>
      <c r="M271" s="77">
        <f>(VLOOKUP($A271,'The List'!$B1:$AH665,25,FALSE)-AVERAGE('The List'!Z2:Z665))/STDEV('The List'!Z2:Z665)</f>
        <v>-0.754036664989997</v>
      </c>
      <c r="N271" s="77">
        <f>(VLOOKUP($A271,'The List'!$B1:$AH665,26,FALSE)-AVERAGE('The List'!AA2:AA665))/STDEV('The List'!AA2:AA665)</f>
        <v>-0.95194239336346</v>
      </c>
      <c r="O271" s="77">
        <f>(VLOOKUP($A271,'The List'!$B1:$AH665,27,FALSE)-AVERAGE('The List'!AB2:AB665))/STDEV('The List'!AB2:AB665)</f>
        <v>-0.443065380631633</v>
      </c>
      <c r="P271" s="77">
        <f>(VLOOKUP($A271,'The List'!$B1:$AH665,28,FALSE)-AVERAGE('The List'!AC2:AC665))/STDEV('The List'!AC2:AC665)</f>
        <v>0.707513522842528</v>
      </c>
      <c r="Q271" s="77">
        <f>(VLOOKUP($A271,'The List'!$B1:$AH665,29,FALSE)-AVERAGE('The List'!AD2:AD665))/STDEV('The List'!AD2:AD665)</f>
        <v>-0.624267425248723</v>
      </c>
      <c r="R271" s="77">
        <f>(VLOOKUP($A271,'The List'!$B1:$AH665,30,FALSE)-AVERAGE('The List'!AE2:AE665))/STDEV('The List'!AE2:AE665)</f>
        <v>-0.113010361133583</v>
      </c>
      <c r="S271" s="77">
        <f>(VLOOKUP($A271,'The List'!$B1:$AH665,31,FALSE)-AVERAGE('The List'!AF2:AF665))/STDEV('The List'!AF2:AF665)</f>
        <v>-0.573894410680004</v>
      </c>
      <c r="T271" s="77">
        <f>(VLOOKUP($A271,'The List'!$B1:$AH665,32,FALSE)-AVERAGE('The List'!AG2:AG665))/STDEV('The List'!AG2:AG665)</f>
        <v>-0.625770787132651</v>
      </c>
      <c r="U271" s="77">
        <f>(VLOOKUP($A271,'The List'!$B1:$AH665,33,FALSE)-AVERAGE('The List'!AH2:AH665))/STDEV('The List'!AH2:AH665)</f>
        <v>-1.23143509451486</v>
      </c>
      <c r="V271" s="77"/>
      <c r="W271" s="89"/>
      <c r="X271" s="79"/>
      <c r="Y271" s="79"/>
      <c r="Z271" s="79"/>
      <c r="AA271" s="79"/>
      <c r="AB271" s="79"/>
      <c r="AC271" s="82"/>
      <c r="AD271" s="83"/>
      <c r="AE271" s="84"/>
    </row>
    <row r="272" ht="21.25" customHeight="1">
      <c r="A272" t="s" s="10">
        <v>552</v>
      </c>
      <c r="B272" t="s" s="86">
        <f>VLOOKUP(A272,'Player Data'!A1:B667,2,FALSE)</f>
        <v>914</v>
      </c>
      <c r="C272" s="74">
        <f>((E272)*'Settings'!$C$12)+(F272*'Settings'!$C$2)+(G272*'Settings'!$C$3)+(H272*'Settings'!$C$4)+(I272*'Settings'!$C$5)+(K272*'Settings'!$C$9)+(N272*'Settings'!$C$6)+(J272*'Settings'!$C$8)+(O272*'Settings'!$C$7)+(P272*'Settings'!$C$14)+(Q272*'Settings'!$C$15)+(R272*'Settings'!$C$16)+(S272*'Settings'!$C$17)+(T272*'Settings'!$C$18)+(U272*'Settings'!$C$19)+(L272*'Settings'!$C$10)+('Settings'!$C$11*M272)</f>
        <v>-1.7579425439188</v>
      </c>
      <c r="D272" s="79">
        <f>IF('Settings'!$E$12="YES",VLOOKUP(A272,'Player Data'!A1:E667,5,FALSE),82)</f>
        <v>79.125</v>
      </c>
      <c r="E272" s="77">
        <f>(VLOOKUP($A272,'The List'!$B1:$AH665,17,FALSE)-AVERAGE('The List'!R2:R665))/STDEV('The List'!R2:R665)</f>
        <v>-0.83444421491806</v>
      </c>
      <c r="F272" s="77">
        <f>(VLOOKUP($A272,'The List'!$B1:$AH665,18,FALSE)-AVERAGE('The List'!S2:S665))/STDEV('The List'!S2:S665)</f>
        <v>0.358555977038556</v>
      </c>
      <c r="G272" s="77">
        <f>(VLOOKUP($A272,'The List'!$B1:$AH665,19,FALSE)-AVERAGE('The List'!T2:T665))/STDEV('The List'!T2:T665)</f>
        <v>-0.365833529665767</v>
      </c>
      <c r="H272" s="77">
        <f>(VLOOKUP($A272,'The List'!$B1:$AH665,20,FALSE)-AVERAGE('The List'!U2:U665))/STDEV('The List'!U2:U665)</f>
        <v>-0.0642224569541667</v>
      </c>
      <c r="I272" s="77">
        <f>(VLOOKUP($A272,'The List'!$B1:$AH665,21,FALSE)-AVERAGE('The List'!V2:V665))/STDEV('The List'!V2:V665)</f>
        <v>0.227236413135024</v>
      </c>
      <c r="J272" s="77">
        <f>(VLOOKUP($A272,'The List'!$B1:$AH665,22,FALSE)-AVERAGE('The List'!W2:W665))/STDEV('The List'!W2:W665)</f>
        <v>0.543106370748648</v>
      </c>
      <c r="K272" s="77">
        <f>(VLOOKUP($A272,'The List'!$B1:$AH665,23,FALSE)-AVERAGE('The List'!X2:X665))/STDEV('The List'!X2:X665)</f>
        <v>-0.059847307837839</v>
      </c>
      <c r="L272" s="77">
        <f>(VLOOKUP($A272,'The List'!$B1:$AH665,24,FALSE)-AVERAGE('The List'!Y2:Y665))/STDEV('The List'!Y2:Y665)</f>
        <v>-0.570806902714843</v>
      </c>
      <c r="M272" s="77">
        <f>(VLOOKUP($A272,'The List'!$B1:$AH665,25,FALSE)-AVERAGE('The List'!Z2:Z665))/STDEV('The List'!Z2:Z665)</f>
        <v>-0.744433782998087</v>
      </c>
      <c r="N272" s="77">
        <f>(VLOOKUP($A272,'The List'!$B1:$AH665,26,FALSE)-AVERAGE('The List'!AA2:AA665))/STDEV('The List'!AA2:AA665)</f>
        <v>-0.362523203952763</v>
      </c>
      <c r="O272" s="77">
        <f>(VLOOKUP($A272,'The List'!$B1:$AH665,27,FALSE)-AVERAGE('The List'!AB2:AB665))/STDEV('The List'!AB2:AB665)</f>
        <v>-0.06643244459942819</v>
      </c>
      <c r="P272" s="77">
        <f>(VLOOKUP($A272,'The List'!$B1:$AH665,28,FALSE)-AVERAGE('The List'!AC2:AC665))/STDEV('The List'!AC2:AC665)</f>
        <v>-1.55553089263601</v>
      </c>
      <c r="Q272" s="77">
        <f>(VLOOKUP($A272,'The List'!$B1:$AH665,29,FALSE)-AVERAGE('The List'!AD2:AD665))/STDEV('The List'!AD2:AD665)</f>
        <v>0.924865201024807</v>
      </c>
      <c r="R272" s="77">
        <f>(VLOOKUP($A272,'The List'!$B1:$AH665,30,FALSE)-AVERAGE('The List'!AE2:AE665))/STDEV('The List'!AE2:AE665)</f>
        <v>-0.07398950312191779</v>
      </c>
      <c r="S272" s="77">
        <f>(VLOOKUP($A272,'The List'!$B1:$AH665,31,FALSE)-AVERAGE('The List'!AF2:AF665))/STDEV('The List'!AF2:AF665)</f>
        <v>0.874213458474573</v>
      </c>
      <c r="T272" s="77">
        <f>(VLOOKUP($A272,'The List'!$B1:$AH665,32,FALSE)-AVERAGE('The List'!AG2:AG665))/STDEV('The List'!AG2:AG665)</f>
        <v>1.48723811712936</v>
      </c>
      <c r="U272" s="77">
        <f>(VLOOKUP($A272,'The List'!$B1:$AH665,33,FALSE)-AVERAGE('The List'!AH2:AH665))/STDEV('The List'!AH2:AH665)</f>
        <v>0.679763105819037</v>
      </c>
      <c r="V272" s="77"/>
      <c r="W272" s="79"/>
      <c r="X272" s="77"/>
      <c r="Y272" s="77"/>
      <c r="Z272" s="77"/>
      <c r="AA272" s="77"/>
      <c r="AB272" s="77"/>
      <c r="AC272" s="77"/>
      <c r="AD272" s="77"/>
      <c r="AE272" s="84"/>
    </row>
    <row r="273" ht="21.25" customHeight="1">
      <c r="A273" t="s" s="10">
        <v>530</v>
      </c>
      <c r="B273" t="s" s="86">
        <f>VLOOKUP(A273,'Player Data'!A1:B667,2,FALSE)</f>
        <v>909</v>
      </c>
      <c r="C273" s="74">
        <f>((E273)*'Settings'!$C$12)+(F273*'Settings'!$C$2)+(G273*'Settings'!$C$3)+(H273*'Settings'!$C$4)+(I273*'Settings'!$C$5)+(K273*'Settings'!$C$9)+(N273*'Settings'!$C$6)+(J273*'Settings'!$C$8)+(O273*'Settings'!$C$7)+(P273*'Settings'!$C$14)+(Q273*'Settings'!$C$15)+(R273*'Settings'!$C$16)+(S273*'Settings'!$C$17)+(T273*'Settings'!$C$18)+(U273*'Settings'!$C$19)+(L273*'Settings'!$C$10)+('Settings'!$C$11*M273)</f>
        <v>-1.16264116586874</v>
      </c>
      <c r="D273" s="79">
        <f>IF('Settings'!$E$12="YES",VLOOKUP(A273,'Player Data'!A1:E667,5,FALSE),82)</f>
        <v>72</v>
      </c>
      <c r="E273" s="77">
        <f>(VLOOKUP($A273,'The List'!$B1:$AH665,17,FALSE)-AVERAGE('The List'!R2:R665))/STDEV('The List'!R2:R665)</f>
        <v>0.305128744952339</v>
      </c>
      <c r="F273" s="77">
        <f>(VLOOKUP($A273,'The List'!$B1:$AH665,18,FALSE)-AVERAGE('The List'!S2:S665))/STDEV('The List'!S2:S665)</f>
        <v>-0.544429394800202</v>
      </c>
      <c r="G273" s="77">
        <f>(VLOOKUP($A273,'The List'!$B1:$AH665,19,FALSE)-AVERAGE('The List'!T2:T665))/STDEV('The List'!T2:T665)</f>
        <v>0.060039714993364</v>
      </c>
      <c r="H273" s="77">
        <f>(VLOOKUP($A273,'The List'!$B1:$AH665,20,FALSE)-AVERAGE('The List'!U2:U665))/STDEV('The List'!U2:U665)</f>
        <v>-0.210180999812301</v>
      </c>
      <c r="I273" s="77">
        <f>(VLOOKUP($A273,'The List'!$B1:$AH665,21,FALSE)-AVERAGE('The List'!V2:V665))/STDEV('The List'!V2:V665)</f>
        <v>0.052023405915771</v>
      </c>
      <c r="J273" s="77">
        <f>(VLOOKUP($A273,'The List'!$B1:$AH665,22,FALSE)-AVERAGE('The List'!W2:W665))/STDEV('The List'!W2:W665)</f>
        <v>-0.283361953649595</v>
      </c>
      <c r="K273" s="77">
        <f>(VLOOKUP($A273,'The List'!$B1:$AH665,23,FALSE)-AVERAGE('The List'!X2:X665))/STDEV('The List'!X2:X665)</f>
        <v>-0.131624574073317</v>
      </c>
      <c r="L273" s="77">
        <f>(VLOOKUP($A273,'The List'!$B1:$AH665,24,FALSE)-AVERAGE('The List'!Y2:Y665))/STDEV('The List'!Y2:Y665)</f>
        <v>-0.580182913902084</v>
      </c>
      <c r="M273" s="77">
        <f>(VLOOKUP($A273,'The List'!$B1:$AH665,25,FALSE)-AVERAGE('The List'!Z2:Z665))/STDEV('The List'!Z2:Z665)</f>
        <v>-0.754036664989997</v>
      </c>
      <c r="N273" s="77">
        <f>(VLOOKUP($A273,'The List'!$B1:$AH665,26,FALSE)-AVERAGE('The List'!AA2:AA665))/STDEV('The List'!AA2:AA665)</f>
        <v>0.474895872314957</v>
      </c>
      <c r="O273" s="77">
        <f>(VLOOKUP($A273,'The List'!$B1:$AH665,27,FALSE)-AVERAGE('The List'!AB2:AB665))/STDEV('The List'!AB2:AB665)</f>
        <v>-0.0645823994396167</v>
      </c>
      <c r="P273" s="77">
        <f>(VLOOKUP($A273,'The List'!$B1:$AH665,28,FALSE)-AVERAGE('The List'!AC2:AC665))/STDEV('The List'!AC2:AC665)</f>
        <v>-1.07354619021931</v>
      </c>
      <c r="Q273" s="77">
        <f>(VLOOKUP($A273,'The List'!$B1:$AH665,29,FALSE)-AVERAGE('The List'!AD2:AD665))/STDEV('The List'!AD2:AD665)</f>
        <v>-0.243258614016258</v>
      </c>
      <c r="R273" s="77">
        <f>(VLOOKUP($A273,'The List'!$B1:$AH665,30,FALSE)-AVERAGE('The List'!AE2:AE665))/STDEV('The List'!AE2:AE665)</f>
        <v>-0.688006719618353</v>
      </c>
      <c r="S273" s="77">
        <f>(VLOOKUP($A273,'The List'!$B1:$AH665,31,FALSE)-AVERAGE('The List'!AF2:AF665))/STDEV('The List'!AF2:AF665)</f>
        <v>-0.573894410680004</v>
      </c>
      <c r="T273" s="77">
        <f>(VLOOKUP($A273,'The List'!$B1:$AH665,32,FALSE)-AVERAGE('The List'!AG2:AG665))/STDEV('The List'!AG2:AG665)</f>
        <v>-0.625770787132651</v>
      </c>
      <c r="U273" s="77">
        <f>(VLOOKUP($A273,'The List'!$B1:$AH665,33,FALSE)-AVERAGE('The List'!AH2:AH665))/STDEV('The List'!AH2:AH665)</f>
        <v>-1.23143509451486</v>
      </c>
      <c r="V273" s="77"/>
      <c r="W273" s="89"/>
      <c r="X273" s="79"/>
      <c r="Y273" s="79"/>
      <c r="Z273" s="79"/>
      <c r="AA273" s="79"/>
      <c r="AB273" s="79"/>
      <c r="AC273" s="82"/>
      <c r="AD273" s="83"/>
      <c r="AE273" s="84"/>
    </row>
    <row r="274" ht="21.25" customHeight="1">
      <c r="A274" t="s" s="10">
        <v>708</v>
      </c>
      <c r="B274" t="s" s="86">
        <f>VLOOKUP(A274,'Player Data'!A1:B667,2,FALSE)</f>
        <v>899</v>
      </c>
      <c r="C274" s="74">
        <f>((E274)*'Settings'!$C$12)+(F274*'Settings'!$C$2)+(G274*'Settings'!$C$3)+(H274*'Settings'!$C$4)+(I274*'Settings'!$C$5)+(K274*'Settings'!$C$9)+(N274*'Settings'!$C$6)+(J274*'Settings'!$C$8)+(O274*'Settings'!$C$7)+(P274*'Settings'!$C$14)+(Q274*'Settings'!$C$15)+(R274*'Settings'!$C$16)+(S274*'Settings'!$C$17)+(T274*'Settings'!$C$18)+(U274*'Settings'!$C$19)+(L274*'Settings'!$C$10)+('Settings'!$C$11*M274)</f>
        <v>-2.3989784436741</v>
      </c>
      <c r="D274" s="79">
        <f>IF('Settings'!$E$12="YES",VLOOKUP(A274,'Player Data'!A1:E667,5,FALSE),82)</f>
        <v>55.885</v>
      </c>
      <c r="E274" s="77">
        <f>(VLOOKUP($A274,'The List'!$B1:$AH665,17,FALSE)-AVERAGE('The List'!R2:R665))/STDEV('The List'!R2:R665)</f>
        <v>-0.999733501838682</v>
      </c>
      <c r="F274" s="77">
        <f>(VLOOKUP($A274,'The List'!$B1:$AH665,18,FALSE)-AVERAGE('The List'!S2:S665))/STDEV('The List'!S2:S665)</f>
        <v>-0.0881009841989351</v>
      </c>
      <c r="G274" s="77">
        <f>(VLOOKUP($A274,'The List'!$B1:$AH665,19,FALSE)-AVERAGE('The List'!T2:T665))/STDEV('The List'!T2:T665)</f>
        <v>-0.793018253207538</v>
      </c>
      <c r="H274" s="77">
        <f>(VLOOKUP($A274,'The List'!$B1:$AH665,20,FALSE)-AVERAGE('The List'!U2:U665))/STDEV('The List'!U2:U665)</f>
        <v>-0.532555010257005</v>
      </c>
      <c r="I274" s="77">
        <f>(VLOOKUP($A274,'The List'!$B1:$AH665,21,FALSE)-AVERAGE('The List'!V2:V665))/STDEV('The List'!V2:V665)</f>
        <v>-0.628710812711229</v>
      </c>
      <c r="J274" s="77">
        <f>(VLOOKUP($A274,'The List'!$B1:$AH665,22,FALSE)-AVERAGE('The List'!W2:W665))/STDEV('The List'!W2:W665)</f>
        <v>-0.0343135237490136</v>
      </c>
      <c r="K274" s="77">
        <f>(VLOOKUP($A274,'The List'!$B1:$AH665,23,FALSE)-AVERAGE('The List'!X2:X665))/STDEV('The List'!X2:X665)</f>
        <v>-0.424829772833752</v>
      </c>
      <c r="L274" s="77">
        <f>(VLOOKUP($A274,'The List'!$B1:$AH665,24,FALSE)-AVERAGE('The List'!Y2:Y665))/STDEV('The List'!Y2:Y665)</f>
        <v>-0.580182913902084</v>
      </c>
      <c r="M274" s="77">
        <f>(VLOOKUP($A274,'The List'!$B1:$AH665,25,FALSE)-AVERAGE('The List'!Z2:Z665))/STDEV('The List'!Z2:Z665)</f>
        <v>-0.754036664989997</v>
      </c>
      <c r="N274" s="77">
        <f>(VLOOKUP($A274,'The List'!$B1:$AH665,26,FALSE)-AVERAGE('The List'!AA2:AA665))/STDEV('The List'!AA2:AA665)</f>
        <v>-0.784572517994773</v>
      </c>
      <c r="O274" s="77">
        <f>(VLOOKUP($A274,'The List'!$B1:$AH665,27,FALSE)-AVERAGE('The List'!AB2:AB665))/STDEV('The List'!AB2:AB665)</f>
        <v>0.119978546776909</v>
      </c>
      <c r="P274" s="77">
        <f>(VLOOKUP($A274,'The List'!$B1:$AH665,28,FALSE)-AVERAGE('The List'!AC2:AC665))/STDEV('The List'!AC2:AC665)</f>
        <v>0.320253897272127</v>
      </c>
      <c r="Q274" s="77">
        <f>(VLOOKUP($A274,'The List'!$B1:$AH665,29,FALSE)-AVERAGE('The List'!AD2:AD665))/STDEV('The List'!AD2:AD665)</f>
        <v>-1.16869943971169</v>
      </c>
      <c r="R274" s="77">
        <f>(VLOOKUP($A274,'The List'!$B1:$AH665,30,FALSE)-AVERAGE('The List'!AE2:AE665))/STDEV('The List'!AE2:AE665)</f>
        <v>-0.0299717616333939</v>
      </c>
      <c r="S274" s="77">
        <f>(VLOOKUP($A274,'The List'!$B1:$AH665,31,FALSE)-AVERAGE('The List'!AF2:AF665))/STDEV('The List'!AF2:AF665)</f>
        <v>-0.523271472228183</v>
      </c>
      <c r="T274" s="77">
        <f>(VLOOKUP($A274,'The List'!$B1:$AH665,32,FALSE)-AVERAGE('The List'!AG2:AG665))/STDEV('The List'!AG2:AG665)</f>
        <v>-0.500132871728785</v>
      </c>
      <c r="U274" s="77">
        <f>(VLOOKUP($A274,'The List'!$B1:$AH665,33,FALSE)-AVERAGE('The List'!AH2:AH665))/STDEV('The List'!AH2:AH665)</f>
        <v>0.128482469693843</v>
      </c>
      <c r="V274" s="77"/>
      <c r="W274" s="79"/>
      <c r="X274" s="77"/>
      <c r="Y274" s="77"/>
      <c r="Z274" s="77"/>
      <c r="AA274" s="77"/>
      <c r="AB274" s="77"/>
      <c r="AC274" s="77"/>
      <c r="AD274" s="77"/>
      <c r="AE274" s="84"/>
    </row>
    <row r="275" ht="21.25" customHeight="1">
      <c r="A275" t="s" s="10">
        <v>346</v>
      </c>
      <c r="B275" t="s" s="86">
        <f>VLOOKUP(A275,'Player Data'!A1:B667,2,FALSE)</f>
        <v>910</v>
      </c>
      <c r="C275" s="74">
        <f>((E275)*'Settings'!$C$12)+(F275*'Settings'!$C$2)+(G275*'Settings'!$C$3)+(H275*'Settings'!$C$4)+(I275*'Settings'!$C$5)+(K275*'Settings'!$C$9)+(N275*'Settings'!$C$6)+(J275*'Settings'!$C$8)+(O275*'Settings'!$C$7)+(P275*'Settings'!$C$14)+(Q275*'Settings'!$C$15)+(R275*'Settings'!$C$16)+(S275*'Settings'!$C$17)+(T275*'Settings'!$C$18)+(U275*'Settings'!$C$19)+(L275*'Settings'!$C$10)+('Settings'!$C$11*M275)</f>
        <v>0.395151057787407</v>
      </c>
      <c r="D275" s="79">
        <f>IF('Settings'!$E$12="YES",VLOOKUP(A275,'Player Data'!A1:E667,5,FALSE),82)</f>
        <v>81.515</v>
      </c>
      <c r="E275" s="77">
        <f>(VLOOKUP($A275,'The List'!$B1:$AH665,17,FALSE)-AVERAGE('The List'!R2:R665))/STDEV('The List'!R2:R665)</f>
        <v>1.81451179416386</v>
      </c>
      <c r="F275" s="77">
        <f>(VLOOKUP($A275,'The List'!$B1:$AH665,18,FALSE)-AVERAGE('The List'!S2:S665))/STDEV('The List'!S2:S665)</f>
        <v>-0.492527221612208</v>
      </c>
      <c r="G275" s="77">
        <f>(VLOOKUP($A275,'The List'!$B1:$AH665,19,FALSE)-AVERAGE('The List'!T2:T665))/STDEV('The List'!T2:T665)</f>
        <v>0.320332231206994</v>
      </c>
      <c r="H275" s="77">
        <f>(VLOOKUP($A275,'The List'!$B1:$AH665,20,FALSE)-AVERAGE('The List'!U2:U665))/STDEV('The List'!U2:U665)</f>
        <v>-0.0249327066640832</v>
      </c>
      <c r="I275" s="77">
        <f>(VLOOKUP($A275,'The List'!$B1:$AH665,21,FALSE)-AVERAGE('The List'!V2:V665))/STDEV('The List'!V2:V665)</f>
        <v>0.0952680637632095</v>
      </c>
      <c r="J275" s="77">
        <f>(VLOOKUP($A275,'The List'!$B1:$AH665,22,FALSE)-AVERAGE('The List'!W2:W665))/STDEV('The List'!W2:W665)</f>
        <v>-0.70793668663562</v>
      </c>
      <c r="K275" s="77">
        <f>(VLOOKUP($A275,'The List'!$B1:$AH665,23,FALSE)-AVERAGE('The List'!X2:X665))/STDEV('The List'!X2:X665)</f>
        <v>-0.490490606822749</v>
      </c>
      <c r="L275" s="77">
        <f>(VLOOKUP($A275,'The List'!$B1:$AH665,24,FALSE)-AVERAGE('The List'!Y2:Y665))/STDEV('The List'!Y2:Y665)</f>
        <v>0.914534774607962</v>
      </c>
      <c r="M275" s="77">
        <f>(VLOOKUP($A275,'The List'!$B1:$AH665,25,FALSE)-AVERAGE('The List'!Z2:Z665))/STDEV('The List'!Z2:Z665)</f>
        <v>1.96277841464563</v>
      </c>
      <c r="N275" s="77">
        <f>(VLOOKUP($A275,'The List'!$B1:$AH665,26,FALSE)-AVERAGE('The List'!AA2:AA665))/STDEV('The List'!AA2:AA665)</f>
        <v>2.01744573334608</v>
      </c>
      <c r="O275" s="77">
        <f>(VLOOKUP($A275,'The List'!$B1:$AH665,27,FALSE)-AVERAGE('The List'!AB2:AB665))/STDEV('The List'!AB2:AB665)</f>
        <v>-0.129944637357738</v>
      </c>
      <c r="P275" s="77">
        <f>(VLOOKUP($A275,'The List'!$B1:$AH665,28,FALSE)-AVERAGE('The List'!AC2:AC665))/STDEV('The List'!AC2:AC665)</f>
        <v>-1.05487714209392</v>
      </c>
      <c r="Q275" s="77">
        <f>(VLOOKUP($A275,'The List'!$B1:$AH665,29,FALSE)-AVERAGE('The List'!AD2:AD665))/STDEV('The List'!AD2:AD665)</f>
        <v>0.850766637428927</v>
      </c>
      <c r="R275" s="77">
        <f>(VLOOKUP($A275,'The List'!$B1:$AH665,30,FALSE)-AVERAGE('The List'!AE2:AE665))/STDEV('The List'!AE2:AE665)</f>
        <v>-0.492606155292801</v>
      </c>
      <c r="S275" s="77">
        <f>(VLOOKUP($A275,'The List'!$B1:$AH665,31,FALSE)-AVERAGE('The List'!AF2:AF665))/STDEV('The List'!AF2:AF665)</f>
        <v>-0.573894410680004</v>
      </c>
      <c r="T275" s="77">
        <f>(VLOOKUP($A275,'The List'!$B1:$AH665,32,FALSE)-AVERAGE('The List'!AG2:AG665))/STDEV('The List'!AG2:AG665)</f>
        <v>-0.625770787132651</v>
      </c>
      <c r="U275" s="77">
        <f>(VLOOKUP($A275,'The List'!$B1:$AH665,33,FALSE)-AVERAGE('The List'!AH2:AH665))/STDEV('The List'!AH2:AH665)</f>
        <v>-1.23143509451486</v>
      </c>
      <c r="V275" s="77"/>
      <c r="W275" s="89"/>
      <c r="X275" s="79"/>
      <c r="Y275" s="79"/>
      <c r="Z275" s="79"/>
      <c r="AA275" s="79"/>
      <c r="AB275" s="79"/>
      <c r="AC275" s="82"/>
      <c r="AD275" s="83"/>
      <c r="AE275" s="84"/>
    </row>
    <row r="276" ht="21.25" customHeight="1">
      <c r="A276" t="s" s="10">
        <v>437</v>
      </c>
      <c r="B276" t="s" s="86">
        <f>VLOOKUP(A276,'Player Data'!A1:B667,2,FALSE)</f>
        <v>899</v>
      </c>
      <c r="C276" s="74">
        <f>((E276)*'Settings'!$C$12)+(F276*'Settings'!$C$2)+(G276*'Settings'!$C$3)+(H276*'Settings'!$C$4)+(I276*'Settings'!$C$5)+(K276*'Settings'!$C$9)+(N276*'Settings'!$C$6)+(J276*'Settings'!$C$8)+(O276*'Settings'!$C$7)+(P276*'Settings'!$C$14)+(Q276*'Settings'!$C$15)+(R276*'Settings'!$C$16)+(S276*'Settings'!$C$17)+(T276*'Settings'!$C$18)+(U276*'Settings'!$C$19)+(L276*'Settings'!$C$10)+('Settings'!$C$11*M276)</f>
        <v>-0.714883388483898</v>
      </c>
      <c r="D276" s="79">
        <f>IF('Settings'!$E$12="YES",VLOOKUP(A276,'Player Data'!A1:E667,5,FALSE),82)</f>
        <v>79.4175</v>
      </c>
      <c r="E276" s="77">
        <f>(VLOOKUP($A276,'The List'!$B1:$AH665,17,FALSE)-AVERAGE('The List'!R2:R665))/STDEV('The List'!R2:R665)</f>
        <v>-0.911068798033583</v>
      </c>
      <c r="F276" s="77">
        <f>(VLOOKUP($A276,'The List'!$B1:$AH665,18,FALSE)-AVERAGE('The List'!S2:S665))/STDEV('The List'!S2:S665)</f>
        <v>0.261559443813448</v>
      </c>
      <c r="G276" s="77">
        <f>(VLOOKUP($A276,'The List'!$B1:$AH665,19,FALSE)-AVERAGE('The List'!T2:T665))/STDEV('The List'!T2:T665)</f>
        <v>-0.310578659787574</v>
      </c>
      <c r="H276" s="77">
        <f>(VLOOKUP($A276,'The List'!$B1:$AH665,20,FALSE)-AVERAGE('The List'!U2:U665))/STDEV('The List'!U2:U665)</f>
        <v>-0.0739956108488149</v>
      </c>
      <c r="I276" s="77">
        <f>(VLOOKUP($A276,'The List'!$B1:$AH665,21,FALSE)-AVERAGE('The List'!V2:V665))/STDEV('The List'!V2:V665)</f>
        <v>-0.131259685126102</v>
      </c>
      <c r="J276" s="77">
        <f>(VLOOKUP($A276,'The List'!$B1:$AH665,22,FALSE)-AVERAGE('The List'!W2:W665))/STDEV('The List'!W2:W665)</f>
        <v>-0.563511467292632</v>
      </c>
      <c r="K276" s="77">
        <f>(VLOOKUP($A276,'The List'!$B1:$AH665,23,FALSE)-AVERAGE('The List'!X2:X665))/STDEV('The List'!X2:X665)</f>
        <v>-0.725533042190826</v>
      </c>
      <c r="L276" s="77">
        <f>(VLOOKUP($A276,'The List'!$B1:$AH665,24,FALSE)-AVERAGE('The List'!Y2:Y665))/STDEV('The List'!Y2:Y665)</f>
        <v>-0.436068944788285</v>
      </c>
      <c r="M276" s="77">
        <f>(VLOOKUP($A276,'The List'!$B1:$AH665,25,FALSE)-AVERAGE('The List'!Z2:Z665))/STDEV('The List'!Z2:Z665)</f>
        <v>-0.388182777398826</v>
      </c>
      <c r="N276" s="77">
        <f>(VLOOKUP($A276,'The List'!$B1:$AH665,26,FALSE)-AVERAGE('The List'!AA2:AA665))/STDEV('The List'!AA2:AA665)</f>
        <v>-0.4890338482588</v>
      </c>
      <c r="O276" s="77">
        <f>(VLOOKUP($A276,'The List'!$B1:$AH665,27,FALSE)-AVERAGE('The List'!AB2:AB665))/STDEV('The List'!AB2:AB665)</f>
        <v>1.52472698406163</v>
      </c>
      <c r="P276" s="77">
        <f>(VLOOKUP($A276,'The List'!$B1:$AH665,28,FALSE)-AVERAGE('The List'!AC2:AC665))/STDEV('The List'!AC2:AC665)</f>
        <v>0.679962403065956</v>
      </c>
      <c r="Q276" s="77">
        <f>(VLOOKUP($A276,'The List'!$B1:$AH665,29,FALSE)-AVERAGE('The List'!AD2:AD665))/STDEV('The List'!AD2:AD665)</f>
        <v>1.96761231269173</v>
      </c>
      <c r="R276" s="77">
        <f>(VLOOKUP($A276,'The List'!$B1:$AH665,30,FALSE)-AVERAGE('The List'!AE2:AE665))/STDEV('The List'!AE2:AE665)</f>
        <v>0.319595479614213</v>
      </c>
      <c r="S276" s="77">
        <f>(VLOOKUP($A276,'The List'!$B1:$AH665,31,FALSE)-AVERAGE('The List'!AF2:AF665))/STDEV('The List'!AF2:AF665)</f>
        <v>-0.1120924536929</v>
      </c>
      <c r="T276" s="77">
        <f>(VLOOKUP($A276,'The List'!$B1:$AH665,32,FALSE)-AVERAGE('The List'!AG2:AG665))/STDEV('The List'!AG2:AG665)</f>
        <v>0.103577382379904</v>
      </c>
      <c r="U276" s="77">
        <f>(VLOOKUP($A276,'The List'!$B1:$AH665,33,FALSE)-AVERAGE('The List'!AH2:AH665))/STDEV('The List'!AH2:AH665)</f>
        <v>0.592843555540609</v>
      </c>
      <c r="V276" s="77"/>
      <c r="W276" s="89"/>
      <c r="X276" s="79"/>
      <c r="Y276" s="79"/>
      <c r="Z276" s="79"/>
      <c r="AA276" s="79"/>
      <c r="AB276" s="79"/>
      <c r="AC276" s="82"/>
      <c r="AD276" s="83"/>
      <c r="AE276" s="84"/>
    </row>
    <row r="277" ht="21.25" customHeight="1">
      <c r="A277" t="s" s="10">
        <v>680</v>
      </c>
      <c r="B277" t="s" s="86">
        <f>VLOOKUP(A277,'Player Data'!A1:B667,2,FALSE)</f>
        <v>149</v>
      </c>
      <c r="C277" s="74">
        <f>((E277)*'Settings'!$C$12)+(F277*'Settings'!$C$2)+(G277*'Settings'!$C$3)+(H277*'Settings'!$C$4)+(I277*'Settings'!$C$5)+(K277*'Settings'!$C$9)+(N277*'Settings'!$C$6)+(J277*'Settings'!$C$8)+(O277*'Settings'!$C$7)+(P277*'Settings'!$C$14)+(Q277*'Settings'!$C$15)+(R277*'Settings'!$C$16)+(S277*'Settings'!$C$17)+(T277*'Settings'!$C$18)+(U277*'Settings'!$C$19)+(L277*'Settings'!$C$10)+('Settings'!$C$11*M277)</f>
        <v>-2.31201329990293</v>
      </c>
      <c r="D277" s="79">
        <f>IF('Settings'!$E$12="YES",VLOOKUP(A277,'Player Data'!A1:E667,5,FALSE),82)</f>
        <v>65.7375</v>
      </c>
      <c r="E277" s="77">
        <f>(VLOOKUP($A277,'The List'!$B1:$AH665,17,FALSE)-AVERAGE('The List'!R2:R665))/STDEV('The List'!R2:R665)</f>
        <v>0.578964694547646</v>
      </c>
      <c r="F277" s="77">
        <f>(VLOOKUP($A277,'The List'!$B1:$AH665,18,FALSE)-AVERAGE('The List'!S2:S665))/STDEV('The List'!S2:S665)</f>
        <v>-0.659706650744022</v>
      </c>
      <c r="G277" s="77">
        <f>(VLOOKUP($A277,'The List'!$B1:$AH665,19,FALSE)-AVERAGE('The List'!T2:T665))/STDEV('The List'!T2:T665)</f>
        <v>-0.08415945284142649</v>
      </c>
      <c r="H277" s="77">
        <f>(VLOOKUP($A277,'The List'!$B1:$AH665,20,FALSE)-AVERAGE('The List'!U2:U665))/STDEV('The List'!U2:U665)</f>
        <v>-0.352135783479248</v>
      </c>
      <c r="I277" s="77">
        <f>(VLOOKUP($A277,'The List'!$B1:$AH665,21,FALSE)-AVERAGE('The List'!V2:V665))/STDEV('The List'!V2:V665)</f>
        <v>-0.6471350016911021</v>
      </c>
      <c r="J277" s="77">
        <f>(VLOOKUP($A277,'The List'!$B1:$AH665,22,FALSE)-AVERAGE('The List'!W2:W665))/STDEV('The List'!W2:W665)</f>
        <v>-0.326409730238027</v>
      </c>
      <c r="K277" s="77">
        <f>(VLOOKUP($A277,'The List'!$B1:$AH665,23,FALSE)-AVERAGE('The List'!X2:X665))/STDEV('The List'!X2:X665)</f>
        <v>0.425700344219843</v>
      </c>
      <c r="L277" s="77">
        <f>(VLOOKUP($A277,'The List'!$B1:$AH665,24,FALSE)-AVERAGE('The List'!Y2:Y665))/STDEV('The List'!Y2:Y665)</f>
        <v>-0.573644219444622</v>
      </c>
      <c r="M277" s="77">
        <f>(VLOOKUP($A277,'The List'!$B1:$AH665,25,FALSE)-AVERAGE('The List'!Z2:Z665))/STDEV('The List'!Z2:Z665)</f>
        <v>-0.734641928060229</v>
      </c>
      <c r="N277" s="77">
        <f>(VLOOKUP($A277,'The List'!$B1:$AH665,26,FALSE)-AVERAGE('The List'!AA2:AA665))/STDEV('The List'!AA2:AA665)</f>
        <v>0.321374407403563</v>
      </c>
      <c r="O277" s="77">
        <f>(VLOOKUP($A277,'The List'!$B1:$AH665,27,FALSE)-AVERAGE('The List'!AB2:AB665))/STDEV('The List'!AB2:AB665)</f>
        <v>-0.871504576567364</v>
      </c>
      <c r="P277" s="77">
        <f>(VLOOKUP($A277,'The List'!$B1:$AH665,28,FALSE)-AVERAGE('The List'!AC2:AC665))/STDEV('The List'!AC2:AC665)</f>
        <v>-1.66808694624979</v>
      </c>
      <c r="Q277" s="77">
        <f>(VLOOKUP($A277,'The List'!$B1:$AH665,29,FALSE)-AVERAGE('The List'!AD2:AD665))/STDEV('The List'!AD2:AD665)</f>
        <v>-1.22776010821129</v>
      </c>
      <c r="R277" s="77">
        <f>(VLOOKUP($A277,'The List'!$B1:$AH665,30,FALSE)-AVERAGE('The List'!AE2:AE665))/STDEV('The List'!AE2:AE665)</f>
        <v>-0.538253355938188</v>
      </c>
      <c r="S277" s="77">
        <f>(VLOOKUP($A277,'The List'!$B1:$AH665,31,FALSE)-AVERAGE('The List'!AF2:AF665))/STDEV('The List'!AF2:AF665)</f>
        <v>-0.573894410680004</v>
      </c>
      <c r="T277" s="77">
        <f>(VLOOKUP($A277,'The List'!$B1:$AH665,32,FALSE)-AVERAGE('The List'!AG2:AG665))/STDEV('The List'!AG2:AG665)</f>
        <v>-0.625770787132651</v>
      </c>
      <c r="U277" s="77">
        <f>(VLOOKUP($A277,'The List'!$B1:$AH665,33,FALSE)-AVERAGE('The List'!AH2:AH665))/STDEV('The List'!AH2:AH665)</f>
        <v>-1.23143509451486</v>
      </c>
      <c r="V277" s="77"/>
      <c r="W277" s="79"/>
      <c r="X277" s="77"/>
      <c r="Y277" s="77"/>
      <c r="Z277" s="77"/>
      <c r="AA277" s="77"/>
      <c r="AB277" s="77"/>
      <c r="AC277" s="77"/>
      <c r="AD277" s="77"/>
      <c r="AE277" s="84"/>
    </row>
    <row r="278" ht="21.25" customHeight="1">
      <c r="A278" t="s" s="10">
        <v>386</v>
      </c>
      <c r="B278" t="s" s="86">
        <f>VLOOKUP(A278,'Player Data'!A1:B667,2,FALSE)</f>
        <v>913</v>
      </c>
      <c r="C278" s="74">
        <f>((E278)*'Settings'!$C$12)+(F278*'Settings'!$C$2)+(G278*'Settings'!$C$3)+(H278*'Settings'!$C$4)+(I278*'Settings'!$C$5)+(K278*'Settings'!$C$9)+(N278*'Settings'!$C$6)+(J278*'Settings'!$C$8)+(O278*'Settings'!$C$7)+(P278*'Settings'!$C$14)+(Q278*'Settings'!$C$15)+(R278*'Settings'!$C$16)+(S278*'Settings'!$C$17)+(T278*'Settings'!$C$18)+(U278*'Settings'!$C$19)+(L278*'Settings'!$C$10)+('Settings'!$C$11*M278)</f>
        <v>1.48771910244209</v>
      </c>
      <c r="D278" s="79">
        <f>IF('Settings'!$E$12="YES",VLOOKUP(A278,'Player Data'!A1:E667,5,FALSE),82)</f>
        <v>72.94499999999999</v>
      </c>
      <c r="E278" s="77">
        <f>(VLOOKUP($A278,'The List'!$B1:$AH665,17,FALSE)-AVERAGE('The List'!R2:R665))/STDEV('The List'!R2:R665)</f>
        <v>1.43718132118758</v>
      </c>
      <c r="F278" s="77">
        <f>(VLOOKUP($A278,'The List'!$B1:$AH665,18,FALSE)-AVERAGE('The List'!S2:S665))/STDEV('The List'!S2:S665)</f>
        <v>-0.182062430823021</v>
      </c>
      <c r="G278" s="77">
        <f>(VLOOKUP($A278,'The List'!$B1:$AH665,19,FALSE)-AVERAGE('The List'!T2:T665))/STDEV('The List'!T2:T665)</f>
        <v>-0.207848373290368</v>
      </c>
      <c r="H278" s="77">
        <f>(VLOOKUP($A278,'The List'!$B1:$AH665,20,FALSE)-AVERAGE('The List'!U2:U665))/STDEV('The List'!U2:U665)</f>
        <v>-0.211841555666422</v>
      </c>
      <c r="I278" s="77">
        <f>(VLOOKUP($A278,'The List'!$B1:$AH665,21,FALSE)-AVERAGE('The List'!V2:V665))/STDEV('The List'!V2:V665)</f>
        <v>0.422184975729866</v>
      </c>
      <c r="J278" s="77">
        <f>(VLOOKUP($A278,'The List'!$B1:$AH665,22,FALSE)-AVERAGE('The List'!W2:W665))/STDEV('The List'!W2:W665)</f>
        <v>-0.149380203467933</v>
      </c>
      <c r="K278" s="77">
        <f>(VLOOKUP($A278,'The List'!$B1:$AH665,23,FALSE)-AVERAGE('The List'!X2:X665))/STDEV('The List'!X2:X665)</f>
        <v>0.386643274933558</v>
      </c>
      <c r="L278" s="77">
        <f>(VLOOKUP($A278,'The List'!$B1:$AH665,24,FALSE)-AVERAGE('The List'!Y2:Y665))/STDEV('The List'!Y2:Y665)</f>
        <v>-0.525583953701826</v>
      </c>
      <c r="M278" s="77">
        <f>(VLOOKUP($A278,'The List'!$B1:$AH665,25,FALSE)-AVERAGE('The List'!Z2:Z665))/STDEV('The List'!Z2:Z665)</f>
        <v>-0.07917487440113891</v>
      </c>
      <c r="N278" s="77">
        <f>(VLOOKUP($A278,'The List'!$B1:$AH665,26,FALSE)-AVERAGE('The List'!AA2:AA665))/STDEV('The List'!AA2:AA665)</f>
        <v>2.11110822756657</v>
      </c>
      <c r="O278" s="77">
        <f>(VLOOKUP($A278,'The List'!$B1:$AH665,27,FALSE)-AVERAGE('The List'!AB2:AB665))/STDEV('The List'!AB2:AB665)</f>
        <v>-0.583339946312478</v>
      </c>
      <c r="P278" s="77">
        <f>(VLOOKUP($A278,'The List'!$B1:$AH665,28,FALSE)-AVERAGE('The List'!AC2:AC665))/STDEV('The List'!AC2:AC665)</f>
        <v>-1.04230657167452</v>
      </c>
      <c r="Q278" s="77">
        <f>(VLOOKUP($A278,'The List'!$B1:$AH665,29,FALSE)-AVERAGE('The List'!AD2:AD665))/STDEV('The List'!AD2:AD665)</f>
        <v>0.878319696306515</v>
      </c>
      <c r="R278" s="77">
        <f>(VLOOKUP($A278,'The List'!$B1:$AH665,30,FALSE)-AVERAGE('The List'!AE2:AE665))/STDEV('The List'!AE2:AE665)</f>
        <v>-0.485616197855225</v>
      </c>
      <c r="S278" s="77">
        <f>(VLOOKUP($A278,'The List'!$B1:$AH665,31,FALSE)-AVERAGE('The List'!AF2:AF665))/STDEV('The List'!AF2:AF665)</f>
        <v>-0.573894410680004</v>
      </c>
      <c r="T278" s="77">
        <f>(VLOOKUP($A278,'The List'!$B1:$AH665,32,FALSE)-AVERAGE('The List'!AG2:AG665))/STDEV('The List'!AG2:AG665)</f>
        <v>-0.625770787132651</v>
      </c>
      <c r="U278" s="77">
        <f>(VLOOKUP($A278,'The List'!$B1:$AH665,33,FALSE)-AVERAGE('The List'!AH2:AH665))/STDEV('The List'!AH2:AH665)</f>
        <v>-1.23143509451486</v>
      </c>
      <c r="V278" s="77"/>
      <c r="W278" s="89"/>
      <c r="X278" s="79"/>
      <c r="Y278" s="79"/>
      <c r="Z278" s="79"/>
      <c r="AA278" s="79"/>
      <c r="AB278" s="79"/>
      <c r="AC278" s="82"/>
      <c r="AD278" s="83"/>
      <c r="AE278" s="84"/>
    </row>
    <row r="279" ht="21.25" customHeight="1">
      <c r="A279" t="s" s="10">
        <v>818</v>
      </c>
      <c r="B279" t="s" s="86">
        <f>VLOOKUP(A279,'Player Data'!A1:B667,2,FALSE)</f>
        <v>903</v>
      </c>
      <c r="C279" s="74">
        <f>((E279)*'Settings'!$C$12)+(F279*'Settings'!$C$2)+(G279*'Settings'!$C$3)+(H279*'Settings'!$C$4)+(I279*'Settings'!$C$5)+(K279*'Settings'!$C$9)+(N279*'Settings'!$C$6)+(J279*'Settings'!$C$8)+(O279*'Settings'!$C$7)+(P279*'Settings'!$C$14)+(Q279*'Settings'!$C$15)+(R279*'Settings'!$C$16)+(S279*'Settings'!$C$17)+(T279*'Settings'!$C$18)+(U279*'Settings'!$C$19)+(L279*'Settings'!$C$10)+('Settings'!$C$11*M279)</f>
        <v>-3.70257593514601</v>
      </c>
      <c r="D279" s="79">
        <f>IF('Settings'!$E$12="YES",VLOOKUP(A279,'Player Data'!A1:E667,5,FALSE),82)</f>
        <v>54.225</v>
      </c>
      <c r="E279" s="77">
        <f>(VLOOKUP($A279,'The List'!$B1:$AH665,17,FALSE)-AVERAGE('The List'!R2:R665))/STDEV('The List'!R2:R665)</f>
        <v>-1.01188234488688</v>
      </c>
      <c r="F279" s="77">
        <f>(VLOOKUP($A279,'The List'!$B1:$AH665,18,FALSE)-AVERAGE('The List'!S2:S665))/STDEV('The List'!S2:S665)</f>
        <v>-0.524889478218068</v>
      </c>
      <c r="G279" s="77">
        <f>(VLOOKUP($A279,'The List'!$B1:$AH665,19,FALSE)-AVERAGE('The List'!T2:T665))/STDEV('The List'!T2:T665)</f>
        <v>-0.554216395271988</v>
      </c>
      <c r="H279" s="77">
        <f>(VLOOKUP($A279,'The List'!$B1:$AH665,20,FALSE)-AVERAGE('The List'!U2:U665))/STDEV('The List'!U2:U665)</f>
        <v>-0.582786761856329</v>
      </c>
      <c r="I279" s="77">
        <f>(VLOOKUP($A279,'The List'!$B1:$AH665,21,FALSE)-AVERAGE('The List'!V2:V665))/STDEV('The List'!V2:V665)</f>
        <v>-0.918696254060934</v>
      </c>
      <c r="J279" s="77">
        <f>(VLOOKUP($A279,'The List'!$B1:$AH665,22,FALSE)-AVERAGE('The List'!W2:W665))/STDEV('The List'!W2:W665)</f>
        <v>-0.633146287586315</v>
      </c>
      <c r="K279" s="77">
        <f>(VLOOKUP($A279,'The List'!$B1:$AH665,23,FALSE)-AVERAGE('The List'!X2:X665))/STDEV('The List'!X2:X665)</f>
        <v>-0.738283871492299</v>
      </c>
      <c r="L279" s="77">
        <f>(VLOOKUP($A279,'The List'!$B1:$AH665,24,FALSE)-AVERAGE('The List'!Y2:Y665))/STDEV('The List'!Y2:Y665)</f>
        <v>-0.53743877448854</v>
      </c>
      <c r="M279" s="77">
        <f>(VLOOKUP($A279,'The List'!$B1:$AH665,25,FALSE)-AVERAGE('The List'!Z2:Z665))/STDEV('The List'!Z2:Z665)</f>
        <v>-0.711075668116832</v>
      </c>
      <c r="N279" s="77">
        <f>(VLOOKUP($A279,'The List'!$B1:$AH665,26,FALSE)-AVERAGE('The List'!AA2:AA665))/STDEV('The List'!AA2:AA665)</f>
        <v>-1.04326158713752</v>
      </c>
      <c r="O279" s="77">
        <f>(VLOOKUP($A279,'The List'!$B1:$AH665,27,FALSE)-AVERAGE('The List'!AB2:AB665))/STDEV('The List'!AB2:AB665)</f>
        <v>-0.64257968233805</v>
      </c>
      <c r="P279" s="77">
        <f>(VLOOKUP($A279,'The List'!$B1:$AH665,28,FALSE)-AVERAGE('The List'!AC2:AC665))/STDEV('The List'!AC2:AC665)</f>
        <v>0.0767716510347948</v>
      </c>
      <c r="Q279" s="77">
        <f>(VLOOKUP($A279,'The List'!$B1:$AH665,29,FALSE)-AVERAGE('The List'!AD2:AD665))/STDEV('The List'!AD2:AD665)</f>
        <v>-1.25218819412995</v>
      </c>
      <c r="R279" s="77">
        <f>(VLOOKUP($A279,'The List'!$B1:$AH665,30,FALSE)-AVERAGE('The List'!AE2:AE665))/STDEV('The List'!AE2:AE665)</f>
        <v>-0.485599248110844</v>
      </c>
      <c r="S279" s="77">
        <f>(VLOOKUP($A279,'The List'!$B1:$AH665,31,FALSE)-AVERAGE('The List'!AF2:AF665))/STDEV('The List'!AF2:AF665)</f>
        <v>-0.499386611221271</v>
      </c>
      <c r="T279" s="77">
        <f>(VLOOKUP($A279,'The List'!$B1:$AH665,32,FALSE)-AVERAGE('The List'!AG2:AG665))/STDEV('The List'!AG2:AG665)</f>
        <v>-0.546520960092567</v>
      </c>
      <c r="U279" s="77">
        <f>(VLOOKUP($A279,'The List'!$B1:$AH665,33,FALSE)-AVERAGE('The List'!AH2:AH665))/STDEV('The List'!AH2:AH665)</f>
        <v>1.03509417916631</v>
      </c>
      <c r="V279" s="77"/>
      <c r="W279" s="79"/>
      <c r="X279" s="77"/>
      <c r="Y279" s="77"/>
      <c r="Z279" s="77"/>
      <c r="AA279" s="77"/>
      <c r="AB279" s="77"/>
      <c r="AC279" s="77"/>
      <c r="AD279" s="77"/>
      <c r="AE279" s="84"/>
    </row>
    <row r="280" ht="21.25" customHeight="1">
      <c r="A280" t="s" s="10">
        <v>798</v>
      </c>
      <c r="B280" t="s" s="86">
        <f>VLOOKUP(A280,'Player Data'!A1:B667,2,FALSE)</f>
        <v>156</v>
      </c>
      <c r="C280" s="74">
        <f>((E280)*'Settings'!$C$12)+(F280*'Settings'!$C$2)+(G280*'Settings'!$C$3)+(H280*'Settings'!$C$4)+(I280*'Settings'!$C$5)+(K280*'Settings'!$C$9)+(N280*'Settings'!$C$6)+(J280*'Settings'!$C$8)+(O280*'Settings'!$C$7)+(P280*'Settings'!$C$14)+(Q280*'Settings'!$C$15)+(R280*'Settings'!$C$16)+(S280*'Settings'!$C$17)+(T280*'Settings'!$C$18)+(U280*'Settings'!$C$19)+(L280*'Settings'!$C$10)+('Settings'!$C$11*M280)</f>
        <v>-2.99724654618254</v>
      </c>
      <c r="D280" s="79">
        <f>IF('Settings'!$E$12="YES",VLOOKUP(A280,'Player Data'!A1:E667,5,FALSE),82)</f>
        <v>63.3425</v>
      </c>
      <c r="E280" s="77">
        <f>(VLOOKUP($A280,'The List'!$B1:$AH665,17,FALSE)-AVERAGE('The List'!R2:R665))/STDEV('The List'!R2:R665)</f>
        <v>-0.997142529409683</v>
      </c>
      <c r="F280" s="77">
        <f>(VLOOKUP($A280,'The List'!$B1:$AH665,18,FALSE)-AVERAGE('The List'!S2:S665))/STDEV('The List'!S2:S665)</f>
        <v>-0.0797810839044928</v>
      </c>
      <c r="G280" s="77">
        <f>(VLOOKUP($A280,'The List'!$B1:$AH665,19,FALSE)-AVERAGE('The List'!T2:T665))/STDEV('The List'!T2:T665)</f>
        <v>-0.593774496872717</v>
      </c>
      <c r="H280" s="77">
        <f>(VLOOKUP($A280,'The List'!$B1:$AH665,20,FALSE)-AVERAGE('The List'!U2:U665))/STDEV('The List'!U2:U665)</f>
        <v>-0.405031644311998</v>
      </c>
      <c r="I280" s="77">
        <f>(VLOOKUP($A280,'The List'!$B1:$AH665,21,FALSE)-AVERAGE('The List'!V2:V665))/STDEV('The List'!V2:V665)</f>
        <v>-0.6584869683811519</v>
      </c>
      <c r="J280" s="77">
        <f>(VLOOKUP($A280,'The List'!$B1:$AH665,22,FALSE)-AVERAGE('The List'!W2:W665))/STDEV('The List'!W2:W665)</f>
        <v>0.130312997090487</v>
      </c>
      <c r="K280" s="77">
        <f>(VLOOKUP($A280,'The List'!$B1:$AH665,23,FALSE)-AVERAGE('The List'!X2:X665))/STDEV('The List'!X2:X665)</f>
        <v>-0.148961093451773</v>
      </c>
      <c r="L280" s="77">
        <f>(VLOOKUP($A280,'The List'!$B1:$AH665,24,FALSE)-AVERAGE('The List'!Y2:Y665))/STDEV('The List'!Y2:Y665)</f>
        <v>-0.580182913902084</v>
      </c>
      <c r="M280" s="77">
        <f>(VLOOKUP($A280,'The List'!$B1:$AH665,25,FALSE)-AVERAGE('The List'!Z2:Z665))/STDEV('The List'!Z2:Z665)</f>
        <v>-0.754036664989997</v>
      </c>
      <c r="N280" s="77">
        <f>(VLOOKUP($A280,'The List'!$B1:$AH665,26,FALSE)-AVERAGE('The List'!AA2:AA665))/STDEV('The List'!AA2:AA665)</f>
        <v>-0.833885584733642</v>
      </c>
      <c r="O280" s="77">
        <f>(VLOOKUP($A280,'The List'!$B1:$AH665,27,FALSE)-AVERAGE('The List'!AB2:AB665))/STDEV('The List'!AB2:AB665)</f>
        <v>-1.1563746549464</v>
      </c>
      <c r="P280" s="77">
        <f>(VLOOKUP($A280,'The List'!$B1:$AH665,28,FALSE)-AVERAGE('The List'!AC2:AC665))/STDEV('The List'!AC2:AC665)</f>
        <v>-0.682357318838764</v>
      </c>
      <c r="Q280" s="77">
        <f>(VLOOKUP($A280,'The List'!$B1:$AH665,29,FALSE)-AVERAGE('The List'!AD2:AD665))/STDEV('The List'!AD2:AD665)</f>
        <v>-1.17440948866877</v>
      </c>
      <c r="R280" s="77">
        <f>(VLOOKUP($A280,'The List'!$B1:$AH665,30,FALSE)-AVERAGE('The List'!AE2:AE665))/STDEV('The List'!AE2:AE665)</f>
        <v>-0.169804421600178</v>
      </c>
      <c r="S280" s="77">
        <f>(VLOOKUP($A280,'The List'!$B1:$AH665,31,FALSE)-AVERAGE('The List'!AF2:AF665))/STDEV('The List'!AF2:AF665)</f>
        <v>-0.567164194693549</v>
      </c>
      <c r="T280" s="77">
        <f>(VLOOKUP($A280,'The List'!$B1:$AH665,32,FALSE)-AVERAGE('The List'!AG2:AG665))/STDEV('The List'!AG2:AG665)</f>
        <v>-0.616117661659618</v>
      </c>
      <c r="U280" s="77">
        <f>(VLOOKUP($A280,'The List'!$B1:$AH665,33,FALSE)-AVERAGE('The List'!AH2:AH665))/STDEV('The List'!AH2:AH665)</f>
        <v>0.698779942676185</v>
      </c>
      <c r="V280" s="77"/>
      <c r="W280" s="89"/>
      <c r="X280" s="79"/>
      <c r="Y280" s="79"/>
      <c r="Z280" s="79"/>
      <c r="AA280" s="79"/>
      <c r="AB280" s="79"/>
      <c r="AC280" s="82"/>
      <c r="AD280" s="83"/>
      <c r="AE280" s="84"/>
    </row>
    <row r="281" ht="21.25" customHeight="1">
      <c r="A281" t="s" s="10">
        <v>355</v>
      </c>
      <c r="B281" t="s" s="86">
        <f>VLOOKUP(A281,'Player Data'!A1:B667,2,FALSE)</f>
        <v>878</v>
      </c>
      <c r="C281" s="74">
        <f>((E281)*'Settings'!$C$12)+(F281*'Settings'!$C$2)+(G281*'Settings'!$C$3)+(H281*'Settings'!$C$4)+(I281*'Settings'!$C$5)+(K281*'Settings'!$C$9)+(N281*'Settings'!$C$6)+(J281*'Settings'!$C$8)+(O281*'Settings'!$C$7)+(P281*'Settings'!$C$14)+(Q281*'Settings'!$C$15)+(R281*'Settings'!$C$16)+(S281*'Settings'!$C$17)+(T281*'Settings'!$C$18)+(U281*'Settings'!$C$19)+(L281*'Settings'!$C$10)+('Settings'!$C$11*M281)</f>
        <v>0.578682222321209</v>
      </c>
      <c r="D281" s="79">
        <f>IF('Settings'!$E$12="YES",VLOOKUP(A281,'Player Data'!A1:E667,5,FALSE),82)</f>
        <v>81.2625</v>
      </c>
      <c r="E281" s="77">
        <f>(VLOOKUP($A281,'The List'!$B1:$AH665,17,FALSE)-AVERAGE('The List'!R2:R665))/STDEV('The List'!R2:R665)</f>
        <v>1.50661160364985</v>
      </c>
      <c r="F281" s="77">
        <f>(VLOOKUP($A281,'The List'!$B1:$AH665,18,FALSE)-AVERAGE('The List'!S2:S665))/STDEV('The List'!S2:S665)</f>
        <v>-0.473768565974564</v>
      </c>
      <c r="G281" s="77">
        <f>(VLOOKUP($A281,'The List'!$B1:$AH665,19,FALSE)-AVERAGE('The List'!T2:T665))/STDEV('The List'!T2:T665)</f>
        <v>0.257664902200094</v>
      </c>
      <c r="H281" s="77">
        <f>(VLOOKUP($A281,'The List'!$B1:$AH665,20,FALSE)-AVERAGE('The List'!U2:U665))/STDEV('The List'!U2:U665)</f>
        <v>-0.0553259409853017</v>
      </c>
      <c r="I281" s="77">
        <f>(VLOOKUP($A281,'The List'!$B1:$AH665,21,FALSE)-AVERAGE('The List'!V2:V665))/STDEV('The List'!V2:V665)</f>
        <v>-0.319508708009516</v>
      </c>
      <c r="J281" s="77">
        <f>(VLOOKUP($A281,'The List'!$B1:$AH665,22,FALSE)-AVERAGE('The List'!W2:W665))/STDEV('The List'!W2:W665)</f>
        <v>-0.559011898367027</v>
      </c>
      <c r="K281" s="77">
        <f>(VLOOKUP($A281,'The List'!$B1:$AH665,23,FALSE)-AVERAGE('The List'!X2:X665))/STDEV('The List'!X2:X665)</f>
        <v>-0.466695352398781</v>
      </c>
      <c r="L281" s="77">
        <f>(VLOOKUP($A281,'The List'!$B1:$AH665,24,FALSE)-AVERAGE('The List'!Y2:Y665))/STDEV('The List'!Y2:Y665)</f>
        <v>-0.520182540601657</v>
      </c>
      <c r="M281" s="77">
        <f>(VLOOKUP($A281,'The List'!$B1:$AH665,25,FALSE)-AVERAGE('The List'!Z2:Z665))/STDEV('The List'!Z2:Z665)</f>
        <v>0.191059259086954</v>
      </c>
      <c r="N281" s="77">
        <f>(VLOOKUP($A281,'The List'!$B1:$AH665,26,FALSE)-AVERAGE('The List'!AA2:AA665))/STDEV('The List'!AA2:AA665)</f>
        <v>1.25683494571655</v>
      </c>
      <c r="O281" s="77">
        <f>(VLOOKUP($A281,'The List'!$B1:$AH665,27,FALSE)-AVERAGE('The List'!AB2:AB665))/STDEV('The List'!AB2:AB665)</f>
        <v>1.14062296155328</v>
      </c>
      <c r="P281" s="77">
        <f>(VLOOKUP($A281,'The List'!$B1:$AH665,28,FALSE)-AVERAGE('The List'!AC2:AC665))/STDEV('The List'!AC2:AC665)</f>
        <v>0.324155000787426</v>
      </c>
      <c r="Q281" s="77">
        <f>(VLOOKUP($A281,'The List'!$B1:$AH665,29,FALSE)-AVERAGE('The List'!AD2:AD665))/STDEV('The List'!AD2:AD665)</f>
        <v>0.368877576693365</v>
      </c>
      <c r="R281" s="77">
        <f>(VLOOKUP($A281,'The List'!$B1:$AH665,30,FALSE)-AVERAGE('The List'!AE2:AE665))/STDEV('The List'!AE2:AE665)</f>
        <v>-0.37302315455358</v>
      </c>
      <c r="S281" s="77">
        <f>(VLOOKUP($A281,'The List'!$B1:$AH665,31,FALSE)-AVERAGE('The List'!AF2:AF665))/STDEV('The List'!AF2:AF665)</f>
        <v>-0.573894410680004</v>
      </c>
      <c r="T281" s="77">
        <f>(VLOOKUP($A281,'The List'!$B1:$AH665,32,FALSE)-AVERAGE('The List'!AG2:AG665))/STDEV('The List'!AG2:AG665)</f>
        <v>-0.625770787132651</v>
      </c>
      <c r="U281" s="77">
        <f>(VLOOKUP($A281,'The List'!$B1:$AH665,33,FALSE)-AVERAGE('The List'!AH2:AH665))/STDEV('The List'!AH2:AH665)</f>
        <v>-1.23143509451486</v>
      </c>
      <c r="V281" s="77"/>
      <c r="W281" s="79"/>
      <c r="X281" s="77"/>
      <c r="Y281" s="77"/>
      <c r="Z281" s="77"/>
      <c r="AA281" s="77"/>
      <c r="AB281" s="77"/>
      <c r="AC281" s="77"/>
      <c r="AD281" s="77"/>
      <c r="AE281" s="84"/>
    </row>
    <row r="282" ht="21.25" customHeight="1">
      <c r="A282" t="s" s="10">
        <v>425</v>
      </c>
      <c r="B282" t="s" s="86">
        <f>VLOOKUP(A282,'Player Data'!A1:B667,2,FALSE)</f>
        <v>908</v>
      </c>
      <c r="C282" s="74">
        <f>((E282)*'Settings'!$C$12)+(F282*'Settings'!$C$2)+(G282*'Settings'!$C$3)+(H282*'Settings'!$C$4)+(I282*'Settings'!$C$5)+(K282*'Settings'!$C$9)+(N282*'Settings'!$C$6)+(J282*'Settings'!$C$8)+(O282*'Settings'!$C$7)+(P282*'Settings'!$C$14)+(Q282*'Settings'!$C$15)+(R282*'Settings'!$C$16)+(S282*'Settings'!$C$17)+(T282*'Settings'!$C$18)+(U282*'Settings'!$C$19)+(L282*'Settings'!$C$10)+('Settings'!$C$11*M282)</f>
        <v>1.37373631277347</v>
      </c>
      <c r="D282" s="79">
        <f>IF('Settings'!$E$12="YES",VLOOKUP(A282,'Player Data'!A1:E667,5,FALSE),82)</f>
        <v>77.79000000000001</v>
      </c>
      <c r="E282" s="77">
        <f>(VLOOKUP($A282,'The List'!$B1:$AH665,17,FALSE)-AVERAGE('The List'!R2:R665))/STDEV('The List'!R2:R665)</f>
        <v>0.892601364944684</v>
      </c>
      <c r="F282" s="77">
        <f>(VLOOKUP($A282,'The List'!$B1:$AH665,18,FALSE)-AVERAGE('The List'!S2:S665))/STDEV('The List'!S2:S665)</f>
        <v>-0.609544056394366</v>
      </c>
      <c r="G282" s="77">
        <f>(VLOOKUP($A282,'The List'!$B1:$AH665,19,FALSE)-AVERAGE('The List'!T2:T665))/STDEV('The List'!T2:T665)</f>
        <v>0.245096266501568</v>
      </c>
      <c r="H282" s="77">
        <f>(VLOOKUP($A282,'The List'!$B1:$AH665,20,FALSE)-AVERAGE('The List'!U2:U665))/STDEV('The List'!U2:U665)</f>
        <v>-0.124848184787686</v>
      </c>
      <c r="I282" s="77">
        <f>(VLOOKUP($A282,'The List'!$B1:$AH665,21,FALSE)-AVERAGE('The List'!V2:V665))/STDEV('The List'!V2:V665)</f>
        <v>-0.157088087337606</v>
      </c>
      <c r="J282" s="77">
        <f>(VLOOKUP($A282,'The List'!$B1:$AH665,22,FALSE)-AVERAGE('The List'!W2:W665))/STDEV('The List'!W2:W665)</f>
        <v>-0.345008455309875</v>
      </c>
      <c r="K282" s="77">
        <f>(VLOOKUP($A282,'The List'!$B1:$AH665,23,FALSE)-AVERAGE('The List'!X2:X665))/STDEV('The List'!X2:X665)</f>
        <v>0.270890579988634</v>
      </c>
      <c r="L282" s="77">
        <f>(VLOOKUP($A282,'The List'!$B1:$AH665,24,FALSE)-AVERAGE('The List'!Y2:Y665))/STDEV('The List'!Y2:Y665)</f>
        <v>-0.544907082748354</v>
      </c>
      <c r="M282" s="77">
        <f>(VLOOKUP($A282,'The List'!$B1:$AH665,25,FALSE)-AVERAGE('The List'!Z2:Z665))/STDEV('The List'!Z2:Z665)</f>
        <v>-0.512287671642647</v>
      </c>
      <c r="N282" s="77">
        <f>(VLOOKUP($A282,'The List'!$B1:$AH665,26,FALSE)-AVERAGE('The List'!AA2:AA665))/STDEV('The List'!AA2:AA665)</f>
        <v>1.86275895698172</v>
      </c>
      <c r="O282" s="77">
        <f>(VLOOKUP($A282,'The List'!$B1:$AH665,27,FALSE)-AVERAGE('The List'!AB2:AB665))/STDEV('The List'!AB2:AB665)</f>
        <v>-0.633910100768595</v>
      </c>
      <c r="P282" s="77">
        <f>(VLOOKUP($A282,'The List'!$B1:$AH665,28,FALSE)-AVERAGE('The List'!AC2:AC665))/STDEV('The List'!AC2:AC665)</f>
        <v>-0.238377346966485</v>
      </c>
      <c r="Q282" s="77">
        <f>(VLOOKUP($A282,'The List'!$B1:$AH665,29,FALSE)-AVERAGE('The List'!AD2:AD665))/STDEV('The List'!AD2:AD665)</f>
        <v>1.29528188415233</v>
      </c>
      <c r="R282" s="77">
        <f>(VLOOKUP($A282,'The List'!$B1:$AH665,30,FALSE)-AVERAGE('The List'!AE2:AE665))/STDEV('The List'!AE2:AE665)</f>
        <v>-0.595065385897865</v>
      </c>
      <c r="S282" s="77">
        <f>(VLOOKUP($A282,'The List'!$B1:$AH665,31,FALSE)-AVERAGE('The List'!AF2:AF665))/STDEV('The List'!AF2:AF665)</f>
        <v>-0.573894410680004</v>
      </c>
      <c r="T282" s="77">
        <f>(VLOOKUP($A282,'The List'!$B1:$AH665,32,FALSE)-AVERAGE('The List'!AG2:AG665))/STDEV('The List'!AG2:AG665)</f>
        <v>-0.625770787132651</v>
      </c>
      <c r="U282" s="77">
        <f>(VLOOKUP($A282,'The List'!$B1:$AH665,33,FALSE)-AVERAGE('The List'!AH2:AH665))/STDEV('The List'!AH2:AH665)</f>
        <v>-1.23143509451486</v>
      </c>
      <c r="V282" s="77"/>
      <c r="W282" s="89"/>
      <c r="X282" s="79"/>
      <c r="Y282" s="79"/>
      <c r="Z282" s="79"/>
      <c r="AA282" s="79"/>
      <c r="AB282" s="79"/>
      <c r="AC282" s="82"/>
      <c r="AD282" s="83"/>
      <c r="AE282" s="84"/>
    </row>
    <row r="283" ht="21.25" customHeight="1">
      <c r="A283" t="s" s="10">
        <v>689</v>
      </c>
      <c r="B283" t="s" s="86">
        <f>VLOOKUP(A283,'Player Data'!A1:B667,2,FALSE)</f>
        <v>911</v>
      </c>
      <c r="C283" s="74">
        <f>((E283)*'Settings'!$C$12)+(F283*'Settings'!$C$2)+(G283*'Settings'!$C$3)+(H283*'Settings'!$C$4)+(I283*'Settings'!$C$5)+(K283*'Settings'!$C$9)+(N283*'Settings'!$C$6)+(J283*'Settings'!$C$8)+(O283*'Settings'!$C$7)+(P283*'Settings'!$C$14)+(Q283*'Settings'!$C$15)+(R283*'Settings'!$C$16)+(S283*'Settings'!$C$17)+(T283*'Settings'!$C$18)+(U283*'Settings'!$C$19)+(L283*'Settings'!$C$10)+('Settings'!$C$11*M283)</f>
        <v>-1.83337523816325</v>
      </c>
      <c r="D283" s="79">
        <f>IF('Settings'!$E$12="YES",VLOOKUP(A283,'Player Data'!A1:E667,5,FALSE),82)</f>
        <v>72.4675</v>
      </c>
      <c r="E283" s="77">
        <f>(VLOOKUP($A283,'The List'!$B1:$AH665,17,FALSE)-AVERAGE('The List'!R2:R665))/STDEV('The List'!R2:R665)</f>
        <v>-0.520164389698948</v>
      </c>
      <c r="F283" s="77">
        <f>(VLOOKUP($A283,'The List'!$B1:$AH665,18,FALSE)-AVERAGE('The List'!S2:S665))/STDEV('The List'!S2:S665)</f>
        <v>0.0417562562718919</v>
      </c>
      <c r="G283" s="77">
        <f>(VLOOKUP($A283,'The List'!$B1:$AH665,19,FALSE)-AVERAGE('The List'!T2:T665))/STDEV('The List'!T2:T665)</f>
        <v>-0.406845227155062</v>
      </c>
      <c r="H283" s="77">
        <f>(VLOOKUP($A283,'The List'!$B1:$AH665,20,FALSE)-AVERAGE('The List'!U2:U665))/STDEV('The List'!U2:U665)</f>
        <v>-0.233693558893363</v>
      </c>
      <c r="I283" s="77">
        <f>(VLOOKUP($A283,'The List'!$B1:$AH665,21,FALSE)-AVERAGE('The List'!V2:V665))/STDEV('The List'!V2:V665)</f>
        <v>-0.0216223680029835</v>
      </c>
      <c r="J283" s="77">
        <f>(VLOOKUP($A283,'The List'!$B1:$AH665,22,FALSE)-AVERAGE('The List'!W2:W665))/STDEV('The List'!W2:W665)</f>
        <v>0.472643482354635</v>
      </c>
      <c r="K283" s="77">
        <f>(VLOOKUP($A283,'The List'!$B1:$AH665,23,FALSE)-AVERAGE('The List'!X2:X665))/STDEV('The List'!X2:X665)</f>
        <v>-0.0636189888025661</v>
      </c>
      <c r="L283" s="77">
        <f>(VLOOKUP($A283,'The List'!$B1:$AH665,24,FALSE)-AVERAGE('The List'!Y2:Y665))/STDEV('The List'!Y2:Y665)</f>
        <v>-0.5681507139799</v>
      </c>
      <c r="M283" s="77">
        <f>(VLOOKUP($A283,'The List'!$B1:$AH665,25,FALSE)-AVERAGE('The List'!Z2:Z665))/STDEV('The List'!Z2:Z665)</f>
        <v>-0.741600091701366</v>
      </c>
      <c r="N283" s="77">
        <f>(VLOOKUP($A283,'The List'!$B1:$AH665,26,FALSE)-AVERAGE('The List'!AA2:AA665))/STDEV('The List'!AA2:AA665)</f>
        <v>-0.889320628626435</v>
      </c>
      <c r="O283" s="77">
        <f>(VLOOKUP($A283,'The List'!$B1:$AH665,27,FALSE)-AVERAGE('The List'!AB2:AB665))/STDEV('The List'!AB2:AB665)</f>
        <v>-0.775880155650806</v>
      </c>
      <c r="P283" s="77">
        <f>(VLOOKUP($A283,'The List'!$B1:$AH665,28,FALSE)-AVERAGE('The List'!AC2:AC665))/STDEV('The List'!AC2:AC665)</f>
        <v>-0.493724281848099</v>
      </c>
      <c r="Q283" s="77">
        <f>(VLOOKUP($A283,'The List'!$B1:$AH665,29,FALSE)-AVERAGE('The List'!AD2:AD665))/STDEV('The List'!AD2:AD665)</f>
        <v>-0.6374273750243939</v>
      </c>
      <c r="R283" s="77">
        <f>(VLOOKUP($A283,'The List'!$B1:$AH665,30,FALSE)-AVERAGE('The List'!AE2:AE665))/STDEV('The List'!AE2:AE665)</f>
        <v>0.0653724867524038</v>
      </c>
      <c r="S283" s="77">
        <f>(VLOOKUP($A283,'The List'!$B1:$AH665,31,FALSE)-AVERAGE('The List'!AF2:AF665))/STDEV('The List'!AF2:AF665)</f>
        <v>-0.192390331894365</v>
      </c>
      <c r="T283" s="77">
        <f>(VLOOKUP($A283,'The List'!$B1:$AH665,32,FALSE)-AVERAGE('The List'!AG2:AG665))/STDEV('The List'!AG2:AG665)</f>
        <v>-0.239938556441478</v>
      </c>
      <c r="U283" s="77">
        <f>(VLOOKUP($A283,'The List'!$B1:$AH665,33,FALSE)-AVERAGE('The List'!AH2:AH665))/STDEV('The List'!AH2:AH665)</f>
        <v>1.09222164543589</v>
      </c>
      <c r="V283" s="77"/>
      <c r="W283" s="79"/>
      <c r="X283" s="77"/>
      <c r="Y283" s="77"/>
      <c r="Z283" s="77"/>
      <c r="AA283" s="77"/>
      <c r="AB283" s="77"/>
      <c r="AC283" s="77"/>
      <c r="AD283" s="77"/>
      <c r="AE283" s="84"/>
    </row>
    <row r="284" ht="21.25" customHeight="1">
      <c r="A284" t="s" s="10">
        <v>499</v>
      </c>
      <c r="B284" t="s" s="86">
        <f>VLOOKUP(A284,'Player Data'!A1:B667,2,FALSE)</f>
        <v>275</v>
      </c>
      <c r="C284" s="74">
        <f>((E284)*'Settings'!$C$12)+(F284*'Settings'!$C$2)+(G284*'Settings'!$C$3)+(H284*'Settings'!$C$4)+(I284*'Settings'!$C$5)+(K284*'Settings'!$C$9)+(N284*'Settings'!$C$6)+(J284*'Settings'!$C$8)+(O284*'Settings'!$C$7)+(P284*'Settings'!$C$14)+(Q284*'Settings'!$C$15)+(R284*'Settings'!$C$16)+(S284*'Settings'!$C$17)+(T284*'Settings'!$C$18)+(U284*'Settings'!$C$19)+(L284*'Settings'!$C$10)+('Settings'!$C$11*M284)</f>
        <v>0.837932274091797</v>
      </c>
      <c r="D284" s="79">
        <f>IF('Settings'!$E$12="YES",VLOOKUP(A284,'Player Data'!A1:E667,5,FALSE),82)</f>
        <v>68.2025</v>
      </c>
      <c r="E284" s="77">
        <f>(VLOOKUP($A284,'The List'!$B1:$AH665,17,FALSE)-AVERAGE('The List'!R2:R665))/STDEV('The List'!R2:R665)</f>
        <v>1.35972528434451</v>
      </c>
      <c r="F284" s="77">
        <f>(VLOOKUP($A284,'The List'!$B1:$AH665,18,FALSE)-AVERAGE('The List'!S2:S665))/STDEV('The List'!S2:S665)</f>
        <v>-0.616489247973413</v>
      </c>
      <c r="G284" s="77">
        <f>(VLOOKUP($A284,'The List'!$B1:$AH665,19,FALSE)-AVERAGE('The List'!T2:T665))/STDEV('The List'!T2:T665)</f>
        <v>-0.060707082506708</v>
      </c>
      <c r="H284" s="77">
        <f>(VLOOKUP($A284,'The List'!$B1:$AH665,20,FALSE)-AVERAGE('The List'!U2:U665))/STDEV('The List'!U2:U665)</f>
        <v>-0.317926178971541</v>
      </c>
      <c r="I284" s="77">
        <f>(VLOOKUP($A284,'The List'!$B1:$AH665,21,FALSE)-AVERAGE('The List'!V2:V665))/STDEV('The List'!V2:V665)</f>
        <v>-0.318134010709933</v>
      </c>
      <c r="J284" s="77">
        <f>(VLOOKUP($A284,'The List'!$B1:$AH665,22,FALSE)-AVERAGE('The List'!W2:W665))/STDEV('The List'!W2:W665)</f>
        <v>-0.60013440226614</v>
      </c>
      <c r="K284" s="77">
        <f>(VLOOKUP($A284,'The List'!$B1:$AH665,23,FALSE)-AVERAGE('The List'!X2:X665))/STDEV('The List'!X2:X665)</f>
        <v>-0.0395868778230491</v>
      </c>
      <c r="L284" s="77">
        <f>(VLOOKUP($A284,'The List'!$B1:$AH665,24,FALSE)-AVERAGE('The List'!Y2:Y665))/STDEV('The List'!Y2:Y665)</f>
        <v>-0.526313542165365</v>
      </c>
      <c r="M284" s="77">
        <f>(VLOOKUP($A284,'The List'!$B1:$AH665,25,FALSE)-AVERAGE('The List'!Z2:Z665))/STDEV('The List'!Z2:Z665)</f>
        <v>-0.304195191125558</v>
      </c>
      <c r="N284" s="77">
        <f>(VLOOKUP($A284,'The List'!$B1:$AH665,26,FALSE)-AVERAGE('The List'!AA2:AA665))/STDEV('The List'!AA2:AA665)</f>
        <v>1.43107755549025</v>
      </c>
      <c r="O284" s="77">
        <f>(VLOOKUP($A284,'The List'!$B1:$AH665,27,FALSE)-AVERAGE('The List'!AB2:AB665))/STDEV('The List'!AB2:AB665)</f>
        <v>-0.485758281831706</v>
      </c>
      <c r="P284" s="77">
        <f>(VLOOKUP($A284,'The List'!$B1:$AH665,28,FALSE)-AVERAGE('The List'!AC2:AC665))/STDEV('The List'!AC2:AC665)</f>
        <v>0.44177193761465</v>
      </c>
      <c r="Q284" s="77">
        <f>(VLOOKUP($A284,'The List'!$B1:$AH665,29,FALSE)-AVERAGE('The List'!AD2:AD665))/STDEV('The List'!AD2:AD665)</f>
        <v>-1.15857284391608</v>
      </c>
      <c r="R284" s="77">
        <f>(VLOOKUP($A284,'The List'!$B1:$AH665,30,FALSE)-AVERAGE('The List'!AE2:AE665))/STDEV('The List'!AE2:AE665)</f>
        <v>-0.515305010688352</v>
      </c>
      <c r="S284" s="77">
        <f>(VLOOKUP($A284,'The List'!$B1:$AH665,31,FALSE)-AVERAGE('The List'!AF2:AF665))/STDEV('The List'!AF2:AF665)</f>
        <v>-0.573894410680004</v>
      </c>
      <c r="T284" s="77">
        <f>(VLOOKUP($A284,'The List'!$B1:$AH665,32,FALSE)-AVERAGE('The List'!AG2:AG665))/STDEV('The List'!AG2:AG665)</f>
        <v>-0.625770787132651</v>
      </c>
      <c r="U284" s="77">
        <f>(VLOOKUP($A284,'The List'!$B1:$AH665,33,FALSE)-AVERAGE('The List'!AH2:AH665))/STDEV('The List'!AH2:AH665)</f>
        <v>-1.23143509451486</v>
      </c>
      <c r="V284" s="77"/>
      <c r="W284" s="89"/>
      <c r="X284" s="79"/>
      <c r="Y284" s="79"/>
      <c r="Z284" s="79"/>
      <c r="AA284" s="79"/>
      <c r="AB284" s="79"/>
      <c r="AC284" s="82"/>
      <c r="AD284" s="83"/>
      <c r="AE284" s="84"/>
    </row>
    <row r="285" ht="21.25" customHeight="1">
      <c r="A285" t="s" s="10">
        <v>452</v>
      </c>
      <c r="B285" t="s" s="86">
        <f>VLOOKUP(A285,'Player Data'!A1:B667,2,FALSE)</f>
        <v>129</v>
      </c>
      <c r="C285" s="74">
        <f>((E285)*'Settings'!$C$12)+(F285*'Settings'!$C$2)+(G285*'Settings'!$C$3)+(H285*'Settings'!$C$4)+(I285*'Settings'!$C$5)+(K285*'Settings'!$C$9)+(N285*'Settings'!$C$6)+(J285*'Settings'!$C$8)+(O285*'Settings'!$C$7)+(P285*'Settings'!$C$14)+(Q285*'Settings'!$C$15)+(R285*'Settings'!$C$16)+(S285*'Settings'!$C$17)+(T285*'Settings'!$C$18)+(U285*'Settings'!$C$19)+(L285*'Settings'!$C$10)+('Settings'!$C$11*M285)</f>
        <v>-0.450586998800004</v>
      </c>
      <c r="D285" s="79">
        <f>IF('Settings'!$E$12="YES",VLOOKUP(A285,'Player Data'!A1:E667,5,FALSE),82)</f>
        <v>71.605</v>
      </c>
      <c r="E285" s="77">
        <f>(VLOOKUP($A285,'The List'!$B1:$AH665,17,FALSE)-AVERAGE('The List'!R2:R665))/STDEV('The List'!R2:R665)</f>
        <v>-0.882239275393636</v>
      </c>
      <c r="F285" s="77">
        <f>(VLOOKUP($A285,'The List'!$B1:$AH665,18,FALSE)-AVERAGE('The List'!S2:S665))/STDEV('The List'!S2:S665)</f>
        <v>0.360267879869482</v>
      </c>
      <c r="G285" s="77">
        <f>(VLOOKUP($A285,'The List'!$B1:$AH665,19,FALSE)-AVERAGE('The List'!T2:T665))/STDEV('The List'!T2:T665)</f>
        <v>-0.672509277646323</v>
      </c>
      <c r="H285" s="77">
        <f>(VLOOKUP($A285,'The List'!$B1:$AH665,20,FALSE)-AVERAGE('The List'!U2:U665))/STDEV('The List'!U2:U665)</f>
        <v>-0.253907199039093</v>
      </c>
      <c r="I285" s="77">
        <f>(VLOOKUP($A285,'The List'!$B1:$AH665,21,FALSE)-AVERAGE('The List'!V2:V665))/STDEV('The List'!V2:V665)</f>
        <v>0.478395227726577</v>
      </c>
      <c r="J285" s="77">
        <f>(VLOOKUP($A285,'The List'!$B1:$AH665,22,FALSE)-AVERAGE('The List'!W2:W665))/STDEV('The List'!W2:W665)</f>
        <v>-0.517926898751126</v>
      </c>
      <c r="K285" s="77">
        <f>(VLOOKUP($A285,'The List'!$B1:$AH665,23,FALSE)-AVERAGE('The List'!X2:X665))/STDEV('The List'!X2:X665)</f>
        <v>-0.592567411133986</v>
      </c>
      <c r="L285" s="77">
        <f>(VLOOKUP($A285,'The List'!$B1:$AH665,24,FALSE)-AVERAGE('The List'!Y2:Y665))/STDEV('The List'!Y2:Y665)</f>
        <v>-0.226218801192964</v>
      </c>
      <c r="M285" s="77">
        <f>(VLOOKUP($A285,'The List'!$B1:$AH665,25,FALSE)-AVERAGE('The List'!Z2:Z665))/STDEV('The List'!Z2:Z665)</f>
        <v>-0.291161762371154</v>
      </c>
      <c r="N285" s="77">
        <f>(VLOOKUP($A285,'The List'!$B1:$AH665,26,FALSE)-AVERAGE('The List'!AA2:AA665))/STDEV('The List'!AA2:AA665)</f>
        <v>-0.992147864435219</v>
      </c>
      <c r="O285" s="77">
        <f>(VLOOKUP($A285,'The List'!$B1:$AH665,27,FALSE)-AVERAGE('The List'!AB2:AB665))/STDEV('The List'!AB2:AB665)</f>
        <v>1.7433409548841</v>
      </c>
      <c r="P285" s="77">
        <f>(VLOOKUP($A285,'The List'!$B1:$AH665,28,FALSE)-AVERAGE('The List'!AC2:AC665))/STDEV('The List'!AC2:AC665)</f>
        <v>0.967974446819465</v>
      </c>
      <c r="Q285" s="77">
        <f>(VLOOKUP($A285,'The List'!$B1:$AH665,29,FALSE)-AVERAGE('The List'!AD2:AD665))/STDEV('The List'!AD2:AD665)</f>
        <v>1.42192368170435</v>
      </c>
      <c r="R285" s="77">
        <f>(VLOOKUP($A285,'The List'!$B1:$AH665,30,FALSE)-AVERAGE('The List'!AE2:AE665))/STDEV('The List'!AE2:AE665)</f>
        <v>0.480477377976008</v>
      </c>
      <c r="S285" s="77">
        <f>(VLOOKUP($A285,'The List'!$B1:$AH665,31,FALSE)-AVERAGE('The List'!AF2:AF665))/STDEV('The List'!AF2:AF665)</f>
        <v>-0.466252262572853</v>
      </c>
      <c r="T285" s="77">
        <f>(VLOOKUP($A285,'The List'!$B1:$AH665,32,FALSE)-AVERAGE('The List'!AG2:AG665))/STDEV('The List'!AG2:AG665)</f>
        <v>-0.480177471292142</v>
      </c>
      <c r="U285" s="77">
        <f>(VLOOKUP($A285,'The List'!$B1:$AH665,33,FALSE)-AVERAGE('The List'!AH2:AH665))/STDEV('The List'!AH2:AH665)</f>
        <v>0.764069648698897</v>
      </c>
      <c r="V285" s="77"/>
      <c r="W285" s="89"/>
      <c r="X285" s="79"/>
      <c r="Y285" s="79"/>
      <c r="Z285" s="79"/>
      <c r="AA285" s="79"/>
      <c r="AB285" s="79"/>
      <c r="AC285" s="82"/>
      <c r="AD285" s="83"/>
      <c r="AE285" s="84"/>
    </row>
    <row r="286" ht="21.25" customHeight="1">
      <c r="A286" t="s" s="10">
        <v>449</v>
      </c>
      <c r="B286" t="s" s="86">
        <f>VLOOKUP(A286,'Player Data'!A1:B667,2,FALSE)</f>
        <v>911</v>
      </c>
      <c r="C286" s="74">
        <f>((E286)*'Settings'!$C$12)+(F286*'Settings'!$C$2)+(G286*'Settings'!$C$3)+(H286*'Settings'!$C$4)+(I286*'Settings'!$C$5)+(K286*'Settings'!$C$9)+(N286*'Settings'!$C$6)+(J286*'Settings'!$C$8)+(O286*'Settings'!$C$7)+(P286*'Settings'!$C$14)+(Q286*'Settings'!$C$15)+(R286*'Settings'!$C$16)+(S286*'Settings'!$C$17)+(T286*'Settings'!$C$18)+(U286*'Settings'!$C$19)+(L286*'Settings'!$C$10)+('Settings'!$C$11*M286)</f>
        <v>-1.49174319376564</v>
      </c>
      <c r="D286" s="79">
        <f>IF('Settings'!$E$12="YES",VLOOKUP(A286,'Player Data'!A1:E667,5,FALSE),82)</f>
        <v>80.7375</v>
      </c>
      <c r="E286" s="77">
        <f>(VLOOKUP($A286,'The List'!$B1:$AH665,17,FALSE)-AVERAGE('The List'!R2:R665))/STDEV('The List'!R2:R665)</f>
        <v>-0.0227928968667223</v>
      </c>
      <c r="F286" s="77">
        <f>(VLOOKUP($A286,'The List'!$B1:$AH665,18,FALSE)-AVERAGE('The List'!S2:S665))/STDEV('The List'!S2:S665)</f>
        <v>-0.222579879359099</v>
      </c>
      <c r="G286" s="77">
        <f>(VLOOKUP($A286,'The List'!$B1:$AH665,19,FALSE)-AVERAGE('The List'!T2:T665))/STDEV('The List'!T2:T665)</f>
        <v>0.0393467717749438</v>
      </c>
      <c r="H286" s="77">
        <f>(VLOOKUP($A286,'The List'!$B1:$AH665,20,FALSE)-AVERAGE('The List'!U2:U665))/STDEV('The List'!U2:U665)</f>
        <v>-0.07673657757263</v>
      </c>
      <c r="I286" s="77">
        <f>(VLOOKUP($A286,'The List'!$B1:$AH665,21,FALSE)-AVERAGE('The List'!V2:V665))/STDEV('The List'!V2:V665)</f>
        <v>0.118141044841848</v>
      </c>
      <c r="J286" s="77">
        <f>(VLOOKUP($A286,'The List'!$B1:$AH665,22,FALSE)-AVERAGE('The List'!W2:W665))/STDEV('The List'!W2:W665)</f>
        <v>-0.608759588491063</v>
      </c>
      <c r="K286" s="77">
        <f>(VLOOKUP($A286,'The List'!$B1:$AH665,23,FALSE)-AVERAGE('The List'!X2:X665))/STDEV('The List'!X2:X665)</f>
        <v>-0.690864284863749</v>
      </c>
      <c r="L286" s="77">
        <f>(VLOOKUP($A286,'The List'!$B1:$AH665,24,FALSE)-AVERAGE('The List'!Y2:Y665))/STDEV('The List'!Y2:Y665)</f>
        <v>1.13994409850735</v>
      </c>
      <c r="M286" s="77">
        <f>(VLOOKUP($A286,'The List'!$B1:$AH665,25,FALSE)-AVERAGE('The List'!Z2:Z665))/STDEV('The List'!Z2:Z665)</f>
        <v>1.49198975536517</v>
      </c>
      <c r="N286" s="77">
        <f>(VLOOKUP($A286,'The List'!$B1:$AH665,26,FALSE)-AVERAGE('The List'!AA2:AA665))/STDEV('The List'!AA2:AA665)</f>
        <v>-0.354593064504016</v>
      </c>
      <c r="O286" s="77">
        <f>(VLOOKUP($A286,'The List'!$B1:$AH665,27,FALSE)-AVERAGE('The List'!AB2:AB665))/STDEV('The List'!AB2:AB665)</f>
        <v>0.785541863262552</v>
      </c>
      <c r="P286" s="77">
        <f>(VLOOKUP($A286,'The List'!$B1:$AH665,28,FALSE)-AVERAGE('The List'!AC2:AC665))/STDEV('The List'!AC2:AC665)</f>
        <v>-0.381193781655563</v>
      </c>
      <c r="Q286" s="77">
        <f>(VLOOKUP($A286,'The List'!$B1:$AH665,29,FALSE)-AVERAGE('The List'!AD2:AD665))/STDEV('The List'!AD2:AD665)</f>
        <v>1.26744938475174</v>
      </c>
      <c r="R286" s="77">
        <f>(VLOOKUP($A286,'The List'!$B1:$AH665,30,FALSE)-AVERAGE('The List'!AE2:AE665))/STDEV('The List'!AE2:AE665)</f>
        <v>-0.192265852699905</v>
      </c>
      <c r="S286" s="77">
        <f>(VLOOKUP($A286,'The List'!$B1:$AH665,31,FALSE)-AVERAGE('The List'!AF2:AF665))/STDEV('The List'!AF2:AF665)</f>
        <v>1.81591411163001</v>
      </c>
      <c r="T286" s="77">
        <f>(VLOOKUP($A286,'The List'!$B1:$AH665,32,FALSE)-AVERAGE('The List'!AG2:AG665))/STDEV('The List'!AG2:AG665)</f>
        <v>2.03542210829479</v>
      </c>
      <c r="U286" s="77">
        <f>(VLOOKUP($A286,'The List'!$B1:$AH665,33,FALSE)-AVERAGE('The List'!AH2:AH665))/STDEV('The List'!AH2:AH665)</f>
        <v>0.983131981449705</v>
      </c>
      <c r="V286" s="77"/>
      <c r="W286" s="89"/>
      <c r="X286" s="79"/>
      <c r="Y286" s="79"/>
      <c r="Z286" s="79"/>
      <c r="AA286" s="79"/>
      <c r="AB286" s="79"/>
      <c r="AC286" s="82"/>
      <c r="AD286" s="83"/>
      <c r="AE286" s="84"/>
    </row>
    <row r="287" ht="21.25" customHeight="1">
      <c r="A287" t="s" s="10">
        <v>348</v>
      </c>
      <c r="B287" t="s" s="86">
        <f>VLOOKUP(A287,'Player Data'!A1:B667,2,FALSE)</f>
        <v>901</v>
      </c>
      <c r="C287" s="74">
        <f>((E287)*'Settings'!$C$12)+(F287*'Settings'!$C$2)+(G287*'Settings'!$C$3)+(H287*'Settings'!$C$4)+(I287*'Settings'!$C$5)+(K287*'Settings'!$C$9)+(N287*'Settings'!$C$6)+(J287*'Settings'!$C$8)+(O287*'Settings'!$C$7)+(P287*'Settings'!$C$14)+(Q287*'Settings'!$C$15)+(R287*'Settings'!$C$16)+(S287*'Settings'!$C$17)+(T287*'Settings'!$C$18)+(U287*'Settings'!$C$19)+(L287*'Settings'!$C$10)+('Settings'!$C$11*M287)</f>
        <v>-0.980985163185326</v>
      </c>
      <c r="D287" s="79">
        <f>IF('Settings'!$E$12="YES",VLOOKUP(A287,'Player Data'!A1:E667,5,FALSE),82)</f>
        <v>73.045</v>
      </c>
      <c r="E287" s="77">
        <f>(VLOOKUP($A287,'The List'!$B1:$AH665,17,FALSE)-AVERAGE('The List'!R2:R665))/STDEV('The List'!R2:R665)</f>
        <v>-0.583424473348557</v>
      </c>
      <c r="F287" s="77">
        <f>(VLOOKUP($A287,'The List'!$B1:$AH665,18,FALSE)-AVERAGE('The List'!S2:S665))/STDEV('The List'!S2:S665)</f>
        <v>0.216120090131468</v>
      </c>
      <c r="G287" s="77">
        <f>(VLOOKUP($A287,'The List'!$B1:$AH665,19,FALSE)-AVERAGE('The List'!T2:T665))/STDEV('The List'!T2:T665)</f>
        <v>-0.5280192267877279</v>
      </c>
      <c r="H287" s="77">
        <f>(VLOOKUP($A287,'The List'!$B1:$AH665,20,FALSE)-AVERAGE('The List'!U2:U665))/STDEV('The List'!U2:U665)</f>
        <v>-0.229692775383224</v>
      </c>
      <c r="I287" s="77">
        <f>(VLOOKUP($A287,'The List'!$B1:$AH665,21,FALSE)-AVERAGE('The List'!V2:V665))/STDEV('The List'!V2:V665)</f>
        <v>-0.555372411013514</v>
      </c>
      <c r="J287" s="77">
        <f>(VLOOKUP($A287,'The List'!$B1:$AH665,22,FALSE)-AVERAGE('The List'!W2:W665))/STDEV('The List'!W2:W665)</f>
        <v>-0.515422215629605</v>
      </c>
      <c r="K287" s="77">
        <f>(VLOOKUP($A287,'The List'!$B1:$AH665,23,FALSE)-AVERAGE('The List'!X2:X665))/STDEV('The List'!X2:X665)</f>
        <v>-0.691513394273976</v>
      </c>
      <c r="L287" s="77">
        <f>(VLOOKUP($A287,'The List'!$B1:$AH665,24,FALSE)-AVERAGE('The List'!Y2:Y665))/STDEV('The List'!Y2:Y665)</f>
        <v>0.398057138146575</v>
      </c>
      <c r="M287" s="77">
        <f>(VLOOKUP($A287,'The List'!$B1:$AH665,25,FALSE)-AVERAGE('The List'!Z2:Z665))/STDEV('The List'!Z2:Z665)</f>
        <v>0.0063939875421696</v>
      </c>
      <c r="N287" s="77">
        <f>(VLOOKUP($A287,'The List'!$B1:$AH665,26,FALSE)-AVERAGE('The List'!AA2:AA665))/STDEV('The List'!AA2:AA665)</f>
        <v>-0.513557994667286</v>
      </c>
      <c r="O287" s="77">
        <f>(VLOOKUP($A287,'The List'!$B1:$AH665,27,FALSE)-AVERAGE('The List'!AB2:AB665))/STDEV('The List'!AB2:AB665)</f>
        <v>3.30192390841582</v>
      </c>
      <c r="P287" s="77">
        <f>(VLOOKUP($A287,'The List'!$B1:$AH665,28,FALSE)-AVERAGE('The List'!AC2:AC665))/STDEV('The List'!AC2:AC665)</f>
        <v>1.09135777342571</v>
      </c>
      <c r="Q287" s="77">
        <f>(VLOOKUP($A287,'The List'!$B1:$AH665,29,FALSE)-AVERAGE('The List'!AD2:AD665))/STDEV('The List'!AD2:AD665)</f>
        <v>1.31419248371939</v>
      </c>
      <c r="R287" s="77">
        <f>(VLOOKUP($A287,'The List'!$B1:$AH665,30,FALSE)-AVERAGE('The List'!AE2:AE665))/STDEV('The List'!AE2:AE665)</f>
        <v>0.423563647555301</v>
      </c>
      <c r="S287" s="77">
        <f>(VLOOKUP($A287,'The List'!$B1:$AH665,31,FALSE)-AVERAGE('The List'!AF2:AF665))/STDEV('The List'!AF2:AF665)</f>
        <v>-0.354264990339112</v>
      </c>
      <c r="T287" s="77">
        <f>(VLOOKUP($A287,'The List'!$B1:$AH665,32,FALSE)-AVERAGE('The List'!AG2:AG665))/STDEV('The List'!AG2:AG665)</f>
        <v>-0.395318720371845</v>
      </c>
      <c r="U287" s="77">
        <f>(VLOOKUP($A287,'The List'!$B1:$AH665,33,FALSE)-AVERAGE('The List'!AH2:AH665))/STDEV('The List'!AH2:AH665)</f>
        <v>1.05050657325883</v>
      </c>
      <c r="V287" s="77"/>
      <c r="W287" s="89"/>
      <c r="X287" s="79"/>
      <c r="Y287" s="79"/>
      <c r="Z287" s="79"/>
      <c r="AA287" s="79"/>
      <c r="AB287" s="79"/>
      <c r="AC287" s="82"/>
      <c r="AD287" s="83"/>
      <c r="AE287" s="84"/>
    </row>
    <row r="288" ht="21.25" customHeight="1">
      <c r="A288" t="s" s="10">
        <v>620</v>
      </c>
      <c r="B288" t="s" s="86">
        <f>VLOOKUP(A288,'Player Data'!A1:B667,2,FALSE)</f>
        <v>156</v>
      </c>
      <c r="C288" s="74">
        <f>((E288)*'Settings'!$C$12)+(F288*'Settings'!$C$2)+(G288*'Settings'!$C$3)+(H288*'Settings'!$C$4)+(I288*'Settings'!$C$5)+(K288*'Settings'!$C$9)+(N288*'Settings'!$C$6)+(J288*'Settings'!$C$8)+(O288*'Settings'!$C$7)+(P288*'Settings'!$C$14)+(Q288*'Settings'!$C$15)+(R288*'Settings'!$C$16)+(S288*'Settings'!$C$17)+(T288*'Settings'!$C$18)+(U288*'Settings'!$C$19)+(L288*'Settings'!$C$10)+('Settings'!$C$11*M288)</f>
        <v>-0.285841373332715</v>
      </c>
      <c r="D288" s="79">
        <f>IF('Settings'!$E$12="YES",VLOOKUP(A288,'Player Data'!A1:E667,5,FALSE),82)</f>
        <v>77.015</v>
      </c>
      <c r="E288" s="77">
        <f>(VLOOKUP($A288,'The List'!$B1:$AH665,17,FALSE)-AVERAGE('The List'!R2:R665))/STDEV('The List'!R2:R665)</f>
        <v>0.340113819150077</v>
      </c>
      <c r="F288" s="77">
        <f>(VLOOKUP($A288,'The List'!$B1:$AH665,18,FALSE)-AVERAGE('The List'!S2:S665))/STDEV('The List'!S2:S665)</f>
        <v>-0.80497067949642</v>
      </c>
      <c r="G288" s="77">
        <f>(VLOOKUP($A288,'The List'!$B1:$AH665,19,FALSE)-AVERAGE('The List'!T2:T665))/STDEV('The List'!T2:T665)</f>
        <v>0.337773348447797</v>
      </c>
      <c r="H288" s="77">
        <f>(VLOOKUP($A288,'The List'!$B1:$AH665,20,FALSE)-AVERAGE('The List'!U2:U665))/STDEV('The List'!U2:U665)</f>
        <v>-0.156121195414486</v>
      </c>
      <c r="I288" s="77">
        <f>(VLOOKUP($A288,'The List'!$B1:$AH665,21,FALSE)-AVERAGE('The List'!V2:V665))/STDEV('The List'!V2:V665)</f>
        <v>-0.466399844860534</v>
      </c>
      <c r="J288" s="77">
        <f>(VLOOKUP($A288,'The List'!$B1:$AH665,22,FALSE)-AVERAGE('The List'!W2:W665))/STDEV('The List'!W2:W665)</f>
        <v>-0.687156953904972</v>
      </c>
      <c r="K288" s="77">
        <f>(VLOOKUP($A288,'The List'!$B1:$AH665,23,FALSE)-AVERAGE('The List'!X2:X665))/STDEV('The List'!X2:X665)</f>
        <v>0.32145032579531</v>
      </c>
      <c r="L288" s="77">
        <f>(VLOOKUP($A288,'The List'!$B1:$AH665,24,FALSE)-AVERAGE('The List'!Y2:Y665))/STDEV('The List'!Y2:Y665)</f>
        <v>-0.564296812032184</v>
      </c>
      <c r="M288" s="77">
        <f>(VLOOKUP($A288,'The List'!$B1:$AH665,25,FALSE)-AVERAGE('The List'!Z2:Z665))/STDEV('The List'!Z2:Z665)</f>
        <v>-0.704934204061715</v>
      </c>
      <c r="N288" s="77">
        <f>(VLOOKUP($A288,'The List'!$B1:$AH665,26,FALSE)-AVERAGE('The List'!AA2:AA665))/STDEV('The List'!AA2:AA665)</f>
        <v>0.239495037100008</v>
      </c>
      <c r="O288" s="77">
        <f>(VLOOKUP($A288,'The List'!$B1:$AH665,27,FALSE)-AVERAGE('The List'!AB2:AB665))/STDEV('The List'!AB2:AB665)</f>
        <v>-0.42591132858925</v>
      </c>
      <c r="P288" s="77">
        <f>(VLOOKUP($A288,'The List'!$B1:$AH665,28,FALSE)-AVERAGE('The List'!AC2:AC665))/STDEV('The List'!AC2:AC665)</f>
        <v>0.0868104396811242</v>
      </c>
      <c r="Q288" s="77">
        <f>(VLOOKUP($A288,'The List'!$B1:$AH665,29,FALSE)-AVERAGE('The List'!AD2:AD665))/STDEV('The List'!AD2:AD665)</f>
        <v>-0.191532865038606</v>
      </c>
      <c r="R288" s="77">
        <f>(VLOOKUP($A288,'The List'!$B1:$AH665,30,FALSE)-AVERAGE('The List'!AE2:AE665))/STDEV('The List'!AE2:AE665)</f>
        <v>-0.809101699227383</v>
      </c>
      <c r="S288" s="77">
        <f>(VLOOKUP($A288,'The List'!$B1:$AH665,31,FALSE)-AVERAGE('The List'!AF2:AF665))/STDEV('The List'!AF2:AF665)</f>
        <v>-0.573894410680004</v>
      </c>
      <c r="T288" s="77">
        <f>(VLOOKUP($A288,'The List'!$B1:$AH665,32,FALSE)-AVERAGE('The List'!AG2:AG665))/STDEV('The List'!AG2:AG665)</f>
        <v>-0.625770787132651</v>
      </c>
      <c r="U288" s="77">
        <f>(VLOOKUP($A288,'The List'!$B1:$AH665,33,FALSE)-AVERAGE('The List'!AH2:AH665))/STDEV('The List'!AH2:AH665)</f>
        <v>-1.23143509451486</v>
      </c>
      <c r="V288" s="77"/>
      <c r="W288" s="89"/>
      <c r="X288" s="79"/>
      <c r="Y288" s="79"/>
      <c r="Z288" s="79"/>
      <c r="AA288" s="79"/>
      <c r="AB288" s="79"/>
      <c r="AC288" s="82"/>
      <c r="AD288" s="83"/>
      <c r="AE288" s="84"/>
    </row>
    <row r="289" ht="21.25" customHeight="1">
      <c r="A289" t="s" s="10">
        <v>719</v>
      </c>
      <c r="B289" t="s" s="86">
        <f>VLOOKUP(A289,'Player Data'!A1:B667,2,FALSE)</f>
        <v>912</v>
      </c>
      <c r="C289" s="74">
        <f>((E289)*'Settings'!$C$12)+(F289*'Settings'!$C$2)+(G289*'Settings'!$C$3)+(H289*'Settings'!$C$4)+(I289*'Settings'!$C$5)+(K289*'Settings'!$C$9)+(N289*'Settings'!$C$6)+(J289*'Settings'!$C$8)+(O289*'Settings'!$C$7)+(P289*'Settings'!$C$14)+(Q289*'Settings'!$C$15)+(R289*'Settings'!$C$16)+(S289*'Settings'!$C$17)+(T289*'Settings'!$C$18)+(U289*'Settings'!$C$19)+(L289*'Settings'!$C$10)+('Settings'!$C$11*M289)</f>
        <v>-3.47783994967856</v>
      </c>
      <c r="D289" s="79">
        <f>IF('Settings'!$E$12="YES",VLOOKUP(A289,'Player Data'!A1:E667,5,FALSE),82)</f>
        <v>80.69750000000001</v>
      </c>
      <c r="E289" s="77">
        <f>(VLOOKUP($A289,'The List'!$B1:$AH665,17,FALSE)-AVERAGE('The List'!R2:R665))/STDEV('The List'!R2:R665)</f>
        <v>-0.606651396557628</v>
      </c>
      <c r="F289" s="77">
        <f>(VLOOKUP($A289,'The List'!$B1:$AH665,18,FALSE)-AVERAGE('The List'!S2:S665))/STDEV('The List'!S2:S665)</f>
        <v>-0.206289705996781</v>
      </c>
      <c r="G289" s="77">
        <f>(VLOOKUP($A289,'The List'!$B1:$AH665,19,FALSE)-AVERAGE('The List'!T2:T665))/STDEV('The List'!T2:T665)</f>
        <v>-0.00111377865906521</v>
      </c>
      <c r="H289" s="77">
        <f>(VLOOKUP($A289,'The List'!$B1:$AH665,20,FALSE)-AVERAGE('The List'!U2:U665))/STDEV('The List'!U2:U665)</f>
        <v>-0.094460196285324</v>
      </c>
      <c r="I289" s="77">
        <f>(VLOOKUP($A289,'The List'!$B1:$AH665,21,FALSE)-AVERAGE('The List'!V2:V665))/STDEV('The List'!V2:V665)</f>
        <v>-0.161509276914474</v>
      </c>
      <c r="J289" s="77">
        <f>(VLOOKUP($A289,'The List'!$B1:$AH665,22,FALSE)-AVERAGE('The List'!W2:W665))/STDEV('The List'!W2:W665)</f>
        <v>-0.307862055281064</v>
      </c>
      <c r="K289" s="77">
        <f>(VLOOKUP($A289,'The List'!$B1:$AH665,23,FALSE)-AVERAGE('The List'!X2:X665))/STDEV('The List'!X2:X665)</f>
        <v>-0.117604099181934</v>
      </c>
      <c r="L289" s="77">
        <f>(VLOOKUP($A289,'The List'!$B1:$AH665,24,FALSE)-AVERAGE('The List'!Y2:Y665))/STDEV('The List'!Y2:Y665)</f>
        <v>-0.287952266189199</v>
      </c>
      <c r="M289" s="77">
        <f>(VLOOKUP($A289,'The List'!$B1:$AH665,25,FALSE)-AVERAGE('The List'!Z2:Z665))/STDEV('The List'!Z2:Z665)</f>
        <v>-0.519794217882624</v>
      </c>
      <c r="N289" s="77">
        <f>(VLOOKUP($A289,'The List'!$B1:$AH665,26,FALSE)-AVERAGE('The List'!AA2:AA665))/STDEV('The List'!AA2:AA665)</f>
        <v>-1.00753300087153</v>
      </c>
      <c r="O289" s="77">
        <f>(VLOOKUP($A289,'The List'!$B1:$AH665,27,FALSE)-AVERAGE('The List'!AB2:AB665))/STDEV('The List'!AB2:AB665)</f>
        <v>-0.800345828705632</v>
      </c>
      <c r="P289" s="77">
        <f>(VLOOKUP($A289,'The List'!$B1:$AH665,28,FALSE)-AVERAGE('The List'!AC2:AC665))/STDEV('The List'!AC2:AC665)</f>
        <v>-1.98379008805478</v>
      </c>
      <c r="Q289" s="77">
        <f>(VLOOKUP($A289,'The List'!$B1:$AH665,29,FALSE)-AVERAGE('The List'!AD2:AD665))/STDEV('The List'!AD2:AD665)</f>
        <v>1.72095991583722</v>
      </c>
      <c r="R289" s="77">
        <f>(VLOOKUP($A289,'The List'!$B1:$AH665,30,FALSE)-AVERAGE('The List'!AE2:AE665))/STDEV('The List'!AE2:AE665)</f>
        <v>-0.431690832304725</v>
      </c>
      <c r="S289" s="77">
        <f>(VLOOKUP($A289,'The List'!$B1:$AH665,31,FALSE)-AVERAGE('The List'!AF2:AF665))/STDEV('The List'!AF2:AF665)</f>
        <v>0.6142329148235141</v>
      </c>
      <c r="T289" s="77">
        <f>(VLOOKUP($A289,'The List'!$B1:$AH665,32,FALSE)-AVERAGE('The List'!AG2:AG665))/STDEV('The List'!AG2:AG665)</f>
        <v>0.9269721019717539</v>
      </c>
      <c r="U289" s="77">
        <f>(VLOOKUP($A289,'The List'!$B1:$AH665,33,FALSE)-AVERAGE('The List'!AH2:AH665))/STDEV('The List'!AH2:AH665)</f>
        <v>0.8025274759868261</v>
      </c>
      <c r="V289" s="77"/>
      <c r="W289" s="89"/>
      <c r="X289" s="79"/>
      <c r="Y289" s="79"/>
      <c r="Z289" s="79"/>
      <c r="AA289" s="79"/>
      <c r="AB289" s="79"/>
      <c r="AC289" s="82"/>
      <c r="AD289" s="83"/>
      <c r="AE289" s="84"/>
    </row>
    <row r="290" ht="21.25" customHeight="1">
      <c r="A290" t="s" s="10">
        <v>705</v>
      </c>
      <c r="B290" t="s" s="86">
        <f>VLOOKUP(A290,'Player Data'!A1:B667,2,FALSE)</f>
        <v>259</v>
      </c>
      <c r="C290" s="74">
        <f>((E290)*'Settings'!$C$12)+(F290*'Settings'!$C$2)+(G290*'Settings'!$C$3)+(H290*'Settings'!$C$4)+(I290*'Settings'!$C$5)+(K290*'Settings'!$C$9)+(N290*'Settings'!$C$6)+(J290*'Settings'!$C$8)+(O290*'Settings'!$C$7)+(P290*'Settings'!$C$14)+(Q290*'Settings'!$C$15)+(R290*'Settings'!$C$16)+(S290*'Settings'!$C$17)+(T290*'Settings'!$C$18)+(U290*'Settings'!$C$19)+(L290*'Settings'!$C$10)+('Settings'!$C$11*M290)</f>
        <v>-2.22848850154597</v>
      </c>
      <c r="D290" s="79">
        <f>IF('Settings'!$E$12="YES",VLOOKUP(A290,'Player Data'!A1:E667,5,FALSE),82)</f>
        <v>77.95999999999999</v>
      </c>
      <c r="E290" s="77">
        <f>(VLOOKUP($A290,'The List'!$B1:$AH665,17,FALSE)-AVERAGE('The List'!R2:R665))/STDEV('The List'!R2:R665)</f>
        <v>-0.745756611784514</v>
      </c>
      <c r="F290" s="77">
        <f>(VLOOKUP($A290,'The List'!$B1:$AH665,18,FALSE)-AVERAGE('The List'!S2:S665))/STDEV('The List'!S2:S665)</f>
        <v>-0.120918644248889</v>
      </c>
      <c r="G290" s="77">
        <f>(VLOOKUP($A290,'The List'!$B1:$AH665,19,FALSE)-AVERAGE('The List'!T2:T665))/STDEV('The List'!T2:T665)</f>
        <v>-0.202709723097606</v>
      </c>
      <c r="H290" s="77">
        <f>(VLOOKUP($A290,'The List'!$B1:$AH665,20,FALSE)-AVERAGE('The List'!U2:U665))/STDEV('The List'!U2:U665)</f>
        <v>-0.180857407564692</v>
      </c>
      <c r="I290" s="77">
        <f>(VLOOKUP($A290,'The List'!$B1:$AH665,21,FALSE)-AVERAGE('The List'!V2:V665))/STDEV('The List'!V2:V665)</f>
        <v>0.249119311562706</v>
      </c>
      <c r="J290" s="77">
        <f>(VLOOKUP($A290,'The List'!$B1:$AH665,22,FALSE)-AVERAGE('The List'!W2:W665))/STDEV('The List'!W2:W665)</f>
        <v>-0.260848983435919</v>
      </c>
      <c r="K290" s="77">
        <f>(VLOOKUP($A290,'The List'!$B1:$AH665,23,FALSE)-AVERAGE('The List'!X2:X665))/STDEV('The List'!X2:X665)</f>
        <v>-0.150198952893381</v>
      </c>
      <c r="L290" s="77">
        <f>(VLOOKUP($A290,'The List'!$B1:$AH665,24,FALSE)-AVERAGE('The List'!Y2:Y665))/STDEV('The List'!Y2:Y665)</f>
        <v>-0.481149420022835</v>
      </c>
      <c r="M290" s="77">
        <f>(VLOOKUP($A290,'The List'!$B1:$AH665,25,FALSE)-AVERAGE('The List'!Z2:Z665))/STDEV('The List'!Z2:Z665)</f>
        <v>-0.556850854566464</v>
      </c>
      <c r="N290" s="77">
        <f>(VLOOKUP($A290,'The List'!$B1:$AH665,26,FALSE)-AVERAGE('The List'!AA2:AA665))/STDEV('The List'!AA2:AA665)</f>
        <v>-1.09216454141361</v>
      </c>
      <c r="O290" s="77">
        <f>(VLOOKUP($A290,'The List'!$B1:$AH665,27,FALSE)-AVERAGE('The List'!AB2:AB665))/STDEV('The List'!AB2:AB665)</f>
        <v>-0.95952347643515</v>
      </c>
      <c r="P290" s="77">
        <f>(VLOOKUP($A290,'The List'!$B1:$AH665,28,FALSE)-AVERAGE('The List'!AC2:AC665))/STDEV('The List'!AC2:AC665)</f>
        <v>-0.911615951455192</v>
      </c>
      <c r="Q290" s="77">
        <f>(VLOOKUP($A290,'The List'!$B1:$AH665,29,FALSE)-AVERAGE('The List'!AD2:AD665))/STDEV('The List'!AD2:AD665)</f>
        <v>-1.0467017855646</v>
      </c>
      <c r="R290" s="77">
        <f>(VLOOKUP($A290,'The List'!$B1:$AH665,30,FALSE)-AVERAGE('The List'!AE2:AE665))/STDEV('The List'!AE2:AE665)</f>
        <v>-0.121235600640926</v>
      </c>
      <c r="S290" s="77">
        <f>(VLOOKUP($A290,'The List'!$B1:$AH665,31,FALSE)-AVERAGE('The List'!AF2:AF665))/STDEV('The List'!AF2:AF665)</f>
        <v>1.29160017331059</v>
      </c>
      <c r="T290" s="77">
        <f>(VLOOKUP($A290,'The List'!$B1:$AH665,32,FALSE)-AVERAGE('The List'!AG2:AG665))/STDEV('The List'!AG2:AG665)</f>
        <v>1.2567113914759</v>
      </c>
      <c r="U290" s="77">
        <f>(VLOOKUP($A290,'The List'!$B1:$AH665,33,FALSE)-AVERAGE('The List'!AH2:AH665))/STDEV('The List'!AH2:AH665)</f>
        <v>1.09473139982843</v>
      </c>
      <c r="V290" s="77"/>
      <c r="W290" s="89"/>
      <c r="X290" s="79"/>
      <c r="Y290" s="79"/>
      <c r="Z290" s="79"/>
      <c r="AA290" s="79"/>
      <c r="AB290" s="79"/>
      <c r="AC290" s="82"/>
      <c r="AD290" s="83"/>
      <c r="AE290" s="84"/>
    </row>
    <row r="291" ht="21.25" customHeight="1">
      <c r="A291" t="s" s="10">
        <v>532</v>
      </c>
      <c r="B291" t="s" s="86">
        <f>VLOOKUP(A291,'Player Data'!A1:B667,2,FALSE)</f>
        <v>866</v>
      </c>
      <c r="C291" s="74">
        <f>((E291)*'Settings'!$C$12)+(F291*'Settings'!$C$2)+(G291*'Settings'!$C$3)+(H291*'Settings'!$C$4)+(I291*'Settings'!$C$5)+(K291*'Settings'!$C$9)+(N291*'Settings'!$C$6)+(J291*'Settings'!$C$8)+(O291*'Settings'!$C$7)+(P291*'Settings'!$C$14)+(Q291*'Settings'!$C$15)+(R291*'Settings'!$C$16)+(S291*'Settings'!$C$17)+(T291*'Settings'!$C$18)+(U291*'Settings'!$C$19)+(L291*'Settings'!$C$10)+('Settings'!$C$11*M291)</f>
        <v>-0.668636256169563</v>
      </c>
      <c r="D291" s="79">
        <f>IF('Settings'!$E$12="YES",VLOOKUP(A291,'Player Data'!A1:E667,5,FALSE),82)</f>
        <v>81.55500000000001</v>
      </c>
      <c r="E291" s="77">
        <f>(VLOOKUP($A291,'The List'!$B1:$AH665,17,FALSE)-AVERAGE('The List'!R2:R665))/STDEV('The List'!R2:R665)</f>
        <v>-0.266743131784973</v>
      </c>
      <c r="F291" s="77">
        <f>(VLOOKUP($A291,'The List'!$B1:$AH665,18,FALSE)-AVERAGE('The List'!S2:S665))/STDEV('The List'!S2:S665)</f>
        <v>0.316328026040943</v>
      </c>
      <c r="G291" s="77">
        <f>(VLOOKUP($A291,'The List'!$B1:$AH665,19,FALSE)-AVERAGE('The List'!T2:T665))/STDEV('The List'!T2:T665)</f>
        <v>-0.417619157742474</v>
      </c>
      <c r="H291" s="77">
        <f>(VLOOKUP($A291,'The List'!$B1:$AH665,20,FALSE)-AVERAGE('The List'!U2:U665))/STDEV('The List'!U2:U665)</f>
        <v>-0.115578854782051</v>
      </c>
      <c r="I291" s="77">
        <f>(VLOOKUP($A291,'The List'!$B1:$AH665,21,FALSE)-AVERAGE('The List'!V2:V665))/STDEV('The List'!V2:V665)</f>
        <v>0.109336110482455</v>
      </c>
      <c r="J291" s="77">
        <f>(VLOOKUP($A291,'The List'!$B1:$AH665,22,FALSE)-AVERAGE('The List'!W2:W665))/STDEV('The List'!W2:W665)</f>
        <v>0.407106182898069</v>
      </c>
      <c r="K291" s="77">
        <f>(VLOOKUP($A291,'The List'!$B1:$AH665,23,FALSE)-AVERAGE('The List'!X2:X665))/STDEV('The List'!X2:X665)</f>
        <v>-0.151304826040739</v>
      </c>
      <c r="L291" s="77">
        <f>(VLOOKUP($A291,'The List'!$B1:$AH665,24,FALSE)-AVERAGE('The List'!Y2:Y665))/STDEV('The List'!Y2:Y665)</f>
        <v>-0.34273972975904</v>
      </c>
      <c r="M291" s="77">
        <f>(VLOOKUP($A291,'The List'!$B1:$AH665,25,FALSE)-AVERAGE('The List'!Z2:Z665))/STDEV('The List'!Z2:Z665)</f>
        <v>-0.481577261193936</v>
      </c>
      <c r="N291" s="77">
        <f>(VLOOKUP($A291,'The List'!$B1:$AH665,26,FALSE)-AVERAGE('The List'!AA2:AA665))/STDEV('The List'!AA2:AA665)</f>
        <v>-0.539159619107703</v>
      </c>
      <c r="O291" s="77">
        <f>(VLOOKUP($A291,'The List'!$B1:$AH665,27,FALSE)-AVERAGE('The List'!AB2:AB665))/STDEV('The List'!AB2:AB665)</f>
        <v>0.179347488208406</v>
      </c>
      <c r="P291" s="77">
        <f>(VLOOKUP($A291,'The List'!$B1:$AH665,28,FALSE)-AVERAGE('The List'!AC2:AC665))/STDEV('The List'!AC2:AC665)</f>
        <v>0.0137832101979554</v>
      </c>
      <c r="Q291" s="77">
        <f>(VLOOKUP($A291,'The List'!$B1:$AH665,29,FALSE)-AVERAGE('The List'!AD2:AD665))/STDEV('The List'!AD2:AD665)</f>
        <v>-0.158977412214468</v>
      </c>
      <c r="R291" s="77">
        <f>(VLOOKUP($A291,'The List'!$B1:$AH665,30,FALSE)-AVERAGE('The List'!AE2:AE665))/STDEV('The List'!AE2:AE665)</f>
        <v>0.39349392811388</v>
      </c>
      <c r="S291" s="77">
        <f>(VLOOKUP($A291,'The List'!$B1:$AH665,31,FALSE)-AVERAGE('The List'!AF2:AF665))/STDEV('The List'!AF2:AF665)</f>
        <v>1.71048251291384</v>
      </c>
      <c r="T291" s="77">
        <f>(VLOOKUP($A291,'The List'!$B1:$AH665,32,FALSE)-AVERAGE('The List'!AG2:AG665))/STDEV('The List'!AG2:AG665)</f>
        <v>1.51250487283898</v>
      </c>
      <c r="U291" s="77">
        <f>(VLOOKUP($A291,'The List'!$B1:$AH665,33,FALSE)-AVERAGE('The List'!AH2:AH665))/STDEV('The List'!AH2:AH665)</f>
        <v>1.17972293876836</v>
      </c>
      <c r="V291" s="77"/>
      <c r="W291" s="89"/>
      <c r="X291" s="79"/>
      <c r="Y291" s="79"/>
      <c r="Z291" s="79"/>
      <c r="AA291" s="79"/>
      <c r="AB291" s="79"/>
      <c r="AC291" s="82"/>
      <c r="AD291" s="83"/>
      <c r="AE291" s="84"/>
    </row>
    <row r="292" ht="21.25" customHeight="1">
      <c r="A292" t="s" s="10">
        <v>570</v>
      </c>
      <c r="B292" t="s" s="86">
        <f>VLOOKUP(A292,'Player Data'!A1:B667,2,FALSE)</f>
        <v>154</v>
      </c>
      <c r="C292" s="74">
        <f>((E292)*'Settings'!$C$12)+(F292*'Settings'!$C$2)+(G292*'Settings'!$C$3)+(H292*'Settings'!$C$4)+(I292*'Settings'!$C$5)+(K292*'Settings'!$C$9)+(N292*'Settings'!$C$6)+(J292*'Settings'!$C$8)+(O292*'Settings'!$C$7)+(P292*'Settings'!$C$14)+(Q292*'Settings'!$C$15)+(R292*'Settings'!$C$16)+(S292*'Settings'!$C$17)+(T292*'Settings'!$C$18)+(U292*'Settings'!$C$19)+(L292*'Settings'!$C$10)+('Settings'!$C$11*M292)</f>
        <v>-1.07934419233166</v>
      </c>
      <c r="D292" s="79">
        <f>IF('Settings'!$E$12="YES",VLOOKUP(A292,'Player Data'!A1:E667,5,FALSE),82)</f>
        <v>75.07250000000001</v>
      </c>
      <c r="E292" s="77">
        <f>(VLOOKUP($A292,'The List'!$B1:$AH665,17,FALSE)-AVERAGE('The List'!R2:R665))/STDEV('The List'!R2:R665)</f>
        <v>-0.888659798308327</v>
      </c>
      <c r="F292" s="77">
        <f>(VLOOKUP($A292,'The List'!$B1:$AH665,18,FALSE)-AVERAGE('The List'!S2:S665))/STDEV('The List'!S2:S665)</f>
        <v>0.172866701633235</v>
      </c>
      <c r="G292" s="77">
        <f>(VLOOKUP($A292,'The List'!$B1:$AH665,19,FALSE)-AVERAGE('The List'!T2:T665))/STDEV('The List'!T2:T665)</f>
        <v>-0.510670716209182</v>
      </c>
      <c r="H292" s="77">
        <f>(VLOOKUP($A292,'The List'!$B1:$AH665,20,FALSE)-AVERAGE('The List'!U2:U665))/STDEV('The List'!U2:U665)</f>
        <v>-0.238579095910954</v>
      </c>
      <c r="I292" s="77">
        <f>(VLOOKUP($A292,'The List'!$B1:$AH665,21,FALSE)-AVERAGE('The List'!V2:V665))/STDEV('The List'!V2:V665)</f>
        <v>0.358183987758603</v>
      </c>
      <c r="J292" s="77">
        <f>(VLOOKUP($A292,'The List'!$B1:$AH665,22,FALSE)-AVERAGE('The List'!W2:W665))/STDEV('The List'!W2:W665)</f>
        <v>0.0469426572262744</v>
      </c>
      <c r="K292" s="77">
        <f>(VLOOKUP($A292,'The List'!$B1:$AH665,23,FALSE)-AVERAGE('The List'!X2:X665))/STDEV('The List'!X2:X665)</f>
        <v>-0.101826511440359</v>
      </c>
      <c r="L292" s="77">
        <f>(VLOOKUP($A292,'The List'!$B1:$AH665,24,FALSE)-AVERAGE('The List'!Y2:Y665))/STDEV('The List'!Y2:Y665)</f>
        <v>-0.5670400650526169</v>
      </c>
      <c r="M292" s="77">
        <f>(VLOOKUP($A292,'The List'!$B1:$AH665,25,FALSE)-AVERAGE('The List'!Z2:Z665))/STDEV('The List'!Z2:Z665)</f>
        <v>-0.74056734893037</v>
      </c>
      <c r="N292" s="77">
        <f>(VLOOKUP($A292,'The List'!$B1:$AH665,26,FALSE)-AVERAGE('The List'!AA2:AA665))/STDEV('The List'!AA2:AA665)</f>
        <v>-0.984975123787288</v>
      </c>
      <c r="O292" s="77">
        <f>(VLOOKUP($A292,'The List'!$B1:$AH665,27,FALSE)-AVERAGE('The List'!AB2:AB665))/STDEV('The List'!AB2:AB665)</f>
        <v>0.615956037617748</v>
      </c>
      <c r="P292" s="77">
        <f>(VLOOKUP($A292,'The List'!$B1:$AH665,28,FALSE)-AVERAGE('The List'!AC2:AC665))/STDEV('The List'!AC2:AC665)</f>
        <v>-0.0129225302866675</v>
      </c>
      <c r="Q292" s="77">
        <f>(VLOOKUP($A292,'The List'!$B1:$AH665,29,FALSE)-AVERAGE('The List'!AD2:AD665))/STDEV('The List'!AD2:AD665)</f>
        <v>0.40976445341821</v>
      </c>
      <c r="R292" s="77">
        <f>(VLOOKUP($A292,'The List'!$B1:$AH665,30,FALSE)-AVERAGE('The List'!AE2:AE665))/STDEV('The List'!AE2:AE665)</f>
        <v>0.0926837056894564</v>
      </c>
      <c r="S292" s="77">
        <f>(VLOOKUP($A292,'The List'!$B1:$AH665,31,FALSE)-AVERAGE('The List'!AF2:AF665))/STDEV('The List'!AF2:AF665)</f>
        <v>-0.527555591036064</v>
      </c>
      <c r="T292" s="77">
        <f>(VLOOKUP($A292,'The List'!$B1:$AH665,32,FALSE)-AVERAGE('The List'!AG2:AG665))/STDEV('The List'!AG2:AG665)</f>
        <v>-0.520502437649779</v>
      </c>
      <c r="U292" s="77">
        <f>(VLOOKUP($A292,'The List'!$B1:$AH665,33,FALSE)-AVERAGE('The List'!AH2:AH665))/STDEV('The List'!AH2:AH665)</f>
        <v>0.214157504356514</v>
      </c>
      <c r="V292" s="77"/>
      <c r="W292" s="89"/>
      <c r="X292" s="79"/>
      <c r="Y292" s="79"/>
      <c r="Z292" s="79"/>
      <c r="AA292" s="79"/>
      <c r="AB292" s="79"/>
      <c r="AC292" s="82"/>
      <c r="AD292" s="83"/>
      <c r="AE292" s="84"/>
    </row>
    <row r="293" ht="21.25" customHeight="1">
      <c r="A293" t="s" s="10">
        <v>429</v>
      </c>
      <c r="B293" t="s" s="86">
        <f>VLOOKUP(A293,'Player Data'!A1:B667,2,FALSE)</f>
        <v>871</v>
      </c>
      <c r="C293" s="74">
        <f>((E293)*'Settings'!$C$12)+(F293*'Settings'!$C$2)+(G293*'Settings'!$C$3)+(H293*'Settings'!$C$4)+(I293*'Settings'!$C$5)+(K293*'Settings'!$C$9)+(N293*'Settings'!$C$6)+(J293*'Settings'!$C$8)+(O293*'Settings'!$C$7)+(P293*'Settings'!$C$14)+(Q293*'Settings'!$C$15)+(R293*'Settings'!$C$16)+(S293*'Settings'!$C$17)+(T293*'Settings'!$C$18)+(U293*'Settings'!$C$19)+(L293*'Settings'!$C$10)+('Settings'!$C$11*M293)</f>
        <v>-0.612425169273255</v>
      </c>
      <c r="D293" s="79">
        <f>IF('Settings'!$E$12="YES",VLOOKUP(A293,'Player Data'!A1:E667,5,FALSE),82)</f>
        <v>81.2375</v>
      </c>
      <c r="E293" s="77">
        <f>(VLOOKUP($A293,'The List'!$B1:$AH665,17,FALSE)-AVERAGE('The List'!R2:R665))/STDEV('The List'!R2:R665)</f>
        <v>-1.06189182066361</v>
      </c>
      <c r="F293" s="77">
        <f>(VLOOKUP($A293,'The List'!$B1:$AH665,18,FALSE)-AVERAGE('The List'!S2:S665))/STDEV('The List'!S2:S665)</f>
        <v>0.229646704540475</v>
      </c>
      <c r="G293" s="77">
        <f>(VLOOKUP($A293,'The List'!$B1:$AH665,19,FALSE)-AVERAGE('The List'!T2:T665))/STDEV('The List'!T2:T665)</f>
        <v>-0.36724775173083</v>
      </c>
      <c r="H293" s="77">
        <f>(VLOOKUP($A293,'The List'!$B1:$AH665,20,FALSE)-AVERAGE('The List'!U2:U665))/STDEV('The List'!U2:U665)</f>
        <v>-0.123696160275569</v>
      </c>
      <c r="I293" s="77">
        <f>(VLOOKUP($A293,'The List'!$B1:$AH665,21,FALSE)-AVERAGE('The List'!V2:V665))/STDEV('The List'!V2:V665)</f>
        <v>0.129053447174258</v>
      </c>
      <c r="J293" s="77">
        <f>(VLOOKUP($A293,'The List'!$B1:$AH665,22,FALSE)-AVERAGE('The List'!W2:W665))/STDEV('The List'!W2:W665)</f>
        <v>-0.368436349565679</v>
      </c>
      <c r="K293" s="77">
        <f>(VLOOKUP($A293,'The List'!$B1:$AH665,23,FALSE)-AVERAGE('The List'!X2:X665))/STDEV('The List'!X2:X665)</f>
        <v>-0.490694653371249</v>
      </c>
      <c r="L293" s="77">
        <f>(VLOOKUP($A293,'The List'!$B1:$AH665,24,FALSE)-AVERAGE('The List'!Y2:Y665))/STDEV('The List'!Y2:Y665)</f>
        <v>-0.49318140871188</v>
      </c>
      <c r="M293" s="77">
        <f>(VLOOKUP($A293,'The List'!$B1:$AH665,25,FALSE)-AVERAGE('The List'!Z2:Z665))/STDEV('The List'!Z2:Z665)</f>
        <v>-0.66483662102797</v>
      </c>
      <c r="N293" s="77">
        <f>(VLOOKUP($A293,'The List'!$B1:$AH665,26,FALSE)-AVERAGE('The List'!AA2:AA665))/STDEV('The List'!AA2:AA665)</f>
        <v>-0.568143659722824</v>
      </c>
      <c r="O293" s="77">
        <f>(VLOOKUP($A293,'The List'!$B1:$AH665,27,FALSE)-AVERAGE('The List'!AB2:AB665))/STDEV('The List'!AB2:AB665)</f>
        <v>1.26099356219026</v>
      </c>
      <c r="P293" s="77">
        <f>(VLOOKUP($A293,'The List'!$B1:$AH665,28,FALSE)-AVERAGE('The List'!AC2:AC665))/STDEV('The List'!AC2:AC665)</f>
        <v>0.454960743836915</v>
      </c>
      <c r="Q293" s="77">
        <f>(VLOOKUP($A293,'The List'!$B1:$AH665,29,FALSE)-AVERAGE('The List'!AD2:AD665))/STDEV('The List'!AD2:AD665)</f>
        <v>0.384937347931831</v>
      </c>
      <c r="R293" s="77">
        <f>(VLOOKUP($A293,'The List'!$B1:$AH665,30,FALSE)-AVERAGE('The List'!AE2:AE665))/STDEV('The List'!AE2:AE665)</f>
        <v>0.224051711021336</v>
      </c>
      <c r="S293" s="77">
        <f>(VLOOKUP($A293,'The List'!$B1:$AH665,31,FALSE)-AVERAGE('The List'!AF2:AF665))/STDEV('The List'!AF2:AF665)</f>
        <v>1.17984240863057</v>
      </c>
      <c r="T293" s="77">
        <f>(VLOOKUP($A293,'The List'!$B1:$AH665,32,FALSE)-AVERAGE('The List'!AG2:AG665))/STDEV('The List'!AG2:AG665)</f>
        <v>1.01519557786886</v>
      </c>
      <c r="U293" s="77">
        <f>(VLOOKUP($A293,'The List'!$B1:$AH665,33,FALSE)-AVERAGE('The List'!AH2:AH665))/STDEV('The List'!AH2:AH665)</f>
        <v>1.18014048167941</v>
      </c>
      <c r="V293" s="77"/>
      <c r="W293" s="89"/>
      <c r="X293" s="79"/>
      <c r="Y293" s="79"/>
      <c r="Z293" s="79"/>
      <c r="AA293" s="79"/>
      <c r="AB293" s="79"/>
      <c r="AC293" s="82"/>
      <c r="AD293" s="83"/>
      <c r="AE293" s="84"/>
    </row>
    <row r="294" ht="21.25" customHeight="1">
      <c r="A294" t="s" s="10">
        <v>498</v>
      </c>
      <c r="B294" t="s" s="86">
        <f>VLOOKUP(A294,'Player Data'!A1:B667,2,FALSE)</f>
        <v>149</v>
      </c>
      <c r="C294" s="74">
        <f>((E294)*'Settings'!$C$12)+(F294*'Settings'!$C$2)+(G294*'Settings'!$C$3)+(H294*'Settings'!$C$4)+(I294*'Settings'!$C$5)+(K294*'Settings'!$C$9)+(N294*'Settings'!$C$6)+(J294*'Settings'!$C$8)+(O294*'Settings'!$C$7)+(P294*'Settings'!$C$14)+(Q294*'Settings'!$C$15)+(R294*'Settings'!$C$16)+(S294*'Settings'!$C$17)+(T294*'Settings'!$C$18)+(U294*'Settings'!$C$19)+(L294*'Settings'!$C$10)+('Settings'!$C$11*M294)</f>
        <v>-0.202838306675881</v>
      </c>
      <c r="D294" s="79">
        <f>IF('Settings'!$E$12="YES",VLOOKUP(A294,'Player Data'!A1:E667,5,FALSE),82)</f>
        <v>81.63</v>
      </c>
      <c r="E294" s="77">
        <f>(VLOOKUP($A294,'The List'!$B1:$AH665,17,FALSE)-AVERAGE('The List'!R2:R665))/STDEV('The List'!R2:R665)</f>
        <v>-0.267196001142655</v>
      </c>
      <c r="F294" s="77">
        <f>(VLOOKUP($A294,'The List'!$B1:$AH665,18,FALSE)-AVERAGE('The List'!S2:S665))/STDEV('The List'!S2:S665)</f>
        <v>0.0219556720164631</v>
      </c>
      <c r="G294" s="77">
        <f>(VLOOKUP($A294,'The List'!$B1:$AH665,19,FALSE)-AVERAGE('The List'!T2:T665))/STDEV('The List'!T2:T665)</f>
        <v>-0.213745426336427</v>
      </c>
      <c r="H294" s="77">
        <f>(VLOOKUP($A294,'The List'!$B1:$AH665,20,FALSE)-AVERAGE('The List'!U2:U665))/STDEV('The List'!U2:U665)</f>
        <v>-0.122768031688782</v>
      </c>
      <c r="I294" s="77">
        <f>(VLOOKUP($A294,'The List'!$B1:$AH665,21,FALSE)-AVERAGE('The List'!V2:V665))/STDEV('The List'!V2:V665)</f>
        <v>-0.193726923609556</v>
      </c>
      <c r="J294" s="77">
        <f>(VLOOKUP($A294,'The List'!$B1:$AH665,22,FALSE)-AVERAGE('The List'!W2:W665))/STDEV('The List'!W2:W665)</f>
        <v>-0.452886950389253</v>
      </c>
      <c r="K294" s="77">
        <f>(VLOOKUP($A294,'The List'!$B1:$AH665,23,FALSE)-AVERAGE('The List'!X2:X665))/STDEV('The List'!X2:X665)</f>
        <v>-0.624378725665828</v>
      </c>
      <c r="L294" s="77">
        <f>(VLOOKUP($A294,'The List'!$B1:$AH665,24,FALSE)-AVERAGE('The List'!Y2:Y665))/STDEV('The List'!Y2:Y665)</f>
        <v>0.11586029687806</v>
      </c>
      <c r="M294" s="77">
        <f>(VLOOKUP($A294,'The List'!$B1:$AH665,25,FALSE)-AVERAGE('The List'!Z2:Z665))/STDEV('The List'!Z2:Z665)</f>
        <v>0.416216493516454</v>
      </c>
      <c r="N294" s="77">
        <f>(VLOOKUP($A294,'The List'!$B1:$AH665,26,FALSE)-AVERAGE('The List'!AA2:AA665))/STDEV('The List'!AA2:AA665)</f>
        <v>-0.275725266279573</v>
      </c>
      <c r="O294" s="77">
        <f>(VLOOKUP($A294,'The List'!$B1:$AH665,27,FALSE)-AVERAGE('The List'!AB2:AB665))/STDEV('The List'!AB2:AB665)</f>
        <v>0.420945458650504</v>
      </c>
      <c r="P294" s="77">
        <f>(VLOOKUP($A294,'The List'!$B1:$AH665,28,FALSE)-AVERAGE('The List'!AC2:AC665))/STDEV('The List'!AC2:AC665)</f>
        <v>1.08278236319904</v>
      </c>
      <c r="Q294" s="77">
        <f>(VLOOKUP($A294,'The List'!$B1:$AH665,29,FALSE)-AVERAGE('The List'!AD2:AD665))/STDEV('The List'!AD2:AD665)</f>
        <v>-0.486488447974015</v>
      </c>
      <c r="R294" s="77">
        <f>(VLOOKUP($A294,'The List'!$B1:$AH665,30,FALSE)-AVERAGE('The List'!AE2:AE665))/STDEV('The List'!AE2:AE665)</f>
        <v>0.207142807281436</v>
      </c>
      <c r="S294" s="77">
        <f>(VLOOKUP($A294,'The List'!$B1:$AH665,31,FALSE)-AVERAGE('The List'!AF2:AF665))/STDEV('The List'!AF2:AF665)</f>
        <v>0.125786652219447</v>
      </c>
      <c r="T294" s="77">
        <f>(VLOOKUP($A294,'The List'!$B1:$AH665,32,FALSE)-AVERAGE('The List'!AG2:AG665))/STDEV('The List'!AG2:AG665)</f>
        <v>0.227178170275997</v>
      </c>
      <c r="U294" s="77">
        <f>(VLOOKUP($A294,'The List'!$B1:$AH665,33,FALSE)-AVERAGE('The List'!AH2:AH665))/STDEV('The List'!AH2:AH665)</f>
        <v>0.880785785223664</v>
      </c>
      <c r="V294" s="77"/>
      <c r="W294" s="89"/>
      <c r="X294" s="79"/>
      <c r="Y294" s="79"/>
      <c r="Z294" s="79"/>
      <c r="AA294" s="79"/>
      <c r="AB294" s="79"/>
      <c r="AC294" s="82"/>
      <c r="AD294" s="83"/>
      <c r="AE294" s="84"/>
    </row>
    <row r="295" ht="21.25" customHeight="1">
      <c r="A295" t="s" s="10">
        <v>602</v>
      </c>
      <c r="B295" t="s" s="86">
        <f>VLOOKUP(A295,'Player Data'!A1:B667,2,FALSE)</f>
        <v>906</v>
      </c>
      <c r="C295" s="74">
        <f>((E295)*'Settings'!$C$12)+(F295*'Settings'!$C$2)+(G295*'Settings'!$C$3)+(H295*'Settings'!$C$4)+(I295*'Settings'!$C$5)+(K295*'Settings'!$C$9)+(N295*'Settings'!$C$6)+(J295*'Settings'!$C$8)+(O295*'Settings'!$C$7)+(P295*'Settings'!$C$14)+(Q295*'Settings'!$C$15)+(R295*'Settings'!$C$16)+(S295*'Settings'!$C$17)+(T295*'Settings'!$C$18)+(U295*'Settings'!$C$19)+(L295*'Settings'!$C$10)+('Settings'!$C$11*M295)</f>
        <v>-0.787161711853107</v>
      </c>
      <c r="D295" s="79">
        <f>IF('Settings'!$E$12="YES",VLOOKUP(A295,'Player Data'!A1:E667,5,FALSE),82)</f>
        <v>79.9325</v>
      </c>
      <c r="E295" s="77">
        <f>(VLOOKUP($A295,'The List'!$B1:$AH665,17,FALSE)-AVERAGE('The List'!R2:R665))/STDEV('The List'!R2:R665)</f>
        <v>-0.5803001691558241</v>
      </c>
      <c r="F295" s="77">
        <f>(VLOOKUP($A295,'The List'!$B1:$AH665,18,FALSE)-AVERAGE('The List'!S2:S665))/STDEV('The List'!S2:S665)</f>
        <v>-0.183507820517708</v>
      </c>
      <c r="G295" s="77">
        <f>(VLOOKUP($A295,'The List'!$B1:$AH665,19,FALSE)-AVERAGE('The List'!T2:T665))/STDEV('The List'!T2:T665)</f>
        <v>-0.116782267651133</v>
      </c>
      <c r="H295" s="77">
        <f>(VLOOKUP($A295,'The List'!$B1:$AH665,20,FALSE)-AVERAGE('The List'!U2:U665))/STDEV('The List'!U2:U665)</f>
        <v>-0.155941381910207</v>
      </c>
      <c r="I295" s="77">
        <f>(VLOOKUP($A295,'The List'!$B1:$AH665,21,FALSE)-AVERAGE('The List'!V2:V665))/STDEV('The List'!V2:V665)</f>
        <v>-0.464874608295323</v>
      </c>
      <c r="J295" s="77">
        <f>(VLOOKUP($A295,'The List'!$B1:$AH665,22,FALSE)-AVERAGE('The List'!W2:W665))/STDEV('The List'!W2:W665)</f>
        <v>-0.14877951095236</v>
      </c>
      <c r="K295" s="77">
        <f>(VLOOKUP($A295,'The List'!$B1:$AH665,23,FALSE)-AVERAGE('The List'!X2:X665))/STDEV('The List'!X2:X665)</f>
        <v>-0.294983063883897</v>
      </c>
      <c r="L295" s="77">
        <f>(VLOOKUP($A295,'The List'!$B1:$AH665,24,FALSE)-AVERAGE('The List'!Y2:Y665))/STDEV('The List'!Y2:Y665)</f>
        <v>0.9632819416331539</v>
      </c>
      <c r="M295" s="77">
        <f>(VLOOKUP($A295,'The List'!$B1:$AH665,25,FALSE)-AVERAGE('The List'!Z2:Z665))/STDEV('The List'!Z2:Z665)</f>
        <v>0.528506830098613</v>
      </c>
      <c r="N295" s="77">
        <f>(VLOOKUP($A295,'The List'!$B1:$AH665,26,FALSE)-AVERAGE('The List'!AA2:AA665))/STDEV('The List'!AA2:AA665)</f>
        <v>-0.463975234943621</v>
      </c>
      <c r="O295" s="77">
        <f>(VLOOKUP($A295,'The List'!$B1:$AH665,27,FALSE)-AVERAGE('The List'!AB2:AB665))/STDEV('The List'!AB2:AB665)</f>
        <v>0.168534269869431</v>
      </c>
      <c r="P295" s="77">
        <f>(VLOOKUP($A295,'The List'!$B1:$AH665,28,FALSE)-AVERAGE('The List'!AC2:AC665))/STDEV('The List'!AC2:AC665)</f>
        <v>0.736961283438575</v>
      </c>
      <c r="Q295" s="77">
        <f>(VLOOKUP($A295,'The List'!$B1:$AH665,29,FALSE)-AVERAGE('The List'!AD2:AD665))/STDEV('The List'!AD2:AD665)</f>
        <v>0.237806181408023</v>
      </c>
      <c r="R295" s="77">
        <f>(VLOOKUP($A295,'The List'!$B1:$AH665,30,FALSE)-AVERAGE('The List'!AE2:AE665))/STDEV('The List'!AE2:AE665)</f>
        <v>-0.048052862684449</v>
      </c>
      <c r="S295" s="77">
        <f>(VLOOKUP($A295,'The List'!$B1:$AH665,31,FALSE)-AVERAGE('The List'!AF2:AF665))/STDEV('The List'!AF2:AF665)</f>
        <v>0.18384213015387</v>
      </c>
      <c r="T295" s="77">
        <f>(VLOOKUP($A295,'The List'!$B1:$AH665,32,FALSE)-AVERAGE('The List'!AG2:AG665))/STDEV('The List'!AG2:AG665)</f>
        <v>0.63417003693593</v>
      </c>
      <c r="U295" s="77">
        <f>(VLOOKUP($A295,'The List'!$B1:$AH665,33,FALSE)-AVERAGE('The List'!AH2:AH665))/STDEV('The List'!AH2:AH665)</f>
        <v>0.537028639231061</v>
      </c>
      <c r="V295" s="77"/>
      <c r="W295" s="89"/>
      <c r="X295" s="79"/>
      <c r="Y295" s="79"/>
      <c r="Z295" s="79"/>
      <c r="AA295" s="79"/>
      <c r="AB295" s="79"/>
      <c r="AC295" s="82"/>
      <c r="AD295" s="83"/>
      <c r="AE295" s="84"/>
    </row>
    <row r="296" ht="21.25" customHeight="1">
      <c r="A296" t="s" s="10">
        <v>442</v>
      </c>
      <c r="B296" t="s" s="86">
        <f>VLOOKUP(A296,'Player Data'!A1:B667,2,FALSE)</f>
        <v>207</v>
      </c>
      <c r="C296" s="74">
        <f>((E296)*'Settings'!$C$12)+(F296*'Settings'!$C$2)+(G296*'Settings'!$C$3)+(H296*'Settings'!$C$4)+(I296*'Settings'!$C$5)+(K296*'Settings'!$C$9)+(N296*'Settings'!$C$6)+(J296*'Settings'!$C$8)+(O296*'Settings'!$C$7)+(P296*'Settings'!$C$14)+(Q296*'Settings'!$C$15)+(R296*'Settings'!$C$16)+(S296*'Settings'!$C$17)+(T296*'Settings'!$C$18)+(U296*'Settings'!$C$19)+(L296*'Settings'!$C$10)+('Settings'!$C$11*M296)</f>
        <v>0.6429549310086889</v>
      </c>
      <c r="D296" s="79">
        <f>IF('Settings'!$E$12="YES",VLOOKUP(A296,'Player Data'!A1:E667,5,FALSE),82)</f>
        <v>81.2525</v>
      </c>
      <c r="E296" s="77">
        <f>(VLOOKUP($A296,'The List'!$B1:$AH665,17,FALSE)-AVERAGE('The List'!R2:R665))/STDEV('The List'!R2:R665)</f>
        <v>-0.6732417725031959</v>
      </c>
      <c r="F296" s="77">
        <f>(VLOOKUP($A296,'The List'!$B1:$AH665,18,FALSE)-AVERAGE('The List'!S2:S665))/STDEV('The List'!S2:S665)</f>
        <v>0.445356277303952</v>
      </c>
      <c r="G296" s="77">
        <f>(VLOOKUP($A296,'The List'!$B1:$AH665,19,FALSE)-AVERAGE('The List'!T2:T665))/STDEV('The List'!T2:T665)</f>
        <v>-0.5388568315886531</v>
      </c>
      <c r="H296" s="77">
        <f>(VLOOKUP($A296,'The List'!$B1:$AH665,20,FALSE)-AVERAGE('The List'!U2:U665))/STDEV('The List'!U2:U665)</f>
        <v>-0.132224793802146</v>
      </c>
      <c r="I296" s="77">
        <f>(VLOOKUP($A296,'The List'!$B1:$AH665,21,FALSE)-AVERAGE('The List'!V2:V665))/STDEV('The List'!V2:V665)</f>
        <v>0.490691609724796</v>
      </c>
      <c r="J296" s="77">
        <f>(VLOOKUP($A296,'The List'!$B1:$AH665,22,FALSE)-AVERAGE('The List'!W2:W665))/STDEV('The List'!W2:W665)</f>
        <v>0.212863513890992</v>
      </c>
      <c r="K296" s="77">
        <f>(VLOOKUP($A296,'The List'!$B1:$AH665,23,FALSE)-AVERAGE('The List'!X2:X665))/STDEV('The List'!X2:X665)</f>
        <v>-0.255421649549361</v>
      </c>
      <c r="L296" s="77">
        <f>(VLOOKUP($A296,'The List'!$B1:$AH665,24,FALSE)-AVERAGE('The List'!Y2:Y665))/STDEV('The List'!Y2:Y665)</f>
        <v>-0.572673975918937</v>
      </c>
      <c r="M296" s="77">
        <f>(VLOOKUP($A296,'The List'!$B1:$AH665,25,FALSE)-AVERAGE('The List'!Z2:Z665))/STDEV('The List'!Z2:Z665)</f>
        <v>-0.746410148549699</v>
      </c>
      <c r="N296" s="77">
        <f>(VLOOKUP($A296,'The List'!$B1:$AH665,26,FALSE)-AVERAGE('The List'!AA2:AA665))/STDEV('The List'!AA2:AA665)</f>
        <v>-0.421190431798518</v>
      </c>
      <c r="O296" s="77">
        <f>(VLOOKUP($A296,'The List'!$B1:$AH665,27,FALSE)-AVERAGE('The List'!AB2:AB665))/STDEV('The List'!AB2:AB665)</f>
        <v>0.946843557585524</v>
      </c>
      <c r="P296" s="77">
        <f>(VLOOKUP($A296,'The List'!$B1:$AH665,28,FALSE)-AVERAGE('The List'!AC2:AC665))/STDEV('The List'!AC2:AC665)</f>
        <v>0.922375956916473</v>
      </c>
      <c r="Q296" s="77">
        <f>(VLOOKUP($A296,'The List'!$B1:$AH665,29,FALSE)-AVERAGE('The List'!AD2:AD665))/STDEV('The List'!AD2:AD665)</f>
        <v>0.797617704157617</v>
      </c>
      <c r="R296" s="77">
        <f>(VLOOKUP($A296,'The List'!$B1:$AH665,30,FALSE)-AVERAGE('The List'!AE2:AE665))/STDEV('The List'!AE2:AE665)</f>
        <v>0.519387439413253</v>
      </c>
      <c r="S296" s="77">
        <f>(VLOOKUP($A296,'The List'!$B1:$AH665,31,FALSE)-AVERAGE('The List'!AF2:AF665))/STDEV('The List'!AF2:AF665)</f>
        <v>-0.450298616328137</v>
      </c>
      <c r="T296" s="77">
        <f>(VLOOKUP($A296,'The List'!$B1:$AH665,32,FALSE)-AVERAGE('The List'!AG2:AG665))/STDEV('The List'!AG2:AG665)</f>
        <v>-0.485723006284848</v>
      </c>
      <c r="U296" s="77">
        <f>(VLOOKUP($A296,'The List'!$B1:$AH665,33,FALSE)-AVERAGE('The List'!AH2:AH665))/STDEV('The List'!AH2:AH665)</f>
        <v>0.963421282479383</v>
      </c>
      <c r="V296" s="77"/>
      <c r="W296" s="89"/>
      <c r="X296" s="79"/>
      <c r="Y296" s="79"/>
      <c r="Z296" s="79"/>
      <c r="AA296" s="79"/>
      <c r="AB296" s="79"/>
      <c r="AC296" s="82"/>
      <c r="AD296" s="83"/>
      <c r="AE296" s="84"/>
    </row>
    <row r="297" ht="21.25" customHeight="1">
      <c r="A297" t="s" s="10">
        <v>478</v>
      </c>
      <c r="B297" t="s" s="86">
        <f>VLOOKUP(A297,'Player Data'!A1:B667,2,FALSE)</f>
        <v>342</v>
      </c>
      <c r="C297" s="74">
        <f>((E297)*'Settings'!$C$12)+(F297*'Settings'!$C$2)+(G297*'Settings'!$C$3)+(H297*'Settings'!$C$4)+(I297*'Settings'!$C$5)+(K297*'Settings'!$C$9)+(N297*'Settings'!$C$6)+(J297*'Settings'!$C$8)+(O297*'Settings'!$C$7)+(P297*'Settings'!$C$14)+(Q297*'Settings'!$C$15)+(R297*'Settings'!$C$16)+(S297*'Settings'!$C$17)+(T297*'Settings'!$C$18)+(U297*'Settings'!$C$19)+(L297*'Settings'!$C$10)+('Settings'!$C$11*M297)</f>
        <v>2.19433931768313</v>
      </c>
      <c r="D297" s="79">
        <f>IF('Settings'!$E$12="YES",VLOOKUP(A297,'Player Data'!A1:E667,5,FALSE),82)</f>
        <v>80.72750000000001</v>
      </c>
      <c r="E297" s="77">
        <f>(VLOOKUP($A297,'The List'!$B1:$AH665,17,FALSE)-AVERAGE('The List'!R2:R665))/STDEV('The List'!R2:R665)</f>
        <v>1.29609130063324</v>
      </c>
      <c r="F297" s="77">
        <f>(VLOOKUP($A297,'The List'!$B1:$AH665,18,FALSE)-AVERAGE('The List'!S2:S665))/STDEV('The List'!S2:S665)</f>
        <v>-0.752004240727249</v>
      </c>
      <c r="G297" s="77">
        <f>(VLOOKUP($A297,'The List'!$B1:$AH665,19,FALSE)-AVERAGE('The List'!T2:T665))/STDEV('The List'!T2:T665)</f>
        <v>0.321735397232755</v>
      </c>
      <c r="H297" s="77">
        <f>(VLOOKUP($A297,'The List'!$B1:$AH665,20,FALSE)-AVERAGE('The List'!U2:U665))/STDEV('The List'!U2:U665)</f>
        <v>-0.142005900785259</v>
      </c>
      <c r="I297" s="77">
        <f>(VLOOKUP($A297,'The List'!$B1:$AH665,21,FALSE)-AVERAGE('The List'!V2:V665))/STDEV('The List'!V2:V665)</f>
        <v>0.231480534285587</v>
      </c>
      <c r="J297" s="77">
        <f>(VLOOKUP($A297,'The List'!$B1:$AH665,22,FALSE)-AVERAGE('The List'!W2:W665))/STDEV('The List'!W2:W665)</f>
        <v>-0.714480217899864</v>
      </c>
      <c r="K297" s="77">
        <f>(VLOOKUP($A297,'The List'!$B1:$AH665,23,FALSE)-AVERAGE('The List'!X2:X665))/STDEV('The List'!X2:X665)</f>
        <v>-0.753923197273245</v>
      </c>
      <c r="L297" s="77">
        <f>(VLOOKUP($A297,'The List'!$B1:$AH665,24,FALSE)-AVERAGE('The List'!Y2:Y665))/STDEV('The List'!Y2:Y665)</f>
        <v>0.833091313298209</v>
      </c>
      <c r="M297" s="77">
        <f>(VLOOKUP($A297,'The List'!$B1:$AH665,25,FALSE)-AVERAGE('The List'!Z2:Z665))/STDEV('The List'!Z2:Z665)</f>
        <v>0.759834858226323</v>
      </c>
      <c r="N297" s="77">
        <f>(VLOOKUP($A297,'The List'!$B1:$AH665,26,FALSE)-AVERAGE('The List'!AA2:AA665))/STDEV('The List'!AA2:AA665)</f>
        <v>1.29990974820258</v>
      </c>
      <c r="O297" s="77">
        <f>(VLOOKUP($A297,'The List'!$B1:$AH665,27,FALSE)-AVERAGE('The List'!AB2:AB665))/STDEV('The List'!AB2:AB665)</f>
        <v>-0.7045448893917839</v>
      </c>
      <c r="P297" s="77">
        <f>(VLOOKUP($A297,'The List'!$B1:$AH665,28,FALSE)-AVERAGE('The List'!AC2:AC665))/STDEV('The List'!AC2:AC665)</f>
        <v>1.8471410759627</v>
      </c>
      <c r="Q297" s="77">
        <f>(VLOOKUP($A297,'The List'!$B1:$AH665,29,FALSE)-AVERAGE('The List'!AD2:AD665))/STDEV('The List'!AD2:AD665)</f>
        <v>-1.33054759151728</v>
      </c>
      <c r="R297" s="77">
        <f>(VLOOKUP($A297,'The List'!$B1:$AH665,30,FALSE)-AVERAGE('The List'!AE2:AE665))/STDEV('The List'!AE2:AE665)</f>
        <v>-0.6282686415291751</v>
      </c>
      <c r="S297" s="77">
        <f>(VLOOKUP($A297,'The List'!$B1:$AH665,31,FALSE)-AVERAGE('The List'!AF2:AF665))/STDEV('The List'!AF2:AF665)</f>
        <v>-0.573894410680004</v>
      </c>
      <c r="T297" s="77">
        <f>(VLOOKUP($A297,'The List'!$B1:$AH665,32,FALSE)-AVERAGE('The List'!AG2:AG665))/STDEV('The List'!AG2:AG665)</f>
        <v>-0.625770787132651</v>
      </c>
      <c r="U297" s="77">
        <f>(VLOOKUP($A297,'The List'!$B1:$AH665,33,FALSE)-AVERAGE('The List'!AH2:AH665))/STDEV('The List'!AH2:AH665)</f>
        <v>-1.23143509451486</v>
      </c>
      <c r="V297" s="77"/>
      <c r="W297" s="89"/>
      <c r="X297" s="79"/>
      <c r="Y297" s="79"/>
      <c r="Z297" s="79"/>
      <c r="AA297" s="79"/>
      <c r="AB297" s="79"/>
      <c r="AC297" s="82"/>
      <c r="AD297" s="83"/>
      <c r="AE297" s="84"/>
    </row>
    <row r="298" ht="21.25" customHeight="1">
      <c r="A298" t="s" s="10">
        <v>674</v>
      </c>
      <c r="B298" t="s" s="86">
        <f>VLOOKUP(A298,'Player Data'!A1:B667,2,FALSE)</f>
        <v>156</v>
      </c>
      <c r="C298" s="74">
        <f>((E298)*'Settings'!$C$12)+(F298*'Settings'!$C$2)+(G298*'Settings'!$C$3)+(H298*'Settings'!$C$4)+(I298*'Settings'!$C$5)+(K298*'Settings'!$C$9)+(N298*'Settings'!$C$6)+(J298*'Settings'!$C$8)+(O298*'Settings'!$C$7)+(P298*'Settings'!$C$14)+(Q298*'Settings'!$C$15)+(R298*'Settings'!$C$16)+(S298*'Settings'!$C$17)+(T298*'Settings'!$C$18)+(U298*'Settings'!$C$19)+(L298*'Settings'!$C$10)+('Settings'!$C$11*M298)</f>
        <v>-2.34508892905957</v>
      </c>
      <c r="D298" s="79">
        <f>IF('Settings'!$E$12="YES",VLOOKUP(A298,'Player Data'!A1:E667,5,FALSE),82)</f>
        <v>80.4975</v>
      </c>
      <c r="E298" s="77">
        <f>(VLOOKUP($A298,'The List'!$B1:$AH665,17,FALSE)-AVERAGE('The List'!R2:R665))/STDEV('The List'!R2:R665)</f>
        <v>-0.3575793240569</v>
      </c>
      <c r="F298" s="77">
        <f>(VLOOKUP($A298,'The List'!$B1:$AH665,18,FALSE)-AVERAGE('The List'!S2:S665))/STDEV('The List'!S2:S665)</f>
        <v>-0.236659208973322</v>
      </c>
      <c r="G298" s="77">
        <f>(VLOOKUP($A298,'The List'!$B1:$AH665,19,FALSE)-AVERAGE('The List'!T2:T665))/STDEV('The List'!T2:T665)</f>
        <v>-0.0703169309965606</v>
      </c>
      <c r="H298" s="77">
        <f>(VLOOKUP($A298,'The List'!$B1:$AH665,20,FALSE)-AVERAGE('The List'!U2:U665))/STDEV('The List'!U2:U665)</f>
        <v>-0.151243627730841</v>
      </c>
      <c r="I298" s="77">
        <f>(VLOOKUP($A298,'The List'!$B1:$AH665,21,FALSE)-AVERAGE('The List'!V2:V665))/STDEV('The List'!V2:V665)</f>
        <v>-0.31221651285772</v>
      </c>
      <c r="J298" s="77">
        <f>(VLOOKUP($A298,'The List'!$B1:$AH665,22,FALSE)-AVERAGE('The List'!W2:W665))/STDEV('The List'!W2:W665)</f>
        <v>-0.442417299806629</v>
      </c>
      <c r="K298" s="77">
        <f>(VLOOKUP($A298,'The List'!$B1:$AH665,23,FALSE)-AVERAGE('The List'!X2:X665))/STDEV('The List'!X2:X665)</f>
        <v>-0.47135025631753</v>
      </c>
      <c r="L298" s="77">
        <f>(VLOOKUP($A298,'The List'!$B1:$AH665,24,FALSE)-AVERAGE('The List'!Y2:Y665))/STDEV('The List'!Y2:Y665)</f>
        <v>1.11739060384972</v>
      </c>
      <c r="M298" s="77">
        <f>(VLOOKUP($A298,'The List'!$B1:$AH665,25,FALSE)-AVERAGE('The List'!Z2:Z665))/STDEV('The List'!Z2:Z665)</f>
        <v>1.59830740958504</v>
      </c>
      <c r="N298" s="77">
        <f>(VLOOKUP($A298,'The List'!$B1:$AH665,26,FALSE)-AVERAGE('The List'!AA2:AA665))/STDEV('The List'!AA2:AA665)</f>
        <v>-0.451627395940547</v>
      </c>
      <c r="O298" s="77">
        <f>(VLOOKUP($A298,'The List'!$B1:$AH665,27,FALSE)-AVERAGE('The List'!AB2:AB665))/STDEV('The List'!AB2:AB665)</f>
        <v>-1.09358593082659</v>
      </c>
      <c r="P298" s="77">
        <f>(VLOOKUP($A298,'The List'!$B1:$AH665,28,FALSE)-AVERAGE('The List'!AC2:AC665))/STDEV('The List'!AC2:AC665)</f>
        <v>-0.802918623973891</v>
      </c>
      <c r="Q298" s="77">
        <f>(VLOOKUP($A298,'The List'!$B1:$AH665,29,FALSE)-AVERAGE('The List'!AD2:AD665))/STDEV('The List'!AD2:AD665)</f>
        <v>-0.68874542607901</v>
      </c>
      <c r="R298" s="77">
        <f>(VLOOKUP($A298,'The List'!$B1:$AH665,30,FALSE)-AVERAGE('The List'!AE2:AE665))/STDEV('The List'!AE2:AE665)</f>
        <v>-0.30810171500509</v>
      </c>
      <c r="S298" s="77">
        <f>(VLOOKUP($A298,'The List'!$B1:$AH665,31,FALSE)-AVERAGE('The List'!AF2:AF665))/STDEV('The List'!AF2:AF665)</f>
        <v>1.7974550838888</v>
      </c>
      <c r="T298" s="77">
        <f>(VLOOKUP($A298,'The List'!$B1:$AH665,32,FALSE)-AVERAGE('The List'!AG2:AG665))/STDEV('The List'!AG2:AG665)</f>
        <v>1.69593699272228</v>
      </c>
      <c r="U298" s="77">
        <f>(VLOOKUP($A298,'The List'!$B1:$AH665,33,FALSE)-AVERAGE('The List'!AH2:AH665))/STDEV('The List'!AH2:AH665)</f>
        <v>1.1289400745508</v>
      </c>
      <c r="V298" s="77"/>
      <c r="W298" s="89"/>
      <c r="X298" s="79"/>
      <c r="Y298" s="79"/>
      <c r="Z298" s="79"/>
      <c r="AA298" s="79"/>
      <c r="AB298" s="79"/>
      <c r="AC298" s="82"/>
      <c r="AD298" s="83"/>
      <c r="AE298" s="84"/>
    </row>
    <row r="299" ht="21.25" customHeight="1">
      <c r="A299" t="s" s="10">
        <v>350</v>
      </c>
      <c r="B299" t="s" s="86">
        <f>VLOOKUP(A299,'Player Data'!A1:B667,2,FALSE)</f>
        <v>909</v>
      </c>
      <c r="C299" s="74">
        <f>((E299)*'Settings'!$C$12)+(F299*'Settings'!$C$2)+(G299*'Settings'!$C$3)+(H299*'Settings'!$C$4)+(I299*'Settings'!$C$5)+(K299*'Settings'!$C$9)+(N299*'Settings'!$C$6)+(J299*'Settings'!$C$8)+(O299*'Settings'!$C$7)+(P299*'Settings'!$C$14)+(Q299*'Settings'!$C$15)+(R299*'Settings'!$C$16)+(S299*'Settings'!$C$17)+(T299*'Settings'!$C$18)+(U299*'Settings'!$C$19)+(L299*'Settings'!$C$10)+('Settings'!$C$11*M299)</f>
        <v>-0.825217278889269</v>
      </c>
      <c r="D299" s="79">
        <f>IF('Settings'!$E$12="YES",VLOOKUP(A299,'Player Data'!A1:E667,5,FALSE),82)</f>
        <v>72.66249999999999</v>
      </c>
      <c r="E299" s="77">
        <f>(VLOOKUP($A299,'The List'!$B1:$AH665,17,FALSE)-AVERAGE('The List'!R2:R665))/STDEV('The List'!R2:R665)</f>
        <v>1.46705834002677</v>
      </c>
      <c r="F299" s="77">
        <f>(VLOOKUP($A299,'The List'!$B1:$AH665,18,FALSE)-AVERAGE('The List'!S2:S665))/STDEV('The List'!S2:S665)</f>
        <v>-0.602803561825088</v>
      </c>
      <c r="G299" s="77">
        <f>(VLOOKUP($A299,'The List'!$B1:$AH665,19,FALSE)-AVERAGE('The List'!T2:T665))/STDEV('The List'!T2:T665)</f>
        <v>-0.0377419516168204</v>
      </c>
      <c r="H299" s="77">
        <f>(VLOOKUP($A299,'The List'!$B1:$AH665,20,FALSE)-AVERAGE('The List'!U2:U665))/STDEV('The List'!U2:U665)</f>
        <v>-0.297442746515628</v>
      </c>
      <c r="I299" s="77">
        <f>(VLOOKUP($A299,'The List'!$B1:$AH665,21,FALSE)-AVERAGE('The List'!V2:V665))/STDEV('The List'!V2:V665)</f>
        <v>-0.419847570446789</v>
      </c>
      <c r="J299" s="77">
        <f>(VLOOKUP($A299,'The List'!$B1:$AH665,22,FALSE)-AVERAGE('The List'!W2:W665))/STDEV('The List'!W2:W665)</f>
        <v>-0.724232877624697</v>
      </c>
      <c r="K299" s="77">
        <f>(VLOOKUP($A299,'The List'!$B1:$AH665,23,FALSE)-AVERAGE('The List'!X2:X665))/STDEV('The List'!X2:X665)</f>
        <v>-0.777012652603452</v>
      </c>
      <c r="L299" s="77">
        <f>(VLOOKUP($A299,'The List'!$B1:$AH665,24,FALSE)-AVERAGE('The List'!Y2:Y665))/STDEV('The List'!Y2:Y665)</f>
        <v>-0.513271634222127</v>
      </c>
      <c r="M299" s="77">
        <f>(VLOOKUP($A299,'The List'!$B1:$AH665,25,FALSE)-AVERAGE('The List'!Z2:Z665))/STDEV('The List'!Z2:Z665)</f>
        <v>-0.58180497260137</v>
      </c>
      <c r="N299" s="77">
        <f>(VLOOKUP($A299,'The List'!$B1:$AH665,26,FALSE)-AVERAGE('The List'!AA2:AA665))/STDEV('The List'!AA2:AA665)</f>
        <v>2.44673068390758</v>
      </c>
      <c r="O299" s="77">
        <f>(VLOOKUP($A299,'The List'!$B1:$AH665,27,FALSE)-AVERAGE('The List'!AB2:AB665))/STDEV('The List'!AB2:AB665)</f>
        <v>0.543582332508153</v>
      </c>
      <c r="P299" s="77">
        <f>(VLOOKUP($A299,'The List'!$B1:$AH665,28,FALSE)-AVERAGE('The List'!AC2:AC665))/STDEV('The List'!AC2:AC665)</f>
        <v>-1.4345422263047</v>
      </c>
      <c r="Q299" s="77">
        <f>(VLOOKUP($A299,'The List'!$B1:$AH665,29,FALSE)-AVERAGE('The List'!AD2:AD665))/STDEV('The List'!AD2:AD665)</f>
        <v>1.41024461281209</v>
      </c>
      <c r="R299" s="77">
        <f>(VLOOKUP($A299,'The List'!$B1:$AH665,30,FALSE)-AVERAGE('The List'!AE2:AE665))/STDEV('The List'!AE2:AE665)</f>
        <v>-0.731433208888266</v>
      </c>
      <c r="S299" s="77">
        <f>(VLOOKUP($A299,'The List'!$B1:$AH665,31,FALSE)-AVERAGE('The List'!AF2:AF665))/STDEV('The List'!AF2:AF665)</f>
        <v>-0.573894410680004</v>
      </c>
      <c r="T299" s="77">
        <f>(VLOOKUP($A299,'The List'!$B1:$AH665,32,FALSE)-AVERAGE('The List'!AG2:AG665))/STDEV('The List'!AG2:AG665)</f>
        <v>-0.625770787132651</v>
      </c>
      <c r="U299" s="77">
        <f>(VLOOKUP($A299,'The List'!$B1:$AH665,33,FALSE)-AVERAGE('The List'!AH2:AH665))/STDEV('The List'!AH2:AH665)</f>
        <v>-1.23143509451486</v>
      </c>
      <c r="V299" s="77"/>
      <c r="W299" s="89"/>
      <c r="X299" s="79"/>
      <c r="Y299" s="79"/>
      <c r="Z299" s="79"/>
      <c r="AA299" s="79"/>
      <c r="AB299" s="79"/>
      <c r="AC299" s="82"/>
      <c r="AD299" s="83"/>
      <c r="AE299" s="84"/>
    </row>
    <row r="300" ht="21.25" customHeight="1">
      <c r="A300" t="s" s="10">
        <v>392</v>
      </c>
      <c r="B300" t="s" s="86">
        <f>VLOOKUP(A300,'Player Data'!A1:B667,2,FALSE)</f>
        <v>129</v>
      </c>
      <c r="C300" s="74">
        <f>((E300)*'Settings'!$C$12)+(F300*'Settings'!$C$2)+(G300*'Settings'!$C$3)+(H300*'Settings'!$C$4)+(I300*'Settings'!$C$5)+(K300*'Settings'!$C$9)+(N300*'Settings'!$C$6)+(J300*'Settings'!$C$8)+(O300*'Settings'!$C$7)+(P300*'Settings'!$C$14)+(Q300*'Settings'!$C$15)+(R300*'Settings'!$C$16)+(S300*'Settings'!$C$17)+(T300*'Settings'!$C$18)+(U300*'Settings'!$C$19)+(L300*'Settings'!$C$10)+('Settings'!$C$11*M300)</f>
        <v>3.03739411032328</v>
      </c>
      <c r="D300" s="79">
        <f>IF('Settings'!$E$12="YES",VLOOKUP(A300,'Player Data'!A1:E667,5,FALSE),82)</f>
        <v>80.3475</v>
      </c>
      <c r="E300" s="77">
        <f>(VLOOKUP($A300,'The List'!$B1:$AH665,17,FALSE)-AVERAGE('The List'!R2:R665))/STDEV('The List'!R2:R665)</f>
        <v>1.25483084332381</v>
      </c>
      <c r="F300" s="77">
        <f>(VLOOKUP($A300,'The List'!$B1:$AH665,18,FALSE)-AVERAGE('The List'!S2:S665))/STDEV('The List'!S2:S665)</f>
        <v>-0.540607909582319</v>
      </c>
      <c r="G300" s="77">
        <f>(VLOOKUP($A300,'The List'!$B1:$AH665,19,FALSE)-AVERAGE('The List'!T2:T665))/STDEV('The List'!T2:T665)</f>
        <v>0.144332190141926</v>
      </c>
      <c r="H300" s="77">
        <f>(VLOOKUP($A300,'The List'!$B1:$AH665,20,FALSE)-AVERAGE('The List'!U2:U665))/STDEV('The List'!U2:U665)</f>
        <v>-0.15609358645684</v>
      </c>
      <c r="I300" s="77">
        <f>(VLOOKUP($A300,'The List'!$B1:$AH665,21,FALSE)-AVERAGE('The List'!V2:V665))/STDEV('The List'!V2:V665)</f>
        <v>0.386609891349544</v>
      </c>
      <c r="J300" s="77">
        <f>(VLOOKUP($A300,'The List'!$B1:$AH665,22,FALSE)-AVERAGE('The List'!W2:W665))/STDEV('The List'!W2:W665)</f>
        <v>-0.568362184527437</v>
      </c>
      <c r="K300" s="77">
        <f>(VLOOKUP($A300,'The List'!$B1:$AH665,23,FALSE)-AVERAGE('The List'!X2:X665))/STDEV('The List'!X2:X665)</f>
        <v>-0.536112375479802</v>
      </c>
      <c r="L300" s="77">
        <f>(VLOOKUP($A300,'The List'!$B1:$AH665,24,FALSE)-AVERAGE('The List'!Y2:Y665))/STDEV('The List'!Y2:Y665)</f>
        <v>0.203975827883256</v>
      </c>
      <c r="M300" s="77">
        <f>(VLOOKUP($A300,'The List'!$B1:$AH665,25,FALSE)-AVERAGE('The List'!Z2:Z665))/STDEV('The List'!Z2:Z665)</f>
        <v>0.250424638880697</v>
      </c>
      <c r="N300" s="77">
        <f>(VLOOKUP($A300,'The List'!$B1:$AH665,26,FALSE)-AVERAGE('The List'!AA2:AA665))/STDEV('The List'!AA2:AA665)</f>
        <v>0.999893796917971</v>
      </c>
      <c r="O300" s="77">
        <f>(VLOOKUP($A300,'The List'!$B1:$AH665,27,FALSE)-AVERAGE('The List'!AB2:AB665))/STDEV('The List'!AB2:AB665)</f>
        <v>0.666872002657359</v>
      </c>
      <c r="P300" s="77">
        <f>(VLOOKUP($A300,'The List'!$B1:$AH665,28,FALSE)-AVERAGE('The List'!AC2:AC665))/STDEV('The List'!AC2:AC665)</f>
        <v>2.58327851697596</v>
      </c>
      <c r="Q300" s="77">
        <f>(VLOOKUP($A300,'The List'!$B1:$AH665,29,FALSE)-AVERAGE('The List'!AD2:AD665))/STDEV('The List'!AD2:AD665)</f>
        <v>0.619204889290349</v>
      </c>
      <c r="R300" s="77">
        <f>(VLOOKUP($A300,'The List'!$B1:$AH665,30,FALSE)-AVERAGE('The List'!AE2:AE665))/STDEV('The List'!AE2:AE665)</f>
        <v>-0.453242172682055</v>
      </c>
      <c r="S300" s="77">
        <f>(VLOOKUP($A300,'The List'!$B1:$AH665,31,FALSE)-AVERAGE('The List'!AF2:AF665))/STDEV('The List'!AF2:AF665)</f>
        <v>-0.573894410680004</v>
      </c>
      <c r="T300" s="77">
        <f>(VLOOKUP($A300,'The List'!$B1:$AH665,32,FALSE)-AVERAGE('The List'!AG2:AG665))/STDEV('The List'!AG2:AG665)</f>
        <v>-0.625770787132651</v>
      </c>
      <c r="U300" s="77">
        <f>(VLOOKUP($A300,'The List'!$B1:$AH665,33,FALSE)-AVERAGE('The List'!AH2:AH665))/STDEV('The List'!AH2:AH665)</f>
        <v>-1.23143509451486</v>
      </c>
      <c r="V300" s="77"/>
      <c r="W300" s="89"/>
      <c r="X300" s="79"/>
      <c r="Y300" s="79"/>
      <c r="Z300" s="79"/>
      <c r="AA300" s="79"/>
      <c r="AB300" s="79"/>
      <c r="AC300" s="82"/>
      <c r="AD300" s="83"/>
      <c r="AE300" s="84"/>
    </row>
    <row r="301" ht="21.25" customHeight="1">
      <c r="A301" t="s" s="10">
        <v>546</v>
      </c>
      <c r="B301" t="s" s="86">
        <f>VLOOKUP(A301,'Player Data'!A1:B667,2,FALSE)</f>
        <v>914</v>
      </c>
      <c r="C301" s="74">
        <f>((E301)*'Settings'!$C$12)+(F301*'Settings'!$C$2)+(G301*'Settings'!$C$3)+(H301*'Settings'!$C$4)+(I301*'Settings'!$C$5)+(K301*'Settings'!$C$9)+(N301*'Settings'!$C$6)+(J301*'Settings'!$C$8)+(O301*'Settings'!$C$7)+(P301*'Settings'!$C$14)+(Q301*'Settings'!$C$15)+(R301*'Settings'!$C$16)+(S301*'Settings'!$C$17)+(T301*'Settings'!$C$18)+(U301*'Settings'!$C$19)+(L301*'Settings'!$C$10)+('Settings'!$C$11*M301)</f>
        <v>-2.11050611415904</v>
      </c>
      <c r="D301" s="79">
        <f>IF('Settings'!$E$12="YES",VLOOKUP(A301,'Player Data'!A1:E667,5,FALSE),82)</f>
        <v>79.03</v>
      </c>
      <c r="E301" s="77">
        <f>(VLOOKUP($A301,'The List'!$B1:$AH665,17,FALSE)-AVERAGE('The List'!R2:R665))/STDEV('The List'!R2:R665)</f>
        <v>1.11226093802739</v>
      </c>
      <c r="F301" s="77">
        <f>(VLOOKUP($A301,'The List'!$B1:$AH665,18,FALSE)-AVERAGE('The List'!S2:S665))/STDEV('The List'!S2:S665)</f>
        <v>-0.545064534988686</v>
      </c>
      <c r="G301" s="77">
        <f>(VLOOKUP($A301,'The List'!$B1:$AH665,19,FALSE)-AVERAGE('The List'!T2:T665))/STDEV('The List'!T2:T665)</f>
        <v>0.0965989154220224</v>
      </c>
      <c r="H301" s="77">
        <f>(VLOOKUP($A301,'The List'!$B1:$AH665,20,FALSE)-AVERAGE('The List'!U2:U665))/STDEV('The List'!U2:U665)</f>
        <v>-0.187764382097515</v>
      </c>
      <c r="I301" s="77">
        <f>(VLOOKUP($A301,'The List'!$B1:$AH665,21,FALSE)-AVERAGE('The List'!V2:V665))/STDEV('The List'!V2:V665)</f>
        <v>-0.393193500089379</v>
      </c>
      <c r="J301" s="77">
        <f>(VLOOKUP($A301,'The List'!$B1:$AH665,22,FALSE)-AVERAGE('The List'!W2:W665))/STDEV('The List'!W2:W665)</f>
        <v>-0.503508660480416</v>
      </c>
      <c r="K301" s="77">
        <f>(VLOOKUP($A301,'The List'!$B1:$AH665,23,FALSE)-AVERAGE('The List'!X2:X665))/STDEV('The List'!X2:X665)</f>
        <v>-0.412446323873803</v>
      </c>
      <c r="L301" s="77">
        <f>(VLOOKUP($A301,'The List'!$B1:$AH665,24,FALSE)-AVERAGE('The List'!Y2:Y665))/STDEV('The List'!Y2:Y665)</f>
        <v>-0.19220538367103</v>
      </c>
      <c r="M301" s="77">
        <f>(VLOOKUP($A301,'The List'!$B1:$AH665,25,FALSE)-AVERAGE('The List'!Z2:Z665))/STDEV('The List'!Z2:Z665)</f>
        <v>0.0790513919432356</v>
      </c>
      <c r="N301" s="77">
        <f>(VLOOKUP($A301,'The List'!$B1:$AH665,26,FALSE)-AVERAGE('The List'!AA2:AA665))/STDEV('The List'!AA2:AA665)</f>
        <v>0.947479147046737</v>
      </c>
      <c r="O301" s="77">
        <f>(VLOOKUP($A301,'The List'!$B1:$AH665,27,FALSE)-AVERAGE('The List'!AB2:AB665))/STDEV('The List'!AB2:AB665)</f>
        <v>-0.651276636952112</v>
      </c>
      <c r="P301" s="77">
        <f>(VLOOKUP($A301,'The List'!$B1:$AH665,28,FALSE)-AVERAGE('The List'!AC2:AC665))/STDEV('The List'!AC2:AC665)</f>
        <v>-1.80387981767593</v>
      </c>
      <c r="Q301" s="77">
        <f>(VLOOKUP($A301,'The List'!$B1:$AH665,29,FALSE)-AVERAGE('The List'!AD2:AD665))/STDEV('The List'!AD2:AD665)</f>
        <v>1.0658526328337</v>
      </c>
      <c r="R301" s="77">
        <f>(VLOOKUP($A301,'The List'!$B1:$AH665,30,FALSE)-AVERAGE('The List'!AE2:AE665))/STDEV('The List'!AE2:AE665)</f>
        <v>-0.715384498291182</v>
      </c>
      <c r="S301" s="77">
        <f>(VLOOKUP($A301,'The List'!$B1:$AH665,31,FALSE)-AVERAGE('The List'!AF2:AF665))/STDEV('The List'!AF2:AF665)</f>
        <v>-0.573894410680004</v>
      </c>
      <c r="T301" s="77">
        <f>(VLOOKUP($A301,'The List'!$B1:$AH665,32,FALSE)-AVERAGE('The List'!AG2:AG665))/STDEV('The List'!AG2:AG665)</f>
        <v>-0.625770787132651</v>
      </c>
      <c r="U301" s="77">
        <f>(VLOOKUP($A301,'The List'!$B1:$AH665,33,FALSE)-AVERAGE('The List'!AH2:AH665))/STDEV('The List'!AH2:AH665)</f>
        <v>-1.23143509451486</v>
      </c>
      <c r="V301" s="77"/>
      <c r="W301" s="79"/>
      <c r="X301" s="77"/>
      <c r="Y301" s="77"/>
      <c r="Z301" s="77"/>
      <c r="AA301" s="77"/>
      <c r="AB301" s="77"/>
      <c r="AC301" s="77"/>
      <c r="AD301" s="77"/>
      <c r="AE301" s="84"/>
    </row>
    <row r="302" ht="21.25" customHeight="1">
      <c r="A302" t="s" s="10">
        <v>569</v>
      </c>
      <c r="B302" t="s" s="86">
        <f>VLOOKUP(A302,'Player Data'!A1:B667,2,FALSE)</f>
        <v>912</v>
      </c>
      <c r="C302" s="74">
        <f>((E302)*'Settings'!$C$12)+(F302*'Settings'!$C$2)+(G302*'Settings'!$C$3)+(H302*'Settings'!$C$4)+(I302*'Settings'!$C$5)+(K302*'Settings'!$C$9)+(N302*'Settings'!$C$6)+(J302*'Settings'!$C$8)+(O302*'Settings'!$C$7)+(P302*'Settings'!$C$14)+(Q302*'Settings'!$C$15)+(R302*'Settings'!$C$16)+(S302*'Settings'!$C$17)+(T302*'Settings'!$C$18)+(U302*'Settings'!$C$19)+(L302*'Settings'!$C$10)+('Settings'!$C$11*M302)</f>
        <v>-2.20781948035525</v>
      </c>
      <c r="D302" s="79">
        <f>IF('Settings'!$E$12="YES",VLOOKUP(A302,'Player Data'!A1:E667,5,FALSE),82)</f>
        <v>81.2525</v>
      </c>
      <c r="E302" s="77">
        <f>(VLOOKUP($A302,'The List'!$B1:$AH665,17,FALSE)-AVERAGE('The List'!R2:R665))/STDEV('The List'!R2:R665)</f>
        <v>1.39833559155386</v>
      </c>
      <c r="F302" s="77">
        <f>(VLOOKUP($A302,'The List'!$B1:$AH665,18,FALSE)-AVERAGE('The List'!S2:S665))/STDEV('The List'!S2:S665)</f>
        <v>-0.785849608864129</v>
      </c>
      <c r="G302" s="77">
        <f>(VLOOKUP($A302,'The List'!$B1:$AH665,19,FALSE)-AVERAGE('The List'!T2:T665))/STDEV('The List'!T2:T665)</f>
        <v>0.319455192029319</v>
      </c>
      <c r="H302" s="77">
        <f>(VLOOKUP($A302,'The List'!$B1:$AH665,20,FALSE)-AVERAGE('The List'!U2:U665))/STDEV('The List'!U2:U665)</f>
        <v>-0.158806365045927</v>
      </c>
      <c r="I302" s="77">
        <f>(VLOOKUP($A302,'The List'!$B1:$AH665,21,FALSE)-AVERAGE('The List'!V2:V665))/STDEV('The List'!V2:V665)</f>
        <v>-0.555395136715039</v>
      </c>
      <c r="J302" s="77">
        <f>(VLOOKUP($A302,'The List'!$B1:$AH665,22,FALSE)-AVERAGE('The List'!W2:W665))/STDEV('The List'!W2:W665)</f>
        <v>-0.237207816522091</v>
      </c>
      <c r="K302" s="77">
        <f>(VLOOKUP($A302,'The List'!$B1:$AH665,23,FALSE)-AVERAGE('The List'!X2:X665))/STDEV('The List'!X2:X665)</f>
        <v>0.15373986825059</v>
      </c>
      <c r="L302" s="77">
        <f>(VLOOKUP($A302,'The List'!$B1:$AH665,24,FALSE)-AVERAGE('The List'!Y2:Y665))/STDEV('The List'!Y2:Y665)</f>
        <v>-0.537452285210138</v>
      </c>
      <c r="M302" s="77">
        <f>(VLOOKUP($A302,'The List'!$B1:$AH665,25,FALSE)-AVERAGE('The List'!Z2:Z665))/STDEV('The List'!Z2:Z665)</f>
        <v>-0.198227575044117</v>
      </c>
      <c r="N302" s="77">
        <f>(VLOOKUP($A302,'The List'!$B1:$AH665,26,FALSE)-AVERAGE('The List'!AA2:AA665))/STDEV('The List'!AA2:AA665)</f>
        <v>1.1187960811444</v>
      </c>
      <c r="O302" s="77">
        <f>(VLOOKUP($A302,'The List'!$B1:$AH665,27,FALSE)-AVERAGE('The List'!AB2:AB665))/STDEV('The List'!AB2:AB665)</f>
        <v>-0.957481755849291</v>
      </c>
      <c r="P302" s="77">
        <f>(VLOOKUP($A302,'The List'!$B1:$AH665,28,FALSE)-AVERAGE('The List'!AC2:AC665))/STDEV('The List'!AC2:AC665)</f>
        <v>-2.45856587620039</v>
      </c>
      <c r="Q302" s="77">
        <f>(VLOOKUP($A302,'The List'!$B1:$AH665,29,FALSE)-AVERAGE('The List'!AD2:AD665))/STDEV('The List'!AD2:AD665)</f>
        <v>-0.758058339551812</v>
      </c>
      <c r="R302" s="77">
        <f>(VLOOKUP($A302,'The List'!$B1:$AH665,30,FALSE)-AVERAGE('The List'!AE2:AE665))/STDEV('The List'!AE2:AE665)</f>
        <v>-0.865293564835422</v>
      </c>
      <c r="S302" s="77">
        <f>(VLOOKUP($A302,'The List'!$B1:$AH665,31,FALSE)-AVERAGE('The List'!AF2:AF665))/STDEV('The List'!AF2:AF665)</f>
        <v>-0.573894410680004</v>
      </c>
      <c r="T302" s="77">
        <f>(VLOOKUP($A302,'The List'!$B1:$AH665,32,FALSE)-AVERAGE('The List'!AG2:AG665))/STDEV('The List'!AG2:AG665)</f>
        <v>-0.625770787132651</v>
      </c>
      <c r="U302" s="77">
        <f>(VLOOKUP($A302,'The List'!$B1:$AH665,33,FALSE)-AVERAGE('The List'!AH2:AH665))/STDEV('The List'!AH2:AH665)</f>
        <v>-1.23143509451486</v>
      </c>
      <c r="V302" s="77"/>
      <c r="W302" s="79"/>
      <c r="X302" s="79"/>
      <c r="Y302" s="79"/>
      <c r="Z302" s="79"/>
      <c r="AA302" s="79"/>
      <c r="AB302" s="79"/>
      <c r="AC302" s="82"/>
      <c r="AD302" s="83"/>
      <c r="AE302" s="84"/>
    </row>
    <row r="303" ht="21.25" customHeight="1">
      <c r="A303" t="s" s="10">
        <v>353</v>
      </c>
      <c r="B303" t="s" s="86">
        <f>VLOOKUP(A303,'Player Data'!A1:B667,2,FALSE)</f>
        <v>207</v>
      </c>
      <c r="C303" s="74">
        <f>((E303)*'Settings'!$C$12)+(F303*'Settings'!$C$2)+(G303*'Settings'!$C$3)+(H303*'Settings'!$C$4)+(I303*'Settings'!$C$5)+(K303*'Settings'!$C$9)+(N303*'Settings'!$C$6)+(J303*'Settings'!$C$8)+(O303*'Settings'!$C$7)+(P303*'Settings'!$C$14)+(Q303*'Settings'!$C$15)+(R303*'Settings'!$C$16)+(S303*'Settings'!$C$17)+(T303*'Settings'!$C$18)+(U303*'Settings'!$C$19)+(L303*'Settings'!$C$10)+('Settings'!$C$11*M303)</f>
        <v>-0.958855805582807</v>
      </c>
      <c r="D303" s="79">
        <f>IF('Settings'!$E$12="YES",VLOOKUP(A303,'Player Data'!A1:E667,5,FALSE),82)</f>
        <v>79.88</v>
      </c>
      <c r="E303" s="77">
        <f>(VLOOKUP($A303,'The List'!$B1:$AH665,17,FALSE)-AVERAGE('The List'!R2:R665))/STDEV('The List'!R2:R665)</f>
        <v>-0.319423309214187</v>
      </c>
      <c r="F303" s="77">
        <f>(VLOOKUP($A303,'The List'!$B1:$AH665,18,FALSE)-AVERAGE('The List'!S2:S665))/STDEV('The List'!S2:S665)</f>
        <v>-0.246007959379684</v>
      </c>
      <c r="G303" s="77">
        <f>(VLOOKUP($A303,'The List'!$B1:$AH665,19,FALSE)-AVERAGE('The List'!T2:T665))/STDEV('The List'!T2:T665)</f>
        <v>-0.140200046695184</v>
      </c>
      <c r="H303" s="77">
        <f>(VLOOKUP($A303,'The List'!$B1:$AH665,20,FALSE)-AVERAGE('The List'!U2:U665))/STDEV('The List'!U2:U665)</f>
        <v>-0.198894423416953</v>
      </c>
      <c r="I303" s="77">
        <f>(VLOOKUP($A303,'The List'!$B1:$AH665,21,FALSE)-AVERAGE('The List'!V2:V665))/STDEV('The List'!V2:V665)</f>
        <v>-0.452094229639549</v>
      </c>
      <c r="J303" s="77">
        <f>(VLOOKUP($A303,'The List'!$B1:$AH665,22,FALSE)-AVERAGE('The List'!W2:W665))/STDEV('The List'!W2:W665)</f>
        <v>-0.177307055573266</v>
      </c>
      <c r="K303" s="77">
        <f>(VLOOKUP($A303,'The List'!$B1:$AH665,23,FALSE)-AVERAGE('The List'!X2:X665))/STDEV('The List'!X2:X665)</f>
        <v>-0.403987394471278</v>
      </c>
      <c r="L303" s="77">
        <f>(VLOOKUP($A303,'The List'!$B1:$AH665,24,FALSE)-AVERAGE('The List'!Y2:Y665))/STDEV('The List'!Y2:Y665)</f>
        <v>1.73417443550514</v>
      </c>
      <c r="M303" s="77">
        <f>(VLOOKUP($A303,'The List'!$B1:$AH665,25,FALSE)-AVERAGE('The List'!Z2:Z665))/STDEV('The List'!Z2:Z665)</f>
        <v>4.13865793625356</v>
      </c>
      <c r="N303" s="77">
        <f>(VLOOKUP($A303,'The List'!$B1:$AH665,26,FALSE)-AVERAGE('The List'!AA2:AA665))/STDEV('The List'!AA2:AA665)</f>
        <v>0.120847819783129</v>
      </c>
      <c r="O303" s="77">
        <f>(VLOOKUP($A303,'The List'!$B1:$AH665,27,FALSE)-AVERAGE('The List'!AB2:AB665))/STDEV('The List'!AB2:AB665)</f>
        <v>1.62488560078161</v>
      </c>
      <c r="P303" s="77">
        <f>(VLOOKUP($A303,'The List'!$B1:$AH665,28,FALSE)-AVERAGE('The List'!AC2:AC665))/STDEV('The List'!AC2:AC665)</f>
        <v>0.162586004819759</v>
      </c>
      <c r="Q303" s="77">
        <f>(VLOOKUP($A303,'The List'!$B1:$AH665,29,FALSE)-AVERAGE('The List'!AD2:AD665))/STDEV('The List'!AD2:AD665)</f>
        <v>-0.9243156321366141</v>
      </c>
      <c r="R303" s="77">
        <f>(VLOOKUP($A303,'The List'!$B1:$AH665,30,FALSE)-AVERAGE('The List'!AE2:AE665))/STDEV('The List'!AE2:AE665)</f>
        <v>-0.178028415501811</v>
      </c>
      <c r="S303" s="77">
        <f>(VLOOKUP($A303,'The List'!$B1:$AH665,31,FALSE)-AVERAGE('The List'!AF2:AF665))/STDEV('The List'!AF2:AF665)</f>
        <v>2.67383019002108</v>
      </c>
      <c r="T303" s="77">
        <f>(VLOOKUP($A303,'The List'!$B1:$AH665,32,FALSE)-AVERAGE('The List'!AG2:AG665))/STDEV('The List'!AG2:AG665)</f>
        <v>2.08597919527434</v>
      </c>
      <c r="U303" s="77">
        <f>(VLOOKUP($A303,'The List'!$B1:$AH665,33,FALSE)-AVERAGE('The List'!AH2:AH665))/STDEV('The List'!AH2:AH665)</f>
        <v>1.30808268175422</v>
      </c>
      <c r="V303" s="77"/>
      <c r="W303" s="79"/>
      <c r="X303" s="77"/>
      <c r="Y303" s="77"/>
      <c r="Z303" s="77"/>
      <c r="AA303" s="77"/>
      <c r="AB303" s="77"/>
      <c r="AC303" s="77"/>
      <c r="AD303" s="77"/>
      <c r="AE303" s="84"/>
    </row>
    <row r="304" ht="21.25" customHeight="1">
      <c r="A304" t="s" s="10">
        <v>490</v>
      </c>
      <c r="B304" t="s" s="86">
        <f>VLOOKUP(A304,'Player Data'!A1:B667,2,FALSE)</f>
        <v>908</v>
      </c>
      <c r="C304" s="74">
        <f>((E304)*'Settings'!$C$12)+(F304*'Settings'!$C$2)+(G304*'Settings'!$C$3)+(H304*'Settings'!$C$4)+(I304*'Settings'!$C$5)+(K304*'Settings'!$C$9)+(N304*'Settings'!$C$6)+(J304*'Settings'!$C$8)+(O304*'Settings'!$C$7)+(P304*'Settings'!$C$14)+(Q304*'Settings'!$C$15)+(R304*'Settings'!$C$16)+(S304*'Settings'!$C$17)+(T304*'Settings'!$C$18)+(U304*'Settings'!$C$19)+(L304*'Settings'!$C$10)+('Settings'!$C$11*M304)</f>
        <v>-1.16752554867308</v>
      </c>
      <c r="D304" s="79">
        <f>IF('Settings'!$E$12="YES",VLOOKUP(A304,'Player Data'!A1:E667,5,FALSE),82)</f>
        <v>77.91500000000001</v>
      </c>
      <c r="E304" s="77">
        <f>(VLOOKUP($A304,'The List'!$B1:$AH665,17,FALSE)-AVERAGE('The List'!R2:R665))/STDEV('The List'!R2:R665)</f>
        <v>-0.375805032880208</v>
      </c>
      <c r="F304" s="77">
        <f>(VLOOKUP($A304,'The List'!$B1:$AH665,18,FALSE)-AVERAGE('The List'!S2:S665))/STDEV('The List'!S2:S665)</f>
        <v>0.244141441499202</v>
      </c>
      <c r="G304" s="77">
        <f>(VLOOKUP($A304,'The List'!$B1:$AH665,19,FALSE)-AVERAGE('The List'!T2:T665))/STDEV('The List'!T2:T665)</f>
        <v>-0.563170167520438</v>
      </c>
      <c r="H304" s="77">
        <f>(VLOOKUP($A304,'The List'!$B1:$AH665,20,FALSE)-AVERAGE('The List'!U2:U665))/STDEV('The List'!U2:U665)</f>
        <v>-0.238786449890959</v>
      </c>
      <c r="I304" s="77">
        <f>(VLOOKUP($A304,'The List'!$B1:$AH665,21,FALSE)-AVERAGE('The List'!V2:V665))/STDEV('The List'!V2:V665)</f>
        <v>0.132319328144161</v>
      </c>
      <c r="J304" s="77">
        <f>(VLOOKUP($A304,'The List'!$B1:$AH665,22,FALSE)-AVERAGE('The List'!W2:W665))/STDEV('The List'!W2:W665)</f>
        <v>-0.597373923814484</v>
      </c>
      <c r="K304" s="77">
        <f>(VLOOKUP($A304,'The List'!$B1:$AH665,23,FALSE)-AVERAGE('The List'!X2:X665))/STDEV('The List'!X2:X665)</f>
        <v>-0.696842242654881</v>
      </c>
      <c r="L304" s="77">
        <f>(VLOOKUP($A304,'The List'!$B1:$AH665,24,FALSE)-AVERAGE('The List'!Y2:Y665))/STDEV('The List'!Y2:Y665)</f>
        <v>1.07928099172882</v>
      </c>
      <c r="M304" s="77">
        <f>(VLOOKUP($A304,'The List'!$B1:$AH665,25,FALSE)-AVERAGE('The List'!Z2:Z665))/STDEV('The List'!Z2:Z665)</f>
        <v>0.38443866994662</v>
      </c>
      <c r="N304" s="77">
        <f>(VLOOKUP($A304,'The List'!$B1:$AH665,26,FALSE)-AVERAGE('The List'!AA2:AA665))/STDEV('The List'!AA2:AA665)</f>
        <v>-0.481956274405879</v>
      </c>
      <c r="O304" s="77">
        <f>(VLOOKUP($A304,'The List'!$B1:$AH665,27,FALSE)-AVERAGE('The List'!AB2:AB665))/STDEV('The List'!AB2:AB665)</f>
        <v>0.70094055379979</v>
      </c>
      <c r="P304" s="77">
        <f>(VLOOKUP($A304,'The List'!$B1:$AH665,28,FALSE)-AVERAGE('The List'!AC2:AC665))/STDEV('The List'!AC2:AC665)</f>
        <v>0.197982366264753</v>
      </c>
      <c r="Q304" s="77">
        <f>(VLOOKUP($A304,'The List'!$B1:$AH665,29,FALSE)-AVERAGE('The List'!AD2:AD665))/STDEV('The List'!AD2:AD665)</f>
        <v>0.394796785695571</v>
      </c>
      <c r="R304" s="77">
        <f>(VLOOKUP($A304,'The List'!$B1:$AH665,30,FALSE)-AVERAGE('The List'!AE2:AE665))/STDEV('The List'!AE2:AE665)</f>
        <v>0.206751677727952</v>
      </c>
      <c r="S304" s="77">
        <f>(VLOOKUP($A304,'The List'!$B1:$AH665,31,FALSE)-AVERAGE('The List'!AF2:AF665))/STDEV('The List'!AF2:AF665)</f>
        <v>2.01510046269133</v>
      </c>
      <c r="T304" s="77">
        <f>(VLOOKUP($A304,'The List'!$B1:$AH665,32,FALSE)-AVERAGE('The List'!AG2:AG665))/STDEV('The List'!AG2:AG665)</f>
        <v>2.18756486878581</v>
      </c>
      <c r="U304" s="77">
        <f>(VLOOKUP($A304,'The List'!$B1:$AH665,33,FALSE)-AVERAGE('The List'!AH2:AH665))/STDEV('The List'!AH2:AH665)</f>
        <v>1.01084357544751</v>
      </c>
      <c r="V304" s="77"/>
      <c r="W304" s="89"/>
      <c r="X304" s="79"/>
      <c r="Y304" s="79"/>
      <c r="Z304" s="79"/>
      <c r="AA304" s="79"/>
      <c r="AB304" s="79"/>
      <c r="AC304" s="82"/>
      <c r="AD304" s="83"/>
      <c r="AE304" s="84"/>
    </row>
    <row r="305" ht="21.25" customHeight="1">
      <c r="A305" t="s" s="10">
        <v>441</v>
      </c>
      <c r="B305" t="s" s="86">
        <f>VLOOKUP(A305,'Player Data'!A1:B667,2,FALSE)</f>
        <v>910</v>
      </c>
      <c r="C305" s="74">
        <f>((E305)*'Settings'!$C$12)+(F305*'Settings'!$C$2)+(G305*'Settings'!$C$3)+(H305*'Settings'!$C$4)+(I305*'Settings'!$C$5)+(K305*'Settings'!$C$9)+(N305*'Settings'!$C$6)+(J305*'Settings'!$C$8)+(O305*'Settings'!$C$7)+(P305*'Settings'!$C$14)+(Q305*'Settings'!$C$15)+(R305*'Settings'!$C$16)+(S305*'Settings'!$C$17)+(T305*'Settings'!$C$18)+(U305*'Settings'!$C$19)+(L305*'Settings'!$C$10)+('Settings'!$C$11*M305)</f>
        <v>-0.318042753838495</v>
      </c>
      <c r="D305" s="79">
        <f>IF('Settings'!$E$12="YES",VLOOKUP(A305,'Player Data'!A1:E667,5,FALSE),82)</f>
        <v>72.98</v>
      </c>
      <c r="E305" s="77">
        <f>(VLOOKUP($A305,'The List'!$B1:$AH665,17,FALSE)-AVERAGE('The List'!R2:R665))/STDEV('The List'!R2:R665)</f>
        <v>1.57324233942425</v>
      </c>
      <c r="F305" s="77">
        <f>(VLOOKUP($A305,'The List'!$B1:$AH665,18,FALSE)-AVERAGE('The List'!S2:S665))/STDEV('The List'!S2:S665)</f>
        <v>-0.619898281054165</v>
      </c>
      <c r="G305" s="77">
        <f>(VLOOKUP($A305,'The List'!$B1:$AH665,19,FALSE)-AVERAGE('The List'!T2:T665))/STDEV('The List'!T2:T665)</f>
        <v>-0.07650017242668621</v>
      </c>
      <c r="H305" s="77">
        <f>(VLOOKUP($A305,'The List'!$B1:$AH665,20,FALSE)-AVERAGE('The List'!U2:U665))/STDEV('The List'!U2:U665)</f>
        <v>-0.329284143407058</v>
      </c>
      <c r="I305" s="77">
        <f>(VLOOKUP($A305,'The List'!$B1:$AH665,21,FALSE)-AVERAGE('The List'!V2:V665))/STDEV('The List'!V2:V665)</f>
        <v>-0.409782797731929</v>
      </c>
      <c r="J305" s="77">
        <f>(VLOOKUP($A305,'The List'!$B1:$AH665,22,FALSE)-AVERAGE('The List'!W2:W665))/STDEV('The List'!W2:W665)</f>
        <v>-0.615427442391662</v>
      </c>
      <c r="K305" s="77">
        <f>(VLOOKUP($A305,'The List'!$B1:$AH665,23,FALSE)-AVERAGE('The List'!X2:X665))/STDEV('The List'!X2:X665)</f>
        <v>-0.1532227945016</v>
      </c>
      <c r="L305" s="77">
        <f>(VLOOKUP($A305,'The List'!$B1:$AH665,24,FALSE)-AVERAGE('The List'!Y2:Y665))/STDEV('The List'!Y2:Y665)</f>
        <v>-0.508457568974628</v>
      </c>
      <c r="M305" s="77">
        <f>(VLOOKUP($A305,'The List'!$B1:$AH665,25,FALSE)-AVERAGE('The List'!Z2:Z665))/STDEV('The List'!Z2:Z665)</f>
        <v>1.23922197706868</v>
      </c>
      <c r="N305" s="77">
        <f>(VLOOKUP($A305,'The List'!$B1:$AH665,26,FALSE)-AVERAGE('The List'!AA2:AA665))/STDEV('The List'!AA2:AA665)</f>
        <v>1.83021154371194</v>
      </c>
      <c r="O305" s="77">
        <f>(VLOOKUP($A305,'The List'!$B1:$AH665,27,FALSE)-AVERAGE('The List'!AB2:AB665))/STDEV('The List'!AB2:AB665)</f>
        <v>-0.342732982023844</v>
      </c>
      <c r="P305" s="77">
        <f>(VLOOKUP($A305,'The List'!$B1:$AH665,28,FALSE)-AVERAGE('The List'!AC2:AC665))/STDEV('The List'!AC2:AC665)</f>
        <v>-0.888850251836055</v>
      </c>
      <c r="Q305" s="77">
        <f>(VLOOKUP($A305,'The List'!$B1:$AH665,29,FALSE)-AVERAGE('The List'!AD2:AD665))/STDEV('The List'!AD2:AD665)</f>
        <v>0.172952307904128</v>
      </c>
      <c r="R305" s="77">
        <f>(VLOOKUP($A305,'The List'!$B1:$AH665,30,FALSE)-AVERAGE('The List'!AE2:AE665))/STDEV('The List'!AE2:AE665)</f>
        <v>-0.611110257274498</v>
      </c>
      <c r="S305" s="77">
        <f>(VLOOKUP($A305,'The List'!$B1:$AH665,31,FALSE)-AVERAGE('The List'!AF2:AF665))/STDEV('The List'!AF2:AF665)</f>
        <v>-0.573894410680004</v>
      </c>
      <c r="T305" s="77">
        <f>(VLOOKUP($A305,'The List'!$B1:$AH665,32,FALSE)-AVERAGE('The List'!AG2:AG665))/STDEV('The List'!AG2:AG665)</f>
        <v>-0.625770787132651</v>
      </c>
      <c r="U305" s="77">
        <f>(VLOOKUP($A305,'The List'!$B1:$AH665,33,FALSE)-AVERAGE('The List'!AH2:AH665))/STDEV('The List'!AH2:AH665)</f>
        <v>-1.23143509451486</v>
      </c>
      <c r="V305" s="77"/>
      <c r="W305" s="89"/>
      <c r="X305" s="79"/>
      <c r="Y305" s="79"/>
      <c r="Z305" s="79"/>
      <c r="AA305" s="79"/>
      <c r="AB305" s="79"/>
      <c r="AC305" s="82"/>
      <c r="AD305" s="83"/>
      <c r="AE305" s="84"/>
    </row>
    <row r="306" ht="21.25" customHeight="1">
      <c r="A306" t="s" s="10">
        <v>710</v>
      </c>
      <c r="B306" t="s" s="86">
        <f>VLOOKUP(A306,'Player Data'!A1:B667,2,FALSE)</f>
        <v>908</v>
      </c>
      <c r="C306" s="74">
        <f>((E306)*'Settings'!$C$12)+(F306*'Settings'!$C$2)+(G306*'Settings'!$C$3)+(H306*'Settings'!$C$4)+(I306*'Settings'!$C$5)+(K306*'Settings'!$C$9)+(N306*'Settings'!$C$6)+(J306*'Settings'!$C$8)+(O306*'Settings'!$C$7)+(P306*'Settings'!$C$14)+(Q306*'Settings'!$C$15)+(R306*'Settings'!$C$16)+(S306*'Settings'!$C$17)+(T306*'Settings'!$C$18)+(U306*'Settings'!$C$19)+(L306*'Settings'!$C$10)+('Settings'!$C$11*M306)</f>
        <v>-2.21980121075048</v>
      </c>
      <c r="D306" s="79">
        <f>IF('Settings'!$E$12="YES",VLOOKUP(A306,'Player Data'!A1:E667,5,FALSE),82)</f>
        <v>71.13249999999999</v>
      </c>
      <c r="E306" s="77">
        <f>(VLOOKUP($A306,'The List'!$B1:$AH665,17,FALSE)-AVERAGE('The List'!R2:R665))/STDEV('The List'!R2:R665)</f>
        <v>-0.387904048471724</v>
      </c>
      <c r="F306" s="77">
        <f>(VLOOKUP($A306,'The List'!$B1:$AH665,18,FALSE)-AVERAGE('The List'!S2:S665))/STDEV('The List'!S2:S665)</f>
        <v>-0.156989981420113</v>
      </c>
      <c r="G306" s="77">
        <f>(VLOOKUP($A306,'The List'!$B1:$AH665,19,FALSE)-AVERAGE('The List'!T2:T665))/STDEV('The List'!T2:T665)</f>
        <v>-0.473925113069119</v>
      </c>
      <c r="H306" s="77">
        <f>(VLOOKUP($A306,'The List'!$B1:$AH665,20,FALSE)-AVERAGE('The List'!U2:U665))/STDEV('The List'!U2:U665)</f>
        <v>-0.365693552019486</v>
      </c>
      <c r="I306" s="77">
        <f>(VLOOKUP($A306,'The List'!$B1:$AH665,21,FALSE)-AVERAGE('The List'!V2:V665))/STDEV('The List'!V2:V665)</f>
        <v>-0.194986663620417</v>
      </c>
      <c r="J306" s="77">
        <f>(VLOOKUP($A306,'The List'!$B1:$AH665,22,FALSE)-AVERAGE('The List'!W2:W665))/STDEV('The List'!W2:W665)</f>
        <v>-0.30459198601182</v>
      </c>
      <c r="K306" s="77">
        <f>(VLOOKUP($A306,'The List'!$B1:$AH665,23,FALSE)-AVERAGE('The List'!X2:X665))/STDEV('The List'!X2:X665)</f>
        <v>-0.417096229157676</v>
      </c>
      <c r="L306" s="77">
        <f>(VLOOKUP($A306,'The List'!$B1:$AH665,24,FALSE)-AVERAGE('The List'!Y2:Y665))/STDEV('The List'!Y2:Y665)</f>
        <v>-0.445197788211522</v>
      </c>
      <c r="M306" s="77">
        <f>(VLOOKUP($A306,'The List'!$B1:$AH665,25,FALSE)-AVERAGE('The List'!Z2:Z665))/STDEV('The List'!Z2:Z665)</f>
        <v>-0.412515237905685</v>
      </c>
      <c r="N306" s="77">
        <f>(VLOOKUP($A306,'The List'!$B1:$AH665,26,FALSE)-AVERAGE('The List'!AA2:AA665))/STDEV('The List'!AA2:AA665)</f>
        <v>-0.819313070468047</v>
      </c>
      <c r="O306" s="77">
        <f>(VLOOKUP($A306,'The List'!$B1:$AH665,27,FALSE)-AVERAGE('The List'!AB2:AB665))/STDEV('The List'!AB2:AB665)</f>
        <v>-0.672489505853911</v>
      </c>
      <c r="P306" s="77">
        <f>(VLOOKUP($A306,'The List'!$B1:$AH665,28,FALSE)-AVERAGE('The List'!AC2:AC665))/STDEV('The List'!AC2:AC665)</f>
        <v>-0.157490153015103</v>
      </c>
      <c r="Q306" s="77">
        <f>(VLOOKUP($A306,'The List'!$B1:$AH665,29,FALSE)-AVERAGE('The List'!AD2:AD665))/STDEV('The List'!AD2:AD665)</f>
        <v>-0.244787246610417</v>
      </c>
      <c r="R306" s="77">
        <f>(VLOOKUP($A306,'The List'!$B1:$AH665,30,FALSE)-AVERAGE('The List'!AE2:AE665))/STDEV('The List'!AE2:AE665)</f>
        <v>-0.170007703152745</v>
      </c>
      <c r="S306" s="77">
        <f>(VLOOKUP($A306,'The List'!$B1:$AH665,31,FALSE)-AVERAGE('The List'!AF2:AF665))/STDEV('The List'!AF2:AF665)</f>
        <v>1.55768849266234</v>
      </c>
      <c r="T306" s="77">
        <f>(VLOOKUP($A306,'The List'!$B1:$AH665,32,FALSE)-AVERAGE('The List'!AG2:AG665))/STDEV('The List'!AG2:AG665)</f>
        <v>1.63883561204849</v>
      </c>
      <c r="U306" s="77">
        <f>(VLOOKUP($A306,'The List'!$B1:$AH665,33,FALSE)-AVERAGE('The List'!AH2:AH665))/STDEV('The List'!AH2:AH665)</f>
        <v>1.03641477440989</v>
      </c>
      <c r="V306" s="77"/>
      <c r="W306" s="79"/>
      <c r="X306" s="77"/>
      <c r="Y306" s="77"/>
      <c r="Z306" s="77"/>
      <c r="AA306" s="77"/>
      <c r="AB306" s="77"/>
      <c r="AC306" s="77"/>
      <c r="AD306" s="77"/>
      <c r="AE306" s="84"/>
    </row>
    <row r="307" ht="21.25" customHeight="1">
      <c r="A307" t="s" s="10">
        <v>691</v>
      </c>
      <c r="B307" t="s" s="86">
        <f>VLOOKUP(A307,'Player Data'!A1:B667,2,FALSE)</f>
        <v>913</v>
      </c>
      <c r="C307" s="74">
        <f>((E307)*'Settings'!$C$12)+(F307*'Settings'!$C$2)+(G307*'Settings'!$C$3)+(H307*'Settings'!$C$4)+(I307*'Settings'!$C$5)+(K307*'Settings'!$C$9)+(N307*'Settings'!$C$6)+(J307*'Settings'!$C$8)+(O307*'Settings'!$C$7)+(P307*'Settings'!$C$14)+(Q307*'Settings'!$C$15)+(R307*'Settings'!$C$16)+(S307*'Settings'!$C$17)+(T307*'Settings'!$C$18)+(U307*'Settings'!$C$19)+(L307*'Settings'!$C$10)+('Settings'!$C$11*M307)</f>
        <v>-2.93008515172454</v>
      </c>
      <c r="D307" s="79">
        <f>IF('Settings'!$E$12="YES",VLOOKUP(A307,'Player Data'!A1:E667,5,FALSE),82)</f>
        <v>65.79000000000001</v>
      </c>
      <c r="E307" s="77">
        <f>(VLOOKUP($A307,'The List'!$B1:$AH665,17,FALSE)-AVERAGE('The List'!R2:R665))/STDEV('The List'!R2:R665)</f>
        <v>0.824926406177981</v>
      </c>
      <c r="F307" s="77">
        <f>(VLOOKUP($A307,'The List'!$B1:$AH665,18,FALSE)-AVERAGE('The List'!S2:S665))/STDEV('The List'!S2:S665)</f>
        <v>-0.666472678726991</v>
      </c>
      <c r="G307" s="77">
        <f>(VLOOKUP($A307,'The List'!$B1:$AH665,19,FALSE)-AVERAGE('The List'!T2:T665))/STDEV('The List'!T2:T665)</f>
        <v>-0.256186688580764</v>
      </c>
      <c r="H307" s="77">
        <f>(VLOOKUP($A307,'The List'!$B1:$AH665,20,FALSE)-AVERAGE('The List'!U2:U665))/STDEV('The List'!U2:U665)</f>
        <v>-0.46204985097379</v>
      </c>
      <c r="I307" s="77">
        <f>(VLOOKUP($A307,'The List'!$B1:$AH665,21,FALSE)-AVERAGE('The List'!V2:V665))/STDEV('The List'!V2:V665)</f>
        <v>-0.945412701486347</v>
      </c>
      <c r="J307" s="77">
        <f>(VLOOKUP($A307,'The List'!$B1:$AH665,22,FALSE)-AVERAGE('The List'!W2:W665))/STDEV('The List'!W2:W665)</f>
        <v>0.5938896312865261</v>
      </c>
      <c r="K307" s="77">
        <f>(VLOOKUP($A307,'The List'!$B1:$AH665,23,FALSE)-AVERAGE('The List'!X2:X665))/STDEV('The List'!X2:X665)</f>
        <v>0.705400513482461</v>
      </c>
      <c r="L307" s="77">
        <f>(VLOOKUP($A307,'The List'!$B1:$AH665,24,FALSE)-AVERAGE('The List'!Y2:Y665))/STDEV('The List'!Y2:Y665)</f>
        <v>-0.547152956746904</v>
      </c>
      <c r="M307" s="77">
        <f>(VLOOKUP($A307,'The List'!$B1:$AH665,25,FALSE)-AVERAGE('The List'!Z2:Z665))/STDEV('The List'!Z2:Z665)</f>
        <v>-0.655787682649558</v>
      </c>
      <c r="N307" s="77">
        <f>(VLOOKUP($A307,'The List'!$B1:$AH665,26,FALSE)-AVERAGE('The List'!AA2:AA665))/STDEV('The List'!AA2:AA665)</f>
        <v>0.51182908200499</v>
      </c>
      <c r="O307" s="77">
        <f>(VLOOKUP($A307,'The List'!$B1:$AH665,27,FALSE)-AVERAGE('The List'!AB2:AB665))/STDEV('The List'!AB2:AB665)</f>
        <v>-0.790193150262306</v>
      </c>
      <c r="P307" s="77">
        <f>(VLOOKUP($A307,'The List'!$B1:$AH665,28,FALSE)-AVERAGE('The List'!AC2:AC665))/STDEV('The List'!AC2:AC665)</f>
        <v>-2.27924267841789</v>
      </c>
      <c r="Q307" s="77">
        <f>(VLOOKUP($A307,'The List'!$B1:$AH665,29,FALSE)-AVERAGE('The List'!AD2:AD665))/STDEV('The List'!AD2:AD665)</f>
        <v>-0.559146995844202</v>
      </c>
      <c r="R307" s="77">
        <f>(VLOOKUP($A307,'The List'!$B1:$AH665,30,FALSE)-AVERAGE('The List'!AE2:AE665))/STDEV('The List'!AE2:AE665)</f>
        <v>-0.817718254501658</v>
      </c>
      <c r="S307" s="77">
        <f>(VLOOKUP($A307,'The List'!$B1:$AH665,31,FALSE)-AVERAGE('The List'!AF2:AF665))/STDEV('The List'!AF2:AF665)</f>
        <v>-0.573894410680004</v>
      </c>
      <c r="T307" s="77">
        <f>(VLOOKUP($A307,'The List'!$B1:$AH665,32,FALSE)-AVERAGE('The List'!AG2:AG665))/STDEV('The List'!AG2:AG665)</f>
        <v>-0.625770787132651</v>
      </c>
      <c r="U307" s="77">
        <f>(VLOOKUP($A307,'The List'!$B1:$AH665,33,FALSE)-AVERAGE('The List'!AH2:AH665))/STDEV('The List'!AH2:AH665)</f>
        <v>-1.23143509451486</v>
      </c>
      <c r="V307" s="77"/>
      <c r="W307" s="89"/>
      <c r="X307" s="79"/>
      <c r="Y307" s="79"/>
      <c r="Z307" s="79"/>
      <c r="AA307" s="79"/>
      <c r="AB307" s="79"/>
      <c r="AC307" s="82"/>
      <c r="AD307" s="83"/>
      <c r="AE307" s="84"/>
    </row>
    <row r="308" ht="21.25" customHeight="1">
      <c r="A308" t="s" s="10">
        <v>804</v>
      </c>
      <c r="B308" t="s" s="86">
        <f>VLOOKUP(A308,'Player Data'!A1:B667,2,FALSE)</f>
        <v>192</v>
      </c>
      <c r="C308" s="74">
        <f>((E308)*'Settings'!$C$12)+(F308*'Settings'!$C$2)+(G308*'Settings'!$C$3)+(H308*'Settings'!$C$4)+(I308*'Settings'!$C$5)+(K308*'Settings'!$C$9)+(N308*'Settings'!$C$6)+(J308*'Settings'!$C$8)+(O308*'Settings'!$C$7)+(P308*'Settings'!$C$14)+(Q308*'Settings'!$C$15)+(R308*'Settings'!$C$16)+(S308*'Settings'!$C$17)+(T308*'Settings'!$C$18)+(U308*'Settings'!$C$19)+(L308*'Settings'!$C$10)+('Settings'!$C$11*M308)</f>
        <v>-2.96186367198572</v>
      </c>
      <c r="D308" s="79">
        <f>IF('Settings'!$E$12="YES",VLOOKUP(A308,'Player Data'!A1:E667,5,FALSE),82)</f>
        <v>72.0975</v>
      </c>
      <c r="E308" s="77">
        <f>(VLOOKUP($A308,'The List'!$B1:$AH665,17,FALSE)-AVERAGE('The List'!R2:R665))/STDEV('The List'!R2:R665)</f>
        <v>-1.12414924158529</v>
      </c>
      <c r="F308" s="77">
        <f>(VLOOKUP($A308,'The List'!$B1:$AH665,18,FALSE)-AVERAGE('The List'!S2:S665))/STDEV('The List'!S2:S665)</f>
        <v>-0.0113310781468367</v>
      </c>
      <c r="G308" s="77">
        <f>(VLOOKUP($A308,'The List'!$B1:$AH665,19,FALSE)-AVERAGE('The List'!T2:T665))/STDEV('The List'!T2:T665)</f>
        <v>-0.566346314003664</v>
      </c>
      <c r="H308" s="77">
        <f>(VLOOKUP($A308,'The List'!$B1:$AH665,20,FALSE)-AVERAGE('The List'!U2:U665))/STDEV('The List'!U2:U665)</f>
        <v>-0.35688341920852</v>
      </c>
      <c r="I308" s="77">
        <f>(VLOOKUP($A308,'The List'!$B1:$AH665,21,FALSE)-AVERAGE('The List'!V2:V665))/STDEV('The List'!V2:V665)</f>
        <v>-0.814340011470891</v>
      </c>
      <c r="J308" s="77">
        <f>(VLOOKUP($A308,'The List'!$B1:$AH665,22,FALSE)-AVERAGE('The List'!W2:W665))/STDEV('The List'!W2:W665)</f>
        <v>-0.000190124709789312</v>
      </c>
      <c r="K308" s="77">
        <f>(VLOOKUP($A308,'The List'!$B1:$AH665,23,FALSE)-AVERAGE('The List'!X2:X665))/STDEV('The List'!X2:X665)</f>
        <v>-0.25775177340848</v>
      </c>
      <c r="L308" s="77">
        <f>(VLOOKUP($A308,'The List'!$B1:$AH665,24,FALSE)-AVERAGE('The List'!Y2:Y665))/STDEV('The List'!Y2:Y665)</f>
        <v>-0.576563270389571</v>
      </c>
      <c r="M308" s="77">
        <f>(VLOOKUP($A308,'The List'!$B1:$AH665,25,FALSE)-AVERAGE('The List'!Z2:Z665))/STDEV('The List'!Z2:Z665)</f>
        <v>-0.750323582009527</v>
      </c>
      <c r="N308" s="77">
        <f>(VLOOKUP($A308,'The List'!$B1:$AH665,26,FALSE)-AVERAGE('The List'!AA2:AA665))/STDEV('The List'!AA2:AA665)</f>
        <v>-1.01014464277007</v>
      </c>
      <c r="O308" s="77">
        <f>(VLOOKUP($A308,'The List'!$B1:$AH665,27,FALSE)-AVERAGE('The List'!AB2:AB665))/STDEV('The List'!AB2:AB665)</f>
        <v>-1.02808460441856</v>
      </c>
      <c r="P308" s="77">
        <f>(VLOOKUP($A308,'The List'!$B1:$AH665,28,FALSE)-AVERAGE('The List'!AC2:AC665))/STDEV('The List'!AC2:AC665)</f>
        <v>-0.301949852185776</v>
      </c>
      <c r="Q308" s="77">
        <f>(VLOOKUP($A308,'The List'!$B1:$AH665,29,FALSE)-AVERAGE('The List'!AD2:AD665))/STDEV('The List'!AD2:AD665)</f>
        <v>-1.13810942828668</v>
      </c>
      <c r="R308" s="77">
        <f>(VLOOKUP($A308,'The List'!$B1:$AH665,30,FALSE)-AVERAGE('The List'!AE2:AE665))/STDEV('The List'!AE2:AE665)</f>
        <v>-0.07068100403867709</v>
      </c>
      <c r="S308" s="77">
        <f>(VLOOKUP($A308,'The List'!$B1:$AH665,31,FALSE)-AVERAGE('The List'!AF2:AF665))/STDEV('The List'!AF2:AF665)</f>
        <v>-0.573894410680004</v>
      </c>
      <c r="T308" s="77">
        <f>(VLOOKUP($A308,'The List'!$B1:$AH665,32,FALSE)-AVERAGE('The List'!AG2:AG665))/STDEV('The List'!AG2:AG665)</f>
        <v>-0.623807375654827</v>
      </c>
      <c r="U308" s="77">
        <f>(VLOOKUP($A308,'The List'!$B1:$AH665,33,FALSE)-AVERAGE('The List'!AH2:AH665))/STDEV('The List'!AH2:AH665)</f>
        <v>-1.23143509451486</v>
      </c>
      <c r="V308" s="77"/>
      <c r="W308" s="79"/>
      <c r="X308" s="77"/>
      <c r="Y308" s="77"/>
      <c r="Z308" s="77"/>
      <c r="AA308" s="77"/>
      <c r="AB308" s="77"/>
      <c r="AC308" s="77"/>
      <c r="AD308" s="77"/>
      <c r="AE308" s="84"/>
    </row>
    <row r="309" ht="21.25" customHeight="1">
      <c r="A309" t="s" s="10">
        <v>535</v>
      </c>
      <c r="B309" t="s" s="86">
        <f>VLOOKUP(A309,'Player Data'!A1:B667,2,FALSE)</f>
        <v>267</v>
      </c>
      <c r="C309" s="74">
        <f>((E309)*'Settings'!$C$12)+(F309*'Settings'!$C$2)+(G309*'Settings'!$C$3)+(H309*'Settings'!$C$4)+(I309*'Settings'!$C$5)+(K309*'Settings'!$C$9)+(N309*'Settings'!$C$6)+(J309*'Settings'!$C$8)+(O309*'Settings'!$C$7)+(P309*'Settings'!$C$14)+(Q309*'Settings'!$C$15)+(R309*'Settings'!$C$16)+(S309*'Settings'!$C$17)+(T309*'Settings'!$C$18)+(U309*'Settings'!$C$19)+(L309*'Settings'!$C$10)+('Settings'!$C$11*M309)</f>
        <v>0.347531645086381</v>
      </c>
      <c r="D309" s="79">
        <f>IF('Settings'!$E$12="YES",VLOOKUP(A309,'Player Data'!A1:E667,5,FALSE),82)</f>
        <v>69.22499999999999</v>
      </c>
      <c r="E309" s="77">
        <f>(VLOOKUP($A309,'The List'!$B1:$AH665,17,FALSE)-AVERAGE('The List'!R2:R665))/STDEV('The List'!R2:R665)</f>
        <v>0.519268258811688</v>
      </c>
      <c r="F309" s="77">
        <f>(VLOOKUP($A309,'The List'!$B1:$AH665,18,FALSE)-AVERAGE('The List'!S2:S665))/STDEV('The List'!S2:S665)</f>
        <v>-0.738061176449107</v>
      </c>
      <c r="G309" s="77">
        <f>(VLOOKUP($A309,'The List'!$B1:$AH665,19,FALSE)-AVERAGE('The List'!T2:T665))/STDEV('The List'!T2:T665)</f>
        <v>-0.136698372088805</v>
      </c>
      <c r="H309" s="77">
        <f>(VLOOKUP($A309,'The List'!$B1:$AH665,20,FALSE)-AVERAGE('The List'!U2:U665))/STDEV('The List'!U2:U665)</f>
        <v>-0.420381262918743</v>
      </c>
      <c r="I309" s="77">
        <f>(VLOOKUP($A309,'The List'!$B1:$AH665,21,FALSE)-AVERAGE('The List'!V2:V665))/STDEV('The List'!V2:V665)</f>
        <v>-0.118388859055215</v>
      </c>
      <c r="J309" s="77">
        <f>(VLOOKUP($A309,'The List'!$B1:$AH665,22,FALSE)-AVERAGE('The List'!W2:W665))/STDEV('The List'!W2:W665)</f>
        <v>-0.542982724296394</v>
      </c>
      <c r="K309" s="77">
        <f>(VLOOKUP($A309,'The List'!$B1:$AH665,23,FALSE)-AVERAGE('The List'!X2:X665))/STDEV('The List'!X2:X665)</f>
        <v>0.301722234153636</v>
      </c>
      <c r="L309" s="77">
        <f>(VLOOKUP($A309,'The List'!$B1:$AH665,24,FALSE)-AVERAGE('The List'!Y2:Y665))/STDEV('The List'!Y2:Y665)</f>
        <v>-0.530187619479044</v>
      </c>
      <c r="M309" s="77">
        <f>(VLOOKUP($A309,'The List'!$B1:$AH665,25,FALSE)-AVERAGE('The List'!Z2:Z665))/STDEV('The List'!Z2:Z665)</f>
        <v>-0.606197330977662</v>
      </c>
      <c r="N309" s="77">
        <f>(VLOOKUP($A309,'The List'!$B1:$AH665,26,FALSE)-AVERAGE('The List'!AA2:AA665))/STDEV('The List'!AA2:AA665)</f>
        <v>0.985963913707623</v>
      </c>
      <c r="O309" s="77">
        <f>(VLOOKUP($A309,'The List'!$B1:$AH665,27,FALSE)-AVERAGE('The List'!AB2:AB665))/STDEV('The List'!AB2:AB665)</f>
        <v>-0.214933021629791</v>
      </c>
      <c r="P309" s="77">
        <f>(VLOOKUP($A309,'The List'!$B1:$AH665,28,FALSE)-AVERAGE('The List'!AC2:AC665))/STDEV('The List'!AC2:AC665)</f>
        <v>0.0529939048182488</v>
      </c>
      <c r="Q309" s="77">
        <f>(VLOOKUP($A309,'The List'!$B1:$AH665,29,FALSE)-AVERAGE('The List'!AD2:AD665))/STDEV('The List'!AD2:AD665)</f>
        <v>0.500197579929779</v>
      </c>
      <c r="R309" s="77">
        <f>(VLOOKUP($A309,'The List'!$B1:$AH665,30,FALSE)-AVERAGE('The List'!AE2:AE665))/STDEV('The List'!AE2:AE665)</f>
        <v>-0.593935104778185</v>
      </c>
      <c r="S309" s="77">
        <f>(VLOOKUP($A309,'The List'!$B1:$AH665,31,FALSE)-AVERAGE('The List'!AF2:AF665))/STDEV('The List'!AF2:AF665)</f>
        <v>-0.573894410680004</v>
      </c>
      <c r="T309" s="77">
        <f>(VLOOKUP($A309,'The List'!$B1:$AH665,32,FALSE)-AVERAGE('The List'!AG2:AG665))/STDEV('The List'!AG2:AG665)</f>
        <v>-0.625770787132651</v>
      </c>
      <c r="U309" s="77">
        <f>(VLOOKUP($A309,'The List'!$B1:$AH665,33,FALSE)-AVERAGE('The List'!AH2:AH665))/STDEV('The List'!AH2:AH665)</f>
        <v>-1.23143509451486</v>
      </c>
      <c r="V309" s="77"/>
      <c r="W309" s="89"/>
      <c r="X309" s="79"/>
      <c r="Y309" s="79"/>
      <c r="Z309" s="79"/>
      <c r="AA309" s="79"/>
      <c r="AB309" s="79"/>
      <c r="AC309" s="82"/>
      <c r="AD309" s="83"/>
      <c r="AE309" s="84"/>
    </row>
    <row r="310" ht="21.25" customHeight="1">
      <c r="A310" t="s" s="10">
        <v>300</v>
      </c>
      <c r="B310" t="s" s="86">
        <f>VLOOKUP(A310,'Player Data'!A1:B667,2,FALSE)</f>
        <v>129</v>
      </c>
      <c r="C310" s="74">
        <f>((E310)*'Settings'!$C$12)+(F310*'Settings'!$C$2)+(G310*'Settings'!$C$3)+(H310*'Settings'!$C$4)+(I310*'Settings'!$C$5)+(K310*'Settings'!$C$9)+(N310*'Settings'!$C$6)+(J310*'Settings'!$C$8)+(O310*'Settings'!$C$7)+(P310*'Settings'!$C$14)+(Q310*'Settings'!$C$15)+(R310*'Settings'!$C$16)+(S310*'Settings'!$C$17)+(T310*'Settings'!$C$18)+(U310*'Settings'!$C$19)+(L310*'Settings'!$C$10)+('Settings'!$C$11*M310)</f>
        <v>2.96080604127694</v>
      </c>
      <c r="D310" s="79">
        <f>IF('Settings'!$E$12="YES",VLOOKUP(A310,'Player Data'!A1:E667,5,FALSE),82)</f>
        <v>80.7525</v>
      </c>
      <c r="E310" s="77">
        <f>(VLOOKUP($A310,'The List'!$B1:$AH665,17,FALSE)-AVERAGE('The List'!R2:R665))/STDEV('The List'!R2:R665)</f>
        <v>1.03395651580923</v>
      </c>
      <c r="F310" s="77">
        <f>(VLOOKUP($A310,'The List'!$B1:$AH665,18,FALSE)-AVERAGE('The List'!S2:S665))/STDEV('The List'!S2:S665)</f>
        <v>-0.481884718459985</v>
      </c>
      <c r="G310" s="77">
        <f>(VLOOKUP($A310,'The List'!$B1:$AH665,19,FALSE)-AVERAGE('The List'!T2:T665))/STDEV('The List'!T2:T665)</f>
        <v>0.00259201189218433</v>
      </c>
      <c r="H310" s="77">
        <f>(VLOOKUP($A310,'The List'!$B1:$AH665,20,FALSE)-AVERAGE('The List'!U2:U665))/STDEV('The List'!U2:U665)</f>
        <v>-0.2174297252304</v>
      </c>
      <c r="I310" s="77">
        <f>(VLOOKUP($A310,'The List'!$B1:$AH665,21,FALSE)-AVERAGE('The List'!V2:V665))/STDEV('The List'!V2:V665)</f>
        <v>0.544207212595063</v>
      </c>
      <c r="J310" s="77">
        <f>(VLOOKUP($A310,'The List'!$B1:$AH665,22,FALSE)-AVERAGE('The List'!W2:W665))/STDEV('The List'!W2:W665)</f>
        <v>-0.627530231235761</v>
      </c>
      <c r="K310" s="77">
        <f>(VLOOKUP($A310,'The List'!$B1:$AH665,23,FALSE)-AVERAGE('The List'!X2:X665))/STDEV('The List'!X2:X665)</f>
        <v>-0.484150098417485</v>
      </c>
      <c r="L310" s="77">
        <f>(VLOOKUP($A310,'The List'!$B1:$AH665,24,FALSE)-AVERAGE('The List'!Y2:Y665))/STDEV('The List'!Y2:Y665)</f>
        <v>1.42917032526653</v>
      </c>
      <c r="M310" s="77">
        <f>(VLOOKUP($A310,'The List'!$B1:$AH665,25,FALSE)-AVERAGE('The List'!Z2:Z665))/STDEV('The List'!Z2:Z665)</f>
        <v>0.710841338395086</v>
      </c>
      <c r="N310" s="77">
        <f>(VLOOKUP($A310,'The List'!$B1:$AH665,26,FALSE)-AVERAGE('The List'!AA2:AA665))/STDEV('The List'!AA2:AA665)</f>
        <v>1.97507592004294</v>
      </c>
      <c r="O310" s="77">
        <f>(VLOOKUP($A310,'The List'!$B1:$AH665,27,FALSE)-AVERAGE('The List'!AB2:AB665))/STDEV('The List'!AB2:AB665)</f>
        <v>1.11677675873167</v>
      </c>
      <c r="P310" s="77">
        <f>(VLOOKUP($A310,'The List'!$B1:$AH665,28,FALSE)-AVERAGE('The List'!AC2:AC665))/STDEV('The List'!AC2:AC665)</f>
        <v>1.40496571362422</v>
      </c>
      <c r="Q310" s="77">
        <f>(VLOOKUP($A310,'The List'!$B1:$AH665,29,FALSE)-AVERAGE('The List'!AD2:AD665))/STDEV('The List'!AD2:AD665)</f>
        <v>1.44549892387585</v>
      </c>
      <c r="R310" s="77">
        <f>(VLOOKUP($A310,'The List'!$B1:$AH665,30,FALSE)-AVERAGE('The List'!AE2:AE665))/STDEV('The List'!AE2:AE665)</f>
        <v>-0.392378075466919</v>
      </c>
      <c r="S310" s="77">
        <f>(VLOOKUP($A310,'The List'!$B1:$AH665,31,FALSE)-AVERAGE('The List'!AF2:AF665))/STDEV('The List'!AF2:AF665)</f>
        <v>-0.573894410680004</v>
      </c>
      <c r="T310" s="77">
        <f>(VLOOKUP($A310,'The List'!$B1:$AH665,32,FALSE)-AVERAGE('The List'!AG2:AG665))/STDEV('The List'!AG2:AG665)</f>
        <v>-0.625770787132651</v>
      </c>
      <c r="U310" s="77">
        <f>(VLOOKUP($A310,'The List'!$B1:$AH665,33,FALSE)-AVERAGE('The List'!AH2:AH665))/STDEV('The List'!AH2:AH665)</f>
        <v>-1.23143509451486</v>
      </c>
      <c r="V310" s="77"/>
      <c r="W310" s="89"/>
      <c r="X310" s="79"/>
      <c r="Y310" s="79"/>
      <c r="Z310" s="79"/>
      <c r="AA310" s="79"/>
      <c r="AB310" s="79"/>
      <c r="AC310" s="82"/>
      <c r="AD310" s="83"/>
      <c r="AE310" s="84"/>
    </row>
    <row r="311" ht="21.25" customHeight="1">
      <c r="A311" t="s" s="10">
        <v>718</v>
      </c>
      <c r="B311" t="s" s="86">
        <f>VLOOKUP(A311,'Player Data'!A1:B667,2,FALSE)</f>
        <v>192</v>
      </c>
      <c r="C311" s="74">
        <f>((E311)*'Settings'!$C$12)+(F311*'Settings'!$C$2)+(G311*'Settings'!$C$3)+(H311*'Settings'!$C$4)+(I311*'Settings'!$C$5)+(K311*'Settings'!$C$9)+(N311*'Settings'!$C$6)+(J311*'Settings'!$C$8)+(O311*'Settings'!$C$7)+(P311*'Settings'!$C$14)+(Q311*'Settings'!$C$15)+(R311*'Settings'!$C$16)+(S311*'Settings'!$C$17)+(T311*'Settings'!$C$18)+(U311*'Settings'!$C$19)+(L311*'Settings'!$C$10)+('Settings'!$C$11*M311)</f>
        <v>-2.66342888122872</v>
      </c>
      <c r="D311" s="79">
        <f>IF('Settings'!$E$12="YES",VLOOKUP(A311,'Player Data'!A1:E667,5,FALSE),82)</f>
        <v>73.12</v>
      </c>
      <c r="E311" s="77">
        <f>(VLOOKUP($A311,'The List'!$B1:$AH665,17,FALSE)-AVERAGE('The List'!R2:R665))/STDEV('The List'!R2:R665)</f>
        <v>-0.654443647383499</v>
      </c>
      <c r="F311" s="77">
        <f>(VLOOKUP($A311,'The List'!$B1:$AH665,18,FALSE)-AVERAGE('The List'!S2:S665))/STDEV('The List'!S2:S665)</f>
        <v>-0.538497701603054</v>
      </c>
      <c r="G311" s="77">
        <f>(VLOOKUP($A311,'The List'!$B1:$AH665,19,FALSE)-AVERAGE('The List'!T2:T665))/STDEV('The List'!T2:T665)</f>
        <v>-0.178813021621182</v>
      </c>
      <c r="H311" s="77">
        <f>(VLOOKUP($A311,'The List'!$B1:$AH665,20,FALSE)-AVERAGE('The List'!U2:U665))/STDEV('The List'!U2:U665)</f>
        <v>-0.355825742974734</v>
      </c>
      <c r="I311" s="77">
        <f>(VLOOKUP($A311,'The List'!$B1:$AH665,21,FALSE)-AVERAGE('The List'!V2:V665))/STDEV('The List'!V2:V665)</f>
        <v>-0.313436066274451</v>
      </c>
      <c r="J311" s="77">
        <f>(VLOOKUP($A311,'The List'!$B1:$AH665,22,FALSE)-AVERAGE('The List'!W2:W665))/STDEV('The List'!W2:W665)</f>
        <v>-0.69083191428488</v>
      </c>
      <c r="K311" s="77">
        <f>(VLOOKUP($A311,'The List'!$B1:$AH665,23,FALSE)-AVERAGE('The List'!X2:X665))/STDEV('The List'!X2:X665)</f>
        <v>-0.776995420041559</v>
      </c>
      <c r="L311" s="77">
        <f>(VLOOKUP($A311,'The List'!$B1:$AH665,24,FALSE)-AVERAGE('The List'!Y2:Y665))/STDEV('The List'!Y2:Y665)</f>
        <v>-0.200668124699386</v>
      </c>
      <c r="M311" s="77">
        <f>(VLOOKUP($A311,'The List'!$B1:$AH665,25,FALSE)-AVERAGE('The List'!Z2:Z665))/STDEV('The List'!Z2:Z665)</f>
        <v>0.599602379792214</v>
      </c>
      <c r="N311" s="77">
        <f>(VLOOKUP($A311,'The List'!$B1:$AH665,26,FALSE)-AVERAGE('The List'!AA2:AA665))/STDEV('The List'!AA2:AA665)</f>
        <v>-0.501555180412293</v>
      </c>
      <c r="O311" s="77">
        <f>(VLOOKUP($A311,'The List'!$B1:$AH665,27,FALSE)-AVERAGE('The List'!AB2:AB665))/STDEV('The List'!AB2:AB665)</f>
        <v>-0.970896012832189</v>
      </c>
      <c r="P311" s="77">
        <f>(VLOOKUP($A311,'The List'!$B1:$AH665,28,FALSE)-AVERAGE('The List'!AC2:AC665))/STDEV('The List'!AC2:AC665)</f>
        <v>-0.354131491276176</v>
      </c>
      <c r="Q311" s="77">
        <f>(VLOOKUP($A311,'The List'!$B1:$AH665,29,FALSE)-AVERAGE('The List'!AD2:AD665))/STDEV('The List'!AD2:AD665)</f>
        <v>-1.29396051128468</v>
      </c>
      <c r="R311" s="77">
        <f>(VLOOKUP($A311,'The List'!$B1:$AH665,30,FALSE)-AVERAGE('The List'!AE2:AE665))/STDEV('The List'!AE2:AE665)</f>
        <v>-0.550872521350674</v>
      </c>
      <c r="S311" s="77">
        <f>(VLOOKUP($A311,'The List'!$B1:$AH665,31,FALSE)-AVERAGE('The List'!AF2:AF665))/STDEV('The List'!AF2:AF665)</f>
        <v>-0.355128318986994</v>
      </c>
      <c r="T311" s="77">
        <f>(VLOOKUP($A311,'The List'!$B1:$AH665,32,FALSE)-AVERAGE('The List'!AG2:AG665))/STDEV('The List'!AG2:AG665)</f>
        <v>-0.256738076875516</v>
      </c>
      <c r="U311" s="77">
        <f>(VLOOKUP($A311,'The List'!$B1:$AH665,33,FALSE)-AVERAGE('The List'!AH2:AH665))/STDEV('The List'!AH2:AH665)</f>
        <v>0.52152469750442</v>
      </c>
      <c r="V311" s="77"/>
      <c r="W311" s="79"/>
      <c r="X311" s="77"/>
      <c r="Y311" s="77"/>
      <c r="Z311" s="77"/>
      <c r="AA311" s="77"/>
      <c r="AB311" s="77"/>
      <c r="AC311" s="77"/>
      <c r="AD311" s="77"/>
      <c r="AE311" s="84"/>
    </row>
    <row r="312" ht="21.25" customHeight="1">
      <c r="A312" t="s" s="10">
        <v>313</v>
      </c>
      <c r="B312" t="s" s="86">
        <f>VLOOKUP(A312,'Player Data'!A1:B667,2,FALSE)</f>
        <v>906</v>
      </c>
      <c r="C312" s="74">
        <f>((E312)*'Settings'!$C$12)+(F312*'Settings'!$C$2)+(G312*'Settings'!$C$3)+(H312*'Settings'!$C$4)+(I312*'Settings'!$C$5)+(K312*'Settings'!$C$9)+(N312*'Settings'!$C$6)+(J312*'Settings'!$C$8)+(O312*'Settings'!$C$7)+(P312*'Settings'!$C$14)+(Q312*'Settings'!$C$15)+(R312*'Settings'!$C$16)+(S312*'Settings'!$C$17)+(T312*'Settings'!$C$18)+(U312*'Settings'!$C$19)+(L312*'Settings'!$C$10)+('Settings'!$C$11*M312)</f>
        <v>0.81304904332919</v>
      </c>
      <c r="D312" s="79">
        <f>IF('Settings'!$E$12="YES",VLOOKUP(A312,'Player Data'!A1:E667,5,FALSE),82)</f>
        <v>81.53</v>
      </c>
      <c r="E312" s="77">
        <f>(VLOOKUP($A312,'The List'!$B1:$AH665,17,FALSE)-AVERAGE('The List'!R2:R665))/STDEV('The List'!R2:R665)</f>
        <v>1.11246597168495</v>
      </c>
      <c r="F312" s="77">
        <f>(VLOOKUP($A312,'The List'!$B1:$AH665,18,FALSE)-AVERAGE('The List'!S2:S665))/STDEV('The List'!S2:S665)</f>
        <v>-0.742741679977433</v>
      </c>
      <c r="G312" s="77">
        <f>(VLOOKUP($A312,'The List'!$B1:$AH665,19,FALSE)-AVERAGE('The List'!T2:T665))/STDEV('The List'!T2:T665)</f>
        <v>0.203610708262535</v>
      </c>
      <c r="H312" s="77">
        <f>(VLOOKUP($A312,'The List'!$B1:$AH665,20,FALSE)-AVERAGE('The List'!U2:U665))/STDEV('The List'!U2:U665)</f>
        <v>-0.211157700418601</v>
      </c>
      <c r="I312" s="77">
        <f>(VLOOKUP($A312,'The List'!$B1:$AH665,21,FALSE)-AVERAGE('The List'!V2:V665))/STDEV('The List'!V2:V665)</f>
        <v>0.0809547165600514</v>
      </c>
      <c r="J312" s="77">
        <f>(VLOOKUP($A312,'The List'!$B1:$AH665,22,FALSE)-AVERAGE('The List'!W2:W665))/STDEV('The List'!W2:W665)</f>
        <v>-0.486078941736176</v>
      </c>
      <c r="K312" s="77">
        <f>(VLOOKUP($A312,'The List'!$B1:$AH665,23,FALSE)-AVERAGE('The List'!X2:X665))/STDEV('The List'!X2:X665)</f>
        <v>-0.124545803224068</v>
      </c>
      <c r="L312" s="77">
        <f>(VLOOKUP($A312,'The List'!$B1:$AH665,24,FALSE)-AVERAGE('The List'!Y2:Y665))/STDEV('The List'!Y2:Y665)</f>
        <v>-0.521529388971445</v>
      </c>
      <c r="M312" s="77">
        <f>(VLOOKUP($A312,'The List'!$B1:$AH665,25,FALSE)-AVERAGE('The List'!Z2:Z665))/STDEV('The List'!Z2:Z665)</f>
        <v>-0.313714127721181</v>
      </c>
      <c r="N312" s="77">
        <f>(VLOOKUP($A312,'The List'!$B1:$AH665,26,FALSE)-AVERAGE('The List'!AA2:AA665))/STDEV('The List'!AA2:AA665)</f>
        <v>1.31905357764103</v>
      </c>
      <c r="O312" s="77">
        <f>(VLOOKUP($A312,'The List'!$B1:$AH665,27,FALSE)-AVERAGE('The List'!AB2:AB665))/STDEV('The List'!AB2:AB665)</f>
        <v>2.00166791376768</v>
      </c>
      <c r="P312" s="77">
        <f>(VLOOKUP($A312,'The List'!$B1:$AH665,28,FALSE)-AVERAGE('The List'!AC2:AC665))/STDEV('The List'!AC2:AC665)</f>
        <v>0.07671752406707461</v>
      </c>
      <c r="Q312" s="77">
        <f>(VLOOKUP($A312,'The List'!$B1:$AH665,29,FALSE)-AVERAGE('The List'!AD2:AD665))/STDEV('The List'!AD2:AD665)</f>
        <v>1.28864570792167</v>
      </c>
      <c r="R312" s="77">
        <f>(VLOOKUP($A312,'The List'!$B1:$AH665,30,FALSE)-AVERAGE('The List'!AE2:AE665))/STDEV('The List'!AE2:AE665)</f>
        <v>-0.644730402063334</v>
      </c>
      <c r="S312" s="77">
        <f>(VLOOKUP($A312,'The List'!$B1:$AH665,31,FALSE)-AVERAGE('The List'!AF2:AF665))/STDEV('The List'!AF2:AF665)</f>
        <v>-0.573894410680004</v>
      </c>
      <c r="T312" s="77">
        <f>(VLOOKUP($A312,'The List'!$B1:$AH665,32,FALSE)-AVERAGE('The List'!AG2:AG665))/STDEV('The List'!AG2:AG665)</f>
        <v>-0.625770787132651</v>
      </c>
      <c r="U312" s="77">
        <f>(VLOOKUP($A312,'The List'!$B1:$AH665,33,FALSE)-AVERAGE('The List'!AH2:AH665))/STDEV('The List'!AH2:AH665)</f>
        <v>-1.23143509451486</v>
      </c>
      <c r="V312" s="77"/>
      <c r="W312" s="89"/>
      <c r="X312" s="79"/>
      <c r="Y312" s="79"/>
      <c r="Z312" s="79"/>
      <c r="AA312" s="79"/>
      <c r="AB312" s="79"/>
      <c r="AC312" s="82"/>
      <c r="AD312" s="83"/>
      <c r="AE312" s="84"/>
    </row>
    <row r="313" ht="21.25" customHeight="1">
      <c r="A313" t="s" s="10">
        <v>659</v>
      </c>
      <c r="B313" t="s" s="86">
        <f>VLOOKUP(A313,'Player Data'!A1:B667,2,FALSE)</f>
        <v>910</v>
      </c>
      <c r="C313" s="74">
        <f>((E313)*'Settings'!$C$12)+(F313*'Settings'!$C$2)+(G313*'Settings'!$C$3)+(H313*'Settings'!$C$4)+(I313*'Settings'!$C$5)+(K313*'Settings'!$C$9)+(N313*'Settings'!$C$6)+(J313*'Settings'!$C$8)+(O313*'Settings'!$C$7)+(P313*'Settings'!$C$14)+(Q313*'Settings'!$C$15)+(R313*'Settings'!$C$16)+(S313*'Settings'!$C$17)+(T313*'Settings'!$C$18)+(U313*'Settings'!$C$19)+(L313*'Settings'!$C$10)+('Settings'!$C$11*M313)</f>
        <v>-1.39413725649047</v>
      </c>
      <c r="D313" s="79">
        <f>IF('Settings'!$E$12="YES",VLOOKUP(A313,'Player Data'!A1:E667,5,FALSE),82)</f>
        <v>63.235</v>
      </c>
      <c r="E313" s="77">
        <f>(VLOOKUP($A313,'The List'!$B1:$AH665,17,FALSE)-AVERAGE('The List'!R2:R665))/STDEV('The List'!R2:R665)</f>
        <v>1.09184713211899</v>
      </c>
      <c r="F313" s="77">
        <f>(VLOOKUP($A313,'The List'!$B1:$AH665,18,FALSE)-AVERAGE('The List'!S2:S665))/STDEV('The List'!S2:S665)</f>
        <v>-0.834003954027504</v>
      </c>
      <c r="G313" s="77">
        <f>(VLOOKUP($A313,'The List'!$B1:$AH665,19,FALSE)-AVERAGE('The List'!T2:T665))/STDEV('The List'!T2:T665)</f>
        <v>-0.164918512887359</v>
      </c>
      <c r="H313" s="77">
        <f>(VLOOKUP($A313,'The List'!$B1:$AH665,20,FALSE)-AVERAGE('The List'!U2:U665))/STDEV('The List'!U2:U665)</f>
        <v>-0.481518110055614</v>
      </c>
      <c r="I313" s="77">
        <f>(VLOOKUP($A313,'The List'!$B1:$AH665,21,FALSE)-AVERAGE('The List'!V2:V665))/STDEV('The List'!V2:V665)</f>
        <v>-0.367035185402987</v>
      </c>
      <c r="J313" s="77">
        <f>(VLOOKUP($A313,'The List'!$B1:$AH665,22,FALSE)-AVERAGE('The List'!W2:W665))/STDEV('The List'!W2:W665)</f>
        <v>-0.430923337435349</v>
      </c>
      <c r="K313" s="77">
        <f>(VLOOKUP($A313,'The List'!$B1:$AH665,23,FALSE)-AVERAGE('The List'!X2:X665))/STDEV('The List'!X2:X665)</f>
        <v>0.08818624314266089</v>
      </c>
      <c r="L313" s="77">
        <f>(VLOOKUP($A313,'The List'!$B1:$AH665,24,FALSE)-AVERAGE('The List'!Y2:Y665))/STDEV('The List'!Y2:Y665)</f>
        <v>-0.539972802658768</v>
      </c>
      <c r="M313" s="77">
        <f>(VLOOKUP($A313,'The List'!$B1:$AH665,25,FALSE)-AVERAGE('The List'!Z2:Z665))/STDEV('The List'!Z2:Z665)</f>
        <v>-0.189791103702906</v>
      </c>
      <c r="N313" s="77">
        <f>(VLOOKUP($A313,'The List'!$B1:$AH665,26,FALSE)-AVERAGE('The List'!AA2:AA665))/STDEV('The List'!AA2:AA665)</f>
        <v>0.478523906801316</v>
      </c>
      <c r="O313" s="77">
        <f>(VLOOKUP($A313,'The List'!$B1:$AH665,27,FALSE)-AVERAGE('The List'!AB2:AB665))/STDEV('The List'!AB2:AB665)</f>
        <v>-0.623152017713461</v>
      </c>
      <c r="P313" s="77">
        <f>(VLOOKUP($A313,'The List'!$B1:$AH665,28,FALSE)-AVERAGE('The List'!AC2:AC665))/STDEV('The List'!AC2:AC665)</f>
        <v>-0.5948897541165939</v>
      </c>
      <c r="Q313" s="77">
        <f>(VLOOKUP($A313,'The List'!$B1:$AH665,29,FALSE)-AVERAGE('The List'!AD2:AD665))/STDEV('The List'!AD2:AD665)</f>
        <v>-0.899191010290546</v>
      </c>
      <c r="R313" s="77">
        <f>(VLOOKUP($A313,'The List'!$B1:$AH665,30,FALSE)-AVERAGE('The List'!AE2:AE665))/STDEV('The List'!AE2:AE665)</f>
        <v>-0.810310928259373</v>
      </c>
      <c r="S313" s="77">
        <f>(VLOOKUP($A313,'The List'!$B1:$AH665,31,FALSE)-AVERAGE('The List'!AF2:AF665))/STDEV('The List'!AF2:AF665)</f>
        <v>-0.573894410680004</v>
      </c>
      <c r="T313" s="77">
        <f>(VLOOKUP($A313,'The List'!$B1:$AH665,32,FALSE)-AVERAGE('The List'!AG2:AG665))/STDEV('The List'!AG2:AG665)</f>
        <v>-0.625770787132651</v>
      </c>
      <c r="U313" s="77">
        <f>(VLOOKUP($A313,'The List'!$B1:$AH665,33,FALSE)-AVERAGE('The List'!AH2:AH665))/STDEV('The List'!AH2:AH665)</f>
        <v>-1.23143509451486</v>
      </c>
      <c r="V313" s="77"/>
      <c r="W313" s="89"/>
      <c r="X313" s="79"/>
      <c r="Y313" s="79"/>
      <c r="Z313" s="79"/>
      <c r="AA313" s="79"/>
      <c r="AB313" s="79"/>
      <c r="AC313" s="82"/>
      <c r="AD313" s="83"/>
      <c r="AE313" s="84"/>
    </row>
    <row r="314" ht="21.25" customHeight="1">
      <c r="A314" t="s" s="10">
        <v>391</v>
      </c>
      <c r="B314" t="s" s="86">
        <f>VLOOKUP(A314,'Player Data'!A1:B667,2,FALSE)</f>
        <v>906</v>
      </c>
      <c r="C314" s="74">
        <f>((E314)*'Settings'!$C$12)+(F314*'Settings'!$C$2)+(G314*'Settings'!$C$3)+(H314*'Settings'!$C$4)+(I314*'Settings'!$C$5)+(K314*'Settings'!$C$9)+(N314*'Settings'!$C$6)+(J314*'Settings'!$C$8)+(O314*'Settings'!$C$7)+(P314*'Settings'!$C$14)+(Q314*'Settings'!$C$15)+(R314*'Settings'!$C$16)+(S314*'Settings'!$C$17)+(T314*'Settings'!$C$18)+(U314*'Settings'!$C$19)+(L314*'Settings'!$C$10)+('Settings'!$C$11*M314)</f>
        <v>-0.69061584332697</v>
      </c>
      <c r="D314" s="79">
        <f>IF('Settings'!$E$12="YES",VLOOKUP(A314,'Player Data'!A1:E667,5,FALSE),82)</f>
        <v>81.55249999999999</v>
      </c>
      <c r="E314" s="77">
        <f>(VLOOKUP($A314,'The List'!$B1:$AH665,17,FALSE)-AVERAGE('The List'!R2:R665))/STDEV('The List'!R2:R665)</f>
        <v>-0.152679007130089</v>
      </c>
      <c r="F314" s="77">
        <f>(VLOOKUP($A314,'The List'!$B1:$AH665,18,FALSE)-AVERAGE('The List'!S2:S665))/STDEV('The List'!S2:S665)</f>
        <v>-0.1091254552928</v>
      </c>
      <c r="G314" s="77">
        <f>(VLOOKUP($A314,'The List'!$B1:$AH665,19,FALSE)-AVERAGE('The List'!T2:T665))/STDEV('The List'!T2:T665)</f>
        <v>-0.27027462728743</v>
      </c>
      <c r="H314" s="77">
        <f>(VLOOKUP($A314,'The List'!$B1:$AH665,20,FALSE)-AVERAGE('The List'!U2:U665))/STDEV('The List'!U2:U665)</f>
        <v>-0.217458447157899</v>
      </c>
      <c r="I314" s="77">
        <f>(VLOOKUP($A314,'The List'!$B1:$AH665,21,FALSE)-AVERAGE('The List'!V2:V665))/STDEV('The List'!V2:V665)</f>
        <v>-0.170883820130717</v>
      </c>
      <c r="J314" s="77">
        <f>(VLOOKUP($A314,'The List'!$B1:$AH665,22,FALSE)-AVERAGE('The List'!W2:W665))/STDEV('The List'!W2:W665)</f>
        <v>-0.680428122329208</v>
      </c>
      <c r="K314" s="77">
        <f>(VLOOKUP($A314,'The List'!$B1:$AH665,23,FALSE)-AVERAGE('The List'!X2:X665))/STDEV('The List'!X2:X665)</f>
        <v>-0.703762645687713</v>
      </c>
      <c r="L314" s="77">
        <f>(VLOOKUP($A314,'The List'!$B1:$AH665,24,FALSE)-AVERAGE('The List'!Y2:Y665))/STDEV('The List'!Y2:Y665)</f>
        <v>1.72927498339404</v>
      </c>
      <c r="M314" s="77">
        <f>(VLOOKUP($A314,'The List'!$B1:$AH665,25,FALSE)-AVERAGE('The List'!Z2:Z665))/STDEV('The List'!Z2:Z665)</f>
        <v>1.89178647223406</v>
      </c>
      <c r="N314" s="77">
        <f>(VLOOKUP($A314,'The List'!$B1:$AH665,26,FALSE)-AVERAGE('The List'!AA2:AA665))/STDEV('The List'!AA2:AA665)</f>
        <v>-0.137760870640585</v>
      </c>
      <c r="O314" s="77">
        <f>(VLOOKUP($A314,'The List'!$B1:$AH665,27,FALSE)-AVERAGE('The List'!AB2:AB665))/STDEV('The List'!AB2:AB665)</f>
        <v>1.65013467081347</v>
      </c>
      <c r="P314" s="77">
        <f>(VLOOKUP($A314,'The List'!$B1:$AH665,28,FALSE)-AVERAGE('The List'!AC2:AC665))/STDEV('The List'!AC2:AC665)</f>
        <v>0.701191575712275</v>
      </c>
      <c r="Q314" s="77">
        <f>(VLOOKUP($A314,'The List'!$B1:$AH665,29,FALSE)-AVERAGE('The List'!AD2:AD665))/STDEV('The List'!AD2:AD665)</f>
        <v>1.29921302619792</v>
      </c>
      <c r="R314" s="77">
        <f>(VLOOKUP($A314,'The List'!$B1:$AH665,30,FALSE)-AVERAGE('The List'!AE2:AE665))/STDEV('The List'!AE2:AE665)</f>
        <v>0.0313097973276839</v>
      </c>
      <c r="S314" s="77">
        <f>(VLOOKUP($A314,'The List'!$B1:$AH665,31,FALSE)-AVERAGE('The List'!AF2:AF665))/STDEV('The List'!AF2:AF665)</f>
        <v>2.6983348874918</v>
      </c>
      <c r="T314" s="77">
        <f>(VLOOKUP($A314,'The List'!$B1:$AH665,32,FALSE)-AVERAGE('The List'!AG2:AG665))/STDEV('The List'!AG2:AG665)</f>
        <v>2.79699098037572</v>
      </c>
      <c r="U314" s="77">
        <f>(VLOOKUP($A314,'The List'!$B1:$AH665,33,FALSE)-AVERAGE('The List'!AH2:AH665))/STDEV('The List'!AH2:AH665)</f>
        <v>1.05404776439449</v>
      </c>
      <c r="V314" s="77"/>
      <c r="W314" s="89"/>
      <c r="X314" s="79"/>
      <c r="Y314" s="79"/>
      <c r="Z314" s="79"/>
      <c r="AA314" s="79"/>
      <c r="AB314" s="79"/>
      <c r="AC314" s="82"/>
      <c r="AD314" s="83"/>
      <c r="AE314" s="84"/>
    </row>
    <row r="315" ht="21.25" customHeight="1">
      <c r="A315" t="s" s="10">
        <v>713</v>
      </c>
      <c r="B315" t="s" s="86">
        <f>VLOOKUP(A315,'Player Data'!A1:B667,2,FALSE)</f>
        <v>259</v>
      </c>
      <c r="C315" s="74">
        <f>((E315)*'Settings'!$C$12)+(F315*'Settings'!$C$2)+(G315*'Settings'!$C$3)+(H315*'Settings'!$C$4)+(I315*'Settings'!$C$5)+(K315*'Settings'!$C$9)+(N315*'Settings'!$C$6)+(J315*'Settings'!$C$8)+(O315*'Settings'!$C$7)+(P315*'Settings'!$C$14)+(Q315*'Settings'!$C$15)+(R315*'Settings'!$C$16)+(S315*'Settings'!$C$17)+(T315*'Settings'!$C$18)+(U315*'Settings'!$C$19)+(L315*'Settings'!$C$10)+('Settings'!$C$11*M315)</f>
        <v>-2.06119397445176</v>
      </c>
      <c r="D315" s="79">
        <f>IF('Settings'!$E$12="YES",VLOOKUP(A315,'Player Data'!A1:E667,5,FALSE),82)</f>
        <v>69.58</v>
      </c>
      <c r="E315" s="77">
        <f>(VLOOKUP($A315,'The List'!$B1:$AH665,17,FALSE)-AVERAGE('The List'!R2:R665))/STDEV('The List'!R2:R665)</f>
        <v>-1.13660701820145</v>
      </c>
      <c r="F315" s="77">
        <f>(VLOOKUP($A315,'The List'!$B1:$AH665,18,FALSE)-AVERAGE('The List'!S2:S665))/STDEV('The List'!S2:S665)</f>
        <v>-0.490407116142598</v>
      </c>
      <c r="G315" s="77">
        <f>(VLOOKUP($A315,'The List'!$B1:$AH665,19,FALSE)-AVERAGE('The List'!T2:T665))/STDEV('The List'!T2:T665)</f>
        <v>-0.360294060428774</v>
      </c>
      <c r="H315" s="77">
        <f>(VLOOKUP($A315,'The List'!$B1:$AH665,20,FALSE)-AVERAGE('The List'!U2:U665))/STDEV('The List'!U2:U665)</f>
        <v>-0.446676215390</v>
      </c>
      <c r="I315" s="77">
        <f>(VLOOKUP($A315,'The List'!$B1:$AH665,21,FALSE)-AVERAGE('The List'!V2:V665))/STDEV('The List'!V2:V665)</f>
        <v>-0.295429091120563</v>
      </c>
      <c r="J315" s="77">
        <f>(VLOOKUP($A315,'The List'!$B1:$AH665,22,FALSE)-AVERAGE('The List'!W2:W665))/STDEV('The List'!W2:W665)</f>
        <v>-0.609847262585859</v>
      </c>
      <c r="K315" s="77">
        <f>(VLOOKUP($A315,'The List'!$B1:$AH665,23,FALSE)-AVERAGE('The List'!X2:X665))/STDEV('The List'!X2:X665)</f>
        <v>-0.629174969266677</v>
      </c>
      <c r="L315" s="77">
        <f>(VLOOKUP($A315,'The List'!$B1:$AH665,24,FALSE)-AVERAGE('The List'!Y2:Y665))/STDEV('The List'!Y2:Y665)</f>
        <v>-0.580182913902084</v>
      </c>
      <c r="M315" s="77">
        <f>(VLOOKUP($A315,'The List'!$B1:$AH665,25,FALSE)-AVERAGE('The List'!Z2:Z665))/STDEV('The List'!Z2:Z665)</f>
        <v>-0.754036664989997</v>
      </c>
      <c r="N315" s="77">
        <f>(VLOOKUP($A315,'The List'!$B1:$AH665,26,FALSE)-AVERAGE('The List'!AA2:AA665))/STDEV('The List'!AA2:AA665)</f>
        <v>-0.476258940242809</v>
      </c>
      <c r="O315" s="77">
        <f>(VLOOKUP($A315,'The List'!$B1:$AH665,27,FALSE)-AVERAGE('The List'!AB2:AB665))/STDEV('The List'!AB2:AB665)</f>
        <v>-0.530025929427235</v>
      </c>
      <c r="P315" s="77">
        <f>(VLOOKUP($A315,'The List'!$B1:$AH665,28,FALSE)-AVERAGE('The List'!AC2:AC665))/STDEV('The List'!AC2:AC665)</f>
        <v>0.190370202749666</v>
      </c>
      <c r="Q315" s="77">
        <f>(VLOOKUP($A315,'The List'!$B1:$AH665,29,FALSE)-AVERAGE('The List'!AD2:AD665))/STDEV('The List'!AD2:AD665)</f>
        <v>-1.13657236964369</v>
      </c>
      <c r="R315" s="77">
        <f>(VLOOKUP($A315,'The List'!$B1:$AH665,30,FALSE)-AVERAGE('The List'!AE2:AE665))/STDEV('The List'!AE2:AE665)</f>
        <v>-0.472812734621889</v>
      </c>
      <c r="S315" s="77">
        <f>(VLOOKUP($A315,'The List'!$B1:$AH665,31,FALSE)-AVERAGE('The List'!AF2:AF665))/STDEV('The List'!AF2:AF665)</f>
        <v>-0.566995180597902</v>
      </c>
      <c r="T315" s="77">
        <f>(VLOOKUP($A315,'The List'!$B1:$AH665,32,FALSE)-AVERAGE('The List'!AG2:AG665))/STDEV('The List'!AG2:AG665)</f>
        <v>-0.603466630886737</v>
      </c>
      <c r="U315" s="77">
        <f>(VLOOKUP($A315,'The List'!$B1:$AH665,33,FALSE)-AVERAGE('The List'!AH2:AH665))/STDEV('The List'!AH2:AH665)</f>
        <v>-0.109225644428618</v>
      </c>
      <c r="V315" s="77"/>
      <c r="W315" s="79"/>
      <c r="X315" s="77"/>
      <c r="Y315" s="77"/>
      <c r="Z315" s="77"/>
      <c r="AA315" s="77"/>
      <c r="AB315" s="77"/>
      <c r="AC315" s="77"/>
      <c r="AD315" s="77"/>
      <c r="AE315" s="84"/>
    </row>
    <row r="316" ht="21.25" customHeight="1">
      <c r="A316" t="s" s="10">
        <v>484</v>
      </c>
      <c r="B316" t="s" s="86">
        <f>VLOOKUP(A316,'Player Data'!A1:B667,2,FALSE)</f>
        <v>342</v>
      </c>
      <c r="C316" s="74">
        <f>((E316)*'Settings'!$C$12)+(F316*'Settings'!$C$2)+(G316*'Settings'!$C$3)+(H316*'Settings'!$C$4)+(I316*'Settings'!$C$5)+(K316*'Settings'!$C$9)+(N316*'Settings'!$C$6)+(J316*'Settings'!$C$8)+(O316*'Settings'!$C$7)+(P316*'Settings'!$C$14)+(Q316*'Settings'!$C$15)+(R316*'Settings'!$C$16)+(S316*'Settings'!$C$17)+(T316*'Settings'!$C$18)+(U316*'Settings'!$C$19)+(L316*'Settings'!$C$10)+('Settings'!$C$11*M316)</f>
        <v>0.621841982396047</v>
      </c>
      <c r="D316" s="79">
        <f>IF('Settings'!$E$12="YES",VLOOKUP(A316,'Player Data'!A1:E667,5,FALSE),82)</f>
        <v>79.23</v>
      </c>
      <c r="E316" s="77">
        <f>(VLOOKUP($A316,'The List'!$B1:$AH665,17,FALSE)-AVERAGE('The List'!R2:R665))/STDEV('The List'!R2:R665)</f>
        <v>0.898608380680554</v>
      </c>
      <c r="F316" s="77">
        <f>(VLOOKUP($A316,'The List'!$B1:$AH665,18,FALSE)-AVERAGE('The List'!S2:S665))/STDEV('The List'!S2:S665)</f>
        <v>-0.606549851221696</v>
      </c>
      <c r="G316" s="77">
        <f>(VLOOKUP($A316,'The List'!$B1:$AH665,19,FALSE)-AVERAGE('The List'!T2:T665))/STDEV('The List'!T2:T665)</f>
        <v>-0.00938526512169729</v>
      </c>
      <c r="H316" s="77">
        <f>(VLOOKUP($A316,'The List'!$B1:$AH665,20,FALSE)-AVERAGE('The List'!U2:U665))/STDEV('The List'!U2:U665)</f>
        <v>-0.28153451636534</v>
      </c>
      <c r="I316" s="77">
        <f>(VLOOKUP($A316,'The List'!$B1:$AH665,21,FALSE)-AVERAGE('The List'!V2:V665))/STDEV('The List'!V2:V665)</f>
        <v>0.0121705977502523</v>
      </c>
      <c r="J316" s="77">
        <f>(VLOOKUP($A316,'The List'!$B1:$AH665,22,FALSE)-AVERAGE('The List'!W2:W665))/STDEV('The List'!W2:W665)</f>
        <v>-0.643373791309496</v>
      </c>
      <c r="K316" s="77">
        <f>(VLOOKUP($A316,'The List'!$B1:$AH665,23,FALSE)-AVERAGE('The List'!X2:X665))/STDEV('The List'!X2:X665)</f>
        <v>-0.563770036890793</v>
      </c>
      <c r="L316" s="77">
        <f>(VLOOKUP($A316,'The List'!$B1:$AH665,24,FALSE)-AVERAGE('The List'!Y2:Y665))/STDEV('The List'!Y2:Y665)</f>
        <v>-0.550249106694896</v>
      </c>
      <c r="M316" s="77">
        <f>(VLOOKUP($A316,'The List'!$B1:$AH665,25,FALSE)-AVERAGE('The List'!Z2:Z665))/STDEV('The List'!Z2:Z665)</f>
        <v>-0.66341069183097</v>
      </c>
      <c r="N316" s="77">
        <f>(VLOOKUP($A316,'The List'!$B1:$AH665,26,FALSE)-AVERAGE('The List'!AA2:AA665))/STDEV('The List'!AA2:AA665)</f>
        <v>0.470100582587081</v>
      </c>
      <c r="O316" s="77">
        <f>(VLOOKUP($A316,'The List'!$B1:$AH665,27,FALSE)-AVERAGE('The List'!AB2:AB665))/STDEV('The List'!AB2:AB665)</f>
        <v>0.654028055195533</v>
      </c>
      <c r="P316" s="77">
        <f>(VLOOKUP($A316,'The List'!$B1:$AH665,28,FALSE)-AVERAGE('The List'!AC2:AC665))/STDEV('The List'!AC2:AC665)</f>
        <v>1.3192759552929</v>
      </c>
      <c r="Q316" s="77">
        <f>(VLOOKUP($A316,'The List'!$B1:$AH665,29,FALSE)-AVERAGE('The List'!AD2:AD665))/STDEV('The List'!AD2:AD665)</f>
        <v>0.0110137755138753</v>
      </c>
      <c r="R316" s="77">
        <f>(VLOOKUP($A316,'The List'!$B1:$AH665,30,FALSE)-AVERAGE('The List'!AE2:AE665))/STDEV('The List'!AE2:AE665)</f>
        <v>-0.466484819356164</v>
      </c>
      <c r="S316" s="77">
        <f>(VLOOKUP($A316,'The List'!$B1:$AH665,31,FALSE)-AVERAGE('The List'!AF2:AF665))/STDEV('The List'!AF2:AF665)</f>
        <v>-0.573894410680004</v>
      </c>
      <c r="T316" s="77">
        <f>(VLOOKUP($A316,'The List'!$B1:$AH665,32,FALSE)-AVERAGE('The List'!AG2:AG665))/STDEV('The List'!AG2:AG665)</f>
        <v>-0.625770787132651</v>
      </c>
      <c r="U316" s="77">
        <f>(VLOOKUP($A316,'The List'!$B1:$AH665,33,FALSE)-AVERAGE('The List'!AH2:AH665))/STDEV('The List'!AH2:AH665)</f>
        <v>-1.23143509451486</v>
      </c>
      <c r="V316" s="77"/>
      <c r="W316" s="79"/>
      <c r="X316" s="77"/>
      <c r="Y316" s="77"/>
      <c r="Z316" s="77"/>
      <c r="AA316" s="77"/>
      <c r="AB316" s="77"/>
      <c r="AC316" s="77"/>
      <c r="AD316" s="77"/>
      <c r="AE316" s="84"/>
    </row>
    <row r="317" ht="21.25" customHeight="1">
      <c r="A317" t="s" s="10">
        <v>614</v>
      </c>
      <c r="B317" t="s" s="86">
        <f>VLOOKUP(A317,'Player Data'!A1:B667,2,FALSE)</f>
        <v>907</v>
      </c>
      <c r="C317" s="74">
        <f>((E317)*'Settings'!$C$12)+(F317*'Settings'!$C$2)+(G317*'Settings'!$C$3)+(H317*'Settings'!$C$4)+(I317*'Settings'!$C$5)+(K317*'Settings'!$C$9)+(N317*'Settings'!$C$6)+(J317*'Settings'!$C$8)+(O317*'Settings'!$C$7)+(P317*'Settings'!$C$14)+(Q317*'Settings'!$C$15)+(R317*'Settings'!$C$16)+(S317*'Settings'!$C$17)+(T317*'Settings'!$C$18)+(U317*'Settings'!$C$19)+(L317*'Settings'!$C$10)+('Settings'!$C$11*M317)</f>
        <v>-2.54343250531732</v>
      </c>
      <c r="D317" s="79">
        <f>IF('Settings'!$E$12="YES",VLOOKUP(A317,'Player Data'!A1:E667,5,FALSE),82)</f>
        <v>75.38</v>
      </c>
      <c r="E317" s="77">
        <f>(VLOOKUP($A317,'The List'!$B1:$AH665,17,FALSE)-AVERAGE('The List'!R2:R665))/STDEV('The List'!R2:R665)</f>
        <v>-0.431318040644559</v>
      </c>
      <c r="F317" s="77">
        <f>(VLOOKUP($A317,'The List'!$B1:$AH665,18,FALSE)-AVERAGE('The List'!S2:S665))/STDEV('The List'!S2:S665)</f>
        <v>-0.423774807066953</v>
      </c>
      <c r="G317" s="77">
        <f>(VLOOKUP($A317,'The List'!$B1:$AH665,19,FALSE)-AVERAGE('The List'!T2:T665))/STDEV('The List'!T2:T665)</f>
        <v>-0.251223099394468</v>
      </c>
      <c r="H317" s="77">
        <f>(VLOOKUP($A317,'The List'!$B1:$AH665,20,FALSE)-AVERAGE('The List'!U2:U665))/STDEV('The List'!U2:U665)</f>
        <v>-0.348649463970487</v>
      </c>
      <c r="I317" s="77">
        <f>(VLOOKUP($A317,'The List'!$B1:$AH665,21,FALSE)-AVERAGE('The List'!V2:V665))/STDEV('The List'!V2:V665)</f>
        <v>-0.284028830035676</v>
      </c>
      <c r="J317" s="77">
        <f>(VLOOKUP($A317,'The List'!$B1:$AH665,22,FALSE)-AVERAGE('The List'!W2:W665))/STDEV('The List'!W2:W665)</f>
        <v>-0.621169596297342</v>
      </c>
      <c r="K317" s="77">
        <f>(VLOOKUP($A317,'The List'!$B1:$AH665,23,FALSE)-AVERAGE('The List'!X2:X665))/STDEV('The List'!X2:X665)</f>
        <v>-0.708154040002585</v>
      </c>
      <c r="L317" s="77">
        <f>(VLOOKUP($A317,'The List'!$B1:$AH665,24,FALSE)-AVERAGE('The List'!Y2:Y665))/STDEV('The List'!Y2:Y665)</f>
        <v>1.26425036786153</v>
      </c>
      <c r="M317" s="77">
        <f>(VLOOKUP($A317,'The List'!$B1:$AH665,25,FALSE)-AVERAGE('The List'!Z2:Z665))/STDEV('The List'!Z2:Z665)</f>
        <v>1.51218428086033</v>
      </c>
      <c r="N317" s="77">
        <f>(VLOOKUP($A317,'The List'!$B1:$AH665,26,FALSE)-AVERAGE('The List'!AA2:AA665))/STDEV('The List'!AA2:AA665)</f>
        <v>-0.482865371475335</v>
      </c>
      <c r="O317" s="77">
        <f>(VLOOKUP($A317,'The List'!$B1:$AH665,27,FALSE)-AVERAGE('The List'!AB2:AB665))/STDEV('The List'!AB2:AB665)</f>
        <v>0.252725402685382</v>
      </c>
      <c r="P317" s="77">
        <f>(VLOOKUP($A317,'The List'!$B1:$AH665,28,FALSE)-AVERAGE('The List'!AC2:AC665))/STDEV('The List'!AC2:AC665)</f>
        <v>-0.393386357342302</v>
      </c>
      <c r="Q317" s="77">
        <f>(VLOOKUP($A317,'The List'!$B1:$AH665,29,FALSE)-AVERAGE('The List'!AD2:AD665))/STDEV('The List'!AD2:AD665)</f>
        <v>0.277187468653336</v>
      </c>
      <c r="R317" s="77">
        <f>(VLOOKUP($A317,'The List'!$B1:$AH665,30,FALSE)-AVERAGE('The List'!AE2:AE665))/STDEV('The List'!AE2:AE665)</f>
        <v>-0.572014935899542</v>
      </c>
      <c r="S317" s="77">
        <f>(VLOOKUP($A317,'The List'!$B1:$AH665,31,FALSE)-AVERAGE('The List'!AF2:AF665))/STDEV('The List'!AF2:AF665)</f>
        <v>-0.475352628687813</v>
      </c>
      <c r="T317" s="77">
        <f>(VLOOKUP($A317,'The List'!$B1:$AH665,32,FALSE)-AVERAGE('The List'!AG2:AG665))/STDEV('The List'!AG2:AG665)</f>
        <v>-0.433855271951318</v>
      </c>
      <c r="U317" s="77">
        <f>(VLOOKUP($A317,'The List'!$B1:$AH665,33,FALSE)-AVERAGE('The List'!AH2:AH665))/STDEV('The List'!AH2:AH665)</f>
        <v>0.369775262434884</v>
      </c>
      <c r="V317" s="77"/>
      <c r="W317" s="89"/>
      <c r="X317" s="79"/>
      <c r="Y317" s="79"/>
      <c r="Z317" s="79"/>
      <c r="AA317" s="79"/>
      <c r="AB317" s="79"/>
      <c r="AC317" s="82"/>
      <c r="AD317" s="83"/>
      <c r="AE317" s="84"/>
    </row>
    <row r="318" ht="21.25" customHeight="1">
      <c r="A318" t="s" s="10">
        <v>606</v>
      </c>
      <c r="B318" t="s" s="86">
        <f>VLOOKUP(A318,'Player Data'!A1:B667,2,FALSE)</f>
        <v>907</v>
      </c>
      <c r="C318" s="74">
        <f>((E318)*'Settings'!$C$12)+(F318*'Settings'!$C$2)+(G318*'Settings'!$C$3)+(H318*'Settings'!$C$4)+(I318*'Settings'!$C$5)+(K318*'Settings'!$C$9)+(N318*'Settings'!$C$6)+(J318*'Settings'!$C$8)+(O318*'Settings'!$C$7)+(P318*'Settings'!$C$14)+(Q318*'Settings'!$C$15)+(R318*'Settings'!$C$16)+(S318*'Settings'!$C$17)+(T318*'Settings'!$C$18)+(U318*'Settings'!$C$19)+(L318*'Settings'!$C$10)+('Settings'!$C$11*M318)</f>
        <v>0.283117444570744</v>
      </c>
      <c r="D318" s="79">
        <f>IF('Settings'!$E$12="YES",VLOOKUP(A318,'Player Data'!A1:E667,5,FALSE),82)</f>
        <v>72</v>
      </c>
      <c r="E318" s="77">
        <f>(VLOOKUP($A318,'The List'!$B1:$AH665,17,FALSE)-AVERAGE('The List'!R2:R665))/STDEV('The List'!R2:R665)</f>
        <v>0.580859554168332</v>
      </c>
      <c r="F318" s="77">
        <f>(VLOOKUP($A318,'The List'!$B1:$AH665,18,FALSE)-AVERAGE('The List'!S2:S665))/STDEV('The List'!S2:S665)</f>
        <v>-0.897872350277906</v>
      </c>
      <c r="G318" s="77">
        <f>(VLOOKUP($A318,'The List'!$B1:$AH665,19,FALSE)-AVERAGE('The List'!T2:T665))/STDEV('The List'!T2:T665)</f>
        <v>-0.00281915272907157</v>
      </c>
      <c r="H318" s="77">
        <f>(VLOOKUP($A318,'The List'!$B1:$AH665,20,FALSE)-AVERAGE('The List'!U2:U665))/STDEV('The List'!U2:U665)</f>
        <v>-0.409876514860383</v>
      </c>
      <c r="I318" s="77">
        <f>(VLOOKUP($A318,'The List'!$B1:$AH665,21,FALSE)-AVERAGE('The List'!V2:V665))/STDEV('The List'!V2:V665)</f>
        <v>-0.679370490820152</v>
      </c>
      <c r="J318" s="77">
        <f>(VLOOKUP($A318,'The List'!$B1:$AH665,22,FALSE)-AVERAGE('The List'!W2:W665))/STDEV('The List'!W2:W665)</f>
        <v>-0.463415757503653</v>
      </c>
      <c r="K318" s="77">
        <f>(VLOOKUP($A318,'The List'!$B1:$AH665,23,FALSE)-AVERAGE('The List'!X2:X665))/STDEV('The List'!X2:X665)</f>
        <v>0.111363156936868</v>
      </c>
      <c r="L318" s="77">
        <f>(VLOOKUP($A318,'The List'!$B1:$AH665,24,FALSE)-AVERAGE('The List'!Y2:Y665))/STDEV('The List'!Y2:Y665)</f>
        <v>-0.5428485535726441</v>
      </c>
      <c r="M318" s="77">
        <f>(VLOOKUP($A318,'The List'!$B1:$AH665,25,FALSE)-AVERAGE('The List'!Z2:Z665))/STDEV('The List'!Z2:Z665)</f>
        <v>-0.646203127214678</v>
      </c>
      <c r="N318" s="77">
        <f>(VLOOKUP($A318,'The List'!$B1:$AH665,26,FALSE)-AVERAGE('The List'!AA2:AA665))/STDEV('The List'!AA2:AA665)</f>
        <v>0.659474618110696</v>
      </c>
      <c r="O318" s="77">
        <f>(VLOOKUP($A318,'The List'!$B1:$AH665,27,FALSE)-AVERAGE('The List'!AB2:AB665))/STDEV('The List'!AB2:AB665)</f>
        <v>-0.119972215207075</v>
      </c>
      <c r="P318" s="77">
        <f>(VLOOKUP($A318,'The List'!$B1:$AH665,28,FALSE)-AVERAGE('The List'!AC2:AC665))/STDEV('The List'!AC2:AC665)</f>
        <v>1.09234166335031</v>
      </c>
      <c r="Q318" s="77">
        <f>(VLOOKUP($A318,'The List'!$B1:$AH665,29,FALSE)-AVERAGE('The List'!AD2:AD665))/STDEV('The List'!AD2:AD665)</f>
        <v>-0.904537137883264</v>
      </c>
      <c r="R318" s="77">
        <f>(VLOOKUP($A318,'The List'!$B1:$AH665,30,FALSE)-AVERAGE('The List'!AE2:AE665))/STDEV('The List'!AE2:AE665)</f>
        <v>-0.938383924167248</v>
      </c>
      <c r="S318" s="77">
        <f>(VLOOKUP($A318,'The List'!$B1:$AH665,31,FALSE)-AVERAGE('The List'!AF2:AF665))/STDEV('The List'!AF2:AF665)</f>
        <v>-0.573894410680004</v>
      </c>
      <c r="T318" s="77">
        <f>(VLOOKUP($A318,'The List'!$B1:$AH665,32,FALSE)-AVERAGE('The List'!AG2:AG665))/STDEV('The List'!AG2:AG665)</f>
        <v>-0.625770787132651</v>
      </c>
      <c r="U318" s="77">
        <f>(VLOOKUP($A318,'The List'!$B1:$AH665,33,FALSE)-AVERAGE('The List'!AH2:AH665))/STDEV('The List'!AH2:AH665)</f>
        <v>-1.23143509451486</v>
      </c>
      <c r="V318" s="77"/>
      <c r="W318" s="89"/>
      <c r="X318" s="79"/>
      <c r="Y318" s="79"/>
      <c r="Z318" s="79"/>
      <c r="AA318" s="79"/>
      <c r="AB318" s="79"/>
      <c r="AC318" s="82"/>
      <c r="AD318" s="83"/>
      <c r="AE318" s="84"/>
    </row>
    <row r="319" ht="21.25" customHeight="1">
      <c r="A319" t="s" s="10">
        <v>737</v>
      </c>
      <c r="B319" t="s" s="86">
        <f>VLOOKUP(A319,'Player Data'!A1:B667,2,FALSE)</f>
        <v>165</v>
      </c>
      <c r="C319" s="74">
        <f>((E319)*'Settings'!$C$12)+(F319*'Settings'!$C$2)+(G319*'Settings'!$C$3)+(H319*'Settings'!$C$4)+(I319*'Settings'!$C$5)+(K319*'Settings'!$C$9)+(N319*'Settings'!$C$6)+(J319*'Settings'!$C$8)+(O319*'Settings'!$C$7)+(P319*'Settings'!$C$14)+(Q319*'Settings'!$C$15)+(R319*'Settings'!$C$16)+(S319*'Settings'!$C$17)+(T319*'Settings'!$C$18)+(U319*'Settings'!$C$19)+(L319*'Settings'!$C$10)+('Settings'!$C$11*M319)</f>
        <v>-3.48574030951075</v>
      </c>
      <c r="D319" s="79">
        <f>IF('Settings'!$E$12="YES",VLOOKUP(A319,'Player Data'!A1:E667,5,FALSE),82)</f>
        <v>66.39749999999999</v>
      </c>
      <c r="E319" s="77">
        <f>(VLOOKUP($A319,'The List'!$B1:$AH665,17,FALSE)-AVERAGE('The List'!R2:R665))/STDEV('The List'!R2:R665)</f>
        <v>-0.940186557929207</v>
      </c>
      <c r="F319" s="77">
        <f>(VLOOKUP($A319,'The List'!$B1:$AH665,18,FALSE)-AVERAGE('The List'!S2:S665))/STDEV('The List'!S2:S665)</f>
        <v>-0.23544859758951</v>
      </c>
      <c r="G319" s="77">
        <f>(VLOOKUP($A319,'The List'!$B1:$AH665,19,FALSE)-AVERAGE('The List'!T2:T665))/STDEV('The List'!T2:T665)</f>
        <v>-0.642683356105085</v>
      </c>
      <c r="H319" s="77">
        <f>(VLOOKUP($A319,'The List'!$B1:$AH665,20,FALSE)-AVERAGE('The List'!U2:U665))/STDEV('The List'!U2:U665)</f>
        <v>-0.506165080388936</v>
      </c>
      <c r="I319" s="77">
        <f>(VLOOKUP($A319,'The List'!$B1:$AH665,21,FALSE)-AVERAGE('The List'!V2:V665))/STDEV('The List'!V2:V665)</f>
        <v>-0.909352213601071</v>
      </c>
      <c r="J319" s="77">
        <f>(VLOOKUP($A319,'The List'!$B1:$AH665,22,FALSE)-AVERAGE('The List'!W2:W665))/STDEV('The List'!W2:W665)</f>
        <v>-0.625090881224446</v>
      </c>
      <c r="K319" s="77">
        <f>(VLOOKUP($A319,'The List'!$B1:$AH665,23,FALSE)-AVERAGE('The List'!X2:X665))/STDEV('The List'!X2:X665)</f>
        <v>-0.704102834031992</v>
      </c>
      <c r="L319" s="77">
        <f>(VLOOKUP($A319,'The List'!$B1:$AH665,24,FALSE)-AVERAGE('The List'!Y2:Y665))/STDEV('The List'!Y2:Y665)</f>
        <v>-0.530503981071145</v>
      </c>
      <c r="M319" s="77">
        <f>(VLOOKUP($A319,'The List'!$B1:$AH665,25,FALSE)-AVERAGE('The List'!Z2:Z665))/STDEV('The List'!Z2:Z665)</f>
        <v>-0.703317544111365</v>
      </c>
      <c r="N319" s="77">
        <f>(VLOOKUP($A319,'The List'!$B1:$AH665,26,FALSE)-AVERAGE('The List'!AA2:AA665))/STDEV('The List'!AA2:AA665)</f>
        <v>-0.938049808517553</v>
      </c>
      <c r="O319" s="77">
        <f>(VLOOKUP($A319,'The List'!$B1:$AH665,27,FALSE)-AVERAGE('The List'!AB2:AB665))/STDEV('The List'!AB2:AB665)</f>
        <v>0.0597200674149199</v>
      </c>
      <c r="P319" s="77">
        <f>(VLOOKUP($A319,'The List'!$B1:$AH665,28,FALSE)-AVERAGE('The List'!AC2:AC665))/STDEV('The List'!AC2:AC665)</f>
        <v>-0.0561034996655381</v>
      </c>
      <c r="Q319" s="77">
        <f>(VLOOKUP($A319,'The List'!$B1:$AH665,29,FALSE)-AVERAGE('The List'!AD2:AD665))/STDEV('The List'!AD2:AD665)</f>
        <v>-0.896883505625672</v>
      </c>
      <c r="R319" s="77">
        <f>(VLOOKUP($A319,'The List'!$B1:$AH665,30,FALSE)-AVERAGE('The List'!AE2:AE665))/STDEV('The List'!AE2:AE665)</f>
        <v>-0.277080948642993</v>
      </c>
      <c r="S319" s="77">
        <f>(VLOOKUP($A319,'The List'!$B1:$AH665,31,FALSE)-AVERAGE('The List'!AF2:AF665))/STDEV('The List'!AF2:AF665)</f>
        <v>0.0772389066429463</v>
      </c>
      <c r="T319" s="77">
        <f>(VLOOKUP($A319,'The List'!$B1:$AH665,32,FALSE)-AVERAGE('The List'!AG2:AG665))/STDEV('The List'!AG2:AG665)</f>
        <v>0.288300179491784</v>
      </c>
      <c r="U319" s="77">
        <f>(VLOOKUP($A319,'The List'!$B1:$AH665,33,FALSE)-AVERAGE('The List'!AH2:AH665))/STDEV('The List'!AH2:AH665)</f>
        <v>0.7226243732198711</v>
      </c>
      <c r="V319" s="77"/>
      <c r="W319" s="89"/>
      <c r="X319" s="79"/>
      <c r="Y319" s="79"/>
      <c r="Z319" s="79"/>
      <c r="AA319" s="79"/>
      <c r="AB319" s="79"/>
      <c r="AC319" s="82"/>
      <c r="AD319" s="83"/>
      <c r="AE319" s="84"/>
    </row>
    <row r="320" ht="21.25" customHeight="1">
      <c r="A320" t="s" s="10">
        <v>468</v>
      </c>
      <c r="B320" t="s" s="86">
        <f>VLOOKUP(A320,'Player Data'!A1:B667,2,FALSE)</f>
        <v>910</v>
      </c>
      <c r="C320" s="74">
        <f>((E320)*'Settings'!$C$12)+(F320*'Settings'!$C$2)+(G320*'Settings'!$C$3)+(H320*'Settings'!$C$4)+(I320*'Settings'!$C$5)+(K320*'Settings'!$C$9)+(N320*'Settings'!$C$6)+(J320*'Settings'!$C$8)+(O320*'Settings'!$C$7)+(P320*'Settings'!$C$14)+(Q320*'Settings'!$C$15)+(R320*'Settings'!$C$16)+(S320*'Settings'!$C$17)+(T320*'Settings'!$C$18)+(U320*'Settings'!$C$19)+(L320*'Settings'!$C$10)+('Settings'!$C$11*M320)</f>
        <v>-2.86163103423953</v>
      </c>
      <c r="D320" s="79">
        <f>IF('Settings'!$E$12="YES",VLOOKUP(A320,'Player Data'!A1:E667,5,FALSE),82)</f>
        <v>79.98</v>
      </c>
      <c r="E320" s="77">
        <f>(VLOOKUP($A320,'The List'!$B1:$AH665,17,FALSE)-AVERAGE('The List'!R2:R665))/STDEV('The List'!R2:R665)</f>
        <v>-0.800014249663774</v>
      </c>
      <c r="F320" s="77">
        <f>(VLOOKUP($A320,'The List'!$B1:$AH665,18,FALSE)-AVERAGE('The List'!S2:S665))/STDEV('The List'!S2:S665)</f>
        <v>-0.265818092484492</v>
      </c>
      <c r="G320" s="77">
        <f>(VLOOKUP($A320,'The List'!$B1:$AH665,19,FALSE)-AVERAGE('The List'!T2:T665))/STDEV('The List'!T2:T665)</f>
        <v>-0.255647448892198</v>
      </c>
      <c r="H320" s="77">
        <f>(VLOOKUP($A320,'The List'!$B1:$AH665,20,FALSE)-AVERAGE('The List'!U2:U665))/STDEV('The List'!U2:U665)</f>
        <v>-0.279598398718343</v>
      </c>
      <c r="I320" s="77">
        <f>(VLOOKUP($A320,'The List'!$B1:$AH665,21,FALSE)-AVERAGE('The List'!V2:V665))/STDEV('The List'!V2:V665)</f>
        <v>-0.0358565007052187</v>
      </c>
      <c r="J320" s="77">
        <f>(VLOOKUP($A320,'The List'!$B1:$AH665,22,FALSE)-AVERAGE('The List'!W2:W665))/STDEV('The List'!W2:W665)</f>
        <v>-0.5532656752984551</v>
      </c>
      <c r="K320" s="77">
        <f>(VLOOKUP($A320,'The List'!$B1:$AH665,23,FALSE)-AVERAGE('The List'!X2:X665))/STDEV('The List'!X2:X665)</f>
        <v>-0.670747453920554</v>
      </c>
      <c r="L320" s="77">
        <f>(VLOOKUP($A320,'The List'!$B1:$AH665,24,FALSE)-AVERAGE('The List'!Y2:Y665))/STDEV('The List'!Y2:Y665)</f>
        <v>2.8380048009724</v>
      </c>
      <c r="M320" s="77">
        <f>(VLOOKUP($A320,'The List'!$B1:$AH665,25,FALSE)-AVERAGE('The List'!Z2:Z665))/STDEV('The List'!Z2:Z665)</f>
        <v>5.27202266748205</v>
      </c>
      <c r="N320" s="77">
        <f>(VLOOKUP($A320,'The List'!$B1:$AH665,26,FALSE)-AVERAGE('The List'!AA2:AA665))/STDEV('The List'!AA2:AA665)</f>
        <v>-0.387674488980983</v>
      </c>
      <c r="O320" s="77">
        <f>(VLOOKUP($A320,'The List'!$B1:$AH665,27,FALSE)-AVERAGE('The List'!AB2:AB665))/STDEV('The List'!AB2:AB665)</f>
        <v>0.876889809149877</v>
      </c>
      <c r="P320" s="77">
        <f>(VLOOKUP($A320,'The List'!$B1:$AH665,28,FALSE)-AVERAGE('The List'!AC2:AC665))/STDEV('The List'!AC2:AC665)</f>
        <v>-1.24588704925608</v>
      </c>
      <c r="Q320" s="77">
        <f>(VLOOKUP($A320,'The List'!$B1:$AH665,29,FALSE)-AVERAGE('The List'!AD2:AD665))/STDEV('The List'!AD2:AD665)</f>
        <v>0.43137964582206</v>
      </c>
      <c r="R320" s="77">
        <f>(VLOOKUP($A320,'The List'!$B1:$AH665,30,FALSE)-AVERAGE('The List'!AE2:AE665))/STDEV('The List'!AE2:AE665)</f>
        <v>-0.281679419847252</v>
      </c>
      <c r="S320" s="77">
        <f>(VLOOKUP($A320,'The List'!$B1:$AH665,31,FALSE)-AVERAGE('The List'!AF2:AF665))/STDEV('The List'!AF2:AF665)</f>
        <v>1.40103434809873</v>
      </c>
      <c r="T320" s="77">
        <f>(VLOOKUP($A320,'The List'!$B1:$AH665,32,FALSE)-AVERAGE('The List'!AG2:AG665))/STDEV('The List'!AG2:AG665)</f>
        <v>1.58260732569438</v>
      </c>
      <c r="U320" s="77">
        <f>(VLOOKUP($A320,'The List'!$B1:$AH665,33,FALSE)-AVERAGE('The List'!AH2:AH665))/STDEV('The List'!AH2:AH665)</f>
        <v>0.978414871749841</v>
      </c>
      <c r="V320" s="77"/>
      <c r="W320" s="89"/>
      <c r="X320" s="79"/>
      <c r="Y320" s="79"/>
      <c r="Z320" s="79"/>
      <c r="AA320" s="79"/>
      <c r="AB320" s="79"/>
      <c r="AC320" s="82"/>
      <c r="AD320" s="83"/>
      <c r="AE320" s="84"/>
    </row>
    <row r="321" ht="21.25" customHeight="1">
      <c r="A321" t="s" s="10">
        <v>807</v>
      </c>
      <c r="B321" t="s" s="86">
        <f>VLOOKUP(A321,'Player Data'!A1:B667,2,FALSE)</f>
        <v>909</v>
      </c>
      <c r="C321" s="74">
        <f>((E321)*'Settings'!$C$12)+(F321*'Settings'!$C$2)+(G321*'Settings'!$C$3)+(H321*'Settings'!$C$4)+(I321*'Settings'!$C$5)+(K321*'Settings'!$C$9)+(N321*'Settings'!$C$6)+(J321*'Settings'!$C$8)+(O321*'Settings'!$C$7)+(P321*'Settings'!$C$14)+(Q321*'Settings'!$C$15)+(R321*'Settings'!$C$16)+(S321*'Settings'!$C$17)+(T321*'Settings'!$C$18)+(U321*'Settings'!$C$19)+(L321*'Settings'!$C$10)+('Settings'!$C$11*M321)</f>
        <v>-3.86241249383208</v>
      </c>
      <c r="D321" s="79">
        <f>IF('Settings'!$E$12="YES",VLOOKUP(A321,'Player Data'!A1:E667,5,FALSE),82)</f>
        <v>60.92</v>
      </c>
      <c r="E321" s="77">
        <f>(VLOOKUP($A321,'The List'!$B1:$AH665,17,FALSE)-AVERAGE('The List'!R2:R665))/STDEV('The List'!R2:R665)</f>
        <v>-1.41066596848277</v>
      </c>
      <c r="F321" s="77">
        <f>(VLOOKUP($A321,'The List'!$B1:$AH665,18,FALSE)-AVERAGE('The List'!S2:S665))/STDEV('The List'!S2:S665)</f>
        <v>-0.350812618598128</v>
      </c>
      <c r="G321" s="77">
        <f>(VLOOKUP($A321,'The List'!$B1:$AH665,19,FALSE)-AVERAGE('The List'!T2:T665))/STDEV('The List'!T2:T665)</f>
        <v>-0.73451558430871</v>
      </c>
      <c r="H321" s="77">
        <f>(VLOOKUP($A321,'The List'!$B1:$AH665,20,FALSE)-AVERAGE('The List'!U2:U665))/STDEV('The List'!U2:U665)</f>
        <v>-0.615636488896898</v>
      </c>
      <c r="I321" s="77">
        <f>(VLOOKUP($A321,'The List'!$B1:$AH665,21,FALSE)-AVERAGE('The List'!V2:V665))/STDEV('The List'!V2:V665)</f>
        <v>-0.799235895184839</v>
      </c>
      <c r="J321" s="77">
        <f>(VLOOKUP($A321,'The List'!$B1:$AH665,22,FALSE)-AVERAGE('The List'!W2:W665))/STDEV('The List'!W2:W665)</f>
        <v>-0.605994122668119</v>
      </c>
      <c r="K321" s="77">
        <f>(VLOOKUP($A321,'The List'!$B1:$AH665,23,FALSE)-AVERAGE('The List'!X2:X665))/STDEV('The List'!X2:X665)</f>
        <v>-0.708172243779475</v>
      </c>
      <c r="L321" s="77">
        <f>(VLOOKUP($A321,'The List'!$B1:$AH665,24,FALSE)-AVERAGE('The List'!Y2:Y665))/STDEV('The List'!Y2:Y665)</f>
        <v>-0.580182913902084</v>
      </c>
      <c r="M321" s="77">
        <f>(VLOOKUP($A321,'The List'!$B1:$AH665,25,FALSE)-AVERAGE('The List'!Z2:Z665))/STDEV('The List'!Z2:Z665)</f>
        <v>-0.754036664989997</v>
      </c>
      <c r="N321" s="77">
        <f>(VLOOKUP($A321,'The List'!$B1:$AH665,26,FALSE)-AVERAGE('The List'!AA2:AA665))/STDEV('The List'!AA2:AA665)</f>
        <v>-0.554181529980015</v>
      </c>
      <c r="O321" s="77">
        <f>(VLOOKUP($A321,'The List'!$B1:$AH665,27,FALSE)-AVERAGE('The List'!AB2:AB665))/STDEV('The List'!AB2:AB665)</f>
        <v>-0.892791062374428</v>
      </c>
      <c r="P321" s="77">
        <f>(VLOOKUP($A321,'The List'!$B1:$AH665,28,FALSE)-AVERAGE('The List'!AC2:AC665))/STDEV('The List'!AC2:AC665)</f>
        <v>-0.715494621980908</v>
      </c>
      <c r="Q321" s="77">
        <f>(VLOOKUP($A321,'The List'!$B1:$AH665,29,FALSE)-AVERAGE('The List'!AD2:AD665))/STDEV('The List'!AD2:AD665)</f>
        <v>-1.37836028652476</v>
      </c>
      <c r="R321" s="77">
        <f>(VLOOKUP($A321,'The List'!$B1:$AH665,30,FALSE)-AVERAGE('The List'!AE2:AE665))/STDEV('The List'!AE2:AE665)</f>
        <v>-0.543968743870794</v>
      </c>
      <c r="S321" s="77">
        <f>(VLOOKUP($A321,'The List'!$B1:$AH665,31,FALSE)-AVERAGE('The List'!AF2:AF665))/STDEV('The List'!AF2:AF665)</f>
        <v>-0.549213182167088</v>
      </c>
      <c r="T321" s="77">
        <f>(VLOOKUP($A321,'The List'!$B1:$AH665,32,FALSE)-AVERAGE('The List'!AG2:AG665))/STDEV('The List'!AG2:AG665)</f>
        <v>-0.560140641530622</v>
      </c>
      <c r="U321" s="77">
        <f>(VLOOKUP($A321,'The List'!$B1:$AH665,33,FALSE)-AVERAGE('The List'!AH2:AH665))/STDEV('The List'!AH2:AH665)</f>
        <v>0.06372449044581099</v>
      </c>
      <c r="V321" s="77"/>
      <c r="W321" s="79"/>
      <c r="X321" s="77"/>
      <c r="Y321" s="77"/>
      <c r="Z321" s="77"/>
      <c r="AA321" s="77"/>
      <c r="AB321" s="77"/>
      <c r="AC321" s="77"/>
      <c r="AD321" s="77"/>
      <c r="AE321" s="84"/>
    </row>
    <row r="322" ht="21.25" customHeight="1">
      <c r="A322" t="s" s="10">
        <v>638</v>
      </c>
      <c r="B322" t="s" s="86">
        <f>VLOOKUP(A322,'Player Data'!A1:B667,2,FALSE)</f>
        <v>908</v>
      </c>
      <c r="C322" s="74">
        <f>((E322)*'Settings'!$C$12)+(F322*'Settings'!$C$2)+(G322*'Settings'!$C$3)+(H322*'Settings'!$C$4)+(I322*'Settings'!$C$5)+(K322*'Settings'!$C$9)+(N322*'Settings'!$C$6)+(J322*'Settings'!$C$8)+(O322*'Settings'!$C$7)+(P322*'Settings'!$C$14)+(Q322*'Settings'!$C$15)+(R322*'Settings'!$C$16)+(S322*'Settings'!$C$17)+(T322*'Settings'!$C$18)+(U322*'Settings'!$C$19)+(L322*'Settings'!$C$10)+('Settings'!$C$11*M322)</f>
        <v>-1.76224604963092</v>
      </c>
      <c r="D322" s="79">
        <f>IF('Settings'!$E$12="YES",VLOOKUP(A322,'Player Data'!A1:E667,5,FALSE),82)</f>
        <v>82.03</v>
      </c>
      <c r="E322" s="77">
        <f>(VLOOKUP($A322,'The List'!$B1:$AH665,17,FALSE)-AVERAGE('The List'!R2:R665))/STDEV('The List'!R2:R665)</f>
        <v>-0.593505668329538</v>
      </c>
      <c r="F322" s="77">
        <f>(VLOOKUP($A322,'The List'!$B1:$AH665,18,FALSE)-AVERAGE('The List'!S2:S665))/STDEV('The List'!S2:S665)</f>
        <v>-0.426385076365731</v>
      </c>
      <c r="G322" s="77">
        <f>(VLOOKUP($A322,'The List'!$B1:$AH665,19,FALSE)-AVERAGE('The List'!T2:T665))/STDEV('The List'!T2:T665)</f>
        <v>-0.105563876274861</v>
      </c>
      <c r="H322" s="77">
        <f>(VLOOKUP($A322,'The List'!$B1:$AH665,20,FALSE)-AVERAGE('The List'!U2:U665))/STDEV('The List'!U2:U665)</f>
        <v>-0.259373387742158</v>
      </c>
      <c r="I322" s="77">
        <f>(VLOOKUP($A322,'The List'!$B1:$AH665,21,FALSE)-AVERAGE('The List'!V2:V665))/STDEV('The List'!V2:V665)</f>
        <v>-0.591555386001591</v>
      </c>
      <c r="J322" s="77">
        <f>(VLOOKUP($A322,'The List'!$B1:$AH665,22,FALSE)-AVERAGE('The List'!W2:W665))/STDEV('The List'!W2:W665)</f>
        <v>-0.498576198074745</v>
      </c>
      <c r="K322" s="77">
        <f>(VLOOKUP($A322,'The List'!$B1:$AH665,23,FALSE)-AVERAGE('The List'!X2:X665))/STDEV('The List'!X2:X665)</f>
        <v>-0.459197282859473</v>
      </c>
      <c r="L322" s="77">
        <f>(VLOOKUP($A322,'The List'!$B1:$AH665,24,FALSE)-AVERAGE('The List'!Y2:Y665))/STDEV('The List'!Y2:Y665)</f>
        <v>1.71723935362212</v>
      </c>
      <c r="M322" s="77">
        <f>(VLOOKUP($A322,'The List'!$B1:$AH665,25,FALSE)-AVERAGE('The List'!Z2:Z665))/STDEV('The List'!Z2:Z665)</f>
        <v>2.18750527976047</v>
      </c>
      <c r="N322" s="77">
        <f>(VLOOKUP($A322,'The List'!$B1:$AH665,26,FALSE)-AVERAGE('The List'!AA2:AA665))/STDEV('The List'!AA2:AA665)</f>
        <v>-0.105217689594136</v>
      </c>
      <c r="O322" s="77">
        <f>(VLOOKUP($A322,'The List'!$B1:$AH665,27,FALSE)-AVERAGE('The List'!AB2:AB665))/STDEV('The List'!AB2:AB665)</f>
        <v>-0.521178992439606</v>
      </c>
      <c r="P322" s="77">
        <f>(VLOOKUP($A322,'The List'!$B1:$AH665,28,FALSE)-AVERAGE('The List'!AC2:AC665))/STDEV('The List'!AC2:AC665)</f>
        <v>-0.07432673853513221</v>
      </c>
      <c r="Q322" s="77">
        <f>(VLOOKUP($A322,'The List'!$B1:$AH665,29,FALSE)-AVERAGE('The List'!AD2:AD665))/STDEV('The List'!AD2:AD665)</f>
        <v>-0.519292366147304</v>
      </c>
      <c r="R322" s="77">
        <f>(VLOOKUP($A322,'The List'!$B1:$AH665,30,FALSE)-AVERAGE('The List'!AE2:AE665))/STDEV('The List'!AE2:AE665)</f>
        <v>-0.423034824402286</v>
      </c>
      <c r="S322" s="77">
        <f>(VLOOKUP($A322,'The List'!$B1:$AH665,31,FALSE)-AVERAGE('The List'!AF2:AF665))/STDEV('The List'!AF2:AF665)</f>
        <v>0.7021794129260041</v>
      </c>
      <c r="T322" s="77">
        <f>(VLOOKUP($A322,'The List'!$B1:$AH665,32,FALSE)-AVERAGE('The List'!AG2:AG665))/STDEV('The List'!AG2:AG665)</f>
        <v>0.988490109517823</v>
      </c>
      <c r="U322" s="77">
        <f>(VLOOKUP($A322,'The List'!$B1:$AH665,33,FALSE)-AVERAGE('The List'!AH2:AH665))/STDEV('The List'!AH2:AH665)</f>
        <v>0.839090776720801</v>
      </c>
      <c r="V322" s="77"/>
      <c r="W322" s="89"/>
      <c r="X322" s="79"/>
      <c r="Y322" s="79"/>
      <c r="Z322" s="79"/>
      <c r="AA322" s="79"/>
      <c r="AB322" s="79"/>
      <c r="AC322" s="82"/>
      <c r="AD322" s="83"/>
      <c r="AE322" s="84"/>
    </row>
    <row r="323" ht="21.25" customHeight="1">
      <c r="A323" t="s" s="10">
        <v>518</v>
      </c>
      <c r="B323" t="s" s="86">
        <f>VLOOKUP(A323,'Player Data'!A1:B667,2,FALSE)</f>
        <v>914</v>
      </c>
      <c r="C323" s="74">
        <f>((E323)*'Settings'!$C$12)+(F323*'Settings'!$C$2)+(G323*'Settings'!$C$3)+(H323*'Settings'!$C$4)+(I323*'Settings'!$C$5)+(K323*'Settings'!$C$9)+(N323*'Settings'!$C$6)+(J323*'Settings'!$C$8)+(O323*'Settings'!$C$7)+(P323*'Settings'!$C$14)+(Q323*'Settings'!$C$15)+(R323*'Settings'!$C$16)+(S323*'Settings'!$C$17)+(T323*'Settings'!$C$18)+(U323*'Settings'!$C$19)+(L323*'Settings'!$C$10)+('Settings'!$C$11*M323)</f>
        <v>-3.24719529277182</v>
      </c>
      <c r="D323" s="79">
        <f>IF('Settings'!$E$12="YES",VLOOKUP(A323,'Player Data'!A1:E667,5,FALSE),82)</f>
        <v>78.36750000000001</v>
      </c>
      <c r="E323" s="77">
        <f>(VLOOKUP($A323,'The List'!$B1:$AH665,17,FALSE)-AVERAGE('The List'!R2:R665))/STDEV('The List'!R2:R665)</f>
        <v>-0.525502863672771</v>
      </c>
      <c r="F323" s="77">
        <f>(VLOOKUP($A323,'The List'!$B1:$AH665,18,FALSE)-AVERAGE('The List'!S2:S665))/STDEV('The List'!S2:S665)</f>
        <v>-0.170607352037797</v>
      </c>
      <c r="G323" s="77">
        <f>(VLOOKUP($A323,'The List'!$B1:$AH665,19,FALSE)-AVERAGE('The List'!T2:T665))/STDEV('The List'!T2:T665)</f>
        <v>-0.407335321176434</v>
      </c>
      <c r="H323" s="77">
        <f>(VLOOKUP($A323,'The List'!$B1:$AH665,20,FALSE)-AVERAGE('The List'!U2:U665))/STDEV('The List'!U2:U665)</f>
        <v>-0.330527289267038</v>
      </c>
      <c r="I323" s="77">
        <f>(VLOOKUP($A323,'The List'!$B1:$AH665,21,FALSE)-AVERAGE('The List'!V2:V665))/STDEV('The List'!V2:V665)</f>
        <v>0.18245946192172</v>
      </c>
      <c r="J323" s="77">
        <f>(VLOOKUP($A323,'The List'!$B1:$AH665,22,FALSE)-AVERAGE('The List'!W2:W665))/STDEV('The List'!W2:W665)</f>
        <v>-0.425672990269172</v>
      </c>
      <c r="K323" s="77">
        <f>(VLOOKUP($A323,'The List'!$B1:$AH665,23,FALSE)-AVERAGE('The List'!X2:X665))/STDEV('The List'!X2:X665)</f>
        <v>-0.6071306502162011</v>
      </c>
      <c r="L323" s="77">
        <f>(VLOOKUP($A323,'The List'!$B1:$AH665,24,FALSE)-AVERAGE('The List'!Y2:Y665))/STDEV('The List'!Y2:Y665)</f>
        <v>-0.204172896549581</v>
      </c>
      <c r="M323" s="77">
        <f>(VLOOKUP($A323,'The List'!$B1:$AH665,25,FALSE)-AVERAGE('The List'!Z2:Z665))/STDEV('The List'!Z2:Z665)</f>
        <v>0.477268919480106</v>
      </c>
      <c r="N323" s="77">
        <f>(VLOOKUP($A323,'The List'!$B1:$AH665,26,FALSE)-AVERAGE('The List'!AA2:AA665))/STDEV('The List'!AA2:AA665)</f>
        <v>-0.06786568260330771</v>
      </c>
      <c r="O323" s="77">
        <f>(VLOOKUP($A323,'The List'!$B1:$AH665,27,FALSE)-AVERAGE('The List'!AB2:AB665))/STDEV('The List'!AB2:AB665)</f>
        <v>0.362543432858329</v>
      </c>
      <c r="P323" s="77">
        <f>(VLOOKUP($A323,'The List'!$B1:$AH665,28,FALSE)-AVERAGE('The List'!AC2:AC665))/STDEV('The List'!AC2:AC665)</f>
        <v>-2.1767157486598</v>
      </c>
      <c r="Q323" s="77">
        <f>(VLOOKUP($A323,'The List'!$B1:$AH665,29,FALSE)-AVERAGE('The List'!AD2:AD665))/STDEV('The List'!AD2:AD665)</f>
        <v>0.379058471805172</v>
      </c>
      <c r="R323" s="77">
        <f>(VLOOKUP($A323,'The List'!$B1:$AH665,30,FALSE)-AVERAGE('The List'!AE2:AE665))/STDEV('The List'!AE2:AE665)</f>
        <v>-0.449592653315182</v>
      </c>
      <c r="S323" s="77">
        <f>(VLOOKUP($A323,'The List'!$B1:$AH665,31,FALSE)-AVERAGE('The List'!AF2:AF665))/STDEV('The List'!AF2:AF665)</f>
        <v>1.43872568240922</v>
      </c>
      <c r="T323" s="77">
        <f>(VLOOKUP($A323,'The List'!$B1:$AH665,32,FALSE)-AVERAGE('The List'!AG2:AG665))/STDEV('The List'!AG2:AG665)</f>
        <v>1.91133323384688</v>
      </c>
      <c r="U323" s="77">
        <f>(VLOOKUP($A323,'The List'!$B1:$AH665,33,FALSE)-AVERAGE('The List'!AH2:AH665))/STDEV('The List'!AH2:AH665)</f>
        <v>0.843031828389725</v>
      </c>
      <c r="V323" s="77"/>
      <c r="W323" s="89"/>
      <c r="X323" s="79"/>
      <c r="Y323" s="79"/>
      <c r="Z323" s="79"/>
      <c r="AA323" s="79"/>
      <c r="AB323" s="79"/>
      <c r="AC323" s="82"/>
      <c r="AD323" s="83"/>
      <c r="AE323" s="84"/>
    </row>
    <row r="324" ht="21.25" customHeight="1">
      <c r="A324" t="s" s="10">
        <v>766</v>
      </c>
      <c r="B324" t="s" s="86">
        <f>VLOOKUP(A324,'Player Data'!A1:B667,2,FALSE)</f>
        <v>275</v>
      </c>
      <c r="C324" s="74">
        <f>((E324)*'Settings'!$C$12)+(F324*'Settings'!$C$2)+(G324*'Settings'!$C$3)+(H324*'Settings'!$C$4)+(I324*'Settings'!$C$5)+(K324*'Settings'!$C$9)+(N324*'Settings'!$C$6)+(J324*'Settings'!$C$8)+(O324*'Settings'!$C$7)+(P324*'Settings'!$C$14)+(Q324*'Settings'!$C$15)+(R324*'Settings'!$C$16)+(S324*'Settings'!$C$17)+(T324*'Settings'!$C$18)+(U324*'Settings'!$C$19)+(L324*'Settings'!$C$10)+('Settings'!$C$11*M324)</f>
        <v>-2.08370821719987</v>
      </c>
      <c r="D324" s="79">
        <f>IF('Settings'!$E$12="YES",VLOOKUP(A324,'Player Data'!A1:E667,5,FALSE),82)</f>
        <v>79.745</v>
      </c>
      <c r="E324" s="77">
        <f>(VLOOKUP($A324,'The List'!$B1:$AH665,17,FALSE)-AVERAGE('The List'!R2:R665))/STDEV('The List'!R2:R665)</f>
        <v>-0.388234246742161</v>
      </c>
      <c r="F324" s="77">
        <f>(VLOOKUP($A324,'The List'!$B1:$AH665,18,FALSE)-AVERAGE('The List'!S2:S665))/STDEV('The List'!S2:S665)</f>
        <v>-0.194230399828336</v>
      </c>
      <c r="G324" s="77">
        <f>(VLOOKUP($A324,'The List'!$B1:$AH665,19,FALSE)-AVERAGE('The List'!T2:T665))/STDEV('The List'!T2:T665)</f>
        <v>-0.352900069569914</v>
      </c>
      <c r="H324" s="77">
        <f>(VLOOKUP($A324,'The List'!$B1:$AH665,20,FALSE)-AVERAGE('The List'!U2:U665))/STDEV('The List'!U2:U665)</f>
        <v>-0.30745773534225</v>
      </c>
      <c r="I324" s="77">
        <f>(VLOOKUP($A324,'The List'!$B1:$AH665,21,FALSE)-AVERAGE('The List'!V2:V665))/STDEV('The List'!V2:V665)</f>
        <v>-0.286955436587276</v>
      </c>
      <c r="J324" s="77">
        <f>(VLOOKUP($A324,'The List'!$B1:$AH665,22,FALSE)-AVERAGE('The List'!W2:W665))/STDEV('The List'!W2:W665)</f>
        <v>-0.31504421437781</v>
      </c>
      <c r="K324" s="77">
        <f>(VLOOKUP($A324,'The List'!$B1:$AH665,23,FALSE)-AVERAGE('The List'!X2:X665))/STDEV('The List'!X2:X665)</f>
        <v>-0.20756045857954</v>
      </c>
      <c r="L324" s="77">
        <f>(VLOOKUP($A324,'The List'!$B1:$AH665,24,FALSE)-AVERAGE('The List'!Y2:Y665))/STDEV('The List'!Y2:Y665)</f>
        <v>-0.260827871828585</v>
      </c>
      <c r="M324" s="77">
        <f>(VLOOKUP($A324,'The List'!$B1:$AH665,25,FALSE)-AVERAGE('The List'!Z2:Z665))/STDEV('The List'!Z2:Z665)</f>
        <v>-0.513729915714264</v>
      </c>
      <c r="N324" s="77">
        <f>(VLOOKUP($A324,'The List'!$B1:$AH665,26,FALSE)-AVERAGE('The List'!AA2:AA665))/STDEV('The List'!AA2:AA665)</f>
        <v>-0.8690757347477019</v>
      </c>
      <c r="O324" s="77">
        <f>(VLOOKUP($A324,'The List'!$B1:$AH665,27,FALSE)-AVERAGE('The List'!AB2:AB665))/STDEV('The List'!AB2:AB665)</f>
        <v>-1.04006494909416</v>
      </c>
      <c r="P324" s="77">
        <f>(VLOOKUP($A324,'The List'!$B1:$AH665,28,FALSE)-AVERAGE('The List'!AC2:AC665))/STDEV('The List'!AC2:AC665)</f>
        <v>-0.172986117887099</v>
      </c>
      <c r="Q324" s="77">
        <f>(VLOOKUP($A324,'The List'!$B1:$AH665,29,FALSE)-AVERAGE('The List'!AD2:AD665))/STDEV('The List'!AD2:AD665)</f>
        <v>-1.15476004747264</v>
      </c>
      <c r="R324" s="77">
        <f>(VLOOKUP($A324,'The List'!$B1:$AH665,30,FALSE)-AVERAGE('The List'!AE2:AE665))/STDEV('The List'!AE2:AE665)</f>
        <v>-0.06788362122318201</v>
      </c>
      <c r="S324" s="77">
        <f>(VLOOKUP($A324,'The List'!$B1:$AH665,31,FALSE)-AVERAGE('The List'!AF2:AF665))/STDEV('The List'!AF2:AF665)</f>
        <v>-0.502722376948892</v>
      </c>
      <c r="T324" s="77">
        <f>(VLOOKUP($A324,'The List'!$B1:$AH665,32,FALSE)-AVERAGE('The List'!AG2:AG665))/STDEV('The List'!AG2:AG665)</f>
        <v>-0.473032523555812</v>
      </c>
      <c r="U324" s="77">
        <f>(VLOOKUP($A324,'The List'!$B1:$AH665,33,FALSE)-AVERAGE('The List'!AH2:AH665))/STDEV('The List'!AH2:AH665)</f>
        <v>0.270755708733442</v>
      </c>
      <c r="V324" s="77"/>
      <c r="W324" s="79"/>
      <c r="X324" s="77"/>
      <c r="Y324" s="77"/>
      <c r="Z324" s="77"/>
      <c r="AA324" s="77"/>
      <c r="AB324" s="77"/>
      <c r="AC324" s="77"/>
      <c r="AD324" s="77"/>
      <c r="AE324" s="84"/>
    </row>
    <row r="325" ht="21.25" customHeight="1">
      <c r="A325" t="s" s="10">
        <v>572</v>
      </c>
      <c r="B325" t="s" s="86">
        <f>VLOOKUP(A325,'Player Data'!A1:B667,2,FALSE)</f>
        <v>267</v>
      </c>
      <c r="C325" s="74">
        <f>((E325)*'Settings'!$C$12)+(F325*'Settings'!$C$2)+(G325*'Settings'!$C$3)+(H325*'Settings'!$C$4)+(I325*'Settings'!$C$5)+(K325*'Settings'!$C$9)+(N325*'Settings'!$C$6)+(J325*'Settings'!$C$8)+(O325*'Settings'!$C$7)+(P325*'Settings'!$C$14)+(Q325*'Settings'!$C$15)+(R325*'Settings'!$C$16)+(S325*'Settings'!$C$17)+(T325*'Settings'!$C$18)+(U325*'Settings'!$C$19)+(L325*'Settings'!$C$10)+('Settings'!$C$11*M325)</f>
        <v>0.353090057563605</v>
      </c>
      <c r="D325" s="79">
        <f>IF('Settings'!$E$12="YES",VLOOKUP(A325,'Player Data'!A1:E667,5,FALSE),82)</f>
        <v>79.9675</v>
      </c>
      <c r="E325" s="77">
        <f>(VLOOKUP($A325,'The List'!$B1:$AH665,17,FALSE)-AVERAGE('The List'!R2:R665))/STDEV('The List'!R2:R665)</f>
        <v>-0.719520365542258</v>
      </c>
      <c r="F325" s="77">
        <f>(VLOOKUP($A325,'The List'!$B1:$AH665,18,FALSE)-AVERAGE('The List'!S2:S665))/STDEV('The List'!S2:S665)</f>
        <v>0.037554640332139</v>
      </c>
      <c r="G325" s="77">
        <f>(VLOOKUP($A325,'The List'!$B1:$AH665,19,FALSE)-AVERAGE('The List'!T2:T665))/STDEV('The List'!T2:T665)</f>
        <v>-0.51720921569497</v>
      </c>
      <c r="H325" s="77">
        <f>(VLOOKUP($A325,'The List'!$B1:$AH665,20,FALSE)-AVERAGE('The List'!U2:U665))/STDEV('The List'!U2:U665)</f>
        <v>-0.304145635499034</v>
      </c>
      <c r="I325" s="77">
        <f>(VLOOKUP($A325,'The List'!$B1:$AH665,21,FALSE)-AVERAGE('The List'!V2:V665))/STDEV('The List'!V2:V665)</f>
        <v>0.740554000957985</v>
      </c>
      <c r="J325" s="77">
        <f>(VLOOKUP($A325,'The List'!$B1:$AH665,22,FALSE)-AVERAGE('The List'!W2:W665))/STDEV('The List'!W2:W665)</f>
        <v>-0.567313569896001</v>
      </c>
      <c r="K325" s="77">
        <f>(VLOOKUP($A325,'The List'!$B1:$AH665,23,FALSE)-AVERAGE('The List'!X2:X665))/STDEV('The List'!X2:X665)</f>
        <v>-0.715708511508477</v>
      </c>
      <c r="L325" s="77">
        <f>(VLOOKUP($A325,'The List'!$B1:$AH665,24,FALSE)-AVERAGE('The List'!Y2:Y665))/STDEV('The List'!Y2:Y665)</f>
        <v>1.41738831756428</v>
      </c>
      <c r="M325" s="77">
        <f>(VLOOKUP($A325,'The List'!$B1:$AH665,25,FALSE)-AVERAGE('The List'!Z2:Z665))/STDEV('The List'!Z2:Z665)</f>
        <v>1.25641050947182</v>
      </c>
      <c r="N325" s="77">
        <f>(VLOOKUP($A325,'The List'!$B1:$AH665,26,FALSE)-AVERAGE('The List'!AA2:AA665))/STDEV('The List'!AA2:AA665)</f>
        <v>-0.765520585673562</v>
      </c>
      <c r="O325" s="77">
        <f>(VLOOKUP($A325,'The List'!$B1:$AH665,27,FALSE)-AVERAGE('The List'!AB2:AB665))/STDEV('The List'!AB2:AB665)</f>
        <v>0.119257017051203</v>
      </c>
      <c r="P325" s="77">
        <f>(VLOOKUP($A325,'The List'!$B1:$AH665,28,FALSE)-AVERAGE('The List'!AC2:AC665))/STDEV('The List'!AC2:AC665)</f>
        <v>1.57341972915049</v>
      </c>
      <c r="Q325" s="77">
        <f>(VLOOKUP($A325,'The List'!$B1:$AH665,29,FALSE)-AVERAGE('The List'!AD2:AD665))/STDEV('The List'!AD2:AD665)</f>
        <v>0.0438226760592808</v>
      </c>
      <c r="R325" s="77">
        <f>(VLOOKUP($A325,'The List'!$B1:$AH665,30,FALSE)-AVERAGE('The List'!AE2:AE665))/STDEV('The List'!AE2:AE665)</f>
        <v>0.293279367757806</v>
      </c>
      <c r="S325" s="77">
        <f>(VLOOKUP($A325,'The List'!$B1:$AH665,31,FALSE)-AVERAGE('The List'!AF2:AF665))/STDEV('The List'!AF2:AF665)</f>
        <v>-0.540402988494578</v>
      </c>
      <c r="T325" s="77">
        <f>(VLOOKUP($A325,'The List'!$B1:$AH665,32,FALSE)-AVERAGE('The List'!AG2:AG665))/STDEV('The List'!AG2:AG665)</f>
        <v>-0.587338024344003</v>
      </c>
      <c r="U325" s="77">
        <f>(VLOOKUP($A325,'The List'!$B1:$AH665,33,FALSE)-AVERAGE('The List'!AH2:AH665))/STDEV('The List'!AH2:AH665)</f>
        <v>0.94909857071687</v>
      </c>
      <c r="V325" s="77"/>
      <c r="W325" s="89"/>
      <c r="X325" s="79"/>
      <c r="Y325" s="79"/>
      <c r="Z325" s="79"/>
      <c r="AA325" s="79"/>
      <c r="AB325" s="79"/>
      <c r="AC325" s="82"/>
      <c r="AD325" s="83"/>
      <c r="AE325" s="84"/>
    </row>
    <row r="326" ht="21.25" customHeight="1">
      <c r="A326" t="s" s="10">
        <v>829</v>
      </c>
      <c r="B326" t="s" s="86">
        <f>VLOOKUP(A326,'Player Data'!A1:B667,2,FALSE)</f>
        <v>905</v>
      </c>
      <c r="C326" s="74">
        <f>((E326)*'Settings'!$C$12)+(F326*'Settings'!$C$2)+(G326*'Settings'!$C$3)+(H326*'Settings'!$C$4)+(I326*'Settings'!$C$5)+(K326*'Settings'!$C$9)+(N326*'Settings'!$C$6)+(J326*'Settings'!$C$8)+(O326*'Settings'!$C$7)+(P326*'Settings'!$C$14)+(Q326*'Settings'!$C$15)+(R326*'Settings'!$C$16)+(S326*'Settings'!$C$17)+(T326*'Settings'!$C$18)+(U326*'Settings'!$C$19)+(L326*'Settings'!$C$10)+('Settings'!$C$11*M326)</f>
        <v>-4.87654211433855</v>
      </c>
      <c r="D326" s="79">
        <f>IF('Settings'!$E$12="YES",VLOOKUP(A326,'Player Data'!A1:E667,5,FALSE),82)</f>
        <v>67.09999999999999</v>
      </c>
      <c r="E326" s="77">
        <f>(VLOOKUP($A326,'The List'!$B1:$AH665,17,FALSE)-AVERAGE('The List'!R2:R665))/STDEV('The List'!R2:R665)</f>
        <v>-0.7881532545273729</v>
      </c>
      <c r="F326" s="77">
        <f>(VLOOKUP($A326,'The List'!$B1:$AH665,18,FALSE)-AVERAGE('The List'!S2:S665))/STDEV('The List'!S2:S665)</f>
        <v>-0.360061232943367</v>
      </c>
      <c r="G326" s="77">
        <f>(VLOOKUP($A326,'The List'!$B1:$AH665,19,FALSE)-AVERAGE('The List'!T2:T665))/STDEV('The List'!T2:T665)</f>
        <v>-0.579736195134268</v>
      </c>
      <c r="H326" s="77">
        <f>(VLOOKUP($A326,'The List'!$B1:$AH665,20,FALSE)-AVERAGE('The List'!U2:U665))/STDEV('The List'!U2:U665)</f>
        <v>-0.523713720108265</v>
      </c>
      <c r="I326" s="77">
        <f>(VLOOKUP($A326,'The List'!$B1:$AH665,21,FALSE)-AVERAGE('The List'!V2:V665))/STDEV('The List'!V2:V665)</f>
        <v>-0.654209315360192</v>
      </c>
      <c r="J326" s="77">
        <f>(VLOOKUP($A326,'The List'!$B1:$AH665,22,FALSE)-AVERAGE('The List'!W2:W665))/STDEV('The List'!W2:W665)</f>
        <v>-0.231453288283129</v>
      </c>
      <c r="K326" s="77">
        <f>(VLOOKUP($A326,'The List'!$B1:$AH665,23,FALSE)-AVERAGE('The List'!X2:X665))/STDEV('The List'!X2:X665)</f>
        <v>-0.416002853233595</v>
      </c>
      <c r="L326" s="77">
        <f>(VLOOKUP($A326,'The List'!$B1:$AH665,24,FALSE)-AVERAGE('The List'!Y2:Y665))/STDEV('The List'!Y2:Y665)</f>
        <v>-0.479900434148895</v>
      </c>
      <c r="M326" s="77">
        <f>(VLOOKUP($A326,'The List'!$B1:$AH665,25,FALSE)-AVERAGE('The List'!Z2:Z665))/STDEV('The List'!Z2:Z665)</f>
        <v>-0.652590492882874</v>
      </c>
      <c r="N326" s="77">
        <f>(VLOOKUP($A326,'The List'!$B1:$AH665,26,FALSE)-AVERAGE('The List'!AA2:AA665))/STDEV('The List'!AA2:AA665)</f>
        <v>-0.892828003058828</v>
      </c>
      <c r="O326" s="77">
        <f>(VLOOKUP($A326,'The List'!$B1:$AH665,27,FALSE)-AVERAGE('The List'!AB2:AB665))/STDEV('The List'!AB2:AB665)</f>
        <v>-1.19865383603265</v>
      </c>
      <c r="P326" s="77">
        <f>(VLOOKUP($A326,'The List'!$B1:$AH665,28,FALSE)-AVERAGE('The List'!AC2:AC665))/STDEV('The List'!AC2:AC665)</f>
        <v>-1.9737045146083</v>
      </c>
      <c r="Q326" s="77">
        <f>(VLOOKUP($A326,'The List'!$B1:$AH665,29,FALSE)-AVERAGE('The List'!AD2:AD665))/STDEV('The List'!AD2:AD665)</f>
        <v>-1.17753864594694</v>
      </c>
      <c r="R326" s="77">
        <f>(VLOOKUP($A326,'The List'!$B1:$AH665,30,FALSE)-AVERAGE('The List'!AE2:AE665))/STDEV('The List'!AE2:AE665)</f>
        <v>-0.46754128359685</v>
      </c>
      <c r="S326" s="77">
        <f>(VLOOKUP($A326,'The List'!$B1:$AH665,31,FALSE)-AVERAGE('The List'!AF2:AF665))/STDEV('The List'!AF2:AF665)</f>
        <v>-0.186613097824905</v>
      </c>
      <c r="T326" s="77">
        <f>(VLOOKUP($A326,'The List'!$B1:$AH665,32,FALSE)-AVERAGE('The List'!AG2:AG665))/STDEV('The List'!AG2:AG665)</f>
        <v>-0.0496603113314827</v>
      </c>
      <c r="U326" s="77">
        <f>(VLOOKUP($A326,'The List'!$B1:$AH665,33,FALSE)-AVERAGE('The List'!AH2:AH665))/STDEV('The List'!AH2:AH665)</f>
        <v>0.658469333780746</v>
      </c>
      <c r="V326" s="77"/>
      <c r="W326" s="89"/>
      <c r="X326" s="79"/>
      <c r="Y326" s="79"/>
      <c r="Z326" s="79"/>
      <c r="AA326" s="79"/>
      <c r="AB326" s="79"/>
      <c r="AC326" s="82"/>
      <c r="AD326" s="83"/>
      <c r="AE326" s="84"/>
    </row>
    <row r="327" ht="21.25" customHeight="1">
      <c r="A327" t="s" s="10">
        <v>700</v>
      </c>
      <c r="B327" t="s" s="86">
        <f>VLOOKUP(A327,'Player Data'!A1:B667,2,FALSE)</f>
        <v>154</v>
      </c>
      <c r="C327" s="74">
        <f>((E327)*'Settings'!$C$12)+(F327*'Settings'!$C$2)+(G327*'Settings'!$C$3)+(H327*'Settings'!$C$4)+(I327*'Settings'!$C$5)+(K327*'Settings'!$C$9)+(N327*'Settings'!$C$6)+(J327*'Settings'!$C$8)+(O327*'Settings'!$C$7)+(P327*'Settings'!$C$14)+(Q327*'Settings'!$C$15)+(R327*'Settings'!$C$16)+(S327*'Settings'!$C$17)+(T327*'Settings'!$C$18)+(U327*'Settings'!$C$19)+(L327*'Settings'!$C$10)+('Settings'!$C$11*M327)</f>
        <v>-0.987825125328144</v>
      </c>
      <c r="D327" s="79">
        <f>IF('Settings'!$E$12="YES",VLOOKUP(A327,'Player Data'!A1:E667,5,FALSE),82)</f>
        <v>77.315</v>
      </c>
      <c r="E327" s="77">
        <f>(VLOOKUP($A327,'The List'!$B1:$AH665,17,FALSE)-AVERAGE('The List'!R2:R665))/STDEV('The List'!R2:R665)</f>
        <v>-0.655596837734626</v>
      </c>
      <c r="F327" s="77">
        <f>(VLOOKUP($A327,'The List'!$B1:$AH665,18,FALSE)-AVERAGE('The List'!S2:S665))/STDEV('The List'!S2:S665)</f>
        <v>-0.128715218173647</v>
      </c>
      <c r="G327" s="77">
        <f>(VLOOKUP($A327,'The List'!$B1:$AH665,19,FALSE)-AVERAGE('The List'!T2:T665))/STDEV('The List'!T2:T665)</f>
        <v>-0.501907157882492</v>
      </c>
      <c r="H327" s="77">
        <f>(VLOOKUP($A327,'The List'!$B1:$AH665,20,FALSE)-AVERAGE('The List'!U2:U665))/STDEV('The List'!U2:U665)</f>
        <v>-0.370219751323298</v>
      </c>
      <c r="I327" s="77">
        <f>(VLOOKUP($A327,'The List'!$B1:$AH665,21,FALSE)-AVERAGE('The List'!V2:V665))/STDEV('The List'!V2:V665)</f>
        <v>-0.442667657614055</v>
      </c>
      <c r="J327" s="77">
        <f>(VLOOKUP($A327,'The List'!$B1:$AH665,22,FALSE)-AVERAGE('The List'!W2:W665))/STDEV('The List'!W2:W665)</f>
        <v>-0.650524600486489</v>
      </c>
      <c r="K327" s="77">
        <f>(VLOOKUP($A327,'The List'!$B1:$AH665,23,FALSE)-AVERAGE('The List'!X2:X665))/STDEV('The List'!X2:X665)</f>
        <v>-0.72476289162595</v>
      </c>
      <c r="L327" s="77">
        <f>(VLOOKUP($A327,'The List'!$B1:$AH665,24,FALSE)-AVERAGE('The List'!Y2:Y665))/STDEV('The List'!Y2:Y665)</f>
        <v>0.449933528079572</v>
      </c>
      <c r="M327" s="77">
        <f>(VLOOKUP($A327,'The List'!$B1:$AH665,25,FALSE)-AVERAGE('The List'!Z2:Z665))/STDEV('The List'!Z2:Z665)</f>
        <v>1.12308202623128</v>
      </c>
      <c r="N327" s="77">
        <f>(VLOOKUP($A327,'The List'!$B1:$AH665,26,FALSE)-AVERAGE('The List'!AA2:AA665))/STDEV('The List'!AA2:AA665)</f>
        <v>-0.76109296952082</v>
      </c>
      <c r="O327" s="77">
        <f>(VLOOKUP($A327,'The List'!$B1:$AH665,27,FALSE)-AVERAGE('The List'!AB2:AB665))/STDEV('The List'!AB2:AB665)</f>
        <v>-0.554328515338274</v>
      </c>
      <c r="P327" s="77">
        <f>(VLOOKUP($A327,'The List'!$B1:$AH665,28,FALSE)-AVERAGE('The List'!AC2:AC665))/STDEV('The List'!AC2:AC665)</f>
        <v>1.57132076948882</v>
      </c>
      <c r="Q327" s="77">
        <f>(VLOOKUP($A327,'The List'!$B1:$AH665,29,FALSE)-AVERAGE('The List'!AD2:AD665))/STDEV('The List'!AD2:AD665)</f>
        <v>-1.05315864795296</v>
      </c>
      <c r="R327" s="77">
        <f>(VLOOKUP($A327,'The List'!$B1:$AH665,30,FALSE)-AVERAGE('The List'!AE2:AE665))/STDEV('The List'!AE2:AE665)</f>
        <v>-0.181139822899599</v>
      </c>
      <c r="S327" s="77">
        <f>(VLOOKUP($A327,'The List'!$B1:$AH665,31,FALSE)-AVERAGE('The List'!AF2:AF665))/STDEV('The List'!AF2:AF665)</f>
        <v>1.0999259812244</v>
      </c>
      <c r="T327" s="77">
        <f>(VLOOKUP($A327,'The List'!$B1:$AH665,32,FALSE)-AVERAGE('The List'!AG2:AG665))/STDEV('The List'!AG2:AG665)</f>
        <v>1.21147549879899</v>
      </c>
      <c r="U327" s="77">
        <f>(VLOOKUP($A327,'The List'!$B1:$AH665,33,FALSE)-AVERAGE('The List'!AH2:AH665))/STDEV('The List'!AH2:AH665)</f>
        <v>0.999447136322659</v>
      </c>
      <c r="V327" s="77"/>
      <c r="W327" s="79"/>
      <c r="X327" s="79"/>
      <c r="Y327" s="79"/>
      <c r="Z327" s="79"/>
      <c r="AA327" s="79"/>
      <c r="AB327" s="79"/>
      <c r="AC327" s="82"/>
      <c r="AD327" s="83"/>
      <c r="AE327" s="84"/>
    </row>
    <row r="328" ht="21.25" customHeight="1">
      <c r="A328" t="s" s="10">
        <v>302</v>
      </c>
      <c r="B328" t="s" s="86">
        <f>VLOOKUP(A328,'Player Data'!A1:B667,2,FALSE)</f>
        <v>907</v>
      </c>
      <c r="C328" s="74">
        <f>((E328)*'Settings'!$C$12)+(F328*'Settings'!$C$2)+(G328*'Settings'!$C$3)+(H328*'Settings'!$C$4)+(I328*'Settings'!$C$5)+(K328*'Settings'!$C$9)+(N328*'Settings'!$C$6)+(J328*'Settings'!$C$8)+(O328*'Settings'!$C$7)+(P328*'Settings'!$C$14)+(Q328*'Settings'!$C$15)+(R328*'Settings'!$C$16)+(S328*'Settings'!$C$17)+(T328*'Settings'!$C$18)+(U328*'Settings'!$C$19)+(L328*'Settings'!$C$10)+('Settings'!$C$11*M328)</f>
        <v>0.272728920911182</v>
      </c>
      <c r="D328" s="79">
        <f>IF('Settings'!$E$12="YES",VLOOKUP(A328,'Player Data'!A1:E667,5,FALSE),82)</f>
        <v>81.4175</v>
      </c>
      <c r="E328" s="77">
        <f>(VLOOKUP($A328,'The List'!$B1:$AH665,17,FALSE)-AVERAGE('The List'!R2:R665))/STDEV('The List'!R2:R665)</f>
        <v>1.96784175962239</v>
      </c>
      <c r="F328" s="77">
        <f>(VLOOKUP($A328,'The List'!$B1:$AH665,18,FALSE)-AVERAGE('The List'!S2:S665))/STDEV('The List'!S2:S665)</f>
        <v>-0.648397023962074</v>
      </c>
      <c r="G328" s="77">
        <f>(VLOOKUP($A328,'The List'!$B1:$AH665,19,FALSE)-AVERAGE('The List'!T2:T665))/STDEV('The List'!T2:T665)</f>
        <v>-0.0203284203043007</v>
      </c>
      <c r="H328" s="77">
        <f>(VLOOKUP($A328,'The List'!$B1:$AH665,20,FALSE)-AVERAGE('The List'!U2:U665))/STDEV('The List'!U2:U665)</f>
        <v>-0.307352360213006</v>
      </c>
      <c r="I328" s="77">
        <f>(VLOOKUP($A328,'The List'!$B1:$AH665,21,FALSE)-AVERAGE('The List'!V2:V665))/STDEV('The List'!V2:V665)</f>
        <v>0.226929890703091</v>
      </c>
      <c r="J328" s="77">
        <f>(VLOOKUP($A328,'The List'!$B1:$AH665,22,FALSE)-AVERAGE('The List'!W2:W665))/STDEV('The List'!W2:W665)</f>
        <v>-0.715327329576768</v>
      </c>
      <c r="K328" s="77">
        <f>(VLOOKUP($A328,'The List'!$B1:$AH665,23,FALSE)-AVERAGE('The List'!X2:X665))/STDEV('The List'!X2:X665)</f>
        <v>-0.651608020497504</v>
      </c>
      <c r="L328" s="77">
        <f>(VLOOKUP($A328,'The List'!$B1:$AH665,24,FALSE)-AVERAGE('The List'!Y2:Y665))/STDEV('The List'!Y2:Y665)</f>
        <v>0.349489047125536</v>
      </c>
      <c r="M328" s="77">
        <f>(VLOOKUP($A328,'The List'!$B1:$AH665,25,FALSE)-AVERAGE('The List'!Z2:Z665))/STDEV('The List'!Z2:Z665)</f>
        <v>0.791302234232055</v>
      </c>
      <c r="N328" s="77">
        <f>(VLOOKUP($A328,'The List'!$B1:$AH665,26,FALSE)-AVERAGE('The List'!AA2:AA665))/STDEV('The List'!AA2:AA665)</f>
        <v>2.94835890960847</v>
      </c>
      <c r="O328" s="77">
        <f>(VLOOKUP($A328,'The List'!$B1:$AH665,27,FALSE)-AVERAGE('The List'!AB2:AB665))/STDEV('The List'!AB2:AB665)</f>
        <v>0.412969965478174</v>
      </c>
      <c r="P328" s="77">
        <f>(VLOOKUP($A328,'The List'!$B1:$AH665,28,FALSE)-AVERAGE('The List'!AC2:AC665))/STDEV('The List'!AC2:AC665)</f>
        <v>-1.5822264146365</v>
      </c>
      <c r="Q328" s="77">
        <f>(VLOOKUP($A328,'The List'!$B1:$AH665,29,FALSE)-AVERAGE('The List'!AD2:AD665))/STDEV('The List'!AD2:AD665)</f>
        <v>-0.298315805154954</v>
      </c>
      <c r="R328" s="77">
        <f>(VLOOKUP($A328,'The List'!$B1:$AH665,30,FALSE)-AVERAGE('The List'!AE2:AE665))/STDEV('The List'!AE2:AE665)</f>
        <v>-0.745596544842195</v>
      </c>
      <c r="S328" s="77">
        <f>(VLOOKUP($A328,'The List'!$B1:$AH665,31,FALSE)-AVERAGE('The List'!AF2:AF665))/STDEV('The List'!AF2:AF665)</f>
        <v>-0.573894410680004</v>
      </c>
      <c r="T328" s="77">
        <f>(VLOOKUP($A328,'The List'!$B1:$AH665,32,FALSE)-AVERAGE('The List'!AG2:AG665))/STDEV('The List'!AG2:AG665)</f>
        <v>-0.625770787132651</v>
      </c>
      <c r="U328" s="77">
        <f>(VLOOKUP($A328,'The List'!$B1:$AH665,33,FALSE)-AVERAGE('The List'!AH2:AH665))/STDEV('The List'!AH2:AH665)</f>
        <v>-1.23143509451486</v>
      </c>
      <c r="V328" s="77"/>
      <c r="W328" s="89"/>
      <c r="X328" s="79"/>
      <c r="Y328" s="79"/>
      <c r="Z328" s="79"/>
      <c r="AA328" s="79"/>
      <c r="AB328" s="79"/>
      <c r="AC328" s="82"/>
      <c r="AD328" s="83"/>
      <c r="AE328" s="84"/>
    </row>
    <row r="329" ht="21.25" customHeight="1">
      <c r="A329" t="s" s="10">
        <v>494</v>
      </c>
      <c r="B329" t="s" s="86">
        <f>VLOOKUP(A329,'Player Data'!A1:B667,2,FALSE)</f>
        <v>132</v>
      </c>
      <c r="C329" s="74">
        <f>((E329)*'Settings'!$C$12)+(F329*'Settings'!$C$2)+(G329*'Settings'!$C$3)+(H329*'Settings'!$C$4)+(I329*'Settings'!$C$5)+(K329*'Settings'!$C$9)+(N329*'Settings'!$C$6)+(J329*'Settings'!$C$8)+(O329*'Settings'!$C$7)+(P329*'Settings'!$C$14)+(Q329*'Settings'!$C$15)+(R329*'Settings'!$C$16)+(S329*'Settings'!$C$17)+(T329*'Settings'!$C$18)+(U329*'Settings'!$C$19)+(L329*'Settings'!$C$10)+('Settings'!$C$11*M329)</f>
        <v>0.8993664764110511</v>
      </c>
      <c r="D329" s="79">
        <f>IF('Settings'!$E$12="YES",VLOOKUP(A329,'Player Data'!A1:E667,5,FALSE),82)</f>
        <v>73.075</v>
      </c>
      <c r="E329" s="77">
        <f>(VLOOKUP($A329,'The List'!$B1:$AH665,17,FALSE)-AVERAGE('The List'!R2:R665))/STDEV('The List'!R2:R665)</f>
        <v>0.327435967289997</v>
      </c>
      <c r="F329" s="77">
        <f>(VLOOKUP($A329,'The List'!$B1:$AH665,18,FALSE)-AVERAGE('The List'!S2:S665))/STDEV('The List'!S2:S665)</f>
        <v>-0.825427811935794</v>
      </c>
      <c r="G329" s="77">
        <f>(VLOOKUP($A329,'The List'!$B1:$AH665,19,FALSE)-AVERAGE('The List'!T2:T665))/STDEV('The List'!T2:T665)</f>
        <v>-0.112239906992205</v>
      </c>
      <c r="H329" s="77">
        <f>(VLOOKUP($A329,'The List'!$B1:$AH665,20,FALSE)-AVERAGE('The List'!U2:U665))/STDEV('The List'!U2:U665)</f>
        <v>-0.444903469538629</v>
      </c>
      <c r="I329" s="77">
        <f>(VLOOKUP($A329,'The List'!$B1:$AH665,21,FALSE)-AVERAGE('The List'!V2:V665))/STDEV('The List'!V2:V665)</f>
        <v>-0.768144599339043</v>
      </c>
      <c r="J329" s="77">
        <f>(VLOOKUP($A329,'The List'!$B1:$AH665,22,FALSE)-AVERAGE('The List'!W2:W665))/STDEV('The List'!W2:W665)</f>
        <v>-0.588077148991791</v>
      </c>
      <c r="K329" s="77">
        <f>(VLOOKUP($A329,'The List'!$B1:$AH665,23,FALSE)-AVERAGE('The List'!X2:X665))/STDEV('The List'!X2:X665)</f>
        <v>-0.100389380517057</v>
      </c>
      <c r="L329" s="77">
        <f>(VLOOKUP($A329,'The List'!$B1:$AH665,24,FALSE)-AVERAGE('The List'!Y2:Y665))/STDEV('The List'!Y2:Y665)</f>
        <v>-0.28748945353217</v>
      </c>
      <c r="M329" s="77">
        <f>(VLOOKUP($A329,'The List'!$B1:$AH665,25,FALSE)-AVERAGE('The List'!Z2:Z665))/STDEV('The List'!Z2:Z665)</f>
        <v>-0.06896913024614459</v>
      </c>
      <c r="N329" s="77">
        <f>(VLOOKUP($A329,'The List'!$B1:$AH665,26,FALSE)-AVERAGE('The List'!AA2:AA665))/STDEV('The List'!AA2:AA665)</f>
        <v>1.22834098167461</v>
      </c>
      <c r="O329" s="77">
        <f>(VLOOKUP($A329,'The List'!$B1:$AH665,27,FALSE)-AVERAGE('The List'!AB2:AB665))/STDEV('The List'!AB2:AB665)</f>
        <v>0.386834676860223</v>
      </c>
      <c r="P329" s="77">
        <f>(VLOOKUP($A329,'The List'!$B1:$AH665,28,FALSE)-AVERAGE('The List'!AC2:AC665))/STDEV('The List'!AC2:AC665)</f>
        <v>1.47722719352054</v>
      </c>
      <c r="Q329" s="77">
        <f>(VLOOKUP($A329,'The List'!$B1:$AH665,29,FALSE)-AVERAGE('The List'!AD2:AD665))/STDEV('The List'!AD2:AD665)</f>
        <v>-0.471880921803295</v>
      </c>
      <c r="R329" s="77">
        <f>(VLOOKUP($A329,'The List'!$B1:$AH665,30,FALSE)-AVERAGE('The List'!AE2:AE665))/STDEV('The List'!AE2:AE665)</f>
        <v>-0.7533144882349589</v>
      </c>
      <c r="S329" s="77">
        <f>(VLOOKUP($A329,'The List'!$B1:$AH665,31,FALSE)-AVERAGE('The List'!AF2:AF665))/STDEV('The List'!AF2:AF665)</f>
        <v>-0.573894410680004</v>
      </c>
      <c r="T329" s="77">
        <f>(VLOOKUP($A329,'The List'!$B1:$AH665,32,FALSE)-AVERAGE('The List'!AG2:AG665))/STDEV('The List'!AG2:AG665)</f>
        <v>-0.625770787132651</v>
      </c>
      <c r="U329" s="77">
        <f>(VLOOKUP($A329,'The List'!$B1:$AH665,33,FALSE)-AVERAGE('The List'!AH2:AH665))/STDEV('The List'!AH2:AH665)</f>
        <v>-1.23143509451486</v>
      </c>
      <c r="V329" s="77"/>
      <c r="W329" s="89"/>
      <c r="X329" s="79"/>
      <c r="Y329" s="79"/>
      <c r="Z329" s="79"/>
      <c r="AA329" s="79"/>
      <c r="AB329" s="79"/>
      <c r="AC329" s="82"/>
      <c r="AD329" s="83"/>
      <c r="AE329" s="84"/>
    </row>
    <row r="330" ht="21.25" customHeight="1">
      <c r="A330" t="s" s="10">
        <v>619</v>
      </c>
      <c r="B330" t="s" s="86">
        <f>VLOOKUP(A330,'Player Data'!A1:B667,2,FALSE)</f>
        <v>871</v>
      </c>
      <c r="C330" s="74">
        <f>((E330)*'Settings'!$C$12)+(F330*'Settings'!$C$2)+(G330*'Settings'!$C$3)+(H330*'Settings'!$C$4)+(I330*'Settings'!$C$5)+(K330*'Settings'!$C$9)+(N330*'Settings'!$C$6)+(J330*'Settings'!$C$8)+(O330*'Settings'!$C$7)+(P330*'Settings'!$C$14)+(Q330*'Settings'!$C$15)+(R330*'Settings'!$C$16)+(S330*'Settings'!$C$17)+(T330*'Settings'!$C$18)+(U330*'Settings'!$C$19)+(L330*'Settings'!$C$10)+('Settings'!$C$11*M330)</f>
        <v>-1.55241968204778</v>
      </c>
      <c r="D330" s="79">
        <f>IF('Settings'!$E$12="YES",VLOOKUP(A330,'Player Data'!A1:E667,5,FALSE),82)</f>
        <v>77.49250000000001</v>
      </c>
      <c r="E330" s="77">
        <f>(VLOOKUP($A330,'The List'!$B1:$AH665,17,FALSE)-AVERAGE('The List'!R2:R665))/STDEV('The List'!R2:R665)</f>
        <v>-0.641290582082499</v>
      </c>
      <c r="F330" s="77">
        <f>(VLOOKUP($A330,'The List'!$B1:$AH665,18,FALSE)-AVERAGE('The List'!S2:S665))/STDEV('The List'!S2:S665)</f>
        <v>-0.146009973143362</v>
      </c>
      <c r="G330" s="77">
        <f>(VLOOKUP($A330,'The List'!$B1:$AH665,19,FALSE)-AVERAGE('The List'!T2:T665))/STDEV('The List'!T2:T665)</f>
        <v>-0.499740642247267</v>
      </c>
      <c r="H330" s="77">
        <f>(VLOOKUP($A330,'The List'!$B1:$AH665,20,FALSE)-AVERAGE('The List'!U2:U665))/STDEV('The List'!U2:U665)</f>
        <v>-0.376735511514164</v>
      </c>
      <c r="I330" s="77">
        <f>(VLOOKUP($A330,'The List'!$B1:$AH665,21,FALSE)-AVERAGE('The List'!V2:V665))/STDEV('The List'!V2:V665)</f>
        <v>-0.318615295513153</v>
      </c>
      <c r="J330" s="77">
        <f>(VLOOKUP($A330,'The List'!$B1:$AH665,22,FALSE)-AVERAGE('The List'!W2:W665))/STDEV('The List'!W2:W665)</f>
        <v>-0.7285357649145699</v>
      </c>
      <c r="K330" s="77">
        <f>(VLOOKUP($A330,'The List'!$B1:$AH665,23,FALSE)-AVERAGE('The List'!X2:X665))/STDEV('The List'!X2:X665)</f>
        <v>-0.813978449523033</v>
      </c>
      <c r="L330" s="77">
        <f>(VLOOKUP($A330,'The List'!$B1:$AH665,24,FALSE)-AVERAGE('The List'!Y2:Y665))/STDEV('The List'!Y2:Y665)</f>
        <v>3.50380214348691</v>
      </c>
      <c r="M330" s="77">
        <f>(VLOOKUP($A330,'The List'!$B1:$AH665,25,FALSE)-AVERAGE('The List'!Z2:Z665))/STDEV('The List'!Z2:Z665)</f>
        <v>2.72940532054587</v>
      </c>
      <c r="N330" s="77">
        <f>(VLOOKUP($A330,'The List'!$B1:$AH665,26,FALSE)-AVERAGE('The List'!AA2:AA665))/STDEV('The List'!AA2:AA665)</f>
        <v>-0.390626552184838</v>
      </c>
      <c r="O330" s="77">
        <f>(VLOOKUP($A330,'The List'!$B1:$AH665,27,FALSE)-AVERAGE('The List'!AB2:AB665))/STDEV('The List'!AB2:AB665)</f>
        <v>-0.0224168021010065</v>
      </c>
      <c r="P330" s="77">
        <f>(VLOOKUP($A330,'The List'!$B1:$AH665,28,FALSE)-AVERAGE('The List'!AC2:AC665))/STDEV('The List'!AC2:AC665)</f>
        <v>0.616551230563874</v>
      </c>
      <c r="Q330" s="77">
        <f>(VLOOKUP($A330,'The List'!$B1:$AH665,29,FALSE)-AVERAGE('The List'!AD2:AD665))/STDEV('The List'!AD2:AD665)</f>
        <v>0.369729959890986</v>
      </c>
      <c r="R330" s="77">
        <f>(VLOOKUP($A330,'The List'!$B1:$AH665,30,FALSE)-AVERAGE('The List'!AE2:AE665))/STDEV('The List'!AE2:AE665)</f>
        <v>-0.136210327180048</v>
      </c>
      <c r="S330" s="77">
        <f>(VLOOKUP($A330,'The List'!$B1:$AH665,31,FALSE)-AVERAGE('The List'!AF2:AF665))/STDEV('The List'!AF2:AF665)</f>
        <v>-0.491943051821335</v>
      </c>
      <c r="T330" s="77">
        <f>(VLOOKUP($A330,'The List'!$B1:$AH665,32,FALSE)-AVERAGE('The List'!AG2:AG665))/STDEV('The List'!AG2:AG665)</f>
        <v>-0.403051148855774</v>
      </c>
      <c r="U330" s="77">
        <f>(VLOOKUP($A330,'The List'!$B1:$AH665,33,FALSE)-AVERAGE('The List'!AH2:AH665))/STDEV('The List'!AH2:AH665)</f>
        <v>0.0436554966315461</v>
      </c>
      <c r="V330" s="77"/>
      <c r="W330" s="89"/>
      <c r="X330" s="79"/>
      <c r="Y330" s="79"/>
      <c r="Z330" s="79"/>
      <c r="AA330" s="79"/>
      <c r="AB330" s="79"/>
      <c r="AC330" s="82"/>
      <c r="AD330" s="83"/>
      <c r="AE330" s="84"/>
    </row>
    <row r="331" ht="21.25" customHeight="1">
      <c r="A331" t="s" s="10">
        <v>787</v>
      </c>
      <c r="B331" t="s" s="86">
        <f>VLOOKUP(A331,'Player Data'!A1:B667,2,FALSE)</f>
        <v>902</v>
      </c>
      <c r="C331" s="74">
        <f>((E331)*'Settings'!$C$12)+(F331*'Settings'!$C$2)+(G331*'Settings'!$C$3)+(H331*'Settings'!$C$4)+(I331*'Settings'!$C$5)+(K331*'Settings'!$C$9)+(N331*'Settings'!$C$6)+(J331*'Settings'!$C$8)+(O331*'Settings'!$C$7)+(P331*'Settings'!$C$14)+(Q331*'Settings'!$C$15)+(R331*'Settings'!$C$16)+(S331*'Settings'!$C$17)+(T331*'Settings'!$C$18)+(U331*'Settings'!$C$19)+(L331*'Settings'!$C$10)+('Settings'!$C$11*M331)</f>
        <v>-1.92946573589469</v>
      </c>
      <c r="D331" s="79">
        <f>IF('Settings'!$E$12="YES",VLOOKUP(A331,'Player Data'!A1:E667,5,FALSE),82)</f>
        <v>74.89</v>
      </c>
      <c r="E331" s="77">
        <f>(VLOOKUP($A331,'The List'!$B1:$AH665,17,FALSE)-AVERAGE('The List'!R2:R665))/STDEV('The List'!R2:R665)</f>
        <v>-1.2312923010534</v>
      </c>
      <c r="F331" s="77">
        <f>(VLOOKUP($A331,'The List'!$B1:$AH665,18,FALSE)-AVERAGE('The List'!S2:S665))/STDEV('The List'!S2:S665)</f>
        <v>-0.266231490076222</v>
      </c>
      <c r="G331" s="77">
        <f>(VLOOKUP($A331,'The List'!$B1:$AH665,19,FALSE)-AVERAGE('The List'!T2:T665))/STDEV('The List'!T2:T665)</f>
        <v>-0.482980524912616</v>
      </c>
      <c r="H331" s="77">
        <f>(VLOOKUP($A331,'The List'!$B1:$AH665,20,FALSE)-AVERAGE('The List'!U2:U665))/STDEV('The List'!U2:U665)</f>
        <v>-0.420972930292952</v>
      </c>
      <c r="I331" s="77">
        <f>(VLOOKUP($A331,'The List'!$B1:$AH665,21,FALSE)-AVERAGE('The List'!V2:V665))/STDEV('The List'!V2:V665)</f>
        <v>-0.52848634450809</v>
      </c>
      <c r="J331" s="77">
        <f>(VLOOKUP($A331,'The List'!$B1:$AH665,22,FALSE)-AVERAGE('The List'!W2:W665))/STDEV('The List'!W2:W665)</f>
        <v>-0.495156190628986</v>
      </c>
      <c r="K331" s="77">
        <f>(VLOOKUP($A331,'The List'!$B1:$AH665,23,FALSE)-AVERAGE('The List'!X2:X665))/STDEV('The List'!X2:X665)</f>
        <v>-0.546347947658363</v>
      </c>
      <c r="L331" s="77">
        <f>(VLOOKUP($A331,'The List'!$B1:$AH665,24,FALSE)-AVERAGE('The List'!Y2:Y665))/STDEV('The List'!Y2:Y665)</f>
        <v>-0.576819779404814</v>
      </c>
      <c r="M331" s="77">
        <f>(VLOOKUP($A331,'The List'!$B1:$AH665,25,FALSE)-AVERAGE('The List'!Z2:Z665))/STDEV('The List'!Z2:Z665)</f>
        <v>-0.750513498867166</v>
      </c>
      <c r="N331" s="77">
        <f>(VLOOKUP($A331,'The List'!$B1:$AH665,26,FALSE)-AVERAGE('The List'!AA2:AA665))/STDEV('The List'!AA2:AA665)</f>
        <v>-0.822296592669661</v>
      </c>
      <c r="O331" s="77">
        <f>(VLOOKUP($A331,'The List'!$B1:$AH665,27,FALSE)-AVERAGE('The List'!AB2:AB665))/STDEV('The List'!AB2:AB665)</f>
        <v>-0.873970499492991</v>
      </c>
      <c r="P331" s="77">
        <f>(VLOOKUP($A331,'The List'!$B1:$AH665,28,FALSE)-AVERAGE('The List'!AC2:AC665))/STDEV('The List'!AC2:AC665)</f>
        <v>0.716877163930265</v>
      </c>
      <c r="Q331" s="77">
        <f>(VLOOKUP($A331,'The List'!$B1:$AH665,29,FALSE)-AVERAGE('The List'!AD2:AD665))/STDEV('The List'!AD2:AD665)</f>
        <v>-1.14339943360163</v>
      </c>
      <c r="R331" s="77">
        <f>(VLOOKUP($A331,'The List'!$B1:$AH665,30,FALSE)-AVERAGE('The List'!AE2:AE665))/STDEV('The List'!AE2:AE665)</f>
        <v>-0.179524366641574</v>
      </c>
      <c r="S331" s="77">
        <f>(VLOOKUP($A331,'The List'!$B1:$AH665,31,FALSE)-AVERAGE('The List'!AF2:AF665))/STDEV('The List'!AF2:AF665)</f>
        <v>-0.569710835036266</v>
      </c>
      <c r="T331" s="77">
        <f>(VLOOKUP($A331,'The List'!$B1:$AH665,32,FALSE)-AVERAGE('The List'!AG2:AG665))/STDEV('The List'!AG2:AG665)</f>
        <v>-0.6025421421960711</v>
      </c>
      <c r="U331" s="77">
        <f>(VLOOKUP($A331,'The List'!$B1:$AH665,33,FALSE)-AVERAGE('The List'!AH2:AH665))/STDEV('The List'!AH2:AH665)</f>
        <v>-0.502660447499678</v>
      </c>
      <c r="V331" s="77"/>
      <c r="W331" s="89"/>
      <c r="X331" s="79"/>
      <c r="Y331" s="79"/>
      <c r="Z331" s="79"/>
      <c r="AA331" s="79"/>
      <c r="AB331" s="79"/>
      <c r="AC331" s="82"/>
      <c r="AD331" s="83"/>
      <c r="AE331" s="84"/>
    </row>
    <row r="332" ht="21.25" customHeight="1">
      <c r="A332" t="s" s="10">
        <v>685</v>
      </c>
      <c r="B332" t="s" s="86">
        <f>VLOOKUP(A332,'Player Data'!A1:B667,2,FALSE)</f>
        <v>913</v>
      </c>
      <c r="C332" s="74">
        <f>((E332)*'Settings'!$C$12)+(F332*'Settings'!$C$2)+(G332*'Settings'!$C$3)+(H332*'Settings'!$C$4)+(I332*'Settings'!$C$5)+(K332*'Settings'!$C$9)+(N332*'Settings'!$C$6)+(J332*'Settings'!$C$8)+(O332*'Settings'!$C$7)+(P332*'Settings'!$C$14)+(Q332*'Settings'!$C$15)+(R332*'Settings'!$C$16)+(S332*'Settings'!$C$17)+(T332*'Settings'!$C$18)+(U332*'Settings'!$C$19)+(L332*'Settings'!$C$10)+('Settings'!$C$11*M332)</f>
        <v>-1.76885182226238</v>
      </c>
      <c r="D332" s="79">
        <f>IF('Settings'!$E$12="YES",VLOOKUP(A332,'Player Data'!A1:E667,5,FALSE),82)</f>
        <v>81.2975</v>
      </c>
      <c r="E332" s="77">
        <f>(VLOOKUP($A332,'The List'!$B1:$AH665,17,FALSE)-AVERAGE('The List'!R2:R665))/STDEV('The List'!R2:R665)</f>
        <v>0.0175211944224285</v>
      </c>
      <c r="F332" s="77">
        <f>(VLOOKUP($A332,'The List'!$B1:$AH665,18,FALSE)-AVERAGE('The List'!S2:S665))/STDEV('The List'!S2:S665)</f>
        <v>-0.377389517908982</v>
      </c>
      <c r="G332" s="77">
        <f>(VLOOKUP($A332,'The List'!$B1:$AH665,19,FALSE)-AVERAGE('The List'!T2:T665))/STDEV('The List'!T2:T665)</f>
        <v>-0.244099448931208</v>
      </c>
      <c r="H332" s="77">
        <f>(VLOOKUP($A332,'The List'!$B1:$AH665,20,FALSE)-AVERAGE('The List'!U2:U665))/STDEV('The List'!U2:U665)</f>
        <v>-0.323140957691296</v>
      </c>
      <c r="I332" s="77">
        <f>(VLOOKUP($A332,'The List'!$B1:$AH665,21,FALSE)-AVERAGE('The List'!V2:V665))/STDEV('The List'!V2:V665)</f>
        <v>-0.690913811927271</v>
      </c>
      <c r="J332" s="77">
        <f>(VLOOKUP($A332,'The List'!$B1:$AH665,22,FALSE)-AVERAGE('The List'!W2:W665))/STDEV('The List'!W2:W665)</f>
        <v>-0.147062542032273</v>
      </c>
      <c r="K332" s="77">
        <f>(VLOOKUP($A332,'The List'!$B1:$AH665,23,FALSE)-AVERAGE('The List'!X2:X665))/STDEV('The List'!X2:X665)</f>
        <v>-0.291308340380213</v>
      </c>
      <c r="L332" s="77">
        <f>(VLOOKUP($A332,'The List'!$B1:$AH665,24,FALSE)-AVERAGE('The List'!Y2:Y665))/STDEV('The List'!Y2:Y665)</f>
        <v>0.359744570033693</v>
      </c>
      <c r="M332" s="77">
        <f>(VLOOKUP($A332,'The List'!$B1:$AH665,25,FALSE)-AVERAGE('The List'!Z2:Z665))/STDEV('The List'!Z2:Z665)</f>
        <v>0.102816849573711</v>
      </c>
      <c r="N332" s="77">
        <f>(VLOOKUP($A332,'The List'!$B1:$AH665,26,FALSE)-AVERAGE('The List'!AA2:AA665))/STDEV('The List'!AA2:AA665)</f>
        <v>-0.00417877673819134</v>
      </c>
      <c r="O332" s="77">
        <f>(VLOOKUP($A332,'The List'!$B1:$AH665,27,FALSE)-AVERAGE('The List'!AB2:AB665))/STDEV('The List'!AB2:AB665)</f>
        <v>-0.931351677127856</v>
      </c>
      <c r="P332" s="77">
        <f>(VLOOKUP($A332,'The List'!$B1:$AH665,28,FALSE)-AVERAGE('The List'!AC2:AC665))/STDEV('The List'!AC2:AC665)</f>
        <v>-0.160961926376514</v>
      </c>
      <c r="Q332" s="77">
        <f>(VLOOKUP($A332,'The List'!$B1:$AH665,29,FALSE)-AVERAGE('The List'!AD2:AD665))/STDEV('The List'!AD2:AD665)</f>
        <v>-0.759053098636686</v>
      </c>
      <c r="R332" s="77">
        <f>(VLOOKUP($A332,'The List'!$B1:$AH665,30,FALSE)-AVERAGE('The List'!AE2:AE665))/STDEV('The List'!AE2:AE665)</f>
        <v>-0.61952857402953</v>
      </c>
      <c r="S332" s="77">
        <f>(VLOOKUP($A332,'The List'!$B1:$AH665,31,FALSE)-AVERAGE('The List'!AF2:AF665))/STDEV('The List'!AF2:AF665)</f>
        <v>2.0171855116502</v>
      </c>
      <c r="T332" s="77">
        <f>(VLOOKUP($A332,'The List'!$B1:$AH665,32,FALSE)-AVERAGE('The List'!AG2:AG665))/STDEV('The List'!AG2:AG665)</f>
        <v>2.5842514162278</v>
      </c>
      <c r="U332" s="77">
        <f>(VLOOKUP($A332,'The List'!$B1:$AH665,33,FALSE)-AVERAGE('The List'!AH2:AH665))/STDEV('The List'!AH2:AH665)</f>
        <v>0.862603578332185</v>
      </c>
      <c r="V332" s="77"/>
      <c r="W332" s="89"/>
      <c r="X332" s="79"/>
      <c r="Y332" s="79"/>
      <c r="Z332" s="79"/>
      <c r="AA332" s="79"/>
      <c r="AB332" s="79"/>
      <c r="AC332" s="82"/>
      <c r="AD332" s="83"/>
      <c r="AE332" s="84"/>
    </row>
    <row r="333" ht="21.25" customHeight="1">
      <c r="A333" t="s" s="10">
        <v>794</v>
      </c>
      <c r="B333" t="s" s="86">
        <f>VLOOKUP(A333,'Player Data'!A1:B667,2,FALSE)</f>
        <v>192</v>
      </c>
      <c r="C333" s="74">
        <f>((E333)*'Settings'!$C$12)+(F333*'Settings'!$C$2)+(G333*'Settings'!$C$3)+(H333*'Settings'!$C$4)+(I333*'Settings'!$C$5)+(K333*'Settings'!$C$9)+(N333*'Settings'!$C$6)+(J333*'Settings'!$C$8)+(O333*'Settings'!$C$7)+(P333*'Settings'!$C$14)+(Q333*'Settings'!$C$15)+(R333*'Settings'!$C$16)+(S333*'Settings'!$C$17)+(T333*'Settings'!$C$18)+(U333*'Settings'!$C$19)+(L333*'Settings'!$C$10)+('Settings'!$C$11*M333)</f>
        <v>-3.82183448467076</v>
      </c>
      <c r="D333" s="79">
        <f>IF('Settings'!$E$12="YES",VLOOKUP(A333,'Player Data'!A1:E667,5,FALSE),82)</f>
        <v>69.16500000000001</v>
      </c>
      <c r="E333" s="77">
        <f>(VLOOKUP($A333,'The List'!$B1:$AH665,17,FALSE)-AVERAGE('The List'!R2:R665))/STDEV('The List'!R2:R665)</f>
        <v>-1.62026804256839</v>
      </c>
      <c r="F333" s="77">
        <f>(VLOOKUP($A333,'The List'!$B1:$AH665,18,FALSE)-AVERAGE('The List'!S2:S665))/STDEV('The List'!S2:S665)</f>
        <v>-0.333904897029171</v>
      </c>
      <c r="G333" s="77">
        <f>(VLOOKUP($A333,'The List'!$B1:$AH665,19,FALSE)-AVERAGE('The List'!T2:T665))/STDEV('The List'!T2:T665)</f>
        <v>-0.598662476768043</v>
      </c>
      <c r="H333" s="77">
        <f>(VLOOKUP($A333,'The List'!$B1:$AH665,20,FALSE)-AVERAGE('The List'!U2:U665))/STDEV('The List'!U2:U665)</f>
        <v>-0.523578707208512</v>
      </c>
      <c r="I333" s="77">
        <f>(VLOOKUP($A333,'The List'!$B1:$AH665,21,FALSE)-AVERAGE('The List'!V2:V665))/STDEV('The List'!V2:V665)</f>
        <v>-1.03300497884064</v>
      </c>
      <c r="J333" s="77">
        <f>(VLOOKUP($A333,'The List'!$B1:$AH665,22,FALSE)-AVERAGE('The List'!W2:W665))/STDEV('The List'!W2:W665)</f>
        <v>-0.621362242506491</v>
      </c>
      <c r="K333" s="77">
        <f>(VLOOKUP($A333,'The List'!$B1:$AH665,23,FALSE)-AVERAGE('The List'!X2:X665))/STDEV('The List'!X2:X665)</f>
        <v>-0.646466244215699</v>
      </c>
      <c r="L333" s="77">
        <f>(VLOOKUP($A333,'The List'!$B1:$AH665,24,FALSE)-AVERAGE('The List'!Y2:Y665))/STDEV('The List'!Y2:Y665)</f>
        <v>-0.567357566439998</v>
      </c>
      <c r="M333" s="77">
        <f>(VLOOKUP($A333,'The List'!$B1:$AH665,25,FALSE)-AVERAGE('The List'!Z2:Z665))/STDEV('The List'!Z2:Z665)</f>
        <v>-0.741027173822124</v>
      </c>
      <c r="N333" s="77">
        <f>(VLOOKUP($A333,'The List'!$B1:$AH665,26,FALSE)-AVERAGE('The List'!AA2:AA665))/STDEV('The List'!AA2:AA665)</f>
        <v>-0.650007447000894</v>
      </c>
      <c r="O333" s="77">
        <f>(VLOOKUP($A333,'The List'!$B1:$AH665,27,FALSE)-AVERAGE('The List'!AB2:AB665))/STDEV('The List'!AB2:AB665)</f>
        <v>-0.733172592937582</v>
      </c>
      <c r="P333" s="77">
        <f>(VLOOKUP($A333,'The List'!$B1:$AH665,28,FALSE)-AVERAGE('The List'!AC2:AC665))/STDEV('The List'!AC2:AC665)</f>
        <v>-0.559788440816308</v>
      </c>
      <c r="Q333" s="77">
        <f>(VLOOKUP($A333,'The List'!$B1:$AH665,29,FALSE)-AVERAGE('The List'!AD2:AD665))/STDEV('The List'!AD2:AD665)</f>
        <v>-1.39124364134943</v>
      </c>
      <c r="R333" s="77">
        <f>(VLOOKUP($A333,'The List'!$B1:$AH665,30,FALSE)-AVERAGE('The List'!AE2:AE665))/STDEV('The List'!AE2:AE665)</f>
        <v>-0.364510705393244</v>
      </c>
      <c r="S333" s="77">
        <f>(VLOOKUP($A333,'The List'!$B1:$AH665,31,FALSE)-AVERAGE('The List'!AF2:AF665))/STDEV('The List'!AF2:AF665)</f>
        <v>0.07137872553054141</v>
      </c>
      <c r="T333" s="77">
        <f>(VLOOKUP($A333,'The List'!$B1:$AH665,32,FALSE)-AVERAGE('The List'!AG2:AG665))/STDEV('The List'!AG2:AG665)</f>
        <v>0.549194893733689</v>
      </c>
      <c r="U333" s="77">
        <f>(VLOOKUP($A333,'The List'!$B1:$AH665,33,FALSE)-AVERAGE('The List'!AH2:AH665))/STDEV('The List'!AH2:AH665)</f>
        <v>0.440092225315308</v>
      </c>
      <c r="V333" s="77"/>
      <c r="W333" s="89"/>
      <c r="X333" s="79"/>
      <c r="Y333" s="79"/>
      <c r="Z333" s="79"/>
      <c r="AA333" s="79"/>
      <c r="AB333" s="79"/>
      <c r="AC333" s="82"/>
      <c r="AD333" s="83"/>
      <c r="AE333" s="84"/>
    </row>
    <row r="334" ht="21.25" customHeight="1">
      <c r="A334" t="s" s="10">
        <v>622</v>
      </c>
      <c r="B334" t="s" s="86">
        <f>VLOOKUP(A334,'Player Data'!A1:B667,2,FALSE)</f>
        <v>156</v>
      </c>
      <c r="C334" s="74">
        <f>((E334)*'Settings'!$C$12)+(F334*'Settings'!$C$2)+(G334*'Settings'!$C$3)+(H334*'Settings'!$C$4)+(I334*'Settings'!$C$5)+(K334*'Settings'!$C$9)+(N334*'Settings'!$C$6)+(J334*'Settings'!$C$8)+(O334*'Settings'!$C$7)+(P334*'Settings'!$C$14)+(Q334*'Settings'!$C$15)+(R334*'Settings'!$C$16)+(S334*'Settings'!$C$17)+(T334*'Settings'!$C$18)+(U334*'Settings'!$C$19)+(L334*'Settings'!$C$10)+('Settings'!$C$11*M334)</f>
        <v>-2.96214013068433</v>
      </c>
      <c r="D334" s="79">
        <f>IF('Settings'!$E$12="YES",VLOOKUP(A334,'Player Data'!A1:E667,5,FALSE),82)</f>
        <v>79.9375</v>
      </c>
      <c r="E334" s="77">
        <f>(VLOOKUP($A334,'The List'!$B1:$AH665,17,FALSE)-AVERAGE('The List'!R2:R665))/STDEV('The List'!R2:R665)</f>
        <v>-0.816603280612537</v>
      </c>
      <c r="F334" s="77">
        <f>(VLOOKUP($A334,'The List'!$B1:$AH665,18,FALSE)-AVERAGE('The List'!S2:S665))/STDEV('The List'!S2:S665)</f>
        <v>-0.07825381603992709</v>
      </c>
      <c r="G334" s="77">
        <f>(VLOOKUP($A334,'The List'!$B1:$AH665,19,FALSE)-AVERAGE('The List'!T2:T665))/STDEV('The List'!T2:T665)</f>
        <v>-0.505735296711638</v>
      </c>
      <c r="H334" s="77">
        <f>(VLOOKUP($A334,'The List'!$B1:$AH665,20,FALSE)-AVERAGE('The List'!U2:U665))/STDEV('The List'!U2:U665)</f>
        <v>-0.349660134892468</v>
      </c>
      <c r="I334" s="77">
        <f>(VLOOKUP($A334,'The List'!$B1:$AH665,21,FALSE)-AVERAGE('The List'!V2:V665))/STDEV('The List'!V2:V665)</f>
        <v>-0.609926178135859</v>
      </c>
      <c r="J334" s="77">
        <f>(VLOOKUP($A334,'The List'!$B1:$AH665,22,FALSE)-AVERAGE('The List'!W2:W665))/STDEV('The List'!W2:W665)</f>
        <v>0.323815502298414</v>
      </c>
      <c r="K334" s="77">
        <f>(VLOOKUP($A334,'The List'!$B1:$AH665,23,FALSE)-AVERAGE('The List'!X2:X665))/STDEV('The List'!X2:X665)</f>
        <v>0.0570282402820227</v>
      </c>
      <c r="L334" s="77">
        <f>(VLOOKUP($A334,'The List'!$B1:$AH665,24,FALSE)-AVERAGE('The List'!Y2:Y665))/STDEV('The List'!Y2:Y665)</f>
        <v>-0.346812020187291</v>
      </c>
      <c r="M334" s="77">
        <f>(VLOOKUP($A334,'The List'!$B1:$AH665,25,FALSE)-AVERAGE('The List'!Z2:Z665))/STDEV('The List'!Z2:Z665)</f>
        <v>-0.515201096931956</v>
      </c>
      <c r="N334" s="77">
        <f>(VLOOKUP($A334,'The List'!$B1:$AH665,26,FALSE)-AVERAGE('The List'!AA2:AA665))/STDEV('The List'!AA2:AA665)</f>
        <v>-0.676211673367544</v>
      </c>
      <c r="O334" s="77">
        <f>(VLOOKUP($A334,'The List'!$B1:$AH665,27,FALSE)-AVERAGE('The List'!AB2:AB665))/STDEV('The List'!AB2:AB665)</f>
        <v>0.460907213664747</v>
      </c>
      <c r="P334" s="77">
        <f>(VLOOKUP($A334,'The List'!$B1:$AH665,28,FALSE)-AVERAGE('The List'!AC2:AC665))/STDEV('The List'!AC2:AC665)</f>
        <v>-1.14904140671138</v>
      </c>
      <c r="Q334" s="77">
        <f>(VLOOKUP($A334,'The List'!$B1:$AH665,29,FALSE)-AVERAGE('The List'!AD2:AD665))/STDEV('The List'!AD2:AD665)</f>
        <v>-0.304879996531498</v>
      </c>
      <c r="R334" s="77">
        <f>(VLOOKUP($A334,'The List'!$B1:$AH665,30,FALSE)-AVERAGE('The List'!AE2:AE665))/STDEV('The List'!AE2:AE665)</f>
        <v>-0.168458045157447</v>
      </c>
      <c r="S334" s="77">
        <f>(VLOOKUP($A334,'The List'!$B1:$AH665,31,FALSE)-AVERAGE('The List'!AF2:AF665))/STDEV('The List'!AF2:AF665)</f>
        <v>0.832521817884618</v>
      </c>
      <c r="T334" s="77">
        <f>(VLOOKUP($A334,'The List'!$B1:$AH665,32,FALSE)-AVERAGE('The List'!AG2:AG665))/STDEV('The List'!AG2:AG665)</f>
        <v>1.08947304359815</v>
      </c>
      <c r="U334" s="77">
        <f>(VLOOKUP($A334,'The List'!$B1:$AH665,33,FALSE)-AVERAGE('The List'!AH2:AH665))/STDEV('The List'!AH2:AH665)</f>
        <v>0.880294702503901</v>
      </c>
      <c r="V334" s="77"/>
      <c r="W334" s="79"/>
      <c r="X334" s="77"/>
      <c r="Y334" s="77"/>
      <c r="Z334" s="77"/>
      <c r="AA334" s="77"/>
      <c r="AB334" s="77"/>
      <c r="AC334" s="77"/>
      <c r="AD334" s="77"/>
      <c r="AE334" s="84"/>
    </row>
    <row r="335" ht="21.25" customHeight="1">
      <c r="A335" t="s" s="10">
        <v>489</v>
      </c>
      <c r="B335" t="s" s="86">
        <f>VLOOKUP(A335,'Player Data'!A1:B667,2,FALSE)</f>
        <v>905</v>
      </c>
      <c r="C335" s="74">
        <f>((E335)*'Settings'!$C$12)+(F335*'Settings'!$C$2)+(G335*'Settings'!$C$3)+(H335*'Settings'!$C$4)+(I335*'Settings'!$C$5)+(K335*'Settings'!$C$9)+(N335*'Settings'!$C$6)+(J335*'Settings'!$C$8)+(O335*'Settings'!$C$7)+(P335*'Settings'!$C$14)+(Q335*'Settings'!$C$15)+(R335*'Settings'!$C$16)+(S335*'Settings'!$C$17)+(T335*'Settings'!$C$18)+(U335*'Settings'!$C$19)+(L335*'Settings'!$C$10)+('Settings'!$C$11*M335)</f>
        <v>-3.13488096832942</v>
      </c>
      <c r="D335" s="79">
        <f>IF('Settings'!$E$12="YES",VLOOKUP(A335,'Player Data'!A1:E667,5,FALSE),82)</f>
        <v>79.48</v>
      </c>
      <c r="E335" s="77">
        <f>(VLOOKUP($A335,'The List'!$B1:$AH665,17,FALSE)-AVERAGE('The List'!R2:R665))/STDEV('The List'!R2:R665)</f>
        <v>-0.287596237745532</v>
      </c>
      <c r="F335" s="77">
        <f>(VLOOKUP($A335,'The List'!$B1:$AH665,18,FALSE)-AVERAGE('The List'!S2:S665))/STDEV('The List'!S2:S665)</f>
        <v>0.00148312477145799</v>
      </c>
      <c r="G335" s="77">
        <f>(VLOOKUP($A335,'The List'!$B1:$AH665,19,FALSE)-AVERAGE('The List'!T2:T665))/STDEV('The List'!T2:T665)</f>
        <v>-0.579859545626952</v>
      </c>
      <c r="H335" s="77">
        <f>(VLOOKUP($A335,'The List'!$B1:$AH665,20,FALSE)-AVERAGE('The List'!U2:U665))/STDEV('The List'!U2:U665)</f>
        <v>-0.359451231535787</v>
      </c>
      <c r="I335" s="77">
        <f>(VLOOKUP($A335,'The List'!$B1:$AH665,21,FALSE)-AVERAGE('The List'!V2:V665))/STDEV('The List'!V2:V665)</f>
        <v>-0.340540737283092</v>
      </c>
      <c r="J335" s="77">
        <f>(VLOOKUP($A335,'The List'!$B1:$AH665,22,FALSE)-AVERAGE('The List'!W2:W665))/STDEV('The List'!W2:W665)</f>
        <v>-0.6203408397649049</v>
      </c>
      <c r="K335" s="77">
        <f>(VLOOKUP($A335,'The List'!$B1:$AH665,23,FALSE)-AVERAGE('The List'!X2:X665))/STDEV('The List'!X2:X665)</f>
        <v>-0.7609940665392581</v>
      </c>
      <c r="L335" s="77">
        <f>(VLOOKUP($A335,'The List'!$B1:$AH665,24,FALSE)-AVERAGE('The List'!Y2:Y665))/STDEV('The List'!Y2:Y665)</f>
        <v>-0.421132885069797</v>
      </c>
      <c r="M335" s="77">
        <f>(VLOOKUP($A335,'The List'!$B1:$AH665,25,FALSE)-AVERAGE('The List'!Z2:Z665))/STDEV('The List'!Z2:Z665)</f>
        <v>0.759609035567763</v>
      </c>
      <c r="N335" s="77">
        <f>(VLOOKUP($A335,'The List'!$B1:$AH665,26,FALSE)-AVERAGE('The List'!AA2:AA665))/STDEV('The List'!AA2:AA665)</f>
        <v>0.106186589690131</v>
      </c>
      <c r="O335" s="77">
        <f>(VLOOKUP($A335,'The List'!$B1:$AH665,27,FALSE)-AVERAGE('The List'!AB2:AB665))/STDEV('The List'!AB2:AB665)</f>
        <v>0.656610052983802</v>
      </c>
      <c r="P335" s="77">
        <f>(VLOOKUP($A335,'The List'!$B1:$AH665,28,FALSE)-AVERAGE('The List'!AC2:AC665))/STDEV('The List'!AC2:AC665)</f>
        <v>-1.56115633334171</v>
      </c>
      <c r="Q335" s="77">
        <f>(VLOOKUP($A335,'The List'!$B1:$AH665,29,FALSE)-AVERAGE('The List'!AD2:AD665))/STDEV('The List'!AD2:AD665)</f>
        <v>-0.175707939891122</v>
      </c>
      <c r="R335" s="77">
        <f>(VLOOKUP($A335,'The List'!$B1:$AH665,30,FALSE)-AVERAGE('The List'!AE2:AE665))/STDEV('The List'!AE2:AE665)</f>
        <v>-0.167633056342006</v>
      </c>
      <c r="S335" s="77">
        <f>(VLOOKUP($A335,'The List'!$B1:$AH665,31,FALSE)-AVERAGE('The List'!AF2:AF665))/STDEV('The List'!AF2:AF665)</f>
        <v>1.80191435250843</v>
      </c>
      <c r="T335" s="77">
        <f>(VLOOKUP($A335,'The List'!$B1:$AH665,32,FALSE)-AVERAGE('The List'!AG2:AG665))/STDEV('The List'!AG2:AG665)</f>
        <v>2.11237265993874</v>
      </c>
      <c r="U335" s="77">
        <f>(VLOOKUP($A335,'The List'!$B1:$AH665,33,FALSE)-AVERAGE('The List'!AH2:AH665))/STDEV('The List'!AH2:AH665)</f>
        <v>0.944208893529084</v>
      </c>
      <c r="V335" s="77"/>
      <c r="W335" s="79"/>
      <c r="X335" s="77"/>
      <c r="Y335" s="77"/>
      <c r="Z335" s="77"/>
      <c r="AA335" s="77"/>
      <c r="AB335" s="77"/>
      <c r="AC335" s="77"/>
      <c r="AD335" s="77"/>
      <c r="AE335" s="84"/>
    </row>
    <row r="336" ht="21.25" customHeight="1">
      <c r="A336" t="s" s="10">
        <v>581</v>
      </c>
      <c r="B336" t="s" s="86">
        <f>VLOOKUP(A336,'Player Data'!A1:B667,2,FALSE)</f>
        <v>900</v>
      </c>
      <c r="C336" s="74">
        <f>((E336)*'Settings'!$C$12)+(F336*'Settings'!$C$2)+(G336*'Settings'!$C$3)+(H336*'Settings'!$C$4)+(I336*'Settings'!$C$5)+(K336*'Settings'!$C$9)+(N336*'Settings'!$C$6)+(J336*'Settings'!$C$8)+(O336*'Settings'!$C$7)+(P336*'Settings'!$C$14)+(Q336*'Settings'!$C$15)+(R336*'Settings'!$C$16)+(S336*'Settings'!$C$17)+(T336*'Settings'!$C$18)+(U336*'Settings'!$C$19)+(L336*'Settings'!$C$10)+('Settings'!$C$11*M336)</f>
        <v>-0.469731966088611</v>
      </c>
      <c r="D336" s="79">
        <f>IF('Settings'!$E$12="YES",VLOOKUP(A336,'Player Data'!A1:E667,5,FALSE),82)</f>
        <v>80.29000000000001</v>
      </c>
      <c r="E336" s="77">
        <f>(VLOOKUP($A336,'The List'!$B1:$AH665,17,FALSE)-AVERAGE('The List'!R2:R665))/STDEV('The List'!R2:R665)</f>
        <v>-0.346497416498346</v>
      </c>
      <c r="F336" s="77">
        <f>(VLOOKUP($A336,'The List'!$B1:$AH665,18,FALSE)-AVERAGE('The List'!S2:S665))/STDEV('The List'!S2:S665)</f>
        <v>-0.192119002950483</v>
      </c>
      <c r="G336" s="77">
        <f>(VLOOKUP($A336,'The List'!$B1:$AH665,19,FALSE)-AVERAGE('The List'!T2:T665))/STDEV('The List'!T2:T665)</f>
        <v>-0.422856382089996</v>
      </c>
      <c r="H336" s="77">
        <f>(VLOOKUP($A336,'The List'!$B1:$AH665,20,FALSE)-AVERAGE('The List'!U2:U665))/STDEV('The List'!U2:U665)</f>
        <v>-0.349944808685005</v>
      </c>
      <c r="I336" s="77">
        <f>(VLOOKUP($A336,'The List'!$B1:$AH665,21,FALSE)-AVERAGE('The List'!V2:V665))/STDEV('The List'!V2:V665)</f>
        <v>0.193987864283786</v>
      </c>
      <c r="J336" s="77">
        <f>(VLOOKUP($A336,'The List'!$B1:$AH665,22,FALSE)-AVERAGE('The List'!W2:W665))/STDEV('The List'!W2:W665)</f>
        <v>-0.428008440663982</v>
      </c>
      <c r="K336" s="77">
        <f>(VLOOKUP($A336,'The List'!$B1:$AH665,23,FALSE)-AVERAGE('The List'!X2:X665))/STDEV('The List'!X2:X665)</f>
        <v>-0.487067982063722</v>
      </c>
      <c r="L336" s="77">
        <f>(VLOOKUP($A336,'The List'!$B1:$AH665,24,FALSE)-AVERAGE('The List'!Y2:Y665))/STDEV('The List'!Y2:Y665)</f>
        <v>1.3397199801127</v>
      </c>
      <c r="M336" s="77">
        <f>(VLOOKUP($A336,'The List'!$B1:$AH665,25,FALSE)-AVERAGE('The List'!Z2:Z665))/STDEV('The List'!Z2:Z665)</f>
        <v>1.35471928963631</v>
      </c>
      <c r="N336" s="77">
        <f>(VLOOKUP($A336,'The List'!$B1:$AH665,26,FALSE)-AVERAGE('The List'!AA2:AA665))/STDEV('The List'!AA2:AA665)</f>
        <v>-0.392099866091311</v>
      </c>
      <c r="O336" s="77">
        <f>(VLOOKUP($A336,'The List'!$B1:$AH665,27,FALSE)-AVERAGE('The List'!AB2:AB665))/STDEV('The List'!AB2:AB665)</f>
        <v>-0.08970660350165451</v>
      </c>
      <c r="P336" s="77">
        <f>(VLOOKUP($A336,'The List'!$B1:$AH665,28,FALSE)-AVERAGE('The List'!AC2:AC665))/STDEV('The List'!AC2:AC665)</f>
        <v>0.830423402823115</v>
      </c>
      <c r="Q336" s="77">
        <f>(VLOOKUP($A336,'The List'!$B1:$AH665,29,FALSE)-AVERAGE('The List'!AD2:AD665))/STDEV('The List'!AD2:AD665)</f>
        <v>0.975948130019832</v>
      </c>
      <c r="R336" s="77">
        <f>(VLOOKUP($A336,'The List'!$B1:$AH665,30,FALSE)-AVERAGE('The List'!AE2:AE665))/STDEV('The List'!AE2:AE665)</f>
        <v>-0.169692669004922</v>
      </c>
      <c r="S336" s="77">
        <f>(VLOOKUP($A336,'The List'!$B1:$AH665,31,FALSE)-AVERAGE('The List'!AF2:AF665))/STDEV('The List'!AF2:AF665)</f>
        <v>1.75682204445469</v>
      </c>
      <c r="T336" s="77">
        <f>(VLOOKUP($A336,'The List'!$B1:$AH665,32,FALSE)-AVERAGE('The List'!AG2:AG665))/STDEV('The List'!AG2:AG665)</f>
        <v>1.45242127669353</v>
      </c>
      <c r="U336" s="77">
        <f>(VLOOKUP($A336,'The List'!$B1:$AH665,33,FALSE)-AVERAGE('The List'!AH2:AH665))/STDEV('The List'!AH2:AH665)</f>
        <v>1.23446147040872</v>
      </c>
      <c r="V336" s="77"/>
      <c r="W336" s="89"/>
      <c r="X336" s="79"/>
      <c r="Y336" s="79"/>
      <c r="Z336" s="79"/>
      <c r="AA336" s="79"/>
      <c r="AB336" s="79"/>
      <c r="AC336" s="82"/>
      <c r="AD336" s="83"/>
      <c r="AE336" s="84"/>
    </row>
    <row r="337" ht="21.25" customHeight="1">
      <c r="A337" t="s" s="10">
        <v>826</v>
      </c>
      <c r="B337" t="s" s="86">
        <f>VLOOKUP(A337,'Player Data'!A1:B667,2,FALSE)</f>
        <v>913</v>
      </c>
      <c r="C337" s="74">
        <f>((E337)*'Settings'!$C$12)+(F337*'Settings'!$C$2)+(G337*'Settings'!$C$3)+(H337*'Settings'!$C$4)+(I337*'Settings'!$C$5)+(K337*'Settings'!$C$9)+(N337*'Settings'!$C$6)+(J337*'Settings'!$C$8)+(O337*'Settings'!$C$7)+(P337*'Settings'!$C$14)+(Q337*'Settings'!$C$15)+(R337*'Settings'!$C$16)+(S337*'Settings'!$C$17)+(T337*'Settings'!$C$18)+(U337*'Settings'!$C$19)+(L337*'Settings'!$C$10)+('Settings'!$C$11*M337)</f>
        <v>-4.65881168830116</v>
      </c>
      <c r="D337" s="79">
        <f>IF('Settings'!$E$12="YES",VLOOKUP(A337,'Player Data'!A1:E667,5,FALSE),82)</f>
        <v>59.205</v>
      </c>
      <c r="E337" s="77">
        <f>(VLOOKUP($A337,'The List'!$B1:$AH665,17,FALSE)-AVERAGE('The List'!R2:R665))/STDEV('The List'!R2:R665)</f>
        <v>-1.07034497210461</v>
      </c>
      <c r="F337" s="77">
        <f>(VLOOKUP($A337,'The List'!$B1:$AH665,18,FALSE)-AVERAGE('The List'!S2:S665))/STDEV('The List'!S2:S665)</f>
        <v>-0.464663540067438</v>
      </c>
      <c r="G337" s="77">
        <f>(VLOOKUP($A337,'The List'!$B1:$AH665,19,FALSE)-AVERAGE('The List'!T2:T665))/STDEV('The List'!T2:T665)</f>
        <v>-0.7740211155844789</v>
      </c>
      <c r="H337" s="77">
        <f>(VLOOKUP($A337,'The List'!$B1:$AH665,20,FALSE)-AVERAGE('The List'!U2:U665))/STDEV('The List'!U2:U665)</f>
        <v>-0.691922300717173</v>
      </c>
      <c r="I337" s="77">
        <f>(VLOOKUP($A337,'The List'!$B1:$AH665,21,FALSE)-AVERAGE('The List'!V2:V665))/STDEV('The List'!V2:V665)</f>
        <v>-0.761386652038551</v>
      </c>
      <c r="J337" s="77">
        <f>(VLOOKUP($A337,'The List'!$B1:$AH665,22,FALSE)-AVERAGE('The List'!W2:W665))/STDEV('The List'!W2:W665)</f>
        <v>0.187862865720393</v>
      </c>
      <c r="K337" s="77">
        <f>(VLOOKUP($A337,'The List'!$B1:$AH665,23,FALSE)-AVERAGE('The List'!X2:X665))/STDEV('The List'!X2:X665)</f>
        <v>-0.117002485501433</v>
      </c>
      <c r="L337" s="77">
        <f>(VLOOKUP($A337,'The List'!$B1:$AH665,24,FALSE)-AVERAGE('The List'!Y2:Y665))/STDEV('The List'!Y2:Y665)</f>
        <v>-0.5776203610998339</v>
      </c>
      <c r="M337" s="77">
        <f>(VLOOKUP($A337,'The List'!$B1:$AH665,25,FALSE)-AVERAGE('The List'!Z2:Z665))/STDEV('The List'!Z2:Z665)</f>
        <v>-0.7514326216509279</v>
      </c>
      <c r="N337" s="77">
        <f>(VLOOKUP($A337,'The List'!$B1:$AH665,26,FALSE)-AVERAGE('The List'!AA2:AA665))/STDEV('The List'!AA2:AA665)</f>
        <v>-0.7702929748959469</v>
      </c>
      <c r="O337" s="77">
        <f>(VLOOKUP($A337,'The List'!$B1:$AH665,27,FALSE)-AVERAGE('The List'!AB2:AB665))/STDEV('The List'!AB2:AB665)</f>
        <v>-1.07692816807416</v>
      </c>
      <c r="P337" s="77">
        <f>(VLOOKUP($A337,'The List'!$B1:$AH665,28,FALSE)-AVERAGE('The List'!AC2:AC665))/STDEV('The List'!AC2:AC665)</f>
        <v>-1.77144492021331</v>
      </c>
      <c r="Q337" s="77">
        <f>(VLOOKUP($A337,'The List'!$B1:$AH665,29,FALSE)-AVERAGE('The List'!AD2:AD665))/STDEV('The List'!AD2:AD665)</f>
        <v>-0.7655817660079191</v>
      </c>
      <c r="R337" s="77">
        <f>(VLOOKUP($A337,'The List'!$B1:$AH665,30,FALSE)-AVERAGE('The List'!AE2:AE665))/STDEV('The List'!AE2:AE665)</f>
        <v>-0.6793619123539</v>
      </c>
      <c r="S337" s="77">
        <f>(VLOOKUP($A337,'The List'!$B1:$AH665,31,FALSE)-AVERAGE('The List'!AF2:AF665))/STDEV('The List'!AF2:AF665)</f>
        <v>-0.0216219352287441</v>
      </c>
      <c r="T337" s="77">
        <f>(VLOOKUP($A337,'The List'!$B1:$AH665,32,FALSE)-AVERAGE('The List'!AG2:AG665))/STDEV('The List'!AG2:AG665)</f>
        <v>0.0376387810518052</v>
      </c>
      <c r="U337" s="77">
        <f>(VLOOKUP($A337,'The List'!$B1:$AH665,33,FALSE)-AVERAGE('The List'!AH2:AH665))/STDEV('The List'!AH2:AH665)</f>
        <v>0.897402762192857</v>
      </c>
      <c r="V337" s="77"/>
      <c r="W337" s="89"/>
      <c r="X337" s="79"/>
      <c r="Y337" s="79"/>
      <c r="Z337" s="79"/>
      <c r="AA337" s="79"/>
      <c r="AB337" s="79"/>
      <c r="AC337" s="82"/>
      <c r="AD337" s="83"/>
      <c r="AE337" s="84"/>
    </row>
    <row r="338" ht="21.25" customHeight="1">
      <c r="A338" t="s" s="10">
        <v>744</v>
      </c>
      <c r="B338" t="s" s="86">
        <f>VLOOKUP(A338,'Player Data'!A1:B667,2,FALSE)</f>
        <v>909</v>
      </c>
      <c r="C338" s="74">
        <f>((E338)*'Settings'!$C$12)+(F338*'Settings'!$C$2)+(G338*'Settings'!$C$3)+(H338*'Settings'!$C$4)+(I338*'Settings'!$C$5)+(K338*'Settings'!$C$9)+(N338*'Settings'!$C$6)+(J338*'Settings'!$C$8)+(O338*'Settings'!$C$7)+(P338*'Settings'!$C$14)+(Q338*'Settings'!$C$15)+(R338*'Settings'!$C$16)+(S338*'Settings'!$C$17)+(T338*'Settings'!$C$18)+(U338*'Settings'!$C$19)+(L338*'Settings'!$C$10)+('Settings'!$C$11*M338)</f>
        <v>-2.78319935857885</v>
      </c>
      <c r="D338" s="79">
        <f>IF('Settings'!$E$12="YES",VLOOKUP(A338,'Player Data'!A1:E667,5,FALSE),82)</f>
        <v>72.355</v>
      </c>
      <c r="E338" s="77">
        <f>(VLOOKUP($A338,'The List'!$B1:$AH665,17,FALSE)-AVERAGE('The List'!R2:R665))/STDEV('The List'!R2:R665)</f>
        <v>-1.01555218191321</v>
      </c>
      <c r="F338" s="77">
        <f>(VLOOKUP($A338,'The List'!$B1:$AH665,18,FALSE)-AVERAGE('The List'!S2:S665))/STDEV('The List'!S2:S665)</f>
        <v>-0.0902299152825119</v>
      </c>
      <c r="G338" s="77">
        <f>(VLOOKUP($A338,'The List'!$B1:$AH665,19,FALSE)-AVERAGE('The List'!T2:T665))/STDEV('The List'!T2:T665)</f>
        <v>-0.706907059165939</v>
      </c>
      <c r="H338" s="77">
        <f>(VLOOKUP($A338,'The List'!$B1:$AH665,20,FALSE)-AVERAGE('The List'!U2:U665))/STDEV('The List'!U2:U665)</f>
        <v>-0.480042817260836</v>
      </c>
      <c r="I338" s="77">
        <f>(VLOOKUP($A338,'The List'!$B1:$AH665,21,FALSE)-AVERAGE('The List'!V2:V665))/STDEV('The List'!V2:V665)</f>
        <v>0.0898478545359967</v>
      </c>
      <c r="J338" s="77">
        <f>(VLOOKUP($A338,'The List'!$B1:$AH665,22,FALSE)-AVERAGE('The List'!W2:W665))/STDEV('The List'!W2:W665)</f>
        <v>-0.281336562068143</v>
      </c>
      <c r="K338" s="77">
        <f>(VLOOKUP($A338,'The List'!$B1:$AH665,23,FALSE)-AVERAGE('The List'!X2:X665))/STDEV('The List'!X2:X665)</f>
        <v>-0.354958859243918</v>
      </c>
      <c r="L338" s="77">
        <f>(VLOOKUP($A338,'The List'!$B1:$AH665,24,FALSE)-AVERAGE('The List'!Y2:Y665))/STDEV('The List'!Y2:Y665)</f>
        <v>-0.57705338888233</v>
      </c>
      <c r="M338" s="77">
        <f>(VLOOKUP($A338,'The List'!$B1:$AH665,25,FALSE)-AVERAGE('The List'!Z2:Z665))/STDEV('The List'!Z2:Z665)</f>
        <v>-0.750824384868951</v>
      </c>
      <c r="N338" s="77">
        <f>(VLOOKUP($A338,'The List'!$B1:$AH665,26,FALSE)-AVERAGE('The List'!AA2:AA665))/STDEV('The List'!AA2:AA665)</f>
        <v>-0.82440915085373</v>
      </c>
      <c r="O338" s="77">
        <f>(VLOOKUP($A338,'The List'!$B1:$AH665,27,FALSE)-AVERAGE('The List'!AB2:AB665))/STDEV('The List'!AB2:AB665)</f>
        <v>-0.722763507489688</v>
      </c>
      <c r="P338" s="77">
        <f>(VLOOKUP($A338,'The List'!$B1:$AH665,28,FALSE)-AVERAGE('The List'!AC2:AC665))/STDEV('The List'!AC2:AC665)</f>
        <v>-0.896542228568745</v>
      </c>
      <c r="Q338" s="77">
        <f>(VLOOKUP($A338,'The List'!$B1:$AH665,29,FALSE)-AVERAGE('The List'!AD2:AD665))/STDEV('The List'!AD2:AD665)</f>
        <v>1.11632238565826</v>
      </c>
      <c r="R338" s="77">
        <f>(VLOOKUP($A338,'The List'!$B1:$AH665,30,FALSE)-AVERAGE('The List'!AE2:AE665))/STDEV('The List'!AE2:AE665)</f>
        <v>-0.350112582040931</v>
      </c>
      <c r="S338" s="77">
        <f>(VLOOKUP($A338,'The List'!$B1:$AH665,31,FALSE)-AVERAGE('The List'!AF2:AF665))/STDEV('The List'!AF2:AF665)</f>
        <v>-0.514457230097657</v>
      </c>
      <c r="T338" s="77">
        <f>(VLOOKUP($A338,'The List'!$B1:$AH665,32,FALSE)-AVERAGE('The List'!AG2:AG665))/STDEV('The List'!AG2:AG665)</f>
        <v>-0.526403572202829</v>
      </c>
      <c r="U338" s="77">
        <f>(VLOOKUP($A338,'The List'!$B1:$AH665,33,FALSE)-AVERAGE('The List'!AH2:AH665))/STDEV('The List'!AH2:AH665)</f>
        <v>0.531188617572927</v>
      </c>
      <c r="V338" s="77"/>
      <c r="W338" s="89"/>
      <c r="X338" s="79"/>
      <c r="Y338" s="79"/>
      <c r="Z338" s="79"/>
      <c r="AA338" s="79"/>
      <c r="AB338" s="79"/>
      <c r="AC338" s="82"/>
      <c r="AD338" s="83"/>
      <c r="AE338" s="84"/>
    </row>
    <row r="339" ht="21.25" customHeight="1">
      <c r="A339" t="s" s="10">
        <v>692</v>
      </c>
      <c r="B339" t="s" s="86">
        <f>VLOOKUP(A339,'Player Data'!A1:B667,2,FALSE)</f>
        <v>342</v>
      </c>
      <c r="C339" s="74">
        <f>((E339)*'Settings'!$C$12)+(F339*'Settings'!$C$2)+(G339*'Settings'!$C$3)+(H339*'Settings'!$C$4)+(I339*'Settings'!$C$5)+(K339*'Settings'!$C$9)+(N339*'Settings'!$C$6)+(J339*'Settings'!$C$8)+(O339*'Settings'!$C$7)+(P339*'Settings'!$C$14)+(Q339*'Settings'!$C$15)+(R339*'Settings'!$C$16)+(S339*'Settings'!$C$17)+(T339*'Settings'!$C$18)+(U339*'Settings'!$C$19)+(L339*'Settings'!$C$10)+('Settings'!$C$11*M339)</f>
        <v>-0.8558510937291151</v>
      </c>
      <c r="D339" s="79">
        <f>IF('Settings'!$E$12="YES",VLOOKUP(A339,'Player Data'!A1:E667,5,FALSE),82)</f>
        <v>79.73</v>
      </c>
      <c r="E339" s="77">
        <f>(VLOOKUP($A339,'The List'!$B1:$AH665,17,FALSE)-AVERAGE('The List'!R2:R665))/STDEV('The List'!R2:R665)</f>
        <v>-0.618164625614597</v>
      </c>
      <c r="F339" s="77">
        <f>(VLOOKUP($A339,'The List'!$B1:$AH665,18,FALSE)-AVERAGE('The List'!S2:S665))/STDEV('The List'!S2:S665)</f>
        <v>-0.189950276970584</v>
      </c>
      <c r="G339" s="77">
        <f>(VLOOKUP($A339,'The List'!$B1:$AH665,19,FALSE)-AVERAGE('The List'!T2:T665))/STDEV('The List'!T2:T665)</f>
        <v>-0.444175413043027</v>
      </c>
      <c r="H339" s="77">
        <f>(VLOOKUP($A339,'The List'!$B1:$AH665,20,FALSE)-AVERAGE('The List'!U2:U665))/STDEV('The List'!U2:U665)</f>
        <v>-0.362199336590056</v>
      </c>
      <c r="I339" s="77">
        <f>(VLOOKUP($A339,'The List'!$B1:$AH665,21,FALSE)-AVERAGE('The List'!V2:V665))/STDEV('The List'!V2:V665)</f>
        <v>0.106721568486067</v>
      </c>
      <c r="J339" s="77">
        <f>(VLOOKUP($A339,'The List'!$B1:$AH665,22,FALSE)-AVERAGE('The List'!W2:W665))/STDEV('The List'!W2:W665)</f>
        <v>-0.730924642551333</v>
      </c>
      <c r="K339" s="77">
        <f>(VLOOKUP($A339,'The List'!$B1:$AH665,23,FALSE)-AVERAGE('The List'!X2:X665))/STDEV('The List'!X2:X665)</f>
        <v>-0.81588321852728</v>
      </c>
      <c r="L339" s="77">
        <f>(VLOOKUP($A339,'The List'!$B1:$AH665,24,FALSE)-AVERAGE('The List'!Y2:Y665))/STDEV('The List'!Y2:Y665)</f>
        <v>0.331970789741695</v>
      </c>
      <c r="M339" s="77">
        <f>(VLOOKUP($A339,'The List'!$B1:$AH665,25,FALSE)-AVERAGE('The List'!Z2:Z665))/STDEV('The List'!Z2:Z665)</f>
        <v>-0.112766115922464</v>
      </c>
      <c r="N339" s="77">
        <f>(VLOOKUP($A339,'The List'!$B1:$AH665,26,FALSE)-AVERAGE('The List'!AA2:AA665))/STDEV('The List'!AA2:AA665)</f>
        <v>-0.749613276099651</v>
      </c>
      <c r="O339" s="77">
        <f>(VLOOKUP($A339,'The List'!$B1:$AH665,27,FALSE)-AVERAGE('The List'!AB2:AB665))/STDEV('The List'!AB2:AB665)</f>
        <v>-0.480605665438677</v>
      </c>
      <c r="P339" s="77">
        <f>(VLOOKUP($A339,'The List'!$B1:$AH665,28,FALSE)-AVERAGE('The List'!AC2:AC665))/STDEV('The List'!AC2:AC665)</f>
        <v>1.23704952242536</v>
      </c>
      <c r="Q339" s="77">
        <f>(VLOOKUP($A339,'The List'!$B1:$AH665,29,FALSE)-AVERAGE('The List'!AD2:AD665))/STDEV('The List'!AD2:AD665)</f>
        <v>0.556095824774587</v>
      </c>
      <c r="R339" s="77">
        <f>(VLOOKUP($A339,'The List'!$B1:$AH665,30,FALSE)-AVERAGE('The List'!AE2:AE665))/STDEV('The List'!AE2:AE665)</f>
        <v>-0.00311570641909062</v>
      </c>
      <c r="S339" s="77">
        <f>(VLOOKUP($A339,'The List'!$B1:$AH665,31,FALSE)-AVERAGE('The List'!AF2:AF665))/STDEV('The List'!AF2:AF665)</f>
        <v>-0.373439961086713</v>
      </c>
      <c r="T339" s="77">
        <f>(VLOOKUP($A339,'The List'!$B1:$AH665,32,FALSE)-AVERAGE('The List'!AG2:AG665))/STDEV('The List'!AG2:AG665)</f>
        <v>-0.390534269187182</v>
      </c>
      <c r="U339" s="77">
        <f>(VLOOKUP($A339,'The List'!$B1:$AH665,33,FALSE)-AVERAGE('The List'!AH2:AH665))/STDEV('The List'!AH2:AH665)</f>
        <v>0.923780478709211</v>
      </c>
      <c r="V339" s="77"/>
      <c r="W339" s="89"/>
      <c r="X339" s="79"/>
      <c r="Y339" s="79"/>
      <c r="Z339" s="79"/>
      <c r="AA339" s="79"/>
      <c r="AB339" s="79"/>
      <c r="AC339" s="82"/>
      <c r="AD339" s="83"/>
      <c r="AE339" s="84"/>
    </row>
    <row r="340" ht="21.25" customHeight="1">
      <c r="A340" t="s" s="10">
        <v>704</v>
      </c>
      <c r="B340" t="s" s="86">
        <f>VLOOKUP(A340,'Player Data'!A1:B667,2,FALSE)</f>
        <v>906</v>
      </c>
      <c r="C340" s="74">
        <f>((E340)*'Settings'!$C$12)+(F340*'Settings'!$C$2)+(G340*'Settings'!$C$3)+(H340*'Settings'!$C$4)+(I340*'Settings'!$C$5)+(K340*'Settings'!$C$9)+(N340*'Settings'!$C$6)+(J340*'Settings'!$C$8)+(O340*'Settings'!$C$7)+(P340*'Settings'!$C$14)+(Q340*'Settings'!$C$15)+(R340*'Settings'!$C$16)+(S340*'Settings'!$C$17)+(T340*'Settings'!$C$18)+(U340*'Settings'!$C$19)+(L340*'Settings'!$C$10)+('Settings'!$C$11*M340)</f>
        <v>-2.28769407721253</v>
      </c>
      <c r="D340" s="79">
        <f>IF('Settings'!$E$12="YES",VLOOKUP(A340,'Player Data'!A1:E667,5,FALSE),82)</f>
        <v>74.99250000000001</v>
      </c>
      <c r="E340" s="77">
        <f>(VLOOKUP($A340,'The List'!$B1:$AH665,17,FALSE)-AVERAGE('The List'!R2:R665))/STDEV('The List'!R2:R665)</f>
        <v>-0.5632622128604931</v>
      </c>
      <c r="F340" s="77">
        <f>(VLOOKUP($A340,'The List'!$B1:$AH665,18,FALSE)-AVERAGE('The List'!S2:S665))/STDEV('The List'!S2:S665)</f>
        <v>-0.38392177206792</v>
      </c>
      <c r="G340" s="77">
        <f>(VLOOKUP($A340,'The List'!$B1:$AH665,19,FALSE)-AVERAGE('The List'!T2:T665))/STDEV('The List'!T2:T665)</f>
        <v>-0.42650541135442</v>
      </c>
      <c r="H340" s="77">
        <f>(VLOOKUP($A340,'The List'!$B1:$AH665,20,FALSE)-AVERAGE('The List'!U2:U665))/STDEV('The List'!U2:U665)</f>
        <v>-0.439394536717568</v>
      </c>
      <c r="I340" s="77">
        <f>(VLOOKUP($A340,'The List'!$B1:$AH665,21,FALSE)-AVERAGE('The List'!V2:V665))/STDEV('The List'!V2:V665)</f>
        <v>-0.481133678766915</v>
      </c>
      <c r="J340" s="77">
        <f>(VLOOKUP($A340,'The List'!$B1:$AH665,22,FALSE)-AVERAGE('The List'!W2:W665))/STDEV('The List'!W2:W665)</f>
        <v>-0.662072932418689</v>
      </c>
      <c r="K340" s="77">
        <f>(VLOOKUP($A340,'The List'!$B1:$AH665,23,FALSE)-AVERAGE('The List'!X2:X665))/STDEV('The List'!X2:X665)</f>
        <v>-0.783108819643613</v>
      </c>
      <c r="L340" s="77">
        <f>(VLOOKUP($A340,'The List'!$B1:$AH665,24,FALSE)-AVERAGE('The List'!Y2:Y665))/STDEV('The List'!Y2:Y665)</f>
        <v>0.617015172040759</v>
      </c>
      <c r="M340" s="77">
        <f>(VLOOKUP($A340,'The List'!$B1:$AH665,25,FALSE)-AVERAGE('The List'!Z2:Z665))/STDEV('The List'!Z2:Z665)</f>
        <v>0.125537052811581</v>
      </c>
      <c r="N340" s="77">
        <f>(VLOOKUP($A340,'The List'!$B1:$AH665,26,FALSE)-AVERAGE('The List'!AA2:AA665))/STDEV('The List'!AA2:AA665)</f>
        <v>-0.719577586592428</v>
      </c>
      <c r="O340" s="77">
        <f>(VLOOKUP($A340,'The List'!$B1:$AH665,27,FALSE)-AVERAGE('The List'!AB2:AB665))/STDEV('The List'!AB2:AB665)</f>
        <v>-0.09608283154494079</v>
      </c>
      <c r="P340" s="77">
        <f>(VLOOKUP($A340,'The List'!$B1:$AH665,28,FALSE)-AVERAGE('The List'!AC2:AC665))/STDEV('The List'!AC2:AC665)</f>
        <v>0.50655319121277</v>
      </c>
      <c r="Q340" s="77">
        <f>(VLOOKUP($A340,'The List'!$B1:$AH665,29,FALSE)-AVERAGE('The List'!AD2:AD665))/STDEV('The List'!AD2:AD665)</f>
        <v>-0.758952263541688</v>
      </c>
      <c r="R340" s="77">
        <f>(VLOOKUP($A340,'The List'!$B1:$AH665,30,FALSE)-AVERAGE('The List'!AE2:AE665))/STDEV('The List'!AE2:AE665)</f>
        <v>-0.261885593742096</v>
      </c>
      <c r="S340" s="77">
        <f>(VLOOKUP($A340,'The List'!$B1:$AH665,31,FALSE)-AVERAGE('The List'!AF2:AF665))/STDEV('The List'!AF2:AF665)</f>
        <v>-0.543040643381018</v>
      </c>
      <c r="T340" s="77">
        <f>(VLOOKUP($A340,'The List'!$B1:$AH665,32,FALSE)-AVERAGE('The List'!AG2:AG665))/STDEV('The List'!AG2:AG665)</f>
        <v>-0.577585996099335</v>
      </c>
      <c r="U340" s="77">
        <f>(VLOOKUP($A340,'The List'!$B1:$AH665,33,FALSE)-AVERAGE('The List'!AH2:AH665))/STDEV('The List'!AH2:AH665)</f>
        <v>0.605099436730551</v>
      </c>
      <c r="V340" s="77"/>
      <c r="W340" s="79"/>
      <c r="X340" s="77"/>
      <c r="Y340" s="77"/>
      <c r="Z340" s="77"/>
      <c r="AA340" s="77"/>
      <c r="AB340" s="77"/>
      <c r="AC340" s="77"/>
      <c r="AD340" s="77"/>
      <c r="AE340" s="84"/>
    </row>
    <row r="341" ht="21.25" customHeight="1">
      <c r="A341" t="s" s="10">
        <v>414</v>
      </c>
      <c r="B341" t="s" s="86">
        <f>VLOOKUP(A341,'Player Data'!A1:B667,2,FALSE)</f>
        <v>914</v>
      </c>
      <c r="C341" s="74">
        <f>((E341)*'Settings'!$C$12)+(F341*'Settings'!$C$2)+(G341*'Settings'!$C$3)+(H341*'Settings'!$C$4)+(I341*'Settings'!$C$5)+(K341*'Settings'!$C$9)+(N341*'Settings'!$C$6)+(J341*'Settings'!$C$8)+(O341*'Settings'!$C$7)+(P341*'Settings'!$C$14)+(Q341*'Settings'!$C$15)+(R341*'Settings'!$C$16)+(S341*'Settings'!$C$17)+(T341*'Settings'!$C$18)+(U341*'Settings'!$C$19)+(L341*'Settings'!$C$10)+('Settings'!$C$11*M341)</f>
        <v>-1.29299910494035</v>
      </c>
      <c r="D341" s="79">
        <f>IF('Settings'!$E$12="YES",VLOOKUP(A341,'Player Data'!A1:E667,5,FALSE),82)</f>
        <v>81.73</v>
      </c>
      <c r="E341" s="77">
        <f>(VLOOKUP($A341,'The List'!$B1:$AH665,17,FALSE)-AVERAGE('The List'!R2:R665))/STDEV('The List'!R2:R665)</f>
        <v>1.45959337278276</v>
      </c>
      <c r="F341" s="77">
        <f>(VLOOKUP($A341,'The List'!$B1:$AH665,18,FALSE)-AVERAGE('The List'!S2:S665))/STDEV('The List'!S2:S665)</f>
        <v>-0.739173448731776</v>
      </c>
      <c r="G341" s="77">
        <f>(VLOOKUP($A341,'The List'!$B1:$AH665,19,FALSE)-AVERAGE('The List'!T2:T665))/STDEV('The List'!T2:T665)</f>
        <v>-0.0023000565230546</v>
      </c>
      <c r="H341" s="77">
        <f>(VLOOKUP($A341,'The List'!$B1:$AH665,20,FALSE)-AVERAGE('The List'!U2:U665))/STDEV('The List'!U2:U665)</f>
        <v>-0.337417932611619</v>
      </c>
      <c r="I341" s="77">
        <f>(VLOOKUP($A341,'The List'!$B1:$AH665,21,FALSE)-AVERAGE('The List'!V2:V665))/STDEV('The List'!V2:V665)</f>
        <v>-0.305354491310914</v>
      </c>
      <c r="J341" s="77">
        <f>(VLOOKUP($A341,'The List'!$B1:$AH665,22,FALSE)-AVERAGE('The List'!W2:W665))/STDEV('The List'!W2:W665)</f>
        <v>-0.644628622932073</v>
      </c>
      <c r="K341" s="77">
        <f>(VLOOKUP($A341,'The List'!$B1:$AH665,23,FALSE)-AVERAGE('The List'!X2:X665))/STDEV('The List'!X2:X665)</f>
        <v>-0.226989179603115</v>
      </c>
      <c r="L341" s="77">
        <f>(VLOOKUP($A341,'The List'!$B1:$AH665,24,FALSE)-AVERAGE('The List'!Y2:Y665))/STDEV('The List'!Y2:Y665)</f>
        <v>-0.52672668184204</v>
      </c>
      <c r="M341" s="77">
        <f>(VLOOKUP($A341,'The List'!$B1:$AH665,25,FALSE)-AVERAGE('The List'!Z2:Z665))/STDEV('The List'!Z2:Z665)</f>
        <v>0.355264447137973</v>
      </c>
      <c r="N341" s="77">
        <f>(VLOOKUP($A341,'The List'!$B1:$AH665,26,FALSE)-AVERAGE('The List'!AA2:AA665))/STDEV('The List'!AA2:AA665)</f>
        <v>2.09268016659772</v>
      </c>
      <c r="O341" s="77">
        <f>(VLOOKUP($A341,'The List'!$B1:$AH665,27,FALSE)-AVERAGE('The List'!AB2:AB665))/STDEV('The List'!AB2:AB665)</f>
        <v>-0.232386764460707</v>
      </c>
      <c r="P341" s="77">
        <f>(VLOOKUP($A341,'The List'!$B1:$AH665,28,FALSE)-AVERAGE('The List'!AC2:AC665))/STDEV('The List'!AC2:AC665)</f>
        <v>-2.11186209536921</v>
      </c>
      <c r="Q341" s="77">
        <f>(VLOOKUP($A341,'The List'!$B1:$AH665,29,FALSE)-AVERAGE('The List'!AD2:AD665))/STDEV('The List'!AD2:AD665)</f>
        <v>-0.406690390698677</v>
      </c>
      <c r="R341" s="77">
        <f>(VLOOKUP($A341,'The List'!$B1:$AH665,30,FALSE)-AVERAGE('The List'!AE2:AE665))/STDEV('The List'!AE2:AE665)</f>
        <v>-0.853164112781393</v>
      </c>
      <c r="S341" s="77">
        <f>(VLOOKUP($A341,'The List'!$B1:$AH665,31,FALSE)-AVERAGE('The List'!AF2:AF665))/STDEV('The List'!AF2:AF665)</f>
        <v>-0.573894410680004</v>
      </c>
      <c r="T341" s="77">
        <f>(VLOOKUP($A341,'The List'!$B1:$AH665,32,FALSE)-AVERAGE('The List'!AG2:AG665))/STDEV('The List'!AG2:AG665)</f>
        <v>-0.625770787132651</v>
      </c>
      <c r="U341" s="77">
        <f>(VLOOKUP($A341,'The List'!$B1:$AH665,33,FALSE)-AVERAGE('The List'!AH2:AH665))/STDEV('The List'!AH2:AH665)</f>
        <v>-1.23143509451486</v>
      </c>
      <c r="V341" s="77"/>
      <c r="W341" s="79"/>
      <c r="X341" s="77"/>
      <c r="Y341" s="77"/>
      <c r="Z341" s="77"/>
      <c r="AA341" s="77"/>
      <c r="AB341" s="77"/>
      <c r="AC341" s="77"/>
      <c r="AD341" s="77"/>
      <c r="AE341" s="84"/>
    </row>
    <row r="342" ht="21.25" customHeight="1">
      <c r="A342" t="s" s="10">
        <v>735</v>
      </c>
      <c r="B342" t="s" s="86">
        <f>VLOOKUP(A342,'Player Data'!A1:B667,2,FALSE)</f>
        <v>132</v>
      </c>
      <c r="C342" s="74">
        <f>((E342)*'Settings'!$C$12)+(F342*'Settings'!$C$2)+(G342*'Settings'!$C$3)+(H342*'Settings'!$C$4)+(I342*'Settings'!$C$5)+(K342*'Settings'!$C$9)+(N342*'Settings'!$C$6)+(J342*'Settings'!$C$8)+(O342*'Settings'!$C$7)+(P342*'Settings'!$C$14)+(Q342*'Settings'!$C$15)+(R342*'Settings'!$C$16)+(S342*'Settings'!$C$17)+(T342*'Settings'!$C$18)+(U342*'Settings'!$C$19)+(L342*'Settings'!$C$10)+('Settings'!$C$11*M342)</f>
        <v>-1.70768757131329</v>
      </c>
      <c r="D342" s="79">
        <f>IF('Settings'!$E$12="YES",VLOOKUP(A342,'Player Data'!A1:E667,5,FALSE),82)</f>
        <v>73.86750000000001</v>
      </c>
      <c r="E342" s="77">
        <f>(VLOOKUP($A342,'The List'!$B1:$AH665,17,FALSE)-AVERAGE('The List'!R2:R665))/STDEV('The List'!R2:R665)</f>
        <v>-0.812542372257421</v>
      </c>
      <c r="F342" s="77">
        <f>(VLOOKUP($A342,'The List'!$B1:$AH665,18,FALSE)-AVERAGE('The List'!S2:S665))/STDEV('The List'!S2:S665)</f>
        <v>-0.109101314850343</v>
      </c>
      <c r="G342" s="77">
        <f>(VLOOKUP($A342,'The List'!$B1:$AH665,19,FALSE)-AVERAGE('The List'!T2:T665))/STDEV('The List'!T2:T665)</f>
        <v>-0.673868235731782</v>
      </c>
      <c r="H342" s="77">
        <f>(VLOOKUP($A342,'The List'!$B1:$AH665,20,FALSE)-AVERAGE('The List'!U2:U665))/STDEV('The List'!U2:U665)</f>
        <v>-0.468101798330698</v>
      </c>
      <c r="I342" s="77">
        <f>(VLOOKUP($A342,'The List'!$B1:$AH665,21,FALSE)-AVERAGE('The List'!V2:V665))/STDEV('The List'!V2:V665)</f>
        <v>-0.437093323094963</v>
      </c>
      <c r="J342" s="77">
        <f>(VLOOKUP($A342,'The List'!$B1:$AH665,22,FALSE)-AVERAGE('The List'!W2:W665))/STDEV('The List'!W2:W665)</f>
        <v>-0.629937074614856</v>
      </c>
      <c r="K342" s="77">
        <f>(VLOOKUP($A342,'The List'!$B1:$AH665,23,FALSE)-AVERAGE('The List'!X2:X665))/STDEV('The List'!X2:X665)</f>
        <v>-0.72251286856273</v>
      </c>
      <c r="L342" s="77">
        <f>(VLOOKUP($A342,'The List'!$B1:$AH665,24,FALSE)-AVERAGE('The List'!Y2:Y665))/STDEV('The List'!Y2:Y665)</f>
        <v>0.8878305025858</v>
      </c>
      <c r="M342" s="77">
        <f>(VLOOKUP($A342,'The List'!$B1:$AH665,25,FALSE)-AVERAGE('The List'!Z2:Z665))/STDEV('The List'!Z2:Z665)</f>
        <v>0.796863002454774</v>
      </c>
      <c r="N342" s="77">
        <f>(VLOOKUP($A342,'The List'!$B1:$AH665,26,FALSE)-AVERAGE('The List'!AA2:AA665))/STDEV('The List'!AA2:AA665)</f>
        <v>-1.02807485502271</v>
      </c>
      <c r="O342" s="77">
        <f>(VLOOKUP($A342,'The List'!$B1:$AH665,27,FALSE)-AVERAGE('The List'!AB2:AB665))/STDEV('The List'!AB2:AB665)</f>
        <v>-0.457858571918221</v>
      </c>
      <c r="P342" s="77">
        <f>(VLOOKUP($A342,'The List'!$B1:$AH665,28,FALSE)-AVERAGE('The List'!AC2:AC665))/STDEV('The List'!AC2:AC665)</f>
        <v>1.26296302594924</v>
      </c>
      <c r="Q342" s="77">
        <f>(VLOOKUP($A342,'The List'!$B1:$AH665,29,FALSE)-AVERAGE('The List'!AD2:AD665))/STDEV('The List'!AD2:AD665)</f>
        <v>-1.08127142460254</v>
      </c>
      <c r="R342" s="77">
        <f>(VLOOKUP($A342,'The List'!$B1:$AH665,30,FALSE)-AVERAGE('The List'!AE2:AE665))/STDEV('The List'!AE2:AE665)</f>
        <v>-0.0177374569785236</v>
      </c>
      <c r="S342" s="77">
        <f>(VLOOKUP($A342,'The List'!$B1:$AH665,31,FALSE)-AVERAGE('The List'!AF2:AF665))/STDEV('The List'!AF2:AF665)</f>
        <v>-0.0941224744389568</v>
      </c>
      <c r="T342" s="77">
        <f>(VLOOKUP($A342,'The List'!$B1:$AH665,32,FALSE)-AVERAGE('The List'!AG2:AG665))/STDEV('The List'!AG2:AG665)</f>
        <v>-0.0736533471879289</v>
      </c>
      <c r="U342" s="77">
        <f>(VLOOKUP($A342,'The List'!$B1:$AH665,33,FALSE)-AVERAGE('The List'!AH2:AH665))/STDEV('The List'!AH2:AH665)</f>
        <v>0.945897379763005</v>
      </c>
      <c r="V342" s="77"/>
      <c r="W342" s="79"/>
      <c r="X342" s="77"/>
      <c r="Y342" s="77"/>
      <c r="Z342" s="77"/>
      <c r="AA342" s="77"/>
      <c r="AB342" s="77"/>
      <c r="AC342" s="77"/>
      <c r="AD342" s="77"/>
      <c r="AE342" s="84"/>
    </row>
    <row r="343" ht="21.25" customHeight="1">
      <c r="A343" t="s" s="10">
        <v>406</v>
      </c>
      <c r="B343" t="s" s="86">
        <f>VLOOKUP(A343,'Player Data'!A1:B667,2,FALSE)</f>
        <v>259</v>
      </c>
      <c r="C343" s="74">
        <f>((E343)*'Settings'!$C$12)+(F343*'Settings'!$C$2)+(G343*'Settings'!$C$3)+(H343*'Settings'!$C$4)+(I343*'Settings'!$C$5)+(K343*'Settings'!$C$9)+(N343*'Settings'!$C$6)+(J343*'Settings'!$C$8)+(O343*'Settings'!$C$7)+(P343*'Settings'!$C$14)+(Q343*'Settings'!$C$15)+(R343*'Settings'!$C$16)+(S343*'Settings'!$C$17)+(T343*'Settings'!$C$18)+(U343*'Settings'!$C$19)+(L343*'Settings'!$C$10)+('Settings'!$C$11*M343)</f>
        <v>0.237597057275456</v>
      </c>
      <c r="D343" s="79">
        <f>IF('Settings'!$E$12="YES",VLOOKUP(A343,'Player Data'!A1:E667,5,FALSE),82)</f>
        <v>79.105</v>
      </c>
      <c r="E343" s="77">
        <f>(VLOOKUP($A343,'The List'!$B1:$AH665,17,FALSE)-AVERAGE('The List'!R2:R665))/STDEV('The List'!R2:R665)</f>
        <v>1.37284711131522</v>
      </c>
      <c r="F343" s="77">
        <f>(VLOOKUP($A343,'The List'!$B1:$AH665,18,FALSE)-AVERAGE('The List'!S2:S665))/STDEV('The List'!S2:S665)</f>
        <v>-1.00879153564945</v>
      </c>
      <c r="G343" s="77">
        <f>(VLOOKUP($A343,'The List'!$B1:$AH665,19,FALSE)-AVERAGE('The List'!T2:T665))/STDEV('The List'!T2:T665)</f>
        <v>0.11833940363238</v>
      </c>
      <c r="H343" s="77">
        <f>(VLOOKUP($A343,'The List'!$B1:$AH665,20,FALSE)-AVERAGE('The List'!U2:U665))/STDEV('The List'!U2:U665)</f>
        <v>-0.385048281006267</v>
      </c>
      <c r="I343" s="77">
        <f>(VLOOKUP($A343,'The List'!$B1:$AH665,21,FALSE)-AVERAGE('The List'!V2:V665))/STDEV('The List'!V2:V665)</f>
        <v>-0.447018121191843</v>
      </c>
      <c r="J343" s="77">
        <f>(VLOOKUP($A343,'The List'!$B1:$AH665,22,FALSE)-AVERAGE('The List'!W2:W665))/STDEV('The List'!W2:W665)</f>
        <v>-0.724731503184549</v>
      </c>
      <c r="K343" s="77">
        <f>(VLOOKUP($A343,'The List'!$B1:$AH665,23,FALSE)-AVERAGE('The List'!X2:X665))/STDEV('The List'!X2:X665)</f>
        <v>-0.776676988185768</v>
      </c>
      <c r="L343" s="77">
        <f>(VLOOKUP($A343,'The List'!$B1:$AH665,24,FALSE)-AVERAGE('The List'!Y2:Y665))/STDEV('The List'!Y2:Y665)</f>
        <v>-0.512467785578048</v>
      </c>
      <c r="M343" s="77">
        <f>(VLOOKUP($A343,'The List'!$B1:$AH665,25,FALSE)-AVERAGE('The List'!Z2:Z665))/STDEV('The List'!Z2:Z665)</f>
        <v>-0.574522930988307</v>
      </c>
      <c r="N343" s="77">
        <f>(VLOOKUP($A343,'The List'!$B1:$AH665,26,FALSE)-AVERAGE('The List'!AA2:AA665))/STDEV('The List'!AA2:AA665)</f>
        <v>1.95340940131179</v>
      </c>
      <c r="O343" s="77">
        <f>(VLOOKUP($A343,'The List'!$B1:$AH665,27,FALSE)-AVERAGE('The List'!AB2:AB665))/STDEV('The List'!AB2:AB665)</f>
        <v>0.574995029690944</v>
      </c>
      <c r="P343" s="77">
        <f>(VLOOKUP($A343,'The List'!$B1:$AH665,28,FALSE)-AVERAGE('The List'!AC2:AC665))/STDEV('The List'!AC2:AC665)</f>
        <v>0.398334897358347</v>
      </c>
      <c r="Q343" s="77">
        <f>(VLOOKUP($A343,'The List'!$B1:$AH665,29,FALSE)-AVERAGE('The List'!AD2:AD665))/STDEV('The List'!AD2:AD665)</f>
        <v>1.09534366703067</v>
      </c>
      <c r="R343" s="77">
        <f>(VLOOKUP($A343,'The List'!$B1:$AH665,30,FALSE)-AVERAGE('The List'!AE2:AE665))/STDEV('The List'!AE2:AE665)</f>
        <v>-0.966067930315873</v>
      </c>
      <c r="S343" s="77">
        <f>(VLOOKUP($A343,'The List'!$B1:$AH665,31,FALSE)-AVERAGE('The List'!AF2:AF665))/STDEV('The List'!AF2:AF665)</f>
        <v>-0.573894410680004</v>
      </c>
      <c r="T343" s="77">
        <f>(VLOOKUP($A343,'The List'!$B1:$AH665,32,FALSE)-AVERAGE('The List'!AG2:AG665))/STDEV('The List'!AG2:AG665)</f>
        <v>-0.625770787132651</v>
      </c>
      <c r="U343" s="77">
        <f>(VLOOKUP($A343,'The List'!$B1:$AH665,33,FALSE)-AVERAGE('The List'!AH2:AH665))/STDEV('The List'!AH2:AH665)</f>
        <v>-1.23143509451486</v>
      </c>
      <c r="V343" s="77"/>
      <c r="W343" s="89"/>
      <c r="X343" s="79"/>
      <c r="Y343" s="79"/>
      <c r="Z343" s="79"/>
      <c r="AA343" s="79"/>
      <c r="AB343" s="79"/>
      <c r="AC343" s="82"/>
      <c r="AD343" s="83"/>
      <c r="AE343" s="84"/>
    </row>
    <row r="344" ht="21.25" customHeight="1">
      <c r="A344" t="s" s="10">
        <v>783</v>
      </c>
      <c r="B344" t="s" s="86">
        <f>VLOOKUP(A344,'Player Data'!A1:B667,2,FALSE)</f>
        <v>907</v>
      </c>
      <c r="C344" s="74">
        <f>((E344)*'Settings'!$C$12)+(F344*'Settings'!$C$2)+(G344*'Settings'!$C$3)+(H344*'Settings'!$C$4)+(I344*'Settings'!$C$5)+(K344*'Settings'!$C$9)+(N344*'Settings'!$C$6)+(J344*'Settings'!$C$8)+(O344*'Settings'!$C$7)+(P344*'Settings'!$C$14)+(Q344*'Settings'!$C$15)+(R344*'Settings'!$C$16)+(S344*'Settings'!$C$17)+(T344*'Settings'!$C$18)+(U344*'Settings'!$C$19)+(L344*'Settings'!$C$10)+('Settings'!$C$11*M344)</f>
        <v>-4.89646962160313</v>
      </c>
      <c r="D344" s="79">
        <f>IF('Settings'!$E$12="YES",VLOOKUP(A344,'Player Data'!A1:E667,5,FALSE),82)</f>
        <v>73.2825</v>
      </c>
      <c r="E344" s="77">
        <f>(VLOOKUP($A344,'The List'!$B1:$AH665,17,FALSE)-AVERAGE('The List'!R2:R665))/STDEV('The List'!R2:R665)</f>
        <v>-0.822109523018511</v>
      </c>
      <c r="F344" s="77">
        <f>(VLOOKUP($A344,'The List'!$B1:$AH665,18,FALSE)-AVERAGE('The List'!S2:S665))/STDEV('The List'!S2:S665)</f>
        <v>-0.244825029334359</v>
      </c>
      <c r="G344" s="77">
        <f>(VLOOKUP($A344,'The List'!$B1:$AH665,19,FALSE)-AVERAGE('The List'!T2:T665))/STDEV('The List'!T2:T665)</f>
        <v>-0.596539581688571</v>
      </c>
      <c r="H344" s="77">
        <f>(VLOOKUP($A344,'The List'!$B1:$AH665,20,FALSE)-AVERAGE('The List'!U2:U665))/STDEV('The List'!U2:U665)</f>
        <v>-0.481769235824482</v>
      </c>
      <c r="I344" s="77">
        <f>(VLOOKUP($A344,'The List'!$B1:$AH665,21,FALSE)-AVERAGE('The List'!V2:V665))/STDEV('The List'!V2:V665)</f>
        <v>-0.538344802445476</v>
      </c>
      <c r="J344" s="77">
        <f>(VLOOKUP($A344,'The List'!$B1:$AH665,22,FALSE)-AVERAGE('The List'!W2:W665))/STDEV('The List'!W2:W665)</f>
        <v>-0.679190956347846</v>
      </c>
      <c r="K344" s="77">
        <f>(VLOOKUP($A344,'The List'!$B1:$AH665,23,FALSE)-AVERAGE('The List'!X2:X665))/STDEV('The List'!X2:X665)</f>
        <v>-0.730416942905911</v>
      </c>
      <c r="L344" s="77">
        <f>(VLOOKUP($A344,'The List'!$B1:$AH665,24,FALSE)-AVERAGE('The List'!Y2:Y665))/STDEV('The List'!Y2:Y665)</f>
        <v>1.10073110716123</v>
      </c>
      <c r="M344" s="77">
        <f>(VLOOKUP($A344,'The List'!$B1:$AH665,25,FALSE)-AVERAGE('The List'!Z2:Z665))/STDEV('The List'!Z2:Z665)</f>
        <v>0.471513492882563</v>
      </c>
      <c r="N344" s="77">
        <f>(VLOOKUP($A344,'The List'!$B1:$AH665,26,FALSE)-AVERAGE('The List'!AA2:AA665))/STDEV('The List'!AA2:AA665)</f>
        <v>-0.8028903877051961</v>
      </c>
      <c r="O344" s="77">
        <f>(VLOOKUP($A344,'The List'!$B1:$AH665,27,FALSE)-AVERAGE('The List'!AB2:AB665))/STDEV('The List'!AB2:AB665)</f>
        <v>-0.8405240919938221</v>
      </c>
      <c r="P344" s="77">
        <f>(VLOOKUP($A344,'The List'!$B1:$AH665,28,FALSE)-AVERAGE('The List'!AC2:AC665))/STDEV('The List'!AC2:AC665)</f>
        <v>-1.98345287752362</v>
      </c>
      <c r="Q344" s="77">
        <f>(VLOOKUP($A344,'The List'!$B1:$AH665,29,FALSE)-AVERAGE('The List'!AD2:AD665))/STDEV('The List'!AD2:AD665)</f>
        <v>-0.244593143455349</v>
      </c>
      <c r="R344" s="77">
        <f>(VLOOKUP($A344,'The List'!$B1:$AH665,30,FALSE)-AVERAGE('The List'!AE2:AE665))/STDEV('The List'!AE2:AE665)</f>
        <v>-0.433727678440697</v>
      </c>
      <c r="S344" s="77">
        <f>(VLOOKUP($A344,'The List'!$B1:$AH665,31,FALSE)-AVERAGE('The List'!AF2:AF665))/STDEV('The List'!AF2:AF665)</f>
        <v>-0.536212174998986</v>
      </c>
      <c r="T344" s="77">
        <f>(VLOOKUP($A344,'The List'!$B1:$AH665,32,FALSE)-AVERAGE('The List'!AG2:AG665))/STDEV('The List'!AG2:AG665)</f>
        <v>-0.541784998602982</v>
      </c>
      <c r="U344" s="77">
        <f>(VLOOKUP($A344,'The List'!$B1:$AH665,33,FALSE)-AVERAGE('The List'!AH2:AH665))/STDEV('The List'!AH2:AH665)</f>
        <v>0.233002089619835</v>
      </c>
      <c r="V344" s="77"/>
      <c r="W344" s="89"/>
      <c r="X344" s="79"/>
      <c r="Y344" s="79"/>
      <c r="Z344" s="79"/>
      <c r="AA344" s="79"/>
      <c r="AB344" s="79"/>
      <c r="AC344" s="82"/>
      <c r="AD344" s="83"/>
      <c r="AE344" s="84"/>
    </row>
    <row r="345" ht="21.25" customHeight="1">
      <c r="A345" t="s" s="10">
        <v>714</v>
      </c>
      <c r="B345" t="s" s="86">
        <f>VLOOKUP(A345,'Player Data'!A1:B667,2,FALSE)</f>
        <v>904</v>
      </c>
      <c r="C345" s="74">
        <f>((E345)*'Settings'!$C$12)+(F345*'Settings'!$C$2)+(G345*'Settings'!$C$3)+(H345*'Settings'!$C$4)+(I345*'Settings'!$C$5)+(K345*'Settings'!$C$9)+(N345*'Settings'!$C$6)+(J345*'Settings'!$C$8)+(O345*'Settings'!$C$7)+(P345*'Settings'!$C$14)+(Q345*'Settings'!$C$15)+(R345*'Settings'!$C$16)+(S345*'Settings'!$C$17)+(T345*'Settings'!$C$18)+(U345*'Settings'!$C$19)+(L345*'Settings'!$C$10)+('Settings'!$C$11*M345)</f>
        <v>-1.9371511860832</v>
      </c>
      <c r="D345" s="79">
        <f>IF('Settings'!$E$12="YES",VLOOKUP(A345,'Player Data'!A1:E667,5,FALSE),82)</f>
        <v>75.77</v>
      </c>
      <c r="E345" s="77">
        <f>(VLOOKUP($A345,'The List'!$B1:$AH665,17,FALSE)-AVERAGE('The List'!R2:R665))/STDEV('The List'!R2:R665)</f>
        <v>-0.944164772703617</v>
      </c>
      <c r="F345" s="77">
        <f>(VLOOKUP($A345,'The List'!$B1:$AH665,18,FALSE)-AVERAGE('The List'!S2:S665))/STDEV('The List'!S2:S665)</f>
        <v>0.0503284265034088</v>
      </c>
      <c r="G345" s="77">
        <f>(VLOOKUP($A345,'The List'!$B1:$AH665,19,FALSE)-AVERAGE('The List'!T2:T665))/STDEV('The List'!T2:T665)</f>
        <v>-0.757835056657676</v>
      </c>
      <c r="H345" s="77">
        <f>(VLOOKUP($A345,'The List'!$B1:$AH665,20,FALSE)-AVERAGE('The List'!U2:U665))/STDEV('The List'!U2:U665)</f>
        <v>-0.447781519672463</v>
      </c>
      <c r="I345" s="77">
        <f>(VLOOKUP($A345,'The List'!$B1:$AH665,21,FALSE)-AVERAGE('The List'!V2:V665))/STDEV('The List'!V2:V665)</f>
        <v>-0.336024054576878</v>
      </c>
      <c r="J345" s="77">
        <f>(VLOOKUP($A345,'The List'!$B1:$AH665,22,FALSE)-AVERAGE('The List'!W2:W665))/STDEV('The List'!W2:W665)</f>
        <v>-0.445121764103698</v>
      </c>
      <c r="K345" s="77">
        <f>(VLOOKUP($A345,'The List'!$B1:$AH665,23,FALSE)-AVERAGE('The List'!X2:X665))/STDEV('The List'!X2:X665)</f>
        <v>-0.615636191578064</v>
      </c>
      <c r="L345" s="77">
        <f>(VLOOKUP($A345,'The List'!$B1:$AH665,24,FALSE)-AVERAGE('The List'!Y2:Y665))/STDEV('The List'!Y2:Y665)</f>
        <v>-0.180306475698557</v>
      </c>
      <c r="M345" s="77">
        <f>(VLOOKUP($A345,'The List'!$B1:$AH665,25,FALSE)-AVERAGE('The List'!Z2:Z665))/STDEV('The List'!Z2:Z665)</f>
        <v>-0.344577702317662</v>
      </c>
      <c r="N345" s="77">
        <f>(VLOOKUP($A345,'The List'!$B1:$AH665,26,FALSE)-AVERAGE('The List'!AA2:AA665))/STDEV('The List'!AA2:AA665)</f>
        <v>-0.68736615085793</v>
      </c>
      <c r="O345" s="77">
        <f>(VLOOKUP($A345,'The List'!$B1:$AH665,27,FALSE)-AVERAGE('The List'!AB2:AB665))/STDEV('The List'!AB2:AB665)</f>
        <v>-0.686161230959074</v>
      </c>
      <c r="P345" s="77">
        <f>(VLOOKUP($A345,'The List'!$B1:$AH665,28,FALSE)-AVERAGE('The List'!AC2:AC665))/STDEV('The List'!AC2:AC665)</f>
        <v>0.409381841083935</v>
      </c>
      <c r="Q345" s="77">
        <f>(VLOOKUP($A345,'The List'!$B1:$AH665,29,FALSE)-AVERAGE('The List'!AD2:AD665))/STDEV('The List'!AD2:AD665)</f>
        <v>-0.942059218446782</v>
      </c>
      <c r="R345" s="77">
        <f>(VLOOKUP($A345,'The List'!$B1:$AH665,30,FALSE)-AVERAGE('The List'!AE2:AE665))/STDEV('The List'!AE2:AE665)</f>
        <v>0.104073232820378</v>
      </c>
      <c r="S345" s="77">
        <f>(VLOOKUP($A345,'The List'!$B1:$AH665,31,FALSE)-AVERAGE('The List'!AF2:AF665))/STDEV('The List'!AF2:AF665)</f>
        <v>-0.272549734665323</v>
      </c>
      <c r="T345" s="77">
        <f>(VLOOKUP($A345,'The List'!$B1:$AH665,32,FALSE)-AVERAGE('The List'!AG2:AG665))/STDEV('The List'!AG2:AG665)</f>
        <v>-0.289815140765828</v>
      </c>
      <c r="U345" s="77">
        <f>(VLOOKUP($A345,'The List'!$B1:$AH665,33,FALSE)-AVERAGE('The List'!AH2:AH665))/STDEV('The List'!AH2:AH665)</f>
        <v>0.981814477361331</v>
      </c>
      <c r="V345" s="77"/>
      <c r="W345" s="89"/>
      <c r="X345" s="79"/>
      <c r="Y345" s="79"/>
      <c r="Z345" s="79"/>
      <c r="AA345" s="79"/>
      <c r="AB345" s="79"/>
      <c r="AC345" s="82"/>
      <c r="AD345" s="83"/>
      <c r="AE345" s="84"/>
    </row>
    <row r="346" ht="21.25" customHeight="1">
      <c r="A346" t="s" s="10">
        <v>669</v>
      </c>
      <c r="B346" t="s" s="86">
        <f>VLOOKUP(A346,'Player Data'!A1:B667,2,FALSE)</f>
        <v>267</v>
      </c>
      <c r="C346" s="74">
        <f>((E346)*'Settings'!$C$12)+(F346*'Settings'!$C$2)+(G346*'Settings'!$C$3)+(H346*'Settings'!$C$4)+(I346*'Settings'!$C$5)+(K346*'Settings'!$C$9)+(N346*'Settings'!$C$6)+(J346*'Settings'!$C$8)+(O346*'Settings'!$C$7)+(P346*'Settings'!$C$14)+(Q346*'Settings'!$C$15)+(R346*'Settings'!$C$16)+(S346*'Settings'!$C$17)+(T346*'Settings'!$C$18)+(U346*'Settings'!$C$19)+(L346*'Settings'!$C$10)+('Settings'!$C$11*M346)</f>
        <v>-1.4187981887667</v>
      </c>
      <c r="D346" s="79">
        <f>IF('Settings'!$E$12="YES",VLOOKUP(A346,'Player Data'!A1:E667,5,FALSE),82)</f>
        <v>69.60250000000001</v>
      </c>
      <c r="E346" s="77">
        <f>(VLOOKUP($A346,'The List'!$B1:$AH665,17,FALSE)-AVERAGE('The List'!R2:R665))/STDEV('The List'!R2:R665)</f>
        <v>0.203045136429777</v>
      </c>
      <c r="F346" s="77">
        <f>(VLOOKUP($A346,'The List'!$B1:$AH665,18,FALSE)-AVERAGE('The List'!S2:S665))/STDEV('The List'!S2:S665)</f>
        <v>-1.02138852030449</v>
      </c>
      <c r="G346" s="77">
        <f>(VLOOKUP($A346,'The List'!$B1:$AH665,19,FALSE)-AVERAGE('The List'!T2:T665))/STDEV('The List'!T2:T665)</f>
        <v>-0.134371405039368</v>
      </c>
      <c r="H346" s="77">
        <f>(VLOOKUP($A346,'The List'!$B1:$AH665,20,FALSE)-AVERAGE('The List'!U2:U665))/STDEV('The List'!U2:U665)</f>
        <v>-0.547721830952049</v>
      </c>
      <c r="I346" s="77">
        <f>(VLOOKUP($A346,'The List'!$B1:$AH665,21,FALSE)-AVERAGE('The List'!V2:V665))/STDEV('The List'!V2:V665)</f>
        <v>-0.696140638469415</v>
      </c>
      <c r="J346" s="77">
        <f>(VLOOKUP($A346,'The List'!$B1:$AH665,22,FALSE)-AVERAGE('The List'!W2:W665))/STDEV('The List'!W2:W665)</f>
        <v>-0.528238153091162</v>
      </c>
      <c r="K346" s="77">
        <f>(VLOOKUP($A346,'The List'!$B1:$AH665,23,FALSE)-AVERAGE('The List'!X2:X665))/STDEV('The List'!X2:X665)</f>
        <v>-0.266397950572265</v>
      </c>
      <c r="L346" s="77">
        <f>(VLOOKUP($A346,'The List'!$B1:$AH665,24,FALSE)-AVERAGE('The List'!Y2:Y665))/STDEV('The List'!Y2:Y665)</f>
        <v>-0.508293903136851</v>
      </c>
      <c r="M346" s="77">
        <f>(VLOOKUP($A346,'The List'!$B1:$AH665,25,FALSE)-AVERAGE('The List'!Z2:Z665))/STDEV('The List'!Z2:Z665)</f>
        <v>-0.545843398452309</v>
      </c>
      <c r="N346" s="77">
        <f>(VLOOKUP($A346,'The List'!$B1:$AH665,26,FALSE)-AVERAGE('The List'!AA2:AA665))/STDEV('The List'!AA2:AA665)</f>
        <v>0.317140125150398</v>
      </c>
      <c r="O346" s="77">
        <f>(VLOOKUP($A346,'The List'!$B1:$AH665,27,FALSE)-AVERAGE('The List'!AB2:AB665))/STDEV('The List'!AB2:AB665)</f>
        <v>-0.123787184111646</v>
      </c>
      <c r="P346" s="77">
        <f>(VLOOKUP($A346,'The List'!$B1:$AH665,28,FALSE)-AVERAGE('The List'!AC2:AC665))/STDEV('The List'!AC2:AC665)</f>
        <v>0.382360200468443</v>
      </c>
      <c r="Q346" s="77">
        <f>(VLOOKUP($A346,'The List'!$B1:$AH665,29,FALSE)-AVERAGE('The List'!AD2:AD665))/STDEV('The List'!AD2:AD665)</f>
        <v>-1.01877585558113</v>
      </c>
      <c r="R346" s="77">
        <f>(VLOOKUP($A346,'The List'!$B1:$AH665,30,FALSE)-AVERAGE('The List'!AE2:AE665))/STDEV('The List'!AE2:AE665)</f>
        <v>-0.918028701756196</v>
      </c>
      <c r="S346" s="77">
        <f>(VLOOKUP($A346,'The List'!$B1:$AH665,31,FALSE)-AVERAGE('The List'!AF2:AF665))/STDEV('The List'!AF2:AF665)</f>
        <v>-0.573894410680004</v>
      </c>
      <c r="T346" s="77">
        <f>(VLOOKUP($A346,'The List'!$B1:$AH665,32,FALSE)-AVERAGE('The List'!AG2:AG665))/STDEV('The List'!AG2:AG665)</f>
        <v>-0.625770787132651</v>
      </c>
      <c r="U346" s="77">
        <f>(VLOOKUP($A346,'The List'!$B1:$AH665,33,FALSE)-AVERAGE('The List'!AH2:AH665))/STDEV('The List'!AH2:AH665)</f>
        <v>-1.23143509451486</v>
      </c>
      <c r="V346" s="77"/>
      <c r="W346" s="79"/>
      <c r="X346" s="77"/>
      <c r="Y346" s="77"/>
      <c r="Z346" s="77"/>
      <c r="AA346" s="77"/>
      <c r="AB346" s="77"/>
      <c r="AC346" s="77"/>
      <c r="AD346" s="77"/>
      <c r="AE346" s="84"/>
    </row>
    <row r="347" ht="21.25" customHeight="1">
      <c r="A347" t="s" s="10">
        <v>838</v>
      </c>
      <c r="B347" t="s" s="86">
        <f>VLOOKUP(A347,'Player Data'!A1:B667,2,FALSE)</f>
        <v>267</v>
      </c>
      <c r="C347" s="74">
        <f>((E347)*'Settings'!$C$12)+(F347*'Settings'!$C$2)+(G347*'Settings'!$C$3)+(H347*'Settings'!$C$4)+(I347*'Settings'!$C$5)+(K347*'Settings'!$C$9)+(N347*'Settings'!$C$6)+(J347*'Settings'!$C$8)+(O347*'Settings'!$C$7)+(P347*'Settings'!$C$14)+(Q347*'Settings'!$C$15)+(R347*'Settings'!$C$16)+(S347*'Settings'!$C$17)+(T347*'Settings'!$C$18)+(U347*'Settings'!$C$19)+(L347*'Settings'!$C$10)+('Settings'!$C$11*M347)</f>
        <v>-3.63981359784066</v>
      </c>
      <c r="D347" s="79">
        <f>IF('Settings'!$E$12="YES",VLOOKUP(A347,'Player Data'!A1:E667,5,FALSE),82)</f>
        <v>56.3</v>
      </c>
      <c r="E347" s="77">
        <f>(VLOOKUP($A347,'The List'!$B1:$AH665,17,FALSE)-AVERAGE('The List'!R2:R665))/STDEV('The List'!R2:R665)</f>
        <v>-1.04491887071516</v>
      </c>
      <c r="F347" s="77">
        <f>(VLOOKUP($A347,'The List'!$B1:$AH665,18,FALSE)-AVERAGE('The List'!S2:S665))/STDEV('The List'!S2:S665)</f>
        <v>-0.585139736548658</v>
      </c>
      <c r="G347" s="77">
        <f>(VLOOKUP($A347,'The List'!$B1:$AH665,19,FALSE)-AVERAGE('The List'!T2:T665))/STDEV('The List'!T2:T665)</f>
        <v>-0.797720365085035</v>
      </c>
      <c r="H347" s="77">
        <f>(VLOOKUP($A347,'The List'!$B1:$AH665,20,FALSE)-AVERAGE('The List'!U2:U665))/STDEV('The List'!U2:U665)</f>
        <v>-0.761403025215136</v>
      </c>
      <c r="I347" s="77">
        <f>(VLOOKUP($A347,'The List'!$B1:$AH665,21,FALSE)-AVERAGE('The List'!V2:V665))/STDEV('The List'!V2:V665)</f>
        <v>-0.975619329020635</v>
      </c>
      <c r="J347" s="77">
        <f>(VLOOKUP($A347,'The List'!$B1:$AH665,22,FALSE)-AVERAGE('The List'!W2:W665))/STDEV('The List'!W2:W665)</f>
        <v>-0.686226311723652</v>
      </c>
      <c r="K347" s="77">
        <f>(VLOOKUP($A347,'The List'!$B1:$AH665,23,FALSE)-AVERAGE('The List'!X2:X665))/STDEV('The List'!X2:X665)</f>
        <v>-0.777758806182829</v>
      </c>
      <c r="L347" s="77">
        <f>(VLOOKUP($A347,'The List'!$B1:$AH665,24,FALSE)-AVERAGE('The List'!Y2:Y665))/STDEV('The List'!Y2:Y665)</f>
        <v>-0.580182913902084</v>
      </c>
      <c r="M347" s="77">
        <f>(VLOOKUP($A347,'The List'!$B1:$AH665,25,FALSE)-AVERAGE('The List'!Z2:Z665))/STDEV('The List'!Z2:Z665)</f>
        <v>-0.754036664989997</v>
      </c>
      <c r="N347" s="77">
        <f>(VLOOKUP($A347,'The List'!$B1:$AH665,26,FALSE)-AVERAGE('The List'!AA2:AA665))/STDEV('The List'!AA2:AA665)</f>
        <v>-0.821011123747512</v>
      </c>
      <c r="O347" s="77">
        <f>(VLOOKUP($A347,'The List'!$B1:$AH665,27,FALSE)-AVERAGE('The List'!AB2:AB665))/STDEV('The List'!AB2:AB665)</f>
        <v>-0.946714103688421</v>
      </c>
      <c r="P347" s="77">
        <f>(VLOOKUP($A347,'The List'!$B1:$AH665,28,FALSE)-AVERAGE('The List'!AC2:AC665))/STDEV('The List'!AC2:AC665)</f>
        <v>0.317435762744008</v>
      </c>
      <c r="Q347" s="77">
        <f>(VLOOKUP($A347,'The List'!$B1:$AH665,29,FALSE)-AVERAGE('The List'!AD2:AD665))/STDEV('The List'!AD2:AD665)</f>
        <v>-0.736863566782494</v>
      </c>
      <c r="R347" s="77">
        <f>(VLOOKUP($A347,'The List'!$B1:$AH665,30,FALSE)-AVERAGE('The List'!AE2:AE665))/STDEV('The List'!AE2:AE665)</f>
        <v>-0.419010726361356</v>
      </c>
      <c r="S347" s="77">
        <f>(VLOOKUP($A347,'The List'!$B1:$AH665,31,FALSE)-AVERAGE('The List'!AF2:AF665))/STDEV('The List'!AF2:AF665)</f>
        <v>-0.164833451734353</v>
      </c>
      <c r="T347" s="77">
        <f>(VLOOKUP($A347,'The List'!$B1:$AH665,32,FALSE)-AVERAGE('The List'!AG2:AG665))/STDEV('The List'!AG2:AG665)</f>
        <v>-0.147222825843944</v>
      </c>
      <c r="U347" s="77">
        <f>(VLOOKUP($A347,'The List'!$B1:$AH665,33,FALSE)-AVERAGE('The List'!AH2:AH665))/STDEV('The List'!AH2:AH665)</f>
        <v>0.927299162386689</v>
      </c>
      <c r="V347" s="77"/>
      <c r="W347" s="89"/>
      <c r="X347" s="79"/>
      <c r="Y347" s="79"/>
      <c r="Z347" s="79"/>
      <c r="AA347" s="79"/>
      <c r="AB347" s="79"/>
      <c r="AC347" s="82"/>
      <c r="AD347" s="83"/>
      <c r="AE347" s="84"/>
    </row>
    <row r="348" ht="21.25" customHeight="1">
      <c r="A348" t="s" s="10">
        <v>426</v>
      </c>
      <c r="B348" t="s" s="86">
        <f>VLOOKUP(A348,'Player Data'!A1:B667,2,FALSE)</f>
        <v>174</v>
      </c>
      <c r="C348" s="74">
        <f>((E348)*'Settings'!$C$12)+(F348*'Settings'!$C$2)+(G348*'Settings'!$C$3)+(H348*'Settings'!$C$4)+(I348*'Settings'!$C$5)+(K348*'Settings'!$C$9)+(N348*'Settings'!$C$6)+(J348*'Settings'!$C$8)+(O348*'Settings'!$C$7)+(P348*'Settings'!$C$14)+(Q348*'Settings'!$C$15)+(R348*'Settings'!$C$16)+(S348*'Settings'!$C$17)+(T348*'Settings'!$C$18)+(U348*'Settings'!$C$19)+(L348*'Settings'!$C$10)+('Settings'!$C$11*M348)</f>
        <v>-2.89260127133826</v>
      </c>
      <c r="D348" s="79">
        <f>IF('Settings'!$E$12="YES",VLOOKUP(A348,'Player Data'!A1:E667,5,FALSE),82)</f>
        <v>74.145</v>
      </c>
      <c r="E348" s="77">
        <f>(VLOOKUP($A348,'The List'!$B1:$AH665,17,FALSE)-AVERAGE('The List'!R2:R665))/STDEV('The List'!R2:R665)</f>
        <v>-1.1814359479081</v>
      </c>
      <c r="F348" s="77">
        <f>(VLOOKUP($A348,'The List'!$B1:$AH665,18,FALSE)-AVERAGE('The List'!S2:S665))/STDEV('The List'!S2:S665)</f>
        <v>-0.399430754944929</v>
      </c>
      <c r="G348" s="77">
        <f>(VLOOKUP($A348,'The List'!$B1:$AH665,19,FALSE)-AVERAGE('The List'!T2:T665))/STDEV('The List'!T2:T665)</f>
        <v>-0.482424168804852</v>
      </c>
      <c r="H348" s="77">
        <f>(VLOOKUP($A348,'The List'!$B1:$AH665,20,FALSE)-AVERAGE('The List'!U2:U665))/STDEV('The List'!U2:U665)</f>
        <v>-0.481172799219289</v>
      </c>
      <c r="I348" s="77">
        <f>(VLOOKUP($A348,'The List'!$B1:$AH665,21,FALSE)-AVERAGE('The List'!V2:V665))/STDEV('The List'!V2:V665)</f>
        <v>-0.0200212778549444</v>
      </c>
      <c r="J348" s="77">
        <f>(VLOOKUP($A348,'The List'!$B1:$AH665,22,FALSE)-AVERAGE('The List'!W2:W665))/STDEV('The List'!W2:W665)</f>
        <v>-0.6809242701545249</v>
      </c>
      <c r="K348" s="77">
        <f>(VLOOKUP($A348,'The List'!$B1:$AH665,23,FALSE)-AVERAGE('The List'!X2:X665))/STDEV('The List'!X2:X665)</f>
        <v>-0.772998818871469</v>
      </c>
      <c r="L348" s="77">
        <f>(VLOOKUP($A348,'The List'!$B1:$AH665,24,FALSE)-AVERAGE('The List'!Y2:Y665))/STDEV('The List'!Y2:Y665)</f>
        <v>-0.572243223845746</v>
      </c>
      <c r="M348" s="77">
        <f>(VLOOKUP($A348,'The List'!$B1:$AH665,25,FALSE)-AVERAGE('The List'!Z2:Z665))/STDEV('The List'!Z2:Z665)</f>
        <v>-0.745958195907041</v>
      </c>
      <c r="N348" s="77">
        <f>(VLOOKUP($A348,'The List'!$B1:$AH665,26,FALSE)-AVERAGE('The List'!AA2:AA665))/STDEV('The List'!AA2:AA665)</f>
        <v>-0.900769539071631</v>
      </c>
      <c r="O348" s="77">
        <f>(VLOOKUP($A348,'The List'!$B1:$AH665,27,FALSE)-AVERAGE('The List'!AB2:AB665))/STDEV('The List'!AB2:AB665)</f>
        <v>2.99703131024337</v>
      </c>
      <c r="P348" s="77">
        <f>(VLOOKUP($A348,'The List'!$B1:$AH665,28,FALSE)-AVERAGE('The List'!AC2:AC665))/STDEV('The List'!AC2:AC665)</f>
        <v>-0.316956711790435</v>
      </c>
      <c r="Q348" s="77">
        <f>(VLOOKUP($A348,'The List'!$B1:$AH665,29,FALSE)-AVERAGE('The List'!AD2:AD665))/STDEV('The List'!AD2:AD665)</f>
        <v>1.95360031538832</v>
      </c>
      <c r="R348" s="77">
        <f>(VLOOKUP($A348,'The List'!$B1:$AH665,30,FALSE)-AVERAGE('The List'!AE2:AE665))/STDEV('The List'!AE2:AE665)</f>
        <v>-0.40398674909371</v>
      </c>
      <c r="S348" s="77">
        <f>(VLOOKUP($A348,'The List'!$B1:$AH665,31,FALSE)-AVERAGE('The List'!AF2:AF665))/STDEV('The List'!AF2:AF665)</f>
        <v>-0.444952278851402</v>
      </c>
      <c r="T348" s="77">
        <f>(VLOOKUP($A348,'The List'!$B1:$AH665,32,FALSE)-AVERAGE('The List'!AG2:AG665))/STDEV('The List'!AG2:AG665)</f>
        <v>-0.45880725348963</v>
      </c>
      <c r="U348" s="77">
        <f>(VLOOKUP($A348,'The List'!$B1:$AH665,33,FALSE)-AVERAGE('The List'!AH2:AH665))/STDEV('The List'!AH2:AH665)</f>
        <v>0.8128854268446311</v>
      </c>
      <c r="V348" s="77"/>
      <c r="W348" s="89"/>
      <c r="X348" s="79"/>
      <c r="Y348" s="79"/>
      <c r="Z348" s="79"/>
      <c r="AA348" s="79"/>
      <c r="AB348" s="79"/>
      <c r="AC348" s="82"/>
      <c r="AD348" s="83"/>
      <c r="AE348" s="84"/>
    </row>
    <row r="349" ht="21.25" customHeight="1">
      <c r="A349" t="s" s="10">
        <v>773</v>
      </c>
      <c r="B349" t="s" s="86">
        <f>VLOOKUP(A349,'Player Data'!A1:B667,2,FALSE)</f>
        <v>342</v>
      </c>
      <c r="C349" s="74">
        <f>((E349)*'Settings'!$C$12)+(F349*'Settings'!$C$2)+(G349*'Settings'!$C$3)+(H349*'Settings'!$C$4)+(I349*'Settings'!$C$5)+(K349*'Settings'!$C$9)+(N349*'Settings'!$C$6)+(J349*'Settings'!$C$8)+(O349*'Settings'!$C$7)+(P349*'Settings'!$C$14)+(Q349*'Settings'!$C$15)+(R349*'Settings'!$C$16)+(S349*'Settings'!$C$17)+(T349*'Settings'!$C$18)+(U349*'Settings'!$C$19)+(L349*'Settings'!$C$10)+('Settings'!$C$11*M349)</f>
        <v>-1.09014749499915</v>
      </c>
      <c r="D349" s="79">
        <f>IF('Settings'!$E$12="YES",VLOOKUP(A349,'Player Data'!A1:E667,5,FALSE),82)</f>
        <v>70.16</v>
      </c>
      <c r="E349" s="77">
        <f>(VLOOKUP($A349,'The List'!$B1:$AH665,17,FALSE)-AVERAGE('The List'!R2:R665))/STDEV('The List'!R2:R665)</f>
        <v>-1.13655248883303</v>
      </c>
      <c r="F349" s="77">
        <f>(VLOOKUP($A349,'The List'!$B1:$AH665,18,FALSE)-AVERAGE('The List'!S2:S665))/STDEV('The List'!S2:S665)</f>
        <v>-0.529905460339213</v>
      </c>
      <c r="G349" s="77">
        <f>(VLOOKUP($A349,'The List'!$B1:$AH665,19,FALSE)-AVERAGE('The List'!T2:T665))/STDEV('The List'!T2:T665)</f>
        <v>-0.495829274823642</v>
      </c>
      <c r="H349" s="77">
        <f>(VLOOKUP($A349,'The List'!$B1:$AH665,20,FALSE)-AVERAGE('The List'!U2:U665))/STDEV('The List'!U2:U665)</f>
        <v>-0.548805079363072</v>
      </c>
      <c r="I349" s="77">
        <f>(VLOOKUP($A349,'The List'!$B1:$AH665,21,FALSE)-AVERAGE('The List'!V2:V665))/STDEV('The List'!V2:V665)</f>
        <v>-0.371652804198872</v>
      </c>
      <c r="J349" s="77">
        <f>(VLOOKUP($A349,'The List'!$B1:$AH665,22,FALSE)-AVERAGE('The List'!W2:W665))/STDEV('The List'!W2:W665)</f>
        <v>-0.120522130120533</v>
      </c>
      <c r="K349" s="77">
        <f>(VLOOKUP($A349,'The List'!$B1:$AH665,23,FALSE)-AVERAGE('The List'!X2:X665))/STDEV('The List'!X2:X665)</f>
        <v>-0.0670708154047966</v>
      </c>
      <c r="L349" s="77">
        <f>(VLOOKUP($A349,'The List'!$B1:$AH665,24,FALSE)-AVERAGE('The List'!Y2:Y665))/STDEV('The List'!Y2:Y665)</f>
        <v>-0.411726038272472</v>
      </c>
      <c r="M349" s="77">
        <f>(VLOOKUP($A349,'The List'!$B1:$AH665,25,FALSE)-AVERAGE('The List'!Z2:Z665))/STDEV('The List'!Z2:Z665)</f>
        <v>-0.583424370418365</v>
      </c>
      <c r="N349" s="77">
        <f>(VLOOKUP($A349,'The List'!$B1:$AH665,26,FALSE)-AVERAGE('The List'!AA2:AA665))/STDEV('The List'!AA2:AA665)</f>
        <v>-0.755166744614121</v>
      </c>
      <c r="O349" s="77">
        <f>(VLOOKUP($A349,'The List'!$B1:$AH665,27,FALSE)-AVERAGE('The List'!AB2:AB665))/STDEV('The List'!AB2:AB665)</f>
        <v>-0.96776967124502</v>
      </c>
      <c r="P349" s="77">
        <f>(VLOOKUP($A349,'The List'!$B1:$AH665,28,FALSE)-AVERAGE('The List'!AC2:AC665))/STDEV('The List'!AC2:AC665)</f>
        <v>1.12947760438149</v>
      </c>
      <c r="Q349" s="77">
        <f>(VLOOKUP($A349,'The List'!$B1:$AH665,29,FALSE)-AVERAGE('The List'!AD2:AD665))/STDEV('The List'!AD2:AD665)</f>
        <v>-0.257374181437033</v>
      </c>
      <c r="R349" s="77">
        <f>(VLOOKUP($A349,'The List'!$B1:$AH665,30,FALSE)-AVERAGE('The List'!AE2:AE665))/STDEV('The List'!AE2:AE665)</f>
        <v>-0.381235948234152</v>
      </c>
      <c r="S349" s="77">
        <f>(VLOOKUP($A349,'The List'!$B1:$AH665,31,FALSE)-AVERAGE('The List'!AF2:AF665))/STDEV('The List'!AF2:AF665)</f>
        <v>1.06904507617661</v>
      </c>
      <c r="T349" s="77">
        <f>(VLOOKUP($A349,'The List'!$B1:$AH665,32,FALSE)-AVERAGE('The List'!AG2:AG665))/STDEV('The List'!AG2:AG665)</f>
        <v>0.799663129757864</v>
      </c>
      <c r="U349" s="77">
        <f>(VLOOKUP($A349,'The List'!$B1:$AH665,33,FALSE)-AVERAGE('The List'!AH2:AH665))/STDEV('The List'!AH2:AH665)</f>
        <v>1.26515889773532</v>
      </c>
      <c r="V349" s="77"/>
      <c r="W349" s="89"/>
      <c r="X349" s="79"/>
      <c r="Y349" s="79"/>
      <c r="Z349" s="79"/>
      <c r="AA349" s="79"/>
      <c r="AB349" s="79"/>
      <c r="AC349" s="82"/>
      <c r="AD349" s="83"/>
      <c r="AE349" s="84"/>
    </row>
    <row r="350" ht="21.25" customHeight="1">
      <c r="A350" t="s" s="10">
        <v>799</v>
      </c>
      <c r="B350" t="s" s="86">
        <f>VLOOKUP(A350,'Player Data'!A1:B667,2,FALSE)</f>
        <v>207</v>
      </c>
      <c r="C350" s="74">
        <f>((E350)*'Settings'!$C$12)+(F350*'Settings'!$C$2)+(G350*'Settings'!$C$3)+(H350*'Settings'!$C$4)+(I350*'Settings'!$C$5)+(K350*'Settings'!$C$9)+(N350*'Settings'!$C$6)+(J350*'Settings'!$C$8)+(O350*'Settings'!$C$7)+(P350*'Settings'!$C$14)+(Q350*'Settings'!$C$15)+(R350*'Settings'!$C$16)+(S350*'Settings'!$C$17)+(T350*'Settings'!$C$18)+(U350*'Settings'!$C$19)+(L350*'Settings'!$C$10)+('Settings'!$C$11*M350)</f>
        <v>-2.87658697092645</v>
      </c>
      <c r="D350" s="79">
        <f>IF('Settings'!$E$12="YES",VLOOKUP(A350,'Player Data'!A1:E667,5,FALSE),82)</f>
        <v>60</v>
      </c>
      <c r="E350" s="77">
        <f>(VLOOKUP($A350,'The List'!$B1:$AH665,17,FALSE)-AVERAGE('The List'!R2:R665))/STDEV('The List'!R2:R665)</f>
        <v>-0.791930324166366</v>
      </c>
      <c r="F350" s="77">
        <f>(VLOOKUP($A350,'The List'!$B1:$AH665,18,FALSE)-AVERAGE('The List'!S2:S665))/STDEV('The List'!S2:S665)</f>
        <v>-0.188721601163347</v>
      </c>
      <c r="G350" s="77">
        <f>(VLOOKUP($A350,'The List'!$B1:$AH665,19,FALSE)-AVERAGE('The List'!T2:T665))/STDEV('The List'!T2:T665)</f>
        <v>-1.00231660776969</v>
      </c>
      <c r="H350" s="77">
        <f>(VLOOKUP($A350,'The List'!$B1:$AH665,20,FALSE)-AVERAGE('The List'!U2:U665))/STDEV('The List'!U2:U665)</f>
        <v>-0.708277910184024</v>
      </c>
      <c r="I350" s="77">
        <f>(VLOOKUP($A350,'The List'!$B1:$AH665,21,FALSE)-AVERAGE('The List'!V2:V665))/STDEV('The List'!V2:V665)</f>
        <v>-0.535911849939929</v>
      </c>
      <c r="J350" s="77">
        <f>(VLOOKUP($A350,'The List'!$B1:$AH665,22,FALSE)-AVERAGE('The List'!W2:W665))/STDEV('The List'!W2:W665)</f>
        <v>-0.241970366534729</v>
      </c>
      <c r="K350" s="77">
        <f>(VLOOKUP($A350,'The List'!$B1:$AH665,23,FALSE)-AVERAGE('The List'!X2:X665))/STDEV('The List'!X2:X665)</f>
        <v>-0.487187105986415</v>
      </c>
      <c r="L350" s="77">
        <f>(VLOOKUP($A350,'The List'!$B1:$AH665,24,FALSE)-AVERAGE('The List'!Y2:Y665))/STDEV('The List'!Y2:Y665)</f>
        <v>-0.580182913902084</v>
      </c>
      <c r="M350" s="77">
        <f>(VLOOKUP($A350,'The List'!$B1:$AH665,25,FALSE)-AVERAGE('The List'!Z2:Z665))/STDEV('The List'!Z2:Z665)</f>
        <v>-0.754036664989997</v>
      </c>
      <c r="N350" s="77">
        <f>(VLOOKUP($A350,'The List'!$B1:$AH665,26,FALSE)-AVERAGE('The List'!AA2:AA665))/STDEV('The List'!AA2:AA665)</f>
        <v>-0.95194239336346</v>
      </c>
      <c r="O350" s="77">
        <f>(VLOOKUP($A350,'The List'!$B1:$AH665,27,FALSE)-AVERAGE('The List'!AB2:AB665))/STDEV('The List'!AB2:AB665)</f>
        <v>-0.443065380631633</v>
      </c>
      <c r="P350" s="77">
        <f>(VLOOKUP($A350,'The List'!$B1:$AH665,28,FALSE)-AVERAGE('The List'!AC2:AC665))/STDEV('The List'!AC2:AC665)</f>
        <v>0.289492587296387</v>
      </c>
      <c r="Q350" s="77">
        <f>(VLOOKUP($A350,'The List'!$B1:$AH665,29,FALSE)-AVERAGE('The List'!AD2:AD665))/STDEV('The List'!AD2:AD665)</f>
        <v>-0.624267425248723</v>
      </c>
      <c r="R350" s="77">
        <f>(VLOOKUP($A350,'The List'!$B1:$AH665,30,FALSE)-AVERAGE('The List'!AE2:AE665))/STDEV('The List'!AE2:AE665)</f>
        <v>-0.120240620920389</v>
      </c>
      <c r="S350" s="77">
        <f>(VLOOKUP($A350,'The List'!$B1:$AH665,31,FALSE)-AVERAGE('The List'!AF2:AF665))/STDEV('The List'!AF2:AF665)</f>
        <v>-0.573894410680004</v>
      </c>
      <c r="T350" s="77">
        <f>(VLOOKUP($A350,'The List'!$B1:$AH665,32,FALSE)-AVERAGE('The List'!AG2:AG665))/STDEV('The List'!AG2:AG665)</f>
        <v>-0.625770787132651</v>
      </c>
      <c r="U350" s="77">
        <f>(VLOOKUP($A350,'The List'!$B1:$AH665,33,FALSE)-AVERAGE('The List'!AH2:AH665))/STDEV('The List'!AH2:AH665)</f>
        <v>-1.23143509451486</v>
      </c>
      <c r="V350" s="77"/>
      <c r="W350" s="79"/>
      <c r="X350" s="77"/>
      <c r="Y350" s="77"/>
      <c r="Z350" s="77"/>
      <c r="AA350" s="77"/>
      <c r="AB350" s="77"/>
      <c r="AC350" s="77"/>
      <c r="AD350" s="77"/>
      <c r="AE350" s="84"/>
    </row>
    <row r="351" ht="21.25" customHeight="1">
      <c r="A351" t="s" s="10">
        <v>777</v>
      </c>
      <c r="B351" t="s" s="86">
        <f>VLOOKUP(A351,'Player Data'!A1:B667,2,FALSE)</f>
        <v>900</v>
      </c>
      <c r="C351" s="74">
        <f>((E351)*'Settings'!$C$12)+(F351*'Settings'!$C$2)+(G351*'Settings'!$C$3)+(H351*'Settings'!$C$4)+(I351*'Settings'!$C$5)+(K351*'Settings'!$C$9)+(N351*'Settings'!$C$6)+(J351*'Settings'!$C$8)+(O351*'Settings'!$C$7)+(P351*'Settings'!$C$14)+(Q351*'Settings'!$C$15)+(R351*'Settings'!$C$16)+(S351*'Settings'!$C$17)+(T351*'Settings'!$C$18)+(U351*'Settings'!$C$19)+(L351*'Settings'!$C$10)+('Settings'!$C$11*M351)</f>
        <v>-2.8480502731187</v>
      </c>
      <c r="D351" s="79">
        <f>IF('Settings'!$E$12="YES",VLOOKUP(A351,'Player Data'!A1:E667,5,FALSE),82)</f>
        <v>79.3</v>
      </c>
      <c r="E351" s="77">
        <f>(VLOOKUP($A351,'The List'!$B1:$AH665,17,FALSE)-AVERAGE('The List'!R2:R665))/STDEV('The List'!R2:R665)</f>
        <v>-1.1436301280873</v>
      </c>
      <c r="F351" s="77">
        <f>(VLOOKUP($A351,'The List'!$B1:$AH665,18,FALSE)-AVERAGE('The List'!S2:S665))/STDEV('The List'!S2:S665)</f>
        <v>-0.216485469577713</v>
      </c>
      <c r="G351" s="77">
        <f>(VLOOKUP($A351,'The List'!$B1:$AH665,19,FALSE)-AVERAGE('The List'!T2:T665))/STDEV('The List'!T2:T665)</f>
        <v>-0.501547300226216</v>
      </c>
      <c r="H351" s="77">
        <f>(VLOOKUP($A351,'The List'!$B1:$AH665,20,FALSE)-AVERAGE('The List'!U2:U665))/STDEV('The List'!U2:U665)</f>
        <v>-0.409892010802722</v>
      </c>
      <c r="I351" s="77">
        <f>(VLOOKUP($A351,'The List'!$B1:$AH665,21,FALSE)-AVERAGE('The List'!V2:V665))/STDEV('The List'!V2:V665)</f>
        <v>-0.606355517002484</v>
      </c>
      <c r="J351" s="77">
        <f>(VLOOKUP($A351,'The List'!$B1:$AH665,22,FALSE)-AVERAGE('The List'!W2:W665))/STDEV('The List'!W2:W665)</f>
        <v>-0.69499110639165</v>
      </c>
      <c r="K351" s="77">
        <f>(VLOOKUP($A351,'The List'!$B1:$AH665,23,FALSE)-AVERAGE('The List'!X2:X665))/STDEV('The List'!X2:X665)</f>
        <v>-0.767252659367757</v>
      </c>
      <c r="L351" s="77">
        <f>(VLOOKUP($A351,'The List'!$B1:$AH665,24,FALSE)-AVERAGE('The List'!Y2:Y665))/STDEV('The List'!Y2:Y665)</f>
        <v>-0.428847354797063</v>
      </c>
      <c r="M351" s="77">
        <f>(VLOOKUP($A351,'The List'!$B1:$AH665,25,FALSE)-AVERAGE('The List'!Z2:Z665))/STDEV('The List'!Z2:Z665)</f>
        <v>-0.595991817989008</v>
      </c>
      <c r="N351" s="77">
        <f>(VLOOKUP($A351,'The List'!$B1:$AH665,26,FALSE)-AVERAGE('The List'!AA2:AA665))/STDEV('The List'!AA2:AA665)</f>
        <v>-0.855633326230205</v>
      </c>
      <c r="O351" s="77">
        <f>(VLOOKUP($A351,'The List'!$B1:$AH665,27,FALSE)-AVERAGE('The List'!AB2:AB665))/STDEV('The List'!AB2:AB665)</f>
        <v>-0.703864497299546</v>
      </c>
      <c r="P351" s="77">
        <f>(VLOOKUP($A351,'The List'!$B1:$AH665,28,FALSE)-AVERAGE('The List'!AC2:AC665))/STDEV('The List'!AC2:AC665)</f>
        <v>0.099223999285679</v>
      </c>
      <c r="Q351" s="77">
        <f>(VLOOKUP($A351,'The List'!$B1:$AH665,29,FALSE)-AVERAGE('The List'!AD2:AD665))/STDEV('The List'!AD2:AD665)</f>
        <v>-0.67142684073865</v>
      </c>
      <c r="R351" s="77">
        <f>(VLOOKUP($A351,'The List'!$B1:$AH665,30,FALSE)-AVERAGE('The List'!AE2:AE665))/STDEV('The List'!AE2:AE665)</f>
        <v>-0.193289814077166</v>
      </c>
      <c r="S351" s="77">
        <f>(VLOOKUP($A351,'The List'!$B1:$AH665,31,FALSE)-AVERAGE('The List'!AF2:AF665))/STDEV('The List'!AF2:AF665)</f>
        <v>-0.5260469899619949</v>
      </c>
      <c r="T351" s="77">
        <f>(VLOOKUP($A351,'The List'!$B1:$AH665,32,FALSE)-AVERAGE('The List'!AG2:AG665))/STDEV('The List'!AG2:AG665)</f>
        <v>-0.527829721951013</v>
      </c>
      <c r="U351" s="77">
        <f>(VLOOKUP($A351,'The List'!$B1:$AH665,33,FALSE)-AVERAGE('The List'!AH2:AH665))/STDEV('The List'!AH2:AH665)</f>
        <v>0.318612756263489</v>
      </c>
      <c r="V351" s="77"/>
      <c r="W351" s="79"/>
      <c r="X351" s="77"/>
      <c r="Y351" s="77"/>
      <c r="Z351" s="77"/>
      <c r="AA351" s="77"/>
      <c r="AB351" s="77"/>
      <c r="AC351" s="77"/>
      <c r="AD351" s="77"/>
      <c r="AE351" s="84"/>
    </row>
    <row r="352" ht="21.25" customHeight="1">
      <c r="A352" t="s" s="10">
        <v>506</v>
      </c>
      <c r="B352" t="s" s="86">
        <f>VLOOKUP(A352,'Player Data'!A1:B667,2,FALSE)</f>
        <v>275</v>
      </c>
      <c r="C352" s="74">
        <f>((E352)*'Settings'!$C$12)+(F352*'Settings'!$C$2)+(G352*'Settings'!$C$3)+(H352*'Settings'!$C$4)+(I352*'Settings'!$C$5)+(K352*'Settings'!$C$9)+(N352*'Settings'!$C$6)+(J352*'Settings'!$C$8)+(O352*'Settings'!$C$7)+(P352*'Settings'!$C$14)+(Q352*'Settings'!$C$15)+(R352*'Settings'!$C$16)+(S352*'Settings'!$C$17)+(T352*'Settings'!$C$18)+(U352*'Settings'!$C$19)+(L352*'Settings'!$C$10)+('Settings'!$C$11*M352)</f>
        <v>0.648764686870827</v>
      </c>
      <c r="D352" s="79">
        <f>IF('Settings'!$E$12="YES",VLOOKUP(A352,'Player Data'!A1:E667,5,FALSE),82)</f>
        <v>74.55500000000001</v>
      </c>
      <c r="E352" s="77">
        <f>(VLOOKUP($A352,'The List'!$B1:$AH665,17,FALSE)-AVERAGE('The List'!R2:R665))/STDEV('The List'!R2:R665)</f>
        <v>1.54904769395806</v>
      </c>
      <c r="F352" s="77">
        <f>(VLOOKUP($A352,'The List'!$B1:$AH665,18,FALSE)-AVERAGE('The List'!S2:S665))/STDEV('The List'!S2:S665)</f>
        <v>-0.767148420284242</v>
      </c>
      <c r="G352" s="77">
        <f>(VLOOKUP($A352,'The List'!$B1:$AH665,19,FALSE)-AVERAGE('The List'!T2:T665))/STDEV('The List'!T2:T665)</f>
        <v>-0.219658930678373</v>
      </c>
      <c r="H352" s="77">
        <f>(VLOOKUP($A352,'The List'!$B1:$AH665,20,FALSE)-AVERAGE('The List'!U2:U665))/STDEV('The List'!U2:U665)</f>
        <v>-0.485125969469369</v>
      </c>
      <c r="I352" s="77">
        <f>(VLOOKUP($A352,'The List'!$B1:$AH665,21,FALSE)-AVERAGE('The List'!V2:V665))/STDEV('The List'!V2:V665)</f>
        <v>-0.11443404994756</v>
      </c>
      <c r="J352" s="77">
        <f>(VLOOKUP($A352,'The List'!$B1:$AH665,22,FALSE)-AVERAGE('The List'!W2:W665))/STDEV('The List'!W2:W665)</f>
        <v>-0.708467494564177</v>
      </c>
      <c r="K352" s="77">
        <f>(VLOOKUP($A352,'The List'!$B1:$AH665,23,FALSE)-AVERAGE('The List'!X2:X665))/STDEV('The List'!X2:X665)</f>
        <v>-0.713715364327549</v>
      </c>
      <c r="L352" s="77">
        <f>(VLOOKUP($A352,'The List'!$B1:$AH665,24,FALSE)-AVERAGE('The List'!Y2:Y665))/STDEV('The List'!Y2:Y665)</f>
        <v>-0.535829176027995</v>
      </c>
      <c r="M352" s="77">
        <f>(VLOOKUP($A352,'The List'!$B1:$AH665,25,FALSE)-AVERAGE('The List'!Z2:Z665))/STDEV('The List'!Z2:Z665)</f>
        <v>0.0252638713527428</v>
      </c>
      <c r="N352" s="77">
        <f>(VLOOKUP($A352,'The List'!$B1:$AH665,26,FALSE)-AVERAGE('The List'!AA2:AA665))/STDEV('The List'!AA2:AA665)</f>
        <v>2.04338871951746</v>
      </c>
      <c r="O352" s="77">
        <f>(VLOOKUP($A352,'The List'!$B1:$AH665,27,FALSE)-AVERAGE('The List'!AB2:AB665))/STDEV('The List'!AB2:AB665)</f>
        <v>-0.99546635018851</v>
      </c>
      <c r="P352" s="77">
        <f>(VLOOKUP($A352,'The List'!$B1:$AH665,28,FALSE)-AVERAGE('The List'!AC2:AC665))/STDEV('The List'!AC2:AC665)</f>
        <v>0.420332732591091</v>
      </c>
      <c r="Q352" s="77">
        <f>(VLOOKUP($A352,'The List'!$B1:$AH665,29,FALSE)-AVERAGE('The List'!AD2:AD665))/STDEV('The List'!AD2:AD665)</f>
        <v>-0.4261474526601</v>
      </c>
      <c r="R352" s="77">
        <f>(VLOOKUP($A352,'The List'!$B1:$AH665,30,FALSE)-AVERAGE('The List'!AE2:AE665))/STDEV('The List'!AE2:AE665)</f>
        <v>-0.674942011800577</v>
      </c>
      <c r="S352" s="77">
        <f>(VLOOKUP($A352,'The List'!$B1:$AH665,31,FALSE)-AVERAGE('The List'!AF2:AF665))/STDEV('The List'!AF2:AF665)</f>
        <v>-0.573894410680004</v>
      </c>
      <c r="T352" s="77">
        <f>(VLOOKUP($A352,'The List'!$B1:$AH665,32,FALSE)-AVERAGE('The List'!AG2:AG665))/STDEV('The List'!AG2:AG665)</f>
        <v>-0.625770787132651</v>
      </c>
      <c r="U352" s="77">
        <f>(VLOOKUP($A352,'The List'!$B1:$AH665,33,FALSE)-AVERAGE('The List'!AH2:AH665))/STDEV('The List'!AH2:AH665)</f>
        <v>-1.23143509451486</v>
      </c>
      <c r="V352" s="77"/>
      <c r="W352" s="89"/>
      <c r="X352" s="79"/>
      <c r="Y352" s="79"/>
      <c r="Z352" s="79"/>
      <c r="AA352" s="79"/>
      <c r="AB352" s="79"/>
      <c r="AC352" s="82"/>
      <c r="AD352" s="83"/>
      <c r="AE352" s="84"/>
    </row>
    <row r="353" ht="21.25" customHeight="1">
      <c r="A353" t="s" s="10">
        <v>752</v>
      </c>
      <c r="B353" t="s" s="86">
        <f>VLOOKUP(A353,'Player Data'!A1:B667,2,FALSE)</f>
        <v>912</v>
      </c>
      <c r="C353" s="74">
        <f>((E353)*'Settings'!$C$12)+(F353*'Settings'!$C$2)+(G353*'Settings'!$C$3)+(H353*'Settings'!$C$4)+(I353*'Settings'!$C$5)+(K353*'Settings'!$C$9)+(N353*'Settings'!$C$6)+(J353*'Settings'!$C$8)+(O353*'Settings'!$C$7)+(P353*'Settings'!$C$14)+(Q353*'Settings'!$C$15)+(R353*'Settings'!$C$16)+(S353*'Settings'!$C$17)+(T353*'Settings'!$C$18)+(U353*'Settings'!$C$19)+(L353*'Settings'!$C$10)+('Settings'!$C$11*M353)</f>
        <v>-3.67188723474243</v>
      </c>
      <c r="D353" s="79">
        <f>IF('Settings'!$E$12="YES",VLOOKUP(A353,'Player Data'!A1:E667,5,FALSE),82)</f>
        <v>69.52</v>
      </c>
      <c r="E353" s="77">
        <f>(VLOOKUP($A353,'The List'!$B1:$AH665,17,FALSE)-AVERAGE('The List'!R2:R665))/STDEV('The List'!R2:R665)</f>
        <v>-1.20949866229764</v>
      </c>
      <c r="F353" s="77">
        <f>(VLOOKUP($A353,'The List'!$B1:$AH665,18,FALSE)-AVERAGE('The List'!S2:S665))/STDEV('The List'!S2:S665)</f>
        <v>-0.0519782647045387</v>
      </c>
      <c r="G353" s="77">
        <f>(VLOOKUP($A353,'The List'!$B1:$AH665,19,FALSE)-AVERAGE('The List'!T2:T665))/STDEV('The List'!T2:T665)</f>
        <v>-0.875603861445151</v>
      </c>
      <c r="H353" s="77">
        <f>(VLOOKUP($A353,'The List'!$B1:$AH665,20,FALSE)-AVERAGE('The List'!U2:U665))/STDEV('The List'!U2:U665)</f>
        <v>-0.567425823544671</v>
      </c>
      <c r="I353" s="77">
        <f>(VLOOKUP($A353,'The List'!$B1:$AH665,21,FALSE)-AVERAGE('The List'!V2:V665))/STDEV('The List'!V2:V665)</f>
        <v>-0.689078849191163</v>
      </c>
      <c r="J353" s="77">
        <f>(VLOOKUP($A353,'The List'!$B1:$AH665,22,FALSE)-AVERAGE('The List'!W2:W665))/STDEV('The List'!W2:W665)</f>
        <v>-0.231198827345183</v>
      </c>
      <c r="K353" s="77">
        <f>(VLOOKUP($A353,'The List'!$B1:$AH665,23,FALSE)-AVERAGE('The List'!X2:X665))/STDEV('The List'!X2:X665)</f>
        <v>-0.371057916491097</v>
      </c>
      <c r="L353" s="77">
        <f>(VLOOKUP($A353,'The List'!$B1:$AH665,24,FALSE)-AVERAGE('The List'!Y2:Y665))/STDEV('The List'!Y2:Y665)</f>
        <v>-0.55313937110351</v>
      </c>
      <c r="M353" s="77">
        <f>(VLOOKUP($A353,'The List'!$B1:$AH665,25,FALSE)-AVERAGE('The List'!Z2:Z665))/STDEV('The List'!Z2:Z665)</f>
        <v>-0.726392184294484</v>
      </c>
      <c r="N353" s="77">
        <f>(VLOOKUP($A353,'The List'!$B1:$AH665,26,FALSE)-AVERAGE('The List'!AA2:AA665))/STDEV('The List'!AA2:AA665)</f>
        <v>-0.822394169507266</v>
      </c>
      <c r="O353" s="77">
        <f>(VLOOKUP($A353,'The List'!$B1:$AH665,27,FALSE)-AVERAGE('The List'!AB2:AB665))/STDEV('The List'!AB2:AB665)</f>
        <v>-0.209826067271386</v>
      </c>
      <c r="P353" s="77">
        <f>(VLOOKUP($A353,'The List'!$B1:$AH665,28,FALSE)-AVERAGE('The List'!AC2:AC665))/STDEV('The List'!AC2:AC665)</f>
        <v>-0.861774173403214</v>
      </c>
      <c r="Q353" s="77">
        <f>(VLOOKUP($A353,'The List'!$B1:$AH665,29,FALSE)-AVERAGE('The List'!AD2:AD665))/STDEV('The List'!AD2:AD665)</f>
        <v>-0.600998854772991</v>
      </c>
      <c r="R353" s="77">
        <f>(VLOOKUP($A353,'The List'!$B1:$AH665,30,FALSE)-AVERAGE('The List'!AE2:AE665))/STDEV('The List'!AE2:AE665)</f>
        <v>-0.316241398563656</v>
      </c>
      <c r="S353" s="77">
        <f>(VLOOKUP($A353,'The List'!$B1:$AH665,31,FALSE)-AVERAGE('The List'!AF2:AF665))/STDEV('The List'!AF2:AF665)</f>
        <v>-0.30136282468018</v>
      </c>
      <c r="T353" s="77">
        <f>(VLOOKUP($A353,'The List'!$B1:$AH665,32,FALSE)-AVERAGE('The List'!AG2:AG665))/STDEV('The List'!AG2:AG665)</f>
        <v>-0.352883303764579</v>
      </c>
      <c r="U353" s="77">
        <f>(VLOOKUP($A353,'The List'!$B1:$AH665,33,FALSE)-AVERAGE('The List'!AH2:AH665))/STDEV('The List'!AH2:AH665)</f>
        <v>1.10351845994475</v>
      </c>
      <c r="V353" s="77"/>
      <c r="W353" s="89"/>
      <c r="X353" s="79"/>
      <c r="Y353" s="79"/>
      <c r="Z353" s="79"/>
      <c r="AA353" s="79"/>
      <c r="AB353" s="79"/>
      <c r="AC353" s="82"/>
      <c r="AD353" s="83"/>
      <c r="AE353" s="84"/>
    </row>
    <row r="354" ht="21.25" customHeight="1">
      <c r="A354" t="s" s="10">
        <v>770</v>
      </c>
      <c r="B354" t="s" s="86">
        <f>VLOOKUP(A354,'Player Data'!A1:B667,2,FALSE)</f>
        <v>259</v>
      </c>
      <c r="C354" s="74">
        <f>((E354)*'Settings'!$C$12)+(F354*'Settings'!$C$2)+(G354*'Settings'!$C$3)+(H354*'Settings'!$C$4)+(I354*'Settings'!$C$5)+(K354*'Settings'!$C$9)+(N354*'Settings'!$C$6)+(J354*'Settings'!$C$8)+(O354*'Settings'!$C$7)+(P354*'Settings'!$C$14)+(Q354*'Settings'!$C$15)+(R354*'Settings'!$C$16)+(S354*'Settings'!$C$17)+(T354*'Settings'!$C$18)+(U354*'Settings'!$C$19)+(L354*'Settings'!$C$10)+('Settings'!$C$11*M354)</f>
        <v>-2.69485542947823</v>
      </c>
      <c r="D354" s="79">
        <f>IF('Settings'!$E$12="YES",VLOOKUP(A354,'Player Data'!A1:E667,5,FALSE),82)</f>
        <v>70.67749999999999</v>
      </c>
      <c r="E354" s="77">
        <f>(VLOOKUP($A354,'The List'!$B1:$AH665,17,FALSE)-AVERAGE('The List'!R2:R665))/STDEV('The List'!R2:R665)</f>
        <v>-1.29752957027058</v>
      </c>
      <c r="F354" s="77">
        <f>(VLOOKUP($A354,'The List'!$B1:$AH665,18,FALSE)-AVERAGE('The List'!S2:S665))/STDEV('The List'!S2:S665)</f>
        <v>-0.368966549914285</v>
      </c>
      <c r="G354" s="77">
        <f>(VLOOKUP($A354,'The List'!$B1:$AH665,19,FALSE)-AVERAGE('The List'!T2:T665))/STDEV('The List'!T2:T665)</f>
        <v>-0.619396011822628</v>
      </c>
      <c r="H354" s="77">
        <f>(VLOOKUP($A354,'The List'!$B1:$AH665,20,FALSE)-AVERAGE('The List'!U2:U665))/STDEV('The List'!U2:U665)</f>
        <v>-0.552392586135408</v>
      </c>
      <c r="I354" s="77">
        <f>(VLOOKUP($A354,'The List'!$B1:$AH665,21,FALSE)-AVERAGE('The List'!V2:V665))/STDEV('The List'!V2:V665)</f>
        <v>-0.3933295897806</v>
      </c>
      <c r="J354" s="77">
        <f>(VLOOKUP($A354,'The List'!$B1:$AH665,22,FALSE)-AVERAGE('The List'!W2:W665))/STDEV('The List'!W2:W665)</f>
        <v>-0.365663231484927</v>
      </c>
      <c r="K354" s="77">
        <f>(VLOOKUP($A354,'The List'!$B1:$AH665,23,FALSE)-AVERAGE('The List'!X2:X665))/STDEV('The List'!X2:X665)</f>
        <v>-0.551358818939961</v>
      </c>
      <c r="L354" s="77">
        <f>(VLOOKUP($A354,'The List'!$B1:$AH665,24,FALSE)-AVERAGE('The List'!Y2:Y665))/STDEV('The List'!Y2:Y665)</f>
        <v>-0.5272286270509861</v>
      </c>
      <c r="M354" s="77">
        <f>(VLOOKUP($A354,'The List'!$B1:$AH665,25,FALSE)-AVERAGE('The List'!Z2:Z665))/STDEV('The List'!Z2:Z665)</f>
        <v>-0.699892480544803</v>
      </c>
      <c r="N354" s="77">
        <f>(VLOOKUP($A354,'The List'!$B1:$AH665,26,FALSE)-AVERAGE('The List'!AA2:AA665))/STDEV('The List'!AA2:AA665)</f>
        <v>-0.807623593557293</v>
      </c>
      <c r="O354" s="77">
        <f>(VLOOKUP($A354,'The List'!$B1:$AH665,27,FALSE)-AVERAGE('The List'!AB2:AB665))/STDEV('The List'!AB2:AB665)</f>
        <v>-0.681538320165643</v>
      </c>
      <c r="P354" s="77">
        <f>(VLOOKUP($A354,'The List'!$B1:$AH665,28,FALSE)-AVERAGE('The List'!AC2:AC665))/STDEV('The List'!AC2:AC665)</f>
        <v>0.0458191345365399</v>
      </c>
      <c r="Q354" s="77">
        <f>(VLOOKUP($A354,'The List'!$B1:$AH665,29,FALSE)-AVERAGE('The List'!AD2:AD665))/STDEV('The List'!AD2:AD665)</f>
        <v>-0.788856956213277</v>
      </c>
      <c r="R354" s="77">
        <f>(VLOOKUP($A354,'The List'!$B1:$AH665,30,FALSE)-AVERAGE('The List'!AE2:AE665))/STDEV('The List'!AE2:AE665)</f>
        <v>-0.35725912612972</v>
      </c>
      <c r="S354" s="77">
        <f>(VLOOKUP($A354,'The List'!$B1:$AH665,31,FALSE)-AVERAGE('The List'!AF2:AF665))/STDEV('The List'!AF2:AF665)</f>
        <v>0.375950050460851</v>
      </c>
      <c r="T354" s="77">
        <f>(VLOOKUP($A354,'The List'!$B1:$AH665,32,FALSE)-AVERAGE('The List'!AG2:AG665))/STDEV('The List'!AG2:AG665)</f>
        <v>0.475470865384686</v>
      </c>
      <c r="U354" s="77">
        <f>(VLOOKUP($A354,'The List'!$B1:$AH665,33,FALSE)-AVERAGE('The List'!AH2:AH665))/STDEV('The List'!AH2:AH665)</f>
        <v>0.937474075420622</v>
      </c>
      <c r="V354" s="77"/>
      <c r="W354" s="89"/>
      <c r="X354" s="79"/>
      <c r="Y354" s="79"/>
      <c r="Z354" s="79"/>
      <c r="AA354" s="79"/>
      <c r="AB354" s="79"/>
      <c r="AC354" s="82"/>
      <c r="AD354" s="83"/>
      <c r="AE354" s="84"/>
    </row>
    <row r="355" ht="21.25" customHeight="1">
      <c r="A355" t="s" s="10">
        <v>405</v>
      </c>
      <c r="B355" t="s" s="86">
        <f>VLOOKUP(A355,'Player Data'!A1:B667,2,FALSE)</f>
        <v>899</v>
      </c>
      <c r="C355" s="74">
        <f>((E355)*'Settings'!$C$12)+(F355*'Settings'!$C$2)+(G355*'Settings'!$C$3)+(H355*'Settings'!$C$4)+(I355*'Settings'!$C$5)+(K355*'Settings'!$C$9)+(N355*'Settings'!$C$6)+(J355*'Settings'!$C$8)+(O355*'Settings'!$C$7)+(P355*'Settings'!$C$14)+(Q355*'Settings'!$C$15)+(R355*'Settings'!$C$16)+(S355*'Settings'!$C$17)+(T355*'Settings'!$C$18)+(U355*'Settings'!$C$19)+(L355*'Settings'!$C$10)+('Settings'!$C$11*M355)</f>
        <v>-1.35154166194315</v>
      </c>
      <c r="D355" s="79">
        <f>IF('Settings'!$E$12="YES",VLOOKUP(A355,'Player Data'!A1:E667,5,FALSE),82)</f>
        <v>79.9875</v>
      </c>
      <c r="E355" s="77">
        <f>(VLOOKUP($A355,'The List'!$B1:$AH665,17,FALSE)-AVERAGE('The List'!R2:R665))/STDEV('The List'!R2:R665)</f>
        <v>0.811951166991417</v>
      </c>
      <c r="F355" s="77">
        <f>(VLOOKUP($A355,'The List'!$B1:$AH665,18,FALSE)-AVERAGE('The List'!S2:S665))/STDEV('The List'!S2:S665)</f>
        <v>-0.337724748756403</v>
      </c>
      <c r="G355" s="77">
        <f>(VLOOKUP($A355,'The List'!$B1:$AH665,19,FALSE)-AVERAGE('The List'!T2:T665))/STDEV('The List'!T2:T665)</f>
        <v>-0.411855488991344</v>
      </c>
      <c r="H355" s="77">
        <f>(VLOOKUP($A355,'The List'!$B1:$AH665,20,FALSE)-AVERAGE('The List'!U2:U665))/STDEV('The List'!U2:U665)</f>
        <v>-0.409297368176725</v>
      </c>
      <c r="I355" s="77">
        <f>(VLOOKUP($A355,'The List'!$B1:$AH665,21,FALSE)-AVERAGE('The List'!V2:V665))/STDEV('The List'!V2:V665)</f>
        <v>-0.212301975266315</v>
      </c>
      <c r="J355" s="77">
        <f>(VLOOKUP($A355,'The List'!$B1:$AH665,22,FALSE)-AVERAGE('The List'!W2:W665))/STDEV('The List'!W2:W665)</f>
        <v>-0.735558916211924</v>
      </c>
      <c r="K355" s="77">
        <f>(VLOOKUP($A355,'The List'!$B1:$AH665,23,FALSE)-AVERAGE('The List'!X2:X665))/STDEV('The List'!X2:X665)</f>
        <v>-0.796003955093493</v>
      </c>
      <c r="L355" s="77">
        <f>(VLOOKUP($A355,'The List'!$B1:$AH665,24,FALSE)-AVERAGE('The List'!Y2:Y665))/STDEV('The List'!Y2:Y665)</f>
        <v>-0.545869408029382</v>
      </c>
      <c r="M355" s="77">
        <f>(VLOOKUP($A355,'The List'!$B1:$AH665,25,FALSE)-AVERAGE('The List'!Z2:Z665))/STDEV('The List'!Z2:Z665)</f>
        <v>-0.268567371470233</v>
      </c>
      <c r="N355" s="77">
        <f>(VLOOKUP($A355,'The List'!$B1:$AH665,26,FALSE)-AVERAGE('The List'!AA2:AA665))/STDEV('The List'!AA2:AA665)</f>
        <v>0.520851773635799</v>
      </c>
      <c r="O355" s="77">
        <f>(VLOOKUP($A355,'The List'!$B1:$AH665,27,FALSE)-AVERAGE('The List'!AB2:AB665))/STDEV('The List'!AB2:AB665)</f>
        <v>1.90374799878981</v>
      </c>
      <c r="P355" s="77">
        <f>(VLOOKUP($A355,'The List'!$B1:$AH665,28,FALSE)-AVERAGE('The List'!AC2:AC665))/STDEV('The List'!AC2:AC665)</f>
        <v>-0.114507267471389</v>
      </c>
      <c r="Q355" s="77">
        <f>(VLOOKUP($A355,'The List'!$B1:$AH665,29,FALSE)-AVERAGE('The List'!AD2:AD665))/STDEV('The List'!AD2:AD665)</f>
        <v>3.5470252129712</v>
      </c>
      <c r="R355" s="77">
        <f>(VLOOKUP($A355,'The List'!$B1:$AH665,30,FALSE)-AVERAGE('The List'!AE2:AE665))/STDEV('The List'!AE2:AE665)</f>
        <v>-0.27952899984367</v>
      </c>
      <c r="S355" s="77">
        <f>(VLOOKUP($A355,'The List'!$B1:$AH665,31,FALSE)-AVERAGE('The List'!AF2:AF665))/STDEV('The List'!AF2:AF665)</f>
        <v>-0.573894410680004</v>
      </c>
      <c r="T355" s="77">
        <f>(VLOOKUP($A355,'The List'!$B1:$AH665,32,FALSE)-AVERAGE('The List'!AG2:AG665))/STDEV('The List'!AG2:AG665)</f>
        <v>-0.625770787132651</v>
      </c>
      <c r="U355" s="77">
        <f>(VLOOKUP($A355,'The List'!$B1:$AH665,33,FALSE)-AVERAGE('The List'!AH2:AH665))/STDEV('The List'!AH2:AH665)</f>
        <v>-1.23143509451486</v>
      </c>
      <c r="V355" s="77"/>
      <c r="W355" s="89"/>
      <c r="X355" s="79"/>
      <c r="Y355" s="79"/>
      <c r="Z355" s="79"/>
      <c r="AA355" s="79"/>
      <c r="AB355" s="79"/>
      <c r="AC355" s="82"/>
      <c r="AD355" s="83"/>
      <c r="AE355" s="84"/>
    </row>
    <row r="356" ht="21.25" customHeight="1">
      <c r="A356" t="s" s="10">
        <v>802</v>
      </c>
      <c r="B356" t="s" s="86">
        <f>VLOOKUP(A356,'Player Data'!A1:B667,2,FALSE)</f>
        <v>905</v>
      </c>
      <c r="C356" s="74">
        <f>((E356)*'Settings'!$C$12)+(F356*'Settings'!$C$2)+(G356*'Settings'!$C$3)+(H356*'Settings'!$C$4)+(I356*'Settings'!$C$5)+(K356*'Settings'!$C$9)+(N356*'Settings'!$C$6)+(J356*'Settings'!$C$8)+(O356*'Settings'!$C$7)+(P356*'Settings'!$C$14)+(Q356*'Settings'!$C$15)+(R356*'Settings'!$C$16)+(S356*'Settings'!$C$17)+(T356*'Settings'!$C$18)+(U356*'Settings'!$C$19)+(L356*'Settings'!$C$10)+('Settings'!$C$11*M356)</f>
        <v>-1.76154893806626</v>
      </c>
      <c r="D356" s="79">
        <f>IF('Settings'!$E$12="YES",VLOOKUP(A356,'Player Data'!A1:E667,5,FALSE),82)</f>
        <v>73.47</v>
      </c>
      <c r="E356" s="77">
        <f>(VLOOKUP($A356,'The List'!$B1:$AH665,17,FALSE)-AVERAGE('The List'!R2:R665))/STDEV('The List'!R2:R665)</f>
        <v>-0.986895548499812</v>
      </c>
      <c r="F356" s="77">
        <f>(VLOOKUP($A356,'The List'!$B1:$AH665,18,FALSE)-AVERAGE('The List'!S2:S665))/STDEV('The List'!S2:S665)</f>
        <v>-0.272704807948754</v>
      </c>
      <c r="G356" s="77">
        <f>(VLOOKUP($A356,'The List'!$B1:$AH665,19,FALSE)-AVERAGE('The List'!T2:T665))/STDEV('The List'!T2:T665)</f>
        <v>-0.635759049667751</v>
      </c>
      <c r="H356" s="77">
        <f>(VLOOKUP($A356,'The List'!$B1:$AH665,20,FALSE)-AVERAGE('The List'!U2:U665))/STDEV('The List'!U2:U665)</f>
        <v>-0.5187994152887671</v>
      </c>
      <c r="I356" s="77">
        <f>(VLOOKUP($A356,'The List'!$B1:$AH665,21,FALSE)-AVERAGE('The List'!V2:V665))/STDEV('The List'!V2:V665)</f>
        <v>-0.104716172456598</v>
      </c>
      <c r="J356" s="77">
        <f>(VLOOKUP($A356,'The List'!$B1:$AH665,22,FALSE)-AVERAGE('The List'!W2:W665))/STDEV('The List'!W2:W665)</f>
        <v>-0.635676598563479</v>
      </c>
      <c r="K356" s="77">
        <f>(VLOOKUP($A356,'The List'!$B1:$AH665,23,FALSE)-AVERAGE('The List'!X2:X665))/STDEV('The List'!X2:X665)</f>
        <v>-0.745881774684288</v>
      </c>
      <c r="L356" s="77">
        <f>(VLOOKUP($A356,'The List'!$B1:$AH665,24,FALSE)-AVERAGE('The List'!Y2:Y665))/STDEV('The List'!Y2:Y665)</f>
        <v>0.251671127968281</v>
      </c>
      <c r="M356" s="77">
        <f>(VLOOKUP($A356,'The List'!$B1:$AH665,25,FALSE)-AVERAGE('The List'!Z2:Z665))/STDEV('The List'!Z2:Z665)</f>
        <v>-0.190922261339482</v>
      </c>
      <c r="N356" s="77">
        <f>(VLOOKUP($A356,'The List'!$B1:$AH665,26,FALSE)-AVERAGE('The List'!AA2:AA665))/STDEV('The List'!AA2:AA665)</f>
        <v>-1.03769112078366</v>
      </c>
      <c r="O356" s="77">
        <f>(VLOOKUP($A356,'The List'!$B1:$AH665,27,FALSE)-AVERAGE('The List'!AB2:AB665))/STDEV('The List'!AB2:AB665)</f>
        <v>-0.9554111805196031</v>
      </c>
      <c r="P356" s="77">
        <f>(VLOOKUP($A356,'The List'!$B1:$AH665,28,FALSE)-AVERAGE('The List'!AC2:AC665))/STDEV('The List'!AC2:AC665)</f>
        <v>1.03520398747479</v>
      </c>
      <c r="Q356" s="77">
        <f>(VLOOKUP($A356,'The List'!$B1:$AH665,29,FALSE)-AVERAGE('The List'!AD2:AD665))/STDEV('The List'!AD2:AD665)</f>
        <v>-1.55488737401713</v>
      </c>
      <c r="R356" s="77">
        <f>(VLOOKUP($A356,'The List'!$B1:$AH665,30,FALSE)-AVERAGE('The List'!AE2:AE665))/STDEV('The List'!AE2:AE665)</f>
        <v>-0.395077393619289</v>
      </c>
      <c r="S356" s="77">
        <f>(VLOOKUP($A356,'The List'!$B1:$AH665,31,FALSE)-AVERAGE('The List'!AF2:AF665))/STDEV('The List'!AF2:AF665)</f>
        <v>-0.553824796276266</v>
      </c>
      <c r="T356" s="77">
        <f>(VLOOKUP($A356,'The List'!$B1:$AH665,32,FALSE)-AVERAGE('The List'!AG2:AG665))/STDEV('The List'!AG2:AG665)</f>
        <v>-0.537753584923084</v>
      </c>
      <c r="U356" s="77">
        <f>(VLOOKUP($A356,'The List'!$B1:$AH665,33,FALSE)-AVERAGE('The List'!AH2:AH665))/STDEV('The List'!AH2:AH665)</f>
        <v>-0.346621075841009</v>
      </c>
      <c r="V356" s="77"/>
      <c r="W356" s="79"/>
      <c r="X356" s="77"/>
      <c r="Y356" s="77"/>
      <c r="Z356" s="77"/>
      <c r="AA356" s="77"/>
      <c r="AB356" s="77"/>
      <c r="AC356" s="77"/>
      <c r="AD356" s="77"/>
      <c r="AE356" s="84"/>
    </row>
    <row r="357" ht="21.25" customHeight="1">
      <c r="A357" t="s" s="10">
        <v>641</v>
      </c>
      <c r="B357" t="s" s="86">
        <f>VLOOKUP(A357,'Player Data'!A1:B667,2,FALSE)</f>
        <v>871</v>
      </c>
      <c r="C357" s="74">
        <f>((E357)*'Settings'!$C$12)+(F357*'Settings'!$C$2)+(G357*'Settings'!$C$3)+(H357*'Settings'!$C$4)+(I357*'Settings'!$C$5)+(K357*'Settings'!$C$9)+(N357*'Settings'!$C$6)+(J357*'Settings'!$C$8)+(O357*'Settings'!$C$7)+(P357*'Settings'!$C$14)+(Q357*'Settings'!$C$15)+(R357*'Settings'!$C$16)+(S357*'Settings'!$C$17)+(T357*'Settings'!$C$18)+(U357*'Settings'!$C$19)+(L357*'Settings'!$C$10)+('Settings'!$C$11*M357)</f>
        <v>-1.89029666612088</v>
      </c>
      <c r="D357" s="79">
        <f>IF('Settings'!$E$12="YES",VLOOKUP(A357,'Player Data'!A1:E667,5,FALSE),82)</f>
        <v>75.285</v>
      </c>
      <c r="E357" s="77">
        <f>(VLOOKUP($A357,'The List'!$B1:$AH665,17,FALSE)-AVERAGE('The List'!R2:R665))/STDEV('The List'!R2:R665)</f>
        <v>-0.988294277232745</v>
      </c>
      <c r="F357" s="77">
        <f>(VLOOKUP($A357,'The List'!$B1:$AH665,18,FALSE)-AVERAGE('The List'!S2:S665))/STDEV('The List'!S2:S665)</f>
        <v>-0.379868125818789</v>
      </c>
      <c r="G357" s="77">
        <f>(VLOOKUP($A357,'The List'!$B1:$AH665,19,FALSE)-AVERAGE('The List'!T2:T665))/STDEV('The List'!T2:T665)</f>
        <v>-0.517534178231533</v>
      </c>
      <c r="H357" s="77">
        <f>(VLOOKUP($A357,'The List'!$B1:$AH665,20,FALSE)-AVERAGE('The List'!U2:U665))/STDEV('The List'!U2:U665)</f>
        <v>-0.494085944418637</v>
      </c>
      <c r="I357" s="77">
        <f>(VLOOKUP($A357,'The List'!$B1:$AH665,21,FALSE)-AVERAGE('The List'!V2:V665))/STDEV('The List'!V2:V665)</f>
        <v>0.384617688199191</v>
      </c>
      <c r="J357" s="77">
        <f>(VLOOKUP($A357,'The List'!$B1:$AH665,22,FALSE)-AVERAGE('The List'!W2:W665))/STDEV('The List'!W2:W665)</f>
        <v>-0.720802049882717</v>
      </c>
      <c r="K357" s="77">
        <f>(VLOOKUP($A357,'The List'!$B1:$AH665,23,FALSE)-AVERAGE('The List'!X2:X665))/STDEV('The List'!X2:X665)</f>
        <v>-0.813321153130527</v>
      </c>
      <c r="L357" s="77">
        <f>(VLOOKUP($A357,'The List'!$B1:$AH665,24,FALSE)-AVERAGE('The List'!Y2:Y665))/STDEV('The List'!Y2:Y665)</f>
        <v>0.650096117572221</v>
      </c>
      <c r="M357" s="77">
        <f>(VLOOKUP($A357,'The List'!$B1:$AH665,25,FALSE)-AVERAGE('The List'!Z2:Z665))/STDEV('The List'!Z2:Z665)</f>
        <v>0.105950010264277</v>
      </c>
      <c r="N357" s="77">
        <f>(VLOOKUP($A357,'The List'!$B1:$AH665,26,FALSE)-AVERAGE('The List'!AA2:AA665))/STDEV('The List'!AA2:AA665)</f>
        <v>-0.776849828908016</v>
      </c>
      <c r="O357" s="77">
        <f>(VLOOKUP($A357,'The List'!$B1:$AH665,27,FALSE)-AVERAGE('The List'!AB2:AB665))/STDEV('The List'!AB2:AB665)</f>
        <v>0.284361352047828</v>
      </c>
      <c r="P357" s="77">
        <f>(VLOOKUP($A357,'The List'!$B1:$AH665,28,FALSE)-AVERAGE('The List'!AC2:AC665))/STDEV('The List'!AC2:AC665)</f>
        <v>0.212658931768795</v>
      </c>
      <c r="Q357" s="77">
        <f>(VLOOKUP($A357,'The List'!$B1:$AH665,29,FALSE)-AVERAGE('The List'!AD2:AD665))/STDEV('The List'!AD2:AD665)</f>
        <v>1.17633979374605</v>
      </c>
      <c r="R357" s="77">
        <f>(VLOOKUP($A357,'The List'!$B1:$AH665,30,FALSE)-AVERAGE('The List'!AE2:AE665))/STDEV('The List'!AE2:AE665)</f>
        <v>-0.36048483030433</v>
      </c>
      <c r="S357" s="77">
        <f>(VLOOKUP($A357,'The List'!$B1:$AH665,31,FALSE)-AVERAGE('The List'!AF2:AF665))/STDEV('The List'!AF2:AF665)</f>
        <v>-0.532107519407702</v>
      </c>
      <c r="T357" s="77">
        <f>(VLOOKUP($A357,'The List'!$B1:$AH665,32,FALSE)-AVERAGE('The List'!AG2:AG665))/STDEV('The List'!AG2:AG665)</f>
        <v>-0.491564044257744</v>
      </c>
      <c r="U357" s="77">
        <f>(VLOOKUP($A357,'The List'!$B1:$AH665,33,FALSE)-AVERAGE('The List'!AH2:AH665))/STDEV('The List'!AH2:AH665)</f>
        <v>-0.103673496520634</v>
      </c>
      <c r="V357" s="77"/>
      <c r="W357" s="79"/>
      <c r="X357" s="77"/>
      <c r="Y357" s="77"/>
      <c r="Z357" s="77"/>
      <c r="AA357" s="77"/>
      <c r="AB357" s="77"/>
      <c r="AC357" s="77"/>
      <c r="AD357" s="77"/>
      <c r="AE357" s="84"/>
    </row>
    <row r="358" ht="21.25" customHeight="1">
      <c r="A358" t="s" s="10">
        <v>849</v>
      </c>
      <c r="B358" t="s" s="86">
        <f>VLOOKUP(A358,'Player Data'!A1:B667,2,FALSE)</f>
        <v>907</v>
      </c>
      <c r="C358" s="74">
        <f>((E358)*'Settings'!$C$12)+(F358*'Settings'!$C$2)+(G358*'Settings'!$C$3)+(H358*'Settings'!$C$4)+(I358*'Settings'!$C$5)+(K358*'Settings'!$C$9)+(N358*'Settings'!$C$6)+(J358*'Settings'!$C$8)+(O358*'Settings'!$C$7)+(P358*'Settings'!$C$14)+(Q358*'Settings'!$C$15)+(R358*'Settings'!$C$16)+(S358*'Settings'!$C$17)+(T358*'Settings'!$C$18)+(U358*'Settings'!$C$19)+(L358*'Settings'!$C$10)+('Settings'!$C$11*M358)</f>
        <v>-4.52540365016658</v>
      </c>
      <c r="D358" s="79">
        <f>IF('Settings'!$E$12="YES",VLOOKUP(A358,'Player Data'!A1:E667,5,FALSE),82)</f>
        <v>58.375</v>
      </c>
      <c r="E358" s="77">
        <f>(VLOOKUP($A358,'The List'!$B1:$AH665,17,FALSE)-AVERAGE('The List'!R2:R665))/STDEV('The List'!R2:R665)</f>
        <v>-1.35912782785057</v>
      </c>
      <c r="F358" s="77">
        <f>(VLOOKUP($A358,'The List'!$B1:$AH665,18,FALSE)-AVERAGE('The List'!S2:S665))/STDEV('The List'!S2:S665)</f>
        <v>-0.389512159465866</v>
      </c>
      <c r="G358" s="77">
        <f>(VLOOKUP($A358,'The List'!$B1:$AH665,19,FALSE)-AVERAGE('The List'!T2:T665))/STDEV('The List'!T2:T665)</f>
        <v>-0.92721788514919</v>
      </c>
      <c r="H358" s="77">
        <f>(VLOOKUP($A358,'The List'!$B1:$AH665,20,FALSE)-AVERAGE('The List'!U2:U665))/STDEV('The List'!U2:U665)</f>
        <v>-0.7529062338670059</v>
      </c>
      <c r="I358" s="77">
        <f>(VLOOKUP($A358,'The List'!$B1:$AH665,21,FALSE)-AVERAGE('The List'!V2:V665))/STDEV('The List'!V2:V665)</f>
        <v>-0.865085438898309</v>
      </c>
      <c r="J358" s="77">
        <f>(VLOOKUP($A358,'The List'!$B1:$AH665,22,FALSE)-AVERAGE('The List'!W2:W665))/STDEV('The List'!W2:W665)</f>
        <v>-0.610454910704733</v>
      </c>
      <c r="K358" s="77">
        <f>(VLOOKUP($A358,'The List'!$B1:$AH665,23,FALSE)-AVERAGE('The List'!X2:X665))/STDEV('The List'!X2:X665)</f>
        <v>-0.710984568048896</v>
      </c>
      <c r="L358" s="77">
        <f>(VLOOKUP($A358,'The List'!$B1:$AH665,24,FALSE)-AVERAGE('The List'!Y2:Y665))/STDEV('The List'!Y2:Y665)</f>
        <v>-0.577130196333984</v>
      </c>
      <c r="M358" s="77">
        <f>(VLOOKUP($A358,'The List'!$B1:$AH665,25,FALSE)-AVERAGE('The List'!Z2:Z665))/STDEV('The List'!Z2:Z665)</f>
        <v>-0.750902858723641</v>
      </c>
      <c r="N358" s="77">
        <f>(VLOOKUP($A358,'The List'!$B1:$AH665,26,FALSE)-AVERAGE('The List'!AA2:AA665))/STDEV('The List'!AA2:AA665)</f>
        <v>-0.906780008982524</v>
      </c>
      <c r="O358" s="77">
        <f>(VLOOKUP($A358,'The List'!$B1:$AH665,27,FALSE)-AVERAGE('The List'!AB2:AB665))/STDEV('The List'!AB2:AB665)</f>
        <v>-1.03060007831555</v>
      </c>
      <c r="P358" s="77">
        <f>(VLOOKUP($A358,'The List'!$B1:$AH665,28,FALSE)-AVERAGE('The List'!AC2:AC665))/STDEV('The List'!AC2:AC665)</f>
        <v>-0.7258235896217951</v>
      </c>
      <c r="Q358" s="77">
        <f>(VLOOKUP($A358,'The List'!$B1:$AH665,29,FALSE)-AVERAGE('The List'!AD2:AD665))/STDEV('The List'!AD2:AD665)</f>
        <v>-1.13982214522986</v>
      </c>
      <c r="R358" s="77">
        <f>(VLOOKUP($A358,'The List'!$B1:$AH665,30,FALSE)-AVERAGE('The List'!AE2:AE665))/STDEV('The List'!AE2:AE665)</f>
        <v>-0.545537744197675</v>
      </c>
      <c r="S358" s="77">
        <f>(VLOOKUP($A358,'The List'!$B1:$AH665,31,FALSE)-AVERAGE('The List'!AF2:AF665))/STDEV('The List'!AF2:AF665)</f>
        <v>-0.562726063834077</v>
      </c>
      <c r="T358" s="77">
        <f>(VLOOKUP($A358,'The List'!$B1:$AH665,32,FALSE)-AVERAGE('The List'!AG2:AG665))/STDEV('The List'!AG2:AG665)</f>
        <v>-0.613891634046756</v>
      </c>
      <c r="U358" s="77">
        <f>(VLOOKUP($A358,'The List'!$B1:$AH665,33,FALSE)-AVERAGE('The List'!AH2:AH665))/STDEV('The List'!AH2:AH665)</f>
        <v>1.03509417916631</v>
      </c>
      <c r="V358" s="77"/>
      <c r="W358" s="79"/>
      <c r="X358" s="77"/>
      <c r="Y358" s="77"/>
      <c r="Z358" s="77"/>
      <c r="AA358" s="77"/>
      <c r="AB358" s="77"/>
      <c r="AC358" s="77"/>
      <c r="AD358" s="77"/>
      <c r="AE358" s="84"/>
    </row>
    <row r="359" ht="21.25" customHeight="1">
      <c r="A359" t="s" s="10">
        <v>702</v>
      </c>
      <c r="B359" t="s" s="86">
        <f>VLOOKUP(A359,'Player Data'!A1:B667,2,FALSE)</f>
        <v>906</v>
      </c>
      <c r="C359" s="74">
        <f>((E359)*'Settings'!$C$12)+(F359*'Settings'!$C$2)+(G359*'Settings'!$C$3)+(H359*'Settings'!$C$4)+(I359*'Settings'!$C$5)+(K359*'Settings'!$C$9)+(N359*'Settings'!$C$6)+(J359*'Settings'!$C$8)+(O359*'Settings'!$C$7)+(P359*'Settings'!$C$14)+(Q359*'Settings'!$C$15)+(R359*'Settings'!$C$16)+(S359*'Settings'!$C$17)+(T359*'Settings'!$C$18)+(U359*'Settings'!$C$19)+(L359*'Settings'!$C$10)+('Settings'!$C$11*M359)</f>
        <v>-0.838127271578573</v>
      </c>
      <c r="D359" s="79">
        <f>IF('Settings'!$E$12="YES",VLOOKUP(A359,'Player Data'!A1:E667,5,FALSE),82)</f>
        <v>78.5675</v>
      </c>
      <c r="E359" s="77">
        <f>(VLOOKUP($A359,'The List'!$B1:$AH665,17,FALSE)-AVERAGE('The List'!R2:R665))/STDEV('The List'!R2:R665)</f>
        <v>-0.459830961141131</v>
      </c>
      <c r="F359" s="77">
        <f>(VLOOKUP($A359,'The List'!$B1:$AH665,18,FALSE)-AVERAGE('The List'!S2:S665))/STDEV('The List'!S2:S665)</f>
        <v>-0.29046789728419</v>
      </c>
      <c r="G359" s="77">
        <f>(VLOOKUP($A359,'The List'!$B1:$AH665,19,FALSE)-AVERAGE('The List'!T2:T665))/STDEV('The List'!T2:T665)</f>
        <v>-0.503527616089339</v>
      </c>
      <c r="H359" s="77">
        <f>(VLOOKUP($A359,'The List'!$B1:$AH665,20,FALSE)-AVERAGE('The List'!U2:U665))/STDEV('The List'!U2:U665)</f>
        <v>-0.444750428362814</v>
      </c>
      <c r="I359" s="77">
        <f>(VLOOKUP($A359,'The List'!$B1:$AH665,21,FALSE)-AVERAGE('The List'!V2:V665))/STDEV('The List'!V2:V665)</f>
        <v>-0.0320662789526256</v>
      </c>
      <c r="J359" s="77">
        <f>(VLOOKUP($A359,'The List'!$B1:$AH665,22,FALSE)-AVERAGE('The List'!W2:W665))/STDEV('The List'!W2:W665)</f>
        <v>-0.103893947904021</v>
      </c>
      <c r="K359" s="77">
        <f>(VLOOKUP($A359,'The List'!$B1:$AH665,23,FALSE)-AVERAGE('The List'!X2:X665))/STDEV('The List'!X2:X665)</f>
        <v>-0.369548035822813</v>
      </c>
      <c r="L359" s="77">
        <f>(VLOOKUP($A359,'The List'!$B1:$AH665,24,FALSE)-AVERAGE('The List'!Y2:Y665))/STDEV('The List'!Y2:Y665)</f>
        <v>-0.199029665933802</v>
      </c>
      <c r="M359" s="77">
        <f>(VLOOKUP($A359,'The List'!$B1:$AH665,25,FALSE)-AVERAGE('The List'!Z2:Z665))/STDEV('The List'!Z2:Z665)</f>
        <v>0.104052307669481</v>
      </c>
      <c r="N359" s="77">
        <f>(VLOOKUP($A359,'The List'!$B1:$AH665,26,FALSE)-AVERAGE('The List'!AA2:AA665))/STDEV('The List'!AA2:AA665)</f>
        <v>-0.237240208241547</v>
      </c>
      <c r="O359" s="77">
        <f>(VLOOKUP($A359,'The List'!$B1:$AH665,27,FALSE)-AVERAGE('The List'!AB2:AB665))/STDEV('The List'!AB2:AB665)</f>
        <v>-0.966757805073867</v>
      </c>
      <c r="P359" s="77">
        <f>(VLOOKUP($A359,'The List'!$B1:$AH665,28,FALSE)-AVERAGE('The List'!AC2:AC665))/STDEV('The List'!AC2:AC665)</f>
        <v>0.594722764811942</v>
      </c>
      <c r="Q359" s="77">
        <f>(VLOOKUP($A359,'The List'!$B1:$AH665,29,FALSE)-AVERAGE('The List'!AD2:AD665))/STDEV('The List'!AD2:AD665)</f>
        <v>-1.30331885320386</v>
      </c>
      <c r="R359" s="77">
        <f>(VLOOKUP($A359,'The List'!$B1:$AH665,30,FALSE)-AVERAGE('The List'!AE2:AE665))/STDEV('The List'!AE2:AE665)</f>
        <v>-0.162174485217217</v>
      </c>
      <c r="S359" s="77">
        <f>(VLOOKUP($A359,'The List'!$B1:$AH665,31,FALSE)-AVERAGE('The List'!AF2:AF665))/STDEV('The List'!AF2:AF665)</f>
        <v>-0.526267727683574</v>
      </c>
      <c r="T359" s="77">
        <f>(VLOOKUP($A359,'The List'!$B1:$AH665,32,FALSE)-AVERAGE('The List'!AG2:AG665))/STDEV('The List'!AG2:AG665)</f>
        <v>-0.556873792106912</v>
      </c>
      <c r="U359" s="77">
        <f>(VLOOKUP($A359,'The List'!$B1:$AH665,33,FALSE)-AVERAGE('The List'!AH2:AH665))/STDEV('The List'!AH2:AH665)</f>
        <v>0.689315596209739</v>
      </c>
      <c r="V359" s="77"/>
      <c r="W359" s="79"/>
      <c r="X359" s="77"/>
      <c r="Y359" s="77"/>
      <c r="Z359" s="77"/>
      <c r="AA359" s="77"/>
      <c r="AB359" s="77"/>
      <c r="AC359" s="77"/>
      <c r="AD359" s="77"/>
      <c r="AE359" s="84"/>
    </row>
    <row r="360" ht="21.25" customHeight="1">
      <c r="A360" t="s" s="10">
        <v>723</v>
      </c>
      <c r="B360" t="s" s="86">
        <f>VLOOKUP(A360,'Player Data'!A1:B667,2,FALSE)</f>
        <v>901</v>
      </c>
      <c r="C360" s="74">
        <f>((E360)*'Settings'!$C$12)+(F360*'Settings'!$C$2)+(G360*'Settings'!$C$3)+(H360*'Settings'!$C$4)+(I360*'Settings'!$C$5)+(K360*'Settings'!$C$9)+(N360*'Settings'!$C$6)+(J360*'Settings'!$C$8)+(O360*'Settings'!$C$7)+(P360*'Settings'!$C$14)+(Q360*'Settings'!$C$15)+(R360*'Settings'!$C$16)+(S360*'Settings'!$C$17)+(T360*'Settings'!$C$18)+(U360*'Settings'!$C$19)+(L360*'Settings'!$C$10)+('Settings'!$C$11*M360)</f>
        <v>-1.03472655796894</v>
      </c>
      <c r="D360" s="79">
        <f>IF('Settings'!$E$12="YES",VLOOKUP(A360,'Player Data'!A1:E667,5,FALSE),82)</f>
        <v>78.955</v>
      </c>
      <c r="E360" s="77">
        <f>(VLOOKUP($A360,'The List'!$B1:$AH665,17,FALSE)-AVERAGE('The List'!R2:R665))/STDEV('The List'!R2:R665)</f>
        <v>-0.654171163118185</v>
      </c>
      <c r="F360" s="77">
        <f>(VLOOKUP($A360,'The List'!$B1:$AH665,18,FALSE)-AVERAGE('The List'!S2:S665))/STDEV('The List'!S2:S665)</f>
        <v>-0.0768552597549727</v>
      </c>
      <c r="G360" s="77">
        <f>(VLOOKUP($A360,'The List'!$B1:$AH665,19,FALSE)-AVERAGE('The List'!T2:T665))/STDEV('The List'!T2:T665)</f>
        <v>-0.650719470874526</v>
      </c>
      <c r="H360" s="77">
        <f>(VLOOKUP($A360,'The List'!$B1:$AH665,20,FALSE)-AVERAGE('The List'!U2:U665))/STDEV('The List'!U2:U665)</f>
        <v>-0.439067748924071</v>
      </c>
      <c r="I360" s="77">
        <f>(VLOOKUP($A360,'The List'!$B1:$AH665,21,FALSE)-AVERAGE('The List'!V2:V665))/STDEV('The List'!V2:V665)</f>
        <v>-0.241894759218787</v>
      </c>
      <c r="J360" s="77">
        <f>(VLOOKUP($A360,'The List'!$B1:$AH665,22,FALSE)-AVERAGE('The List'!W2:W665))/STDEV('The List'!W2:W665)</f>
        <v>-0.395720185878483</v>
      </c>
      <c r="K360" s="77">
        <f>(VLOOKUP($A360,'The List'!$B1:$AH665,23,FALSE)-AVERAGE('The List'!X2:X665))/STDEV('The List'!X2:X665)</f>
        <v>-0.462535407274251</v>
      </c>
      <c r="L360" s="77">
        <f>(VLOOKUP($A360,'The List'!$B1:$AH665,24,FALSE)-AVERAGE('The List'!Y2:Y665))/STDEV('The List'!Y2:Y665)</f>
        <v>0.739689419940233</v>
      </c>
      <c r="M360" s="77">
        <f>(VLOOKUP($A360,'The List'!$B1:$AH665,25,FALSE)-AVERAGE('The List'!Z2:Z665))/STDEV('The List'!Z2:Z665)</f>
        <v>0.116848513699922</v>
      </c>
      <c r="N360" s="77">
        <f>(VLOOKUP($A360,'The List'!$B1:$AH665,26,FALSE)-AVERAGE('The List'!AA2:AA665))/STDEV('The List'!AA2:AA665)</f>
        <v>-0.818269159725309</v>
      </c>
      <c r="O360" s="77">
        <f>(VLOOKUP($A360,'The List'!$B1:$AH665,27,FALSE)-AVERAGE('The List'!AB2:AB665))/STDEV('The List'!AB2:AB665)</f>
        <v>-0.7240593141588469</v>
      </c>
      <c r="P360" s="77">
        <f>(VLOOKUP($A360,'The List'!$B1:$AH665,28,FALSE)-AVERAGE('The List'!AC2:AC665))/STDEV('The List'!AC2:AC665)</f>
        <v>1.21554749887891</v>
      </c>
      <c r="Q360" s="77">
        <f>(VLOOKUP($A360,'The List'!$B1:$AH665,29,FALSE)-AVERAGE('The List'!AD2:AD665))/STDEV('The List'!AD2:AD665)</f>
        <v>-1.10266888994248</v>
      </c>
      <c r="R360" s="77">
        <f>(VLOOKUP($A360,'The List'!$B1:$AH665,30,FALSE)-AVERAGE('The List'!AE2:AE665))/STDEV('The List'!AE2:AE665)</f>
        <v>0.10242012278692</v>
      </c>
      <c r="S360" s="77">
        <f>(VLOOKUP($A360,'The List'!$B1:$AH665,31,FALSE)-AVERAGE('The List'!AF2:AF665))/STDEV('The List'!AF2:AF665)</f>
        <v>0.593635688184398</v>
      </c>
      <c r="T360" s="77">
        <f>(VLOOKUP($A360,'The List'!$B1:$AH665,32,FALSE)-AVERAGE('The List'!AG2:AG665))/STDEV('The List'!AG2:AG665)</f>
        <v>0.693208935757777</v>
      </c>
      <c r="U360" s="77">
        <f>(VLOOKUP($A360,'The List'!$B1:$AH665,33,FALSE)-AVERAGE('The List'!AH2:AH665))/STDEV('The List'!AH2:AH665)</f>
        <v>0.966816848292486</v>
      </c>
      <c r="V360" s="77"/>
      <c r="W360" s="89"/>
      <c r="X360" s="79"/>
      <c r="Y360" s="79"/>
      <c r="Z360" s="79"/>
      <c r="AA360" s="79"/>
      <c r="AB360" s="79"/>
      <c r="AC360" s="82"/>
      <c r="AD360" s="83"/>
      <c r="AE360" s="84"/>
    </row>
    <row r="361" ht="21.25" customHeight="1">
      <c r="A361" t="s" s="10">
        <v>480</v>
      </c>
      <c r="B361" t="s" s="86">
        <f>VLOOKUP(A361,'Player Data'!A1:B667,2,FALSE)</f>
        <v>905</v>
      </c>
      <c r="C361" s="74">
        <f>((E361)*'Settings'!$C$12)+(F361*'Settings'!$C$2)+(G361*'Settings'!$C$3)+(H361*'Settings'!$C$4)+(I361*'Settings'!$C$5)+(K361*'Settings'!$C$9)+(N361*'Settings'!$C$6)+(J361*'Settings'!$C$8)+(O361*'Settings'!$C$7)+(P361*'Settings'!$C$14)+(Q361*'Settings'!$C$15)+(R361*'Settings'!$C$16)+(S361*'Settings'!$C$17)+(T361*'Settings'!$C$18)+(U361*'Settings'!$C$19)+(L361*'Settings'!$C$10)+('Settings'!$C$11*M361)</f>
        <v>-3.34453353769162</v>
      </c>
      <c r="D361" s="79">
        <f>IF('Settings'!$E$12="YES",VLOOKUP(A361,'Player Data'!A1:E667,5,FALSE),82)</f>
        <v>75.785</v>
      </c>
      <c r="E361" s="77">
        <f>(VLOOKUP($A361,'The List'!$B1:$AH665,17,FALSE)-AVERAGE('The List'!R2:R665))/STDEV('The List'!R2:R665)</f>
        <v>-0.185134449873222</v>
      </c>
      <c r="F361" s="77">
        <f>(VLOOKUP($A361,'The List'!$B1:$AH665,18,FALSE)-AVERAGE('The List'!S2:S665))/STDEV('The List'!S2:S665)</f>
        <v>-0.289157381699915</v>
      </c>
      <c r="G361" s="77">
        <f>(VLOOKUP($A361,'The List'!$B1:$AH665,19,FALSE)-AVERAGE('The List'!T2:T665))/STDEV('The List'!T2:T665)</f>
        <v>-0.577405524951357</v>
      </c>
      <c r="H361" s="77">
        <f>(VLOOKUP($A361,'The List'!$B1:$AH665,20,FALSE)-AVERAGE('The List'!U2:U665))/STDEV('The List'!U2:U665)</f>
        <v>-0.490037072154753</v>
      </c>
      <c r="I361" s="77">
        <f>(VLOOKUP($A361,'The List'!$B1:$AH665,21,FALSE)-AVERAGE('The List'!V2:V665))/STDEV('The List'!V2:V665)</f>
        <v>-0.0923764285365752</v>
      </c>
      <c r="J361" s="77">
        <f>(VLOOKUP($A361,'The List'!$B1:$AH665,22,FALSE)-AVERAGE('The List'!W2:W665))/STDEV('The List'!W2:W665)</f>
        <v>0.0321841394933143</v>
      </c>
      <c r="K361" s="77">
        <f>(VLOOKUP($A361,'The List'!$B1:$AH665,23,FALSE)-AVERAGE('The List'!X2:X665))/STDEV('The List'!X2:X665)</f>
        <v>-0.172912618468223</v>
      </c>
      <c r="L361" s="77">
        <f>(VLOOKUP($A361,'The List'!$B1:$AH665,24,FALSE)-AVERAGE('The List'!Y2:Y665))/STDEV('The List'!Y2:Y665)</f>
        <v>1.01857657016237</v>
      </c>
      <c r="M361" s="77">
        <f>(VLOOKUP($A361,'The List'!$B1:$AH665,25,FALSE)-AVERAGE('The List'!Z2:Z665))/STDEV('The List'!Z2:Z665)</f>
        <v>0.430540341690098</v>
      </c>
      <c r="N361" s="77">
        <f>(VLOOKUP($A361,'The List'!$B1:$AH665,26,FALSE)-AVERAGE('The List'!AA2:AA665))/STDEV('The List'!AA2:AA665)</f>
        <v>-0.573960877029</v>
      </c>
      <c r="O361" s="77">
        <f>(VLOOKUP($A361,'The List'!$B1:$AH665,27,FALSE)-AVERAGE('The List'!AB2:AB665))/STDEV('The List'!AB2:AB665)</f>
        <v>1.83492513928117</v>
      </c>
      <c r="P361" s="77">
        <f>(VLOOKUP($A361,'The List'!$B1:$AH665,28,FALSE)-AVERAGE('The List'!AC2:AC665))/STDEV('The List'!AC2:AC665)</f>
        <v>-1.63872070700655</v>
      </c>
      <c r="Q361" s="77">
        <f>(VLOOKUP($A361,'The List'!$B1:$AH665,29,FALSE)-AVERAGE('The List'!AD2:AD665))/STDEV('The List'!AD2:AD665)</f>
        <v>1.87096403305172</v>
      </c>
      <c r="R361" s="77">
        <f>(VLOOKUP($A361,'The List'!$B1:$AH665,30,FALSE)-AVERAGE('The List'!AE2:AE665))/STDEV('The List'!AE2:AE665)</f>
        <v>-0.40872513039681</v>
      </c>
      <c r="S361" s="77">
        <f>(VLOOKUP($A361,'The List'!$B1:$AH665,31,FALSE)-AVERAGE('The List'!AF2:AF665))/STDEV('The List'!AF2:AF665)</f>
        <v>0.322876828987174</v>
      </c>
      <c r="T361" s="77">
        <f>(VLOOKUP($A361,'The List'!$B1:$AH665,32,FALSE)-AVERAGE('The List'!AG2:AG665))/STDEV('The List'!AG2:AG665)</f>
        <v>0.186725283996179</v>
      </c>
      <c r="U361" s="77">
        <f>(VLOOKUP($A361,'The List'!$B1:$AH665,33,FALSE)-AVERAGE('The List'!AH2:AH665))/STDEV('The List'!AH2:AH665)</f>
        <v>1.21647112377154</v>
      </c>
      <c r="V361" s="77"/>
      <c r="W361" s="79"/>
      <c r="X361" s="77"/>
      <c r="Y361" s="77"/>
      <c r="Z361" s="77"/>
      <c r="AA361" s="77"/>
      <c r="AB361" s="77"/>
      <c r="AC361" s="77"/>
      <c r="AD361" s="77"/>
      <c r="AE361" s="84"/>
    </row>
    <row r="362" ht="21.25" customHeight="1">
      <c r="A362" t="s" s="10">
        <v>725</v>
      </c>
      <c r="B362" t="s" s="86">
        <f>VLOOKUP(A362,'Player Data'!A1:B667,2,FALSE)</f>
        <v>910</v>
      </c>
      <c r="C362" s="74">
        <f>((E362)*'Settings'!$C$12)+(F362*'Settings'!$C$2)+(G362*'Settings'!$C$3)+(H362*'Settings'!$C$4)+(I362*'Settings'!$C$5)+(K362*'Settings'!$C$9)+(N362*'Settings'!$C$6)+(J362*'Settings'!$C$8)+(O362*'Settings'!$C$7)+(P362*'Settings'!$C$14)+(Q362*'Settings'!$C$15)+(R362*'Settings'!$C$16)+(S362*'Settings'!$C$17)+(T362*'Settings'!$C$18)+(U362*'Settings'!$C$19)+(L362*'Settings'!$C$10)+('Settings'!$C$11*M362)</f>
        <v>-3.18576785860535</v>
      </c>
      <c r="D362" s="79">
        <f>IF('Settings'!$E$12="YES",VLOOKUP(A362,'Player Data'!A1:E667,5,FALSE),82)</f>
        <v>75.64749999999999</v>
      </c>
      <c r="E362" s="77">
        <f>(VLOOKUP($A362,'The List'!$B1:$AH665,17,FALSE)-AVERAGE('The List'!R2:R665))/STDEV('The List'!R2:R665)</f>
        <v>-0.771213223744346</v>
      </c>
      <c r="F362" s="77">
        <f>(VLOOKUP($A362,'The List'!$B1:$AH665,18,FALSE)-AVERAGE('The List'!S2:S665))/STDEV('The List'!S2:S665)</f>
        <v>-0.425974364888984</v>
      </c>
      <c r="G362" s="77">
        <f>(VLOOKUP($A362,'The List'!$B1:$AH665,19,FALSE)-AVERAGE('The List'!T2:T665))/STDEV('The List'!T2:T665)</f>
        <v>-0.486320501206344</v>
      </c>
      <c r="H362" s="77">
        <f>(VLOOKUP($A362,'The List'!$B1:$AH665,20,FALSE)-AVERAGE('The List'!U2:U665))/STDEV('The List'!U2:U665)</f>
        <v>-0.495657973162669</v>
      </c>
      <c r="I362" s="77">
        <f>(VLOOKUP($A362,'The List'!$B1:$AH665,21,FALSE)-AVERAGE('The List'!V2:V665))/STDEV('The List'!V2:V665)</f>
        <v>-0.602232526006235</v>
      </c>
      <c r="J362" s="77">
        <f>(VLOOKUP($A362,'The List'!$B1:$AH665,22,FALSE)-AVERAGE('The List'!W2:W665))/STDEV('The List'!W2:W665)</f>
        <v>-0.660383499670319</v>
      </c>
      <c r="K362" s="77">
        <f>(VLOOKUP($A362,'The List'!$B1:$AH665,23,FALSE)-AVERAGE('The List'!X2:X665))/STDEV('The List'!X2:X665)</f>
        <v>-0.752876982119344</v>
      </c>
      <c r="L362" s="77">
        <f>(VLOOKUP($A362,'The List'!$B1:$AH665,24,FALSE)-AVERAGE('The List'!Y2:Y665))/STDEV('The List'!Y2:Y665)</f>
        <v>0.242922827943298</v>
      </c>
      <c r="M362" s="77">
        <f>(VLOOKUP($A362,'The List'!$B1:$AH665,25,FALSE)-AVERAGE('The List'!Z2:Z665))/STDEV('The List'!Z2:Z665)</f>
        <v>1.40470524141268</v>
      </c>
      <c r="N362" s="77">
        <f>(VLOOKUP($A362,'The List'!$B1:$AH665,26,FALSE)-AVERAGE('The List'!AA2:AA665))/STDEV('The List'!AA2:AA665)</f>
        <v>-0.447072275694541</v>
      </c>
      <c r="O362" s="77">
        <f>(VLOOKUP($A362,'The List'!$B1:$AH665,27,FALSE)-AVERAGE('The List'!AB2:AB665))/STDEV('The List'!AB2:AB665)</f>
        <v>-0.45605005210536</v>
      </c>
      <c r="P362" s="77">
        <f>(VLOOKUP($A362,'The List'!$B1:$AH665,28,FALSE)-AVERAGE('The List'!AC2:AC665))/STDEV('The List'!AC2:AC665)</f>
        <v>-0.471291208689906</v>
      </c>
      <c r="Q362" s="77">
        <f>(VLOOKUP($A362,'The List'!$B1:$AH665,29,FALSE)-AVERAGE('The List'!AD2:AD665))/STDEV('The List'!AD2:AD665)</f>
        <v>-1.53723720134526</v>
      </c>
      <c r="R362" s="77">
        <f>(VLOOKUP($A362,'The List'!$B1:$AH665,30,FALSE)-AVERAGE('The List'!AE2:AE665))/STDEV('The List'!AE2:AE665)</f>
        <v>-0.430686386745251</v>
      </c>
      <c r="S362" s="77">
        <f>(VLOOKUP($A362,'The List'!$B1:$AH665,31,FALSE)-AVERAGE('The List'!AF2:AF665))/STDEV('The List'!AF2:AF665)</f>
        <v>0.37506124025102</v>
      </c>
      <c r="T362" s="77">
        <f>(VLOOKUP($A362,'The List'!$B1:$AH665,32,FALSE)-AVERAGE('The List'!AG2:AG665))/STDEV('The List'!AG2:AG665)</f>
        <v>0.948377659071785</v>
      </c>
      <c r="U362" s="77">
        <f>(VLOOKUP($A362,'The List'!$B1:$AH665,33,FALSE)-AVERAGE('The List'!AH2:AH665))/STDEV('The List'!AH2:AH665)</f>
        <v>0.5395925759693641</v>
      </c>
      <c r="V362" s="77"/>
      <c r="W362" s="79"/>
      <c r="X362" s="77"/>
      <c r="Y362" s="77"/>
      <c r="Z362" s="77"/>
      <c r="AA362" s="77"/>
      <c r="AB362" s="77"/>
      <c r="AC362" s="77"/>
      <c r="AD362" s="77"/>
      <c r="AE362" s="84"/>
    </row>
    <row r="363" ht="21.25" customHeight="1">
      <c r="A363" t="s" s="10">
        <v>771</v>
      </c>
      <c r="B363" t="s" s="86">
        <f>VLOOKUP(A363,'Player Data'!A1:B667,2,FALSE)</f>
        <v>149</v>
      </c>
      <c r="C363" s="74">
        <f>((E363)*'Settings'!$C$12)+(F363*'Settings'!$C$2)+(G363*'Settings'!$C$3)+(H363*'Settings'!$C$4)+(I363*'Settings'!$C$5)+(K363*'Settings'!$C$9)+(N363*'Settings'!$C$6)+(J363*'Settings'!$C$8)+(O363*'Settings'!$C$7)+(P363*'Settings'!$C$14)+(Q363*'Settings'!$C$15)+(R363*'Settings'!$C$16)+(S363*'Settings'!$C$17)+(T363*'Settings'!$C$18)+(U363*'Settings'!$C$19)+(L363*'Settings'!$C$10)+('Settings'!$C$11*M363)</f>
        <v>-3.07680157098263</v>
      </c>
      <c r="D363" s="79">
        <f>IF('Settings'!$E$12="YES",VLOOKUP(A363,'Player Data'!A1:E667,5,FALSE),82)</f>
        <v>71.5675</v>
      </c>
      <c r="E363" s="77">
        <f>(VLOOKUP($A363,'The List'!$B1:$AH665,17,FALSE)-AVERAGE('The List'!R2:R665))/STDEV('The List'!R2:R665)</f>
        <v>-1.58826829504874</v>
      </c>
      <c r="F363" s="77">
        <f>(VLOOKUP($A363,'The List'!$B1:$AH665,18,FALSE)-AVERAGE('The List'!S2:S665))/STDEV('The List'!S2:S665)</f>
        <v>-0.265501484099155</v>
      </c>
      <c r="G363" s="77">
        <f>(VLOOKUP($A363,'The List'!$B1:$AH665,19,FALSE)-AVERAGE('The List'!T2:T665))/STDEV('The List'!T2:T665)</f>
        <v>-0.704491049570386</v>
      </c>
      <c r="H363" s="77">
        <f>(VLOOKUP($A363,'The List'!$B1:$AH665,20,FALSE)-AVERAGE('The List'!U2:U665))/STDEV('The List'!U2:U665)</f>
        <v>-0.558211598807922</v>
      </c>
      <c r="I363" s="77">
        <f>(VLOOKUP($A363,'The List'!$B1:$AH665,21,FALSE)-AVERAGE('The List'!V2:V665))/STDEV('The List'!V2:V665)</f>
        <v>-0.918675622597574</v>
      </c>
      <c r="J363" s="77">
        <f>(VLOOKUP($A363,'The List'!$B1:$AH665,22,FALSE)-AVERAGE('The List'!W2:W665))/STDEV('The List'!W2:W665)</f>
        <v>-0.72879902327584</v>
      </c>
      <c r="K363" s="77">
        <f>(VLOOKUP($A363,'The List'!$B1:$AH665,23,FALSE)-AVERAGE('The List'!X2:X665))/STDEV('The List'!X2:X665)</f>
        <v>-0.8124819398505549</v>
      </c>
      <c r="L363" s="77">
        <f>(VLOOKUP($A363,'The List'!$B1:$AH665,24,FALSE)-AVERAGE('The List'!Y2:Y665))/STDEV('The List'!Y2:Y665)</f>
        <v>-0.506443834657522</v>
      </c>
      <c r="M363" s="77">
        <f>(VLOOKUP($A363,'The List'!$B1:$AH665,25,FALSE)-AVERAGE('The List'!Z2:Z665))/STDEV('The List'!Z2:Z665)</f>
        <v>-0.678477544958671</v>
      </c>
      <c r="N363" s="77">
        <f>(VLOOKUP($A363,'The List'!$B1:$AH665,26,FALSE)-AVERAGE('The List'!AA2:AA665))/STDEV('The List'!AA2:AA665)</f>
        <v>-0.980945975001098</v>
      </c>
      <c r="O363" s="77">
        <f>(VLOOKUP($A363,'The List'!$B1:$AH665,27,FALSE)-AVERAGE('The List'!AB2:AB665))/STDEV('The List'!AB2:AB665)</f>
        <v>-0.0581229994856914</v>
      </c>
      <c r="P363" s="77">
        <f>(VLOOKUP($A363,'The List'!$B1:$AH665,28,FALSE)-AVERAGE('The List'!AC2:AC665))/STDEV('The List'!AC2:AC665)</f>
        <v>0.6052945001361359</v>
      </c>
      <c r="Q363" s="77">
        <f>(VLOOKUP($A363,'The List'!$B1:$AH665,29,FALSE)-AVERAGE('The List'!AD2:AD665))/STDEV('The List'!AD2:AD665)</f>
        <v>-1.3752660650851</v>
      </c>
      <c r="R363" s="77">
        <f>(VLOOKUP($A363,'The List'!$B1:$AH665,30,FALSE)-AVERAGE('The List'!AE2:AE665))/STDEV('The List'!AE2:AE665)</f>
        <v>-0.107190923811241</v>
      </c>
      <c r="S363" s="77">
        <f>(VLOOKUP($A363,'The List'!$B1:$AH665,31,FALSE)-AVERAGE('The List'!AF2:AF665))/STDEV('The List'!AF2:AF665)</f>
        <v>-0.13351795356424</v>
      </c>
      <c r="T363" s="77">
        <f>(VLOOKUP($A363,'The List'!$B1:$AH665,32,FALSE)-AVERAGE('The List'!AG2:AG665))/STDEV('The List'!AG2:AG665)</f>
        <v>0.241282500160655</v>
      </c>
      <c r="U363" s="77">
        <f>(VLOOKUP($A363,'The List'!$B1:$AH665,33,FALSE)-AVERAGE('The List'!AH2:AH665))/STDEV('The List'!AH2:AH665)</f>
        <v>0.358509445903858</v>
      </c>
      <c r="V363" s="77"/>
      <c r="W363" s="89"/>
      <c r="X363" s="79"/>
      <c r="Y363" s="79"/>
      <c r="Z363" s="79"/>
      <c r="AA363" s="79"/>
      <c r="AB363" s="79"/>
      <c r="AC363" s="82"/>
      <c r="AD363" s="83"/>
      <c r="AE363" s="84"/>
    </row>
    <row r="364" ht="21.25" customHeight="1">
      <c r="A364" t="s" s="10">
        <v>395</v>
      </c>
      <c r="B364" t="s" s="86">
        <f>VLOOKUP(A364,'Player Data'!A1:B667,2,FALSE)</f>
        <v>906</v>
      </c>
      <c r="C364" s="74">
        <f>((E364)*'Settings'!$C$12)+(F364*'Settings'!$C$2)+(G364*'Settings'!$C$3)+(H364*'Settings'!$C$4)+(I364*'Settings'!$C$5)+(K364*'Settings'!$C$9)+(N364*'Settings'!$C$6)+(J364*'Settings'!$C$8)+(O364*'Settings'!$C$7)+(P364*'Settings'!$C$14)+(Q364*'Settings'!$C$15)+(R364*'Settings'!$C$16)+(S364*'Settings'!$C$17)+(T364*'Settings'!$C$18)+(U364*'Settings'!$C$19)+(L364*'Settings'!$C$10)+('Settings'!$C$11*M364)</f>
        <v>-0.39178137308599</v>
      </c>
      <c r="D364" s="79">
        <f>IF('Settings'!$E$12="YES",VLOOKUP(A364,'Player Data'!A1:E667,5,FALSE),82)</f>
        <v>80.4675</v>
      </c>
      <c r="E364" s="77">
        <f>(VLOOKUP($A364,'The List'!$B1:$AH665,17,FALSE)-AVERAGE('The List'!R2:R665))/STDEV('The List'!R2:R665)</f>
        <v>1.39189055125166</v>
      </c>
      <c r="F364" s="77">
        <f>(VLOOKUP($A364,'The List'!$B1:$AH665,18,FALSE)-AVERAGE('The List'!S2:S665))/STDEV('The List'!S2:S665)</f>
        <v>-0.976009996985826</v>
      </c>
      <c r="G364" s="77">
        <f>(VLOOKUP($A364,'The List'!$B1:$AH665,19,FALSE)-AVERAGE('The List'!T2:T665))/STDEV('The List'!T2:T665)</f>
        <v>0.0310387329907078</v>
      </c>
      <c r="H364" s="77">
        <f>(VLOOKUP($A364,'The List'!$B1:$AH665,20,FALSE)-AVERAGE('The List'!U2:U665))/STDEV('The List'!U2:U665)</f>
        <v>-0.424366138672578</v>
      </c>
      <c r="I364" s="77">
        <f>(VLOOKUP($A364,'The List'!$B1:$AH665,21,FALSE)-AVERAGE('The List'!V2:V665))/STDEV('The List'!V2:V665)</f>
        <v>-0.678275136028861</v>
      </c>
      <c r="J364" s="77">
        <f>(VLOOKUP($A364,'The List'!$B1:$AH665,22,FALSE)-AVERAGE('The List'!W2:W665))/STDEV('The List'!W2:W665)</f>
        <v>-0.736945519588954</v>
      </c>
      <c r="K364" s="77">
        <f>(VLOOKUP($A364,'The List'!$B1:$AH665,23,FALSE)-AVERAGE('The List'!X2:X665))/STDEV('The List'!X2:X665)</f>
        <v>-0.794765481893117</v>
      </c>
      <c r="L364" s="77">
        <f>(VLOOKUP($A364,'The List'!$B1:$AH665,24,FALSE)-AVERAGE('The List'!Y2:Y665))/STDEV('The List'!Y2:Y665)</f>
        <v>0.179610521285818</v>
      </c>
      <c r="M364" s="77">
        <f>(VLOOKUP($A364,'The List'!$B1:$AH665,25,FALSE)-AVERAGE('The List'!Z2:Z665))/STDEV('The List'!Z2:Z665)</f>
        <v>0.601775636288149</v>
      </c>
      <c r="N364" s="77">
        <f>(VLOOKUP($A364,'The List'!$B1:$AH665,26,FALSE)-AVERAGE('The List'!AA2:AA665))/STDEV('The List'!AA2:AA665)</f>
        <v>1.63395097956199</v>
      </c>
      <c r="O364" s="77">
        <f>(VLOOKUP($A364,'The List'!$B1:$AH665,27,FALSE)-AVERAGE('The List'!AB2:AB665))/STDEV('The List'!AB2:AB665)</f>
        <v>1.16078921333865</v>
      </c>
      <c r="P364" s="77">
        <f>(VLOOKUP($A364,'The List'!$B1:$AH665,28,FALSE)-AVERAGE('The List'!AC2:AC665))/STDEV('The List'!AC2:AC665)</f>
        <v>0.392279529269116</v>
      </c>
      <c r="Q364" s="77">
        <f>(VLOOKUP($A364,'The List'!$B1:$AH665,29,FALSE)-AVERAGE('The List'!AD2:AD665))/STDEV('The List'!AD2:AD665)</f>
        <v>0.719511034981283</v>
      </c>
      <c r="R364" s="77">
        <f>(VLOOKUP($A364,'The List'!$B1:$AH665,30,FALSE)-AVERAGE('The List'!AE2:AE665))/STDEV('The List'!AE2:AE665)</f>
        <v>-0.893617273008685</v>
      </c>
      <c r="S364" s="77">
        <f>(VLOOKUP($A364,'The List'!$B1:$AH665,31,FALSE)-AVERAGE('The List'!AF2:AF665))/STDEV('The List'!AF2:AF665)</f>
        <v>-0.573894410680004</v>
      </c>
      <c r="T364" s="77">
        <f>(VLOOKUP($A364,'The List'!$B1:$AH665,32,FALSE)-AVERAGE('The List'!AG2:AG665))/STDEV('The List'!AG2:AG665)</f>
        <v>-0.625770787132651</v>
      </c>
      <c r="U364" s="77">
        <f>(VLOOKUP($A364,'The List'!$B1:$AH665,33,FALSE)-AVERAGE('The List'!AH2:AH665))/STDEV('The List'!AH2:AH665)</f>
        <v>-1.23143509451486</v>
      </c>
      <c r="V364" s="77"/>
      <c r="W364" s="89"/>
      <c r="X364" s="79"/>
      <c r="Y364" s="79"/>
      <c r="Z364" s="79"/>
      <c r="AA364" s="79"/>
      <c r="AB364" s="79"/>
      <c r="AC364" s="82"/>
      <c r="AD364" s="83"/>
      <c r="AE364" s="84"/>
    </row>
    <row r="365" ht="21.25" customHeight="1">
      <c r="A365" t="s" s="10">
        <v>739</v>
      </c>
      <c r="B365" t="s" s="86">
        <f>VLOOKUP(A365,'Player Data'!A1:B667,2,FALSE)</f>
        <v>902</v>
      </c>
      <c r="C365" s="74">
        <f>((E365)*'Settings'!$C$12)+(F365*'Settings'!$C$2)+(G365*'Settings'!$C$3)+(H365*'Settings'!$C$4)+(I365*'Settings'!$C$5)+(K365*'Settings'!$C$9)+(N365*'Settings'!$C$6)+(J365*'Settings'!$C$8)+(O365*'Settings'!$C$7)+(P365*'Settings'!$C$14)+(Q365*'Settings'!$C$15)+(R365*'Settings'!$C$16)+(S365*'Settings'!$C$17)+(T365*'Settings'!$C$18)+(U365*'Settings'!$C$19)+(L365*'Settings'!$C$10)+('Settings'!$C$11*M365)</f>
        <v>-2.03593599279194</v>
      </c>
      <c r="D365" s="79">
        <f>IF('Settings'!$E$12="YES",VLOOKUP(A365,'Player Data'!A1:E667,5,FALSE),82)</f>
        <v>72</v>
      </c>
      <c r="E365" s="77">
        <f>(VLOOKUP($A365,'The List'!$B1:$AH665,17,FALSE)-AVERAGE('The List'!R2:R665))/STDEV('The List'!R2:R665)</f>
        <v>-0.791930324166366</v>
      </c>
      <c r="F365" s="77">
        <f>(VLOOKUP($A365,'The List'!$B1:$AH665,18,FALSE)-AVERAGE('The List'!S2:S665))/STDEV('The List'!S2:S665)</f>
        <v>-0.431371920803755</v>
      </c>
      <c r="G365" s="77">
        <f>(VLOOKUP($A365,'The List'!$B1:$AH665,19,FALSE)-AVERAGE('The List'!T2:T665))/STDEV('The List'!T2:T665)</f>
        <v>-0.577898690204609</v>
      </c>
      <c r="H365" s="77">
        <f>(VLOOKUP($A365,'The List'!$B1:$AH665,20,FALSE)-AVERAGE('The List'!U2:U665))/STDEV('The List'!U2:U665)</f>
        <v>-0.554986623529141</v>
      </c>
      <c r="I365" s="77">
        <f>(VLOOKUP($A365,'The List'!$B1:$AH665,21,FALSE)-AVERAGE('The List'!V2:V665))/STDEV('The List'!V2:V665)</f>
        <v>-0.576287713616605</v>
      </c>
      <c r="J365" s="77">
        <f>(VLOOKUP($A365,'The List'!$B1:$AH665,22,FALSE)-AVERAGE('The List'!W2:W665))/STDEV('The List'!W2:W665)</f>
        <v>-0.367957226514817</v>
      </c>
      <c r="K365" s="77">
        <f>(VLOOKUP($A365,'The List'!$B1:$AH665,23,FALSE)-AVERAGE('The List'!X2:X665))/STDEV('The List'!X2:X665)</f>
        <v>-0.450417093935394</v>
      </c>
      <c r="L365" s="77">
        <f>(VLOOKUP($A365,'The List'!$B1:$AH665,24,FALSE)-AVERAGE('The List'!Y2:Y665))/STDEV('The List'!Y2:Y665)</f>
        <v>-0.580182913902084</v>
      </c>
      <c r="M365" s="77">
        <f>(VLOOKUP($A365,'The List'!$B1:$AH665,25,FALSE)-AVERAGE('The List'!Z2:Z665))/STDEV('The List'!Z2:Z665)</f>
        <v>-0.754036664989997</v>
      </c>
      <c r="N365" s="77">
        <f>(VLOOKUP($A365,'The List'!$B1:$AH665,26,FALSE)-AVERAGE('The List'!AA2:AA665))/STDEV('The List'!AA2:AA665)</f>
        <v>-0.834293217094675</v>
      </c>
      <c r="O365" s="77">
        <f>(VLOOKUP($A365,'The List'!$B1:$AH665,27,FALSE)-AVERAGE('The List'!AB2:AB665))/STDEV('The List'!AB2:AB665)</f>
        <v>-0.140461514074199</v>
      </c>
      <c r="P365" s="77">
        <f>(VLOOKUP($A365,'The List'!$B1:$AH665,28,FALSE)-AVERAGE('The List'!AC2:AC665))/STDEV('The List'!AC2:AC665)</f>
        <v>0.834332642863103</v>
      </c>
      <c r="Q365" s="77">
        <f>(VLOOKUP($A365,'The List'!$B1:$AH665,29,FALSE)-AVERAGE('The List'!AD2:AD665))/STDEV('The List'!AD2:AD665)</f>
        <v>-0.274107938590499</v>
      </c>
      <c r="R365" s="77">
        <f>(VLOOKUP($A365,'The List'!$B1:$AH665,30,FALSE)-AVERAGE('The List'!AE2:AE665))/STDEV('The List'!AE2:AE665)</f>
        <v>-0.349035614513259</v>
      </c>
      <c r="S365" s="77">
        <f>(VLOOKUP($A365,'The List'!$B1:$AH665,31,FALSE)-AVERAGE('The List'!AF2:AF665))/STDEV('The List'!AF2:AF665)</f>
        <v>-0.150991381564599</v>
      </c>
      <c r="T365" s="77">
        <f>(VLOOKUP($A365,'The List'!$B1:$AH665,32,FALSE)-AVERAGE('The List'!AG2:AG665))/STDEV('The List'!AG2:AG665)</f>
        <v>0.0489570699963112</v>
      </c>
      <c r="U365" s="77">
        <f>(VLOOKUP($A365,'The List'!$B1:$AH665,33,FALSE)-AVERAGE('The List'!AH2:AH665))/STDEV('The List'!AH2:AH665)</f>
        <v>0.581788324430079</v>
      </c>
      <c r="V365" s="77"/>
      <c r="W365" s="89"/>
      <c r="X365" s="79"/>
      <c r="Y365" s="79"/>
      <c r="Z365" s="79"/>
      <c r="AA365" s="79"/>
      <c r="AB365" s="79"/>
      <c r="AC365" s="82"/>
      <c r="AD365" s="83"/>
      <c r="AE365" s="84"/>
    </row>
    <row r="366" ht="21.25" customHeight="1">
      <c r="A366" t="s" s="10">
        <v>551</v>
      </c>
      <c r="B366" t="s" s="86">
        <f>VLOOKUP(A366,'Player Data'!A1:B667,2,FALSE)</f>
        <v>871</v>
      </c>
      <c r="C366" s="74">
        <f>((E366)*'Settings'!$C$12)+(F366*'Settings'!$C$2)+(G366*'Settings'!$C$3)+(H366*'Settings'!$C$4)+(I366*'Settings'!$C$5)+(K366*'Settings'!$C$9)+(N366*'Settings'!$C$6)+(J366*'Settings'!$C$8)+(O366*'Settings'!$C$7)+(P366*'Settings'!$C$14)+(Q366*'Settings'!$C$15)+(R366*'Settings'!$C$16)+(S366*'Settings'!$C$17)+(T366*'Settings'!$C$18)+(U366*'Settings'!$C$19)+(L366*'Settings'!$C$10)+('Settings'!$C$11*M366)</f>
        <v>-0.770970805228042</v>
      </c>
      <c r="D366" s="79">
        <f>IF('Settings'!$E$12="YES",VLOOKUP(A366,'Player Data'!A1:E667,5,FALSE),82)</f>
        <v>75.6225</v>
      </c>
      <c r="E366" s="77">
        <f>(VLOOKUP($A366,'The List'!$B1:$AH665,17,FALSE)-AVERAGE('The List'!R2:R665))/STDEV('The List'!R2:R665)</f>
        <v>0.595564064245008</v>
      </c>
      <c r="F366" s="77">
        <f>(VLOOKUP($A366,'The List'!$B1:$AH665,18,FALSE)-AVERAGE('The List'!S2:S665))/STDEV('The List'!S2:S665)</f>
        <v>-0.887985459952958</v>
      </c>
      <c r="G366" s="77">
        <f>(VLOOKUP($A366,'The List'!$B1:$AH665,19,FALSE)-AVERAGE('The List'!T2:T665))/STDEV('The List'!T2:T665)</f>
        <v>-0.171383298890383</v>
      </c>
      <c r="H366" s="77">
        <f>(VLOOKUP($A366,'The List'!$B1:$AH665,20,FALSE)-AVERAGE('The List'!U2:U665))/STDEV('The List'!U2:U665)</f>
        <v>-0.510070266056283</v>
      </c>
      <c r="I366" s="77">
        <f>(VLOOKUP($A366,'The List'!$B1:$AH665,21,FALSE)-AVERAGE('The List'!V2:V665))/STDEV('The List'!V2:V665)</f>
        <v>-0.673263617598578</v>
      </c>
      <c r="J366" s="77">
        <f>(VLOOKUP($A366,'The List'!$B1:$AH665,22,FALSE)-AVERAGE('The List'!W2:W665))/STDEV('The List'!W2:W665)</f>
        <v>-0.675468437509398</v>
      </c>
      <c r="K366" s="77">
        <f>(VLOOKUP($A366,'The List'!$B1:$AH665,23,FALSE)-AVERAGE('The List'!X2:X665))/STDEV('The List'!X2:X665)</f>
        <v>-0.509328128946639</v>
      </c>
      <c r="L366" s="77">
        <f>(VLOOKUP($A366,'The List'!$B1:$AH665,24,FALSE)-AVERAGE('The List'!Y2:Y665))/STDEV('The List'!Y2:Y665)</f>
        <v>-0.513347707876419</v>
      </c>
      <c r="M366" s="77">
        <f>(VLOOKUP($A366,'The List'!$B1:$AH665,25,FALSE)-AVERAGE('The List'!Z2:Z665))/STDEV('The List'!Z2:Z665)</f>
        <v>-0.25943946165884</v>
      </c>
      <c r="N366" s="77">
        <f>(VLOOKUP($A366,'The List'!$B1:$AH665,26,FALSE)-AVERAGE('The List'!AA2:AA665))/STDEV('The List'!AA2:AA665)</f>
        <v>1.20535298632839</v>
      </c>
      <c r="O366" s="77">
        <f>(VLOOKUP($A366,'The List'!$B1:$AH665,27,FALSE)-AVERAGE('The List'!AB2:AB665))/STDEV('The List'!AB2:AB665)</f>
        <v>-0.0235761142452463</v>
      </c>
      <c r="P366" s="77">
        <f>(VLOOKUP($A366,'The List'!$B1:$AH665,28,FALSE)-AVERAGE('The List'!AC2:AC665))/STDEV('The List'!AC2:AC665)</f>
        <v>0.265636713832126</v>
      </c>
      <c r="Q366" s="77">
        <f>(VLOOKUP($A366,'The List'!$B1:$AH665,29,FALSE)-AVERAGE('The List'!AD2:AD665))/STDEV('The List'!AD2:AD665)</f>
        <v>-0.977837234377948</v>
      </c>
      <c r="R366" s="77">
        <f>(VLOOKUP($A366,'The List'!$B1:$AH665,30,FALSE)-AVERAGE('The List'!AE2:AE665))/STDEV('The List'!AE2:AE665)</f>
        <v>-0.847779206566406</v>
      </c>
      <c r="S366" s="77">
        <f>(VLOOKUP($A366,'The List'!$B1:$AH665,31,FALSE)-AVERAGE('The List'!AF2:AF665))/STDEV('The List'!AF2:AF665)</f>
        <v>-0.573894410680004</v>
      </c>
      <c r="T366" s="77">
        <f>(VLOOKUP($A366,'The List'!$B1:$AH665,32,FALSE)-AVERAGE('The List'!AG2:AG665))/STDEV('The List'!AG2:AG665)</f>
        <v>-0.625770787132651</v>
      </c>
      <c r="U366" s="77">
        <f>(VLOOKUP($A366,'The List'!$B1:$AH665,33,FALSE)-AVERAGE('The List'!AH2:AH665))/STDEV('The List'!AH2:AH665)</f>
        <v>-1.23143509451486</v>
      </c>
      <c r="V366" s="77"/>
      <c r="W366" s="79"/>
      <c r="X366" s="77"/>
      <c r="Y366" s="77"/>
      <c r="Z366" s="77"/>
      <c r="AA366" s="77"/>
      <c r="AB366" s="77"/>
      <c r="AC366" s="77"/>
      <c r="AD366" s="77"/>
      <c r="AE366" s="84"/>
    </row>
    <row r="367" ht="21.25" customHeight="1">
      <c r="A367" t="s" s="10">
        <v>684</v>
      </c>
      <c r="B367" t="s" s="86">
        <f>VLOOKUP(A367,'Player Data'!A1:B667,2,FALSE)</f>
        <v>905</v>
      </c>
      <c r="C367" s="74">
        <f>((E367)*'Settings'!$C$12)+(F367*'Settings'!$C$2)+(G367*'Settings'!$C$3)+(H367*'Settings'!$C$4)+(I367*'Settings'!$C$5)+(K367*'Settings'!$C$9)+(N367*'Settings'!$C$6)+(J367*'Settings'!$C$8)+(O367*'Settings'!$C$7)+(P367*'Settings'!$C$14)+(Q367*'Settings'!$C$15)+(R367*'Settings'!$C$16)+(S367*'Settings'!$C$17)+(T367*'Settings'!$C$18)+(U367*'Settings'!$C$19)+(L367*'Settings'!$C$10)+('Settings'!$C$11*M367)</f>
        <v>-3.9924526106742</v>
      </c>
      <c r="D367" s="79">
        <f>IF('Settings'!$E$12="YES",VLOOKUP(A367,'Player Data'!A1:E667,5,FALSE),82)</f>
        <v>79.00749999999999</v>
      </c>
      <c r="E367" s="77">
        <f>(VLOOKUP($A367,'The List'!$B1:$AH665,17,FALSE)-AVERAGE('The List'!R2:R665))/STDEV('The List'!R2:R665)</f>
        <v>-1.20941150658046</v>
      </c>
      <c r="F367" s="77">
        <f>(VLOOKUP($A367,'The List'!$B1:$AH665,18,FALSE)-AVERAGE('The List'!S2:S665))/STDEV('The List'!S2:S665)</f>
        <v>-0.154334859718834</v>
      </c>
      <c r="G367" s="77">
        <f>(VLOOKUP($A367,'The List'!$B1:$AH665,19,FALSE)-AVERAGE('The List'!T2:T665))/STDEV('The List'!T2:T665)</f>
        <v>-0.6350034268802029</v>
      </c>
      <c r="H367" s="77">
        <f>(VLOOKUP($A367,'The List'!$B1:$AH665,20,FALSE)-AVERAGE('The List'!U2:U665))/STDEV('The List'!U2:U665)</f>
        <v>-0.464525363004671</v>
      </c>
      <c r="I367" s="77">
        <f>(VLOOKUP($A367,'The List'!$B1:$AH665,21,FALSE)-AVERAGE('The List'!V2:V665))/STDEV('The List'!V2:V665)</f>
        <v>-0.0411460776620506</v>
      </c>
      <c r="J367" s="77">
        <f>(VLOOKUP($A367,'The List'!$B1:$AH665,22,FALSE)-AVERAGE('The List'!W2:W665))/STDEV('The List'!W2:W665)</f>
        <v>-0.62297888995091</v>
      </c>
      <c r="K367" s="77">
        <f>(VLOOKUP($A367,'The List'!$B1:$AH665,23,FALSE)-AVERAGE('The List'!X2:X665))/STDEV('The List'!X2:X665)</f>
        <v>-0.696165345511483</v>
      </c>
      <c r="L367" s="77">
        <f>(VLOOKUP($A367,'The List'!$B1:$AH665,24,FALSE)-AVERAGE('The List'!Y2:Y665))/STDEV('The List'!Y2:Y665)</f>
        <v>-0.355609344215192</v>
      </c>
      <c r="M367" s="77">
        <f>(VLOOKUP($A367,'The List'!$B1:$AH665,25,FALSE)-AVERAGE('The List'!Z2:Z665))/STDEV('The List'!Z2:Z665)</f>
        <v>-0.522956146461803</v>
      </c>
      <c r="N367" s="77">
        <f>(VLOOKUP($A367,'The List'!$B1:$AH665,26,FALSE)-AVERAGE('The List'!AA2:AA665))/STDEV('The List'!AA2:AA665)</f>
        <v>-0.995281092022694</v>
      </c>
      <c r="O367" s="77">
        <f>(VLOOKUP($A367,'The List'!$B1:$AH665,27,FALSE)-AVERAGE('The List'!AB2:AB665))/STDEV('The List'!AB2:AB665)</f>
        <v>0.0257488144376663</v>
      </c>
      <c r="P367" s="77">
        <f>(VLOOKUP($A367,'The List'!$B1:$AH665,28,FALSE)-AVERAGE('The List'!AC2:AC665))/STDEV('The List'!AC2:AC665)</f>
        <v>-1.47052180887894</v>
      </c>
      <c r="Q367" s="77">
        <f>(VLOOKUP($A367,'The List'!$B1:$AH665,29,FALSE)-AVERAGE('The List'!AD2:AD665))/STDEV('The List'!AD2:AD665)</f>
        <v>-0.220669177044921</v>
      </c>
      <c r="R367" s="77">
        <f>(VLOOKUP($A367,'The List'!$B1:$AH665,30,FALSE)-AVERAGE('The List'!AE2:AE665))/STDEV('The List'!AE2:AE665)</f>
        <v>-0.296887169995653</v>
      </c>
      <c r="S367" s="77">
        <f>(VLOOKUP($A367,'The List'!$B1:$AH665,31,FALSE)-AVERAGE('The List'!AF2:AF665))/STDEV('The List'!AF2:AF665)</f>
        <v>-0.216854231509984</v>
      </c>
      <c r="T367" s="77">
        <f>(VLOOKUP($A367,'The List'!$B1:$AH665,32,FALSE)-AVERAGE('The List'!AG2:AG665))/STDEV('The List'!AG2:AG665)</f>
        <v>-0.109858641699511</v>
      </c>
      <c r="U367" s="77">
        <f>(VLOOKUP($A367,'The List'!$B1:$AH665,33,FALSE)-AVERAGE('The List'!AH2:AH665))/STDEV('The List'!AH2:AH665)</f>
        <v>0.690567843539365</v>
      </c>
      <c r="V367" s="77"/>
      <c r="W367" s="89"/>
      <c r="X367" s="79"/>
      <c r="Y367" s="79"/>
      <c r="Z367" s="79"/>
      <c r="AA367" s="79"/>
      <c r="AB367" s="79"/>
      <c r="AC367" s="82"/>
      <c r="AD367" s="83"/>
      <c r="AE367" s="84"/>
    </row>
    <row r="368" ht="21.25" customHeight="1">
      <c r="A368" t="s" s="10">
        <v>560</v>
      </c>
      <c r="B368" t="s" s="86">
        <f>VLOOKUP(A368,'Player Data'!A1:B667,2,FALSE)</f>
        <v>129</v>
      </c>
      <c r="C368" s="74">
        <f>((E368)*'Settings'!$C$12)+(F368*'Settings'!$C$2)+(G368*'Settings'!$C$3)+(H368*'Settings'!$C$4)+(I368*'Settings'!$C$5)+(K368*'Settings'!$C$9)+(N368*'Settings'!$C$6)+(J368*'Settings'!$C$8)+(O368*'Settings'!$C$7)+(P368*'Settings'!$C$14)+(Q368*'Settings'!$C$15)+(R368*'Settings'!$C$16)+(S368*'Settings'!$C$17)+(T368*'Settings'!$C$18)+(U368*'Settings'!$C$19)+(L368*'Settings'!$C$10)+('Settings'!$C$11*M368)</f>
        <v>-3.86329015685455</v>
      </c>
      <c r="D368" s="79">
        <f>IF('Settings'!$E$12="YES",VLOOKUP(A368,'Player Data'!A1:E667,5,FALSE),82)</f>
        <v>62.1375</v>
      </c>
      <c r="E368" s="77">
        <f>(VLOOKUP($A368,'The List'!$B1:$AH665,17,FALSE)-AVERAGE('The List'!R2:R665))/STDEV('The List'!R2:R665)</f>
        <v>0.788934586372746</v>
      </c>
      <c r="F368" s="77">
        <f>(VLOOKUP($A368,'The List'!$B1:$AH665,18,FALSE)-AVERAGE('The List'!S2:S665))/STDEV('The List'!S2:S665)</f>
        <v>-0.989738427016297</v>
      </c>
      <c r="G368" s="77">
        <f>(VLOOKUP($A368,'The List'!$B1:$AH665,19,FALSE)-AVERAGE('The List'!T2:T665))/STDEV('The List'!T2:T665)</f>
        <v>-0.436498759832964</v>
      </c>
      <c r="H368" s="77">
        <f>(VLOOKUP($A368,'The List'!$B1:$AH665,20,FALSE)-AVERAGE('The List'!U2:U665))/STDEV('The List'!U2:U665)</f>
        <v>-0.72097343448105</v>
      </c>
      <c r="I368" s="77">
        <f>(VLOOKUP($A368,'The List'!$B1:$AH665,21,FALSE)-AVERAGE('The List'!V2:V665))/STDEV('The List'!V2:V665)</f>
        <v>-0.944919301611724</v>
      </c>
      <c r="J368" s="77">
        <f>(VLOOKUP($A368,'The List'!$B1:$AH665,22,FALSE)-AVERAGE('The List'!W2:W665))/STDEV('The List'!W2:W665)</f>
        <v>-0.724417615666094</v>
      </c>
      <c r="K368" s="77">
        <f>(VLOOKUP($A368,'The List'!$B1:$AH665,23,FALSE)-AVERAGE('The List'!X2:X665))/STDEV('The List'!X2:X665)</f>
        <v>-0.753781819797824</v>
      </c>
      <c r="L368" s="77">
        <f>(VLOOKUP($A368,'The List'!$B1:$AH665,24,FALSE)-AVERAGE('The List'!Y2:Y665))/STDEV('The List'!Y2:Y665)</f>
        <v>-0.48979639929994</v>
      </c>
      <c r="M368" s="77">
        <f>(VLOOKUP($A368,'The List'!$B1:$AH665,25,FALSE)-AVERAGE('The List'!Z2:Z665))/STDEV('The List'!Z2:Z665)</f>
        <v>-0.488208351283584</v>
      </c>
      <c r="N368" s="77">
        <f>(VLOOKUP($A368,'The List'!$B1:$AH665,26,FALSE)-AVERAGE('The List'!AA2:AA665))/STDEV('The List'!AA2:AA665)</f>
        <v>0.83616063363254</v>
      </c>
      <c r="O368" s="77">
        <f>(VLOOKUP($A368,'The List'!$B1:$AH665,27,FALSE)-AVERAGE('The List'!AB2:AB665))/STDEV('The List'!AB2:AB665)</f>
        <v>1.02860556687321</v>
      </c>
      <c r="P368" s="77">
        <f>(VLOOKUP($A368,'The List'!$B1:$AH665,28,FALSE)-AVERAGE('The List'!AC2:AC665))/STDEV('The List'!AC2:AC665)</f>
        <v>-1.57451248222828</v>
      </c>
      <c r="Q368" s="77">
        <f>(VLOOKUP($A368,'The List'!$B1:$AH665,29,FALSE)-AVERAGE('The List'!AD2:AD665))/STDEV('The List'!AD2:AD665)</f>
        <v>-0.720890184155867</v>
      </c>
      <c r="R368" s="77">
        <f>(VLOOKUP($A368,'The List'!$B1:$AH665,30,FALSE)-AVERAGE('The List'!AE2:AE665))/STDEV('The List'!AE2:AE665)</f>
        <v>-0.918746906892377</v>
      </c>
      <c r="S368" s="77">
        <f>(VLOOKUP($A368,'The List'!$B1:$AH665,31,FALSE)-AVERAGE('The List'!AF2:AF665))/STDEV('The List'!AF2:AF665)</f>
        <v>-0.573894410680004</v>
      </c>
      <c r="T368" s="77">
        <f>(VLOOKUP($A368,'The List'!$B1:$AH665,32,FALSE)-AVERAGE('The List'!AG2:AG665))/STDEV('The List'!AG2:AG665)</f>
        <v>-0.625770787132651</v>
      </c>
      <c r="U368" s="77">
        <f>(VLOOKUP($A368,'The List'!$B1:$AH665,33,FALSE)-AVERAGE('The List'!AH2:AH665))/STDEV('The List'!AH2:AH665)</f>
        <v>-1.23143509451486</v>
      </c>
      <c r="V368" s="77"/>
      <c r="W368" s="89"/>
      <c r="X368" s="79"/>
      <c r="Y368" s="79"/>
      <c r="Z368" s="79"/>
      <c r="AA368" s="79"/>
      <c r="AB368" s="79"/>
      <c r="AC368" s="82"/>
      <c r="AD368" s="83"/>
      <c r="AE368" s="84"/>
    </row>
    <row r="369" ht="21.25" customHeight="1">
      <c r="A369" t="s" s="10">
        <v>600</v>
      </c>
      <c r="B369" t="s" s="86">
        <f>VLOOKUP(A369,'Player Data'!A1:B667,2,FALSE)</f>
        <v>342</v>
      </c>
      <c r="C369" s="74">
        <f>((E369)*'Settings'!$C$12)+(F369*'Settings'!$C$2)+(G369*'Settings'!$C$3)+(H369*'Settings'!$C$4)+(I369*'Settings'!$C$5)+(K369*'Settings'!$C$9)+(N369*'Settings'!$C$6)+(J369*'Settings'!$C$8)+(O369*'Settings'!$C$7)+(P369*'Settings'!$C$14)+(Q369*'Settings'!$C$15)+(R369*'Settings'!$C$16)+(S369*'Settings'!$C$17)+(T369*'Settings'!$C$18)+(U369*'Settings'!$C$19)+(L369*'Settings'!$C$10)+('Settings'!$C$11*M369)</f>
        <v>-2.03497486402031</v>
      </c>
      <c r="D369" s="79">
        <f>IF('Settings'!$E$12="YES",VLOOKUP(A369,'Player Data'!A1:E667,5,FALSE),82)</f>
        <v>68.9225</v>
      </c>
      <c r="E369" s="77">
        <f>(VLOOKUP($A369,'The List'!$B1:$AH665,17,FALSE)-AVERAGE('The List'!R2:R665))/STDEV('The List'!R2:R665)</f>
        <v>-1.26387859477372</v>
      </c>
      <c r="F369" s="77">
        <f>(VLOOKUP($A369,'The List'!$B1:$AH665,18,FALSE)-AVERAGE('The List'!S2:S665))/STDEV('The List'!S2:S665)</f>
        <v>-0.0403747106000781</v>
      </c>
      <c r="G369" s="77">
        <f>(VLOOKUP($A369,'The List'!$B1:$AH665,19,FALSE)-AVERAGE('The List'!T2:T665))/STDEV('The List'!T2:T665)</f>
        <v>-0.968938472901948</v>
      </c>
      <c r="H369" s="77">
        <f>(VLOOKUP($A369,'The List'!$B1:$AH665,20,FALSE)-AVERAGE('The List'!U2:U665))/STDEV('The List'!U2:U665)</f>
        <v>-0.620117498386841</v>
      </c>
      <c r="I369" s="77">
        <f>(VLOOKUP($A369,'The List'!$B1:$AH665,21,FALSE)-AVERAGE('The List'!V2:V665))/STDEV('The List'!V2:V665)</f>
        <v>-0.141380704004683</v>
      </c>
      <c r="J369" s="77">
        <f>(VLOOKUP($A369,'The List'!$B1:$AH665,22,FALSE)-AVERAGE('The List'!W2:W665))/STDEV('The List'!W2:W665)</f>
        <v>-0.737837738768934</v>
      </c>
      <c r="K369" s="77">
        <f>(VLOOKUP($A369,'The List'!$B1:$AH665,23,FALSE)-AVERAGE('The List'!X2:X665))/STDEV('The List'!X2:X665)</f>
        <v>-0.822233406090065</v>
      </c>
      <c r="L369" s="77">
        <f>(VLOOKUP($A369,'The List'!$B1:$AH665,24,FALSE)-AVERAGE('The List'!Y2:Y665))/STDEV('The List'!Y2:Y665)</f>
        <v>-0.540337356702848</v>
      </c>
      <c r="M369" s="77">
        <f>(VLOOKUP($A369,'The List'!$B1:$AH665,25,FALSE)-AVERAGE('The List'!Z2:Z665))/STDEV('The List'!Z2:Z665)</f>
        <v>-0.713470935482188</v>
      </c>
      <c r="N369" s="77">
        <f>(VLOOKUP($A369,'The List'!$B1:$AH665,26,FALSE)-AVERAGE('The List'!AA2:AA665))/STDEV('The List'!AA2:AA665)</f>
        <v>-0.84310706859494</v>
      </c>
      <c r="O369" s="77">
        <f>(VLOOKUP($A369,'The List'!$B1:$AH665,27,FALSE)-AVERAGE('The List'!AB2:AB665))/STDEV('The List'!AB2:AB665)</f>
        <v>1.33191333062369</v>
      </c>
      <c r="P369" s="77">
        <f>(VLOOKUP($A369,'The List'!$B1:$AH665,28,FALSE)-AVERAGE('The List'!AC2:AC665))/STDEV('The List'!AC2:AC665)</f>
        <v>0.781059498171404</v>
      </c>
      <c r="Q369" s="77">
        <f>(VLOOKUP($A369,'The List'!$B1:$AH665,29,FALSE)-AVERAGE('The List'!AD2:AD665))/STDEV('The List'!AD2:AD665)</f>
        <v>-0.295785689308002</v>
      </c>
      <c r="R369" s="77">
        <f>(VLOOKUP($A369,'The List'!$B1:$AH665,30,FALSE)-AVERAGE('The List'!AE2:AE665))/STDEV('The List'!AE2:AE665)</f>
        <v>0.163251956415786</v>
      </c>
      <c r="S369" s="77">
        <f>(VLOOKUP($A369,'The List'!$B1:$AH665,31,FALSE)-AVERAGE('The List'!AF2:AF665))/STDEV('The List'!AF2:AF665)</f>
        <v>-0.540274323845113</v>
      </c>
      <c r="T369" s="77">
        <f>(VLOOKUP($A369,'The List'!$B1:$AH665,32,FALSE)-AVERAGE('The List'!AG2:AG665))/STDEV('The List'!AG2:AG665)</f>
        <v>-0.559038357198314</v>
      </c>
      <c r="U369" s="77">
        <f>(VLOOKUP($A369,'The List'!$B1:$AH665,33,FALSE)-AVERAGE('The List'!AH2:AH665))/STDEV('The List'!AH2:AH665)</f>
        <v>0.35016137123131</v>
      </c>
      <c r="V369" s="77"/>
      <c r="W369" s="79"/>
      <c r="X369" s="77"/>
      <c r="Y369" s="77"/>
      <c r="Z369" s="77"/>
      <c r="AA369" s="77"/>
      <c r="AB369" s="77"/>
      <c r="AC369" s="77"/>
      <c r="AD369" s="77"/>
      <c r="AE369" s="84"/>
    </row>
    <row r="370" ht="21.25" customHeight="1">
      <c r="A370" t="s" s="10">
        <v>507</v>
      </c>
      <c r="B370" t="s" s="86">
        <f>VLOOKUP(A370,'Player Data'!A1:B667,2,FALSE)</f>
        <v>192</v>
      </c>
      <c r="C370" s="74">
        <f>((E370)*'Settings'!$C$12)+(F370*'Settings'!$C$2)+(G370*'Settings'!$C$3)+(H370*'Settings'!$C$4)+(I370*'Settings'!$C$5)+(K370*'Settings'!$C$9)+(N370*'Settings'!$C$6)+(J370*'Settings'!$C$8)+(O370*'Settings'!$C$7)+(P370*'Settings'!$C$14)+(Q370*'Settings'!$C$15)+(R370*'Settings'!$C$16)+(S370*'Settings'!$C$17)+(T370*'Settings'!$C$18)+(U370*'Settings'!$C$19)+(L370*'Settings'!$C$10)+('Settings'!$C$11*M370)</f>
        <v>-2.99884660466576</v>
      </c>
      <c r="D370" s="79">
        <f>IF('Settings'!$E$12="YES",VLOOKUP(A370,'Player Data'!A1:E667,5,FALSE),82)</f>
        <v>74.69750000000001</v>
      </c>
      <c r="E370" s="77">
        <f>(VLOOKUP($A370,'The List'!$B1:$AH665,17,FALSE)-AVERAGE('The List'!R2:R665))/STDEV('The List'!R2:R665)</f>
        <v>-0.5219386271255499</v>
      </c>
      <c r="F370" s="77">
        <f>(VLOOKUP($A370,'The List'!$B1:$AH665,18,FALSE)-AVERAGE('The List'!S2:S665))/STDEV('The List'!S2:S665)</f>
        <v>-0.10717650651146</v>
      </c>
      <c r="G370" s="77">
        <f>(VLOOKUP($A370,'The List'!$B1:$AH665,19,FALSE)-AVERAGE('The List'!T2:T665))/STDEV('The List'!T2:T665)</f>
        <v>-0.783634278976126</v>
      </c>
      <c r="H370" s="77">
        <f>(VLOOKUP($A370,'The List'!$B1:$AH665,20,FALSE)-AVERAGE('The List'!U2:U665))/STDEV('The List'!U2:U665)</f>
        <v>-0.535397766239526</v>
      </c>
      <c r="I370" s="77">
        <f>(VLOOKUP($A370,'The List'!$B1:$AH665,21,FALSE)-AVERAGE('The List'!V2:V665))/STDEV('The List'!V2:V665)</f>
        <v>-0.8616929453684939</v>
      </c>
      <c r="J370" s="77">
        <f>(VLOOKUP($A370,'The List'!$B1:$AH665,22,FALSE)-AVERAGE('The List'!W2:W665))/STDEV('The List'!W2:W665)</f>
        <v>-0.729979062047389</v>
      </c>
      <c r="K370" s="77">
        <f>(VLOOKUP($A370,'The List'!$B1:$AH665,23,FALSE)-AVERAGE('The List'!X2:X665))/STDEV('The List'!X2:X665)</f>
        <v>-0.813654725173619</v>
      </c>
      <c r="L370" s="77">
        <f>(VLOOKUP($A370,'The List'!$B1:$AH665,24,FALSE)-AVERAGE('The List'!Y2:Y665))/STDEV('The List'!Y2:Y665)</f>
        <v>-0.0925481297732666</v>
      </c>
      <c r="M370" s="77">
        <f>(VLOOKUP($A370,'The List'!$B1:$AH665,25,FALSE)-AVERAGE('The List'!Z2:Z665))/STDEV('The List'!Z2:Z665)</f>
        <v>-0.0328810999022679</v>
      </c>
      <c r="N370" s="77">
        <f>(VLOOKUP($A370,'The List'!$B1:$AH665,26,FALSE)-AVERAGE('The List'!AA2:AA665))/STDEV('The List'!AA2:AA665)</f>
        <v>0.242236244607909</v>
      </c>
      <c r="O370" s="77">
        <f>(VLOOKUP($A370,'The List'!$B1:$AH665,27,FALSE)-AVERAGE('The List'!AB2:AB665))/STDEV('The List'!AB2:AB665)</f>
        <v>0.955381789411763</v>
      </c>
      <c r="P370" s="77">
        <f>(VLOOKUP($A370,'The List'!$B1:$AH665,28,FALSE)-AVERAGE('The List'!AC2:AC665))/STDEV('The List'!AC2:AC665)</f>
        <v>-0.674924393243972</v>
      </c>
      <c r="Q370" s="77">
        <f>(VLOOKUP($A370,'The List'!$B1:$AH665,29,FALSE)-AVERAGE('The List'!AD2:AD665))/STDEV('The List'!AD2:AD665)</f>
        <v>0.776152237728801</v>
      </c>
      <c r="R370" s="77">
        <f>(VLOOKUP($A370,'The List'!$B1:$AH665,30,FALSE)-AVERAGE('The List'!AE2:AE665))/STDEV('The List'!AE2:AE665)</f>
        <v>-0.157985775672513</v>
      </c>
      <c r="S370" s="77">
        <f>(VLOOKUP($A370,'The List'!$B1:$AH665,31,FALSE)-AVERAGE('The List'!AF2:AF665))/STDEV('The List'!AF2:AF665)</f>
        <v>2.249063867221</v>
      </c>
      <c r="T370" s="77">
        <f>(VLOOKUP($A370,'The List'!$B1:$AH665,32,FALSE)-AVERAGE('The List'!AG2:AG665))/STDEV('The List'!AG2:AG665)</f>
        <v>2.33669464152907</v>
      </c>
      <c r="U370" s="77">
        <f>(VLOOKUP($A370,'The List'!$B1:$AH665,33,FALSE)-AVERAGE('The List'!AH2:AH665))/STDEV('The List'!AH2:AH665)</f>
        <v>1.0503533033973</v>
      </c>
      <c r="V370" s="77"/>
      <c r="W370" s="89"/>
      <c r="X370" s="79"/>
      <c r="Y370" s="79"/>
      <c r="Z370" s="79"/>
      <c r="AA370" s="79"/>
      <c r="AB370" s="79"/>
      <c r="AC370" s="82"/>
      <c r="AD370" s="83"/>
      <c r="AE370" s="84"/>
    </row>
    <row r="371" ht="21.25" customHeight="1">
      <c r="A371" t="s" s="10">
        <v>782</v>
      </c>
      <c r="B371" t="s" s="86">
        <f>VLOOKUP(A371,'Player Data'!A1:B667,2,FALSE)</f>
        <v>267</v>
      </c>
      <c r="C371" s="74">
        <f>((E371)*'Settings'!$C$12)+(F371*'Settings'!$C$2)+(G371*'Settings'!$C$3)+(H371*'Settings'!$C$4)+(I371*'Settings'!$C$5)+(K371*'Settings'!$C$9)+(N371*'Settings'!$C$6)+(J371*'Settings'!$C$8)+(O371*'Settings'!$C$7)+(P371*'Settings'!$C$14)+(Q371*'Settings'!$C$15)+(R371*'Settings'!$C$16)+(S371*'Settings'!$C$17)+(T371*'Settings'!$C$18)+(U371*'Settings'!$C$19)+(L371*'Settings'!$C$10)+('Settings'!$C$11*M371)</f>
        <v>-1.8564238641172</v>
      </c>
      <c r="D371" s="79">
        <f>IF('Settings'!$E$12="YES",VLOOKUP(A371,'Player Data'!A1:E667,5,FALSE),82)</f>
        <v>72.7525</v>
      </c>
      <c r="E371" s="77">
        <f>(VLOOKUP($A371,'The List'!$B1:$AH665,17,FALSE)-AVERAGE('The List'!R2:R665))/STDEV('The List'!R2:R665)</f>
        <v>-1.47825748549303</v>
      </c>
      <c r="F371" s="77">
        <f>(VLOOKUP($A371,'The List'!$B1:$AH665,18,FALSE)-AVERAGE('The List'!S2:S665))/STDEV('The List'!S2:S665)</f>
        <v>-0.295861309925114</v>
      </c>
      <c r="G371" s="77">
        <f>(VLOOKUP($A371,'The List'!$B1:$AH665,19,FALSE)-AVERAGE('The List'!T2:T665))/STDEV('The List'!T2:T665)</f>
        <v>-0.692780714205347</v>
      </c>
      <c r="H371" s="77">
        <f>(VLOOKUP($A371,'The List'!$B1:$AH665,20,FALSE)-AVERAGE('The List'!U2:U665))/STDEV('The List'!U2:U665)</f>
        <v>-0.56473880605242</v>
      </c>
      <c r="I371" s="77">
        <f>(VLOOKUP($A371,'The List'!$B1:$AH665,21,FALSE)-AVERAGE('The List'!V2:V665))/STDEV('The List'!V2:V665)</f>
        <v>0.032193154274158</v>
      </c>
      <c r="J371" s="77">
        <f>(VLOOKUP($A371,'The List'!$B1:$AH665,22,FALSE)-AVERAGE('The List'!W2:W665))/STDEV('The List'!W2:W665)</f>
        <v>0.270898950955026</v>
      </c>
      <c r="K371" s="77">
        <f>(VLOOKUP($A371,'The List'!$B1:$AH665,23,FALSE)-AVERAGE('The List'!X2:X665))/STDEV('The List'!X2:X665)</f>
        <v>-0.234305659404622</v>
      </c>
      <c r="L371" s="77">
        <f>(VLOOKUP($A371,'The List'!$B1:$AH665,24,FALSE)-AVERAGE('The List'!Y2:Y665))/STDEV('The List'!Y2:Y665)</f>
        <v>-0.580182913902084</v>
      </c>
      <c r="M371" s="77">
        <f>(VLOOKUP($A371,'The List'!$B1:$AH665,25,FALSE)-AVERAGE('The List'!Z2:Z665))/STDEV('The List'!Z2:Z665)</f>
        <v>-0.754036664989997</v>
      </c>
      <c r="N371" s="77">
        <f>(VLOOKUP($A371,'The List'!$B1:$AH665,26,FALSE)-AVERAGE('The List'!AA2:AA665))/STDEV('The List'!AA2:AA665)</f>
        <v>-1.05953353793959</v>
      </c>
      <c r="O371" s="77">
        <f>(VLOOKUP($A371,'The List'!$B1:$AH665,27,FALSE)-AVERAGE('The List'!AB2:AB665))/STDEV('The List'!AB2:AB665)</f>
        <v>-0.64705824475442</v>
      </c>
      <c r="P371" s="77">
        <f>(VLOOKUP($A371,'The List'!$B1:$AH665,28,FALSE)-AVERAGE('The List'!AC2:AC665))/STDEV('The List'!AC2:AC665)</f>
        <v>0.393864203083314</v>
      </c>
      <c r="Q371" s="77">
        <f>(VLOOKUP($A371,'The List'!$B1:$AH665,29,FALSE)-AVERAGE('The List'!AD2:AD665))/STDEV('The List'!AD2:AD665)</f>
        <v>-0.917865058979816</v>
      </c>
      <c r="R371" s="77">
        <f>(VLOOKUP($A371,'The List'!$B1:$AH665,30,FALSE)-AVERAGE('The List'!AE2:AE665))/STDEV('The List'!AE2:AE665)</f>
        <v>-0.0881097814090733</v>
      </c>
      <c r="S371" s="77">
        <f>(VLOOKUP($A371,'The List'!$B1:$AH665,31,FALSE)-AVERAGE('The List'!AF2:AF665))/STDEV('The List'!AF2:AF665)</f>
        <v>-0.573894410680004</v>
      </c>
      <c r="T371" s="77">
        <f>(VLOOKUP($A371,'The List'!$B1:$AH665,32,FALSE)-AVERAGE('The List'!AG2:AG665))/STDEV('The List'!AG2:AG665)</f>
        <v>-0.621235922497242</v>
      </c>
      <c r="U371" s="77">
        <f>(VLOOKUP($A371,'The List'!$B1:$AH665,33,FALSE)-AVERAGE('The List'!AH2:AH665))/STDEV('The List'!AH2:AH665)</f>
        <v>-1.23143509451486</v>
      </c>
      <c r="V371" s="77"/>
      <c r="W371" s="79"/>
      <c r="X371" s="77"/>
      <c r="Y371" s="77"/>
      <c r="Z371" s="77"/>
      <c r="AA371" s="77"/>
      <c r="AB371" s="77"/>
      <c r="AC371" s="77"/>
      <c r="AD371" s="77"/>
      <c r="AE371" s="84"/>
    </row>
    <row r="372" ht="21.25" customHeight="1">
      <c r="A372" t="s" s="10">
        <v>655</v>
      </c>
      <c r="B372" t="s" s="86">
        <f>VLOOKUP(A372,'Player Data'!A1:B667,2,FALSE)</f>
        <v>908</v>
      </c>
      <c r="C372" s="74">
        <f>((E372)*'Settings'!$C$12)+(F372*'Settings'!$C$2)+(G372*'Settings'!$C$3)+(H372*'Settings'!$C$4)+(I372*'Settings'!$C$5)+(K372*'Settings'!$C$9)+(N372*'Settings'!$C$6)+(J372*'Settings'!$C$8)+(O372*'Settings'!$C$7)+(P372*'Settings'!$C$14)+(Q372*'Settings'!$C$15)+(R372*'Settings'!$C$16)+(S372*'Settings'!$C$17)+(T372*'Settings'!$C$18)+(U372*'Settings'!$C$19)+(L372*'Settings'!$C$10)+('Settings'!$C$11*M372)</f>
        <v>-1.82939385486666</v>
      </c>
      <c r="D372" s="79">
        <f>IF('Settings'!$E$12="YES",VLOOKUP(A372,'Player Data'!A1:E667,5,FALSE),82)</f>
        <v>78.21250000000001</v>
      </c>
      <c r="E372" s="77">
        <f>(VLOOKUP($A372,'The List'!$B1:$AH665,17,FALSE)-AVERAGE('The List'!R2:R665))/STDEV('The List'!R2:R665)</f>
        <v>1.41090145221237</v>
      </c>
      <c r="F372" s="77">
        <f>(VLOOKUP($A372,'The List'!$B1:$AH665,18,FALSE)-AVERAGE('The List'!S2:S665))/STDEV('The List'!S2:S665)</f>
        <v>-0.91536370456294</v>
      </c>
      <c r="G372" s="77">
        <f>(VLOOKUP($A372,'The List'!$B1:$AH665,19,FALSE)-AVERAGE('The List'!T2:T665))/STDEV('The List'!T2:T665)</f>
        <v>-0.110698885110189</v>
      </c>
      <c r="H372" s="77">
        <f>(VLOOKUP($A372,'The List'!$B1:$AH665,20,FALSE)-AVERAGE('The List'!U2:U665))/STDEV('The List'!U2:U665)</f>
        <v>-0.484826546496309</v>
      </c>
      <c r="I372" s="77">
        <f>(VLOOKUP($A372,'The List'!$B1:$AH665,21,FALSE)-AVERAGE('The List'!V2:V665))/STDEV('The List'!V2:V665)</f>
        <v>-0.913589951373622</v>
      </c>
      <c r="J372" s="77">
        <f>(VLOOKUP($A372,'The List'!$B1:$AH665,22,FALSE)-AVERAGE('The List'!W2:W665))/STDEV('The List'!W2:W665)</f>
        <v>-0.736259740026422</v>
      </c>
      <c r="K372" s="77">
        <f>(VLOOKUP($A372,'The List'!$B1:$AH665,23,FALSE)-AVERAGE('The List'!X2:X665))/STDEV('The List'!X2:X665)</f>
        <v>-0.79410861588507</v>
      </c>
      <c r="L372" s="77">
        <f>(VLOOKUP($A372,'The List'!$B1:$AH665,24,FALSE)-AVERAGE('The List'!Y2:Y665))/STDEV('The List'!Y2:Y665)</f>
        <v>-0.5232120799539151</v>
      </c>
      <c r="M372" s="77">
        <f>(VLOOKUP($A372,'The List'!$B1:$AH665,25,FALSE)-AVERAGE('The List'!Z2:Z665))/STDEV('The List'!Z2:Z665)</f>
        <v>0.10777185747249</v>
      </c>
      <c r="N372" s="77">
        <f>(VLOOKUP($A372,'The List'!$B1:$AH665,26,FALSE)-AVERAGE('The List'!AA2:AA665))/STDEV('The List'!AA2:AA665)</f>
        <v>0.958546230008363</v>
      </c>
      <c r="O372" s="77">
        <f>(VLOOKUP($A372,'The List'!$B1:$AH665,27,FALSE)-AVERAGE('The List'!AB2:AB665))/STDEV('The List'!AB2:AB665)</f>
        <v>-0.710864786628933</v>
      </c>
      <c r="P372" s="77">
        <f>(VLOOKUP($A372,'The List'!$B1:$AH665,28,FALSE)-AVERAGE('The List'!AC2:AC665))/STDEV('The List'!AC2:AC665)</f>
        <v>-0.0541789279432045</v>
      </c>
      <c r="Q372" s="77">
        <f>(VLOOKUP($A372,'The List'!$B1:$AH665,29,FALSE)-AVERAGE('The List'!AD2:AD665))/STDEV('The List'!AD2:AD665)</f>
        <v>-0.107795045739276</v>
      </c>
      <c r="R372" s="77">
        <f>(VLOOKUP($A372,'The List'!$B1:$AH665,30,FALSE)-AVERAGE('The List'!AE2:AE665))/STDEV('The List'!AE2:AE665)</f>
        <v>-0.882303968371918</v>
      </c>
      <c r="S372" s="77">
        <f>(VLOOKUP($A372,'The List'!$B1:$AH665,31,FALSE)-AVERAGE('The List'!AF2:AF665))/STDEV('The List'!AF2:AF665)</f>
        <v>-0.573894410680004</v>
      </c>
      <c r="T372" s="77">
        <f>(VLOOKUP($A372,'The List'!$B1:$AH665,32,FALSE)-AVERAGE('The List'!AG2:AG665))/STDEV('The List'!AG2:AG665)</f>
        <v>-0.625770787132651</v>
      </c>
      <c r="U372" s="77">
        <f>(VLOOKUP($A372,'The List'!$B1:$AH665,33,FALSE)-AVERAGE('The List'!AH2:AH665))/STDEV('The List'!AH2:AH665)</f>
        <v>-1.23143509451486</v>
      </c>
      <c r="V372" s="77"/>
      <c r="W372" s="79"/>
      <c r="X372" s="77"/>
      <c r="Y372" s="77"/>
      <c r="Z372" s="77"/>
      <c r="AA372" s="77"/>
      <c r="AB372" s="77"/>
      <c r="AC372" s="77"/>
      <c r="AD372" s="77"/>
      <c r="AE372" s="84"/>
    </row>
    <row r="373" ht="21.25" customHeight="1">
      <c r="A373" t="s" s="10">
        <v>325</v>
      </c>
      <c r="B373" t="s" s="86">
        <f>VLOOKUP(A373,'Player Data'!A1:B667,2,FALSE)</f>
        <v>132</v>
      </c>
      <c r="C373" s="74">
        <f>((E373)*'Settings'!$C$12)+(F373*'Settings'!$C$2)+(G373*'Settings'!$C$3)+(H373*'Settings'!$C$4)+(I373*'Settings'!$C$5)+(K373*'Settings'!$C$9)+(N373*'Settings'!$C$6)+(J373*'Settings'!$C$8)+(O373*'Settings'!$C$7)+(P373*'Settings'!$C$14)+(Q373*'Settings'!$C$15)+(R373*'Settings'!$C$16)+(S373*'Settings'!$C$17)+(T373*'Settings'!$C$18)+(U373*'Settings'!$C$19)+(L373*'Settings'!$C$10)+('Settings'!$C$11*M373)</f>
        <v>0.776975079993959</v>
      </c>
      <c r="D373" s="79">
        <f>IF('Settings'!$E$12="YES",VLOOKUP(A373,'Player Data'!A1:E667,5,FALSE),82)</f>
        <v>78.9075</v>
      </c>
      <c r="E373" s="77">
        <f>(VLOOKUP($A373,'The List'!$B1:$AH665,17,FALSE)-AVERAGE('The List'!R2:R665))/STDEV('The List'!R2:R665)</f>
        <v>0.979616328966412</v>
      </c>
      <c r="F373" s="77">
        <f>(VLOOKUP($A373,'The List'!$B1:$AH665,18,FALSE)-AVERAGE('The List'!S2:S665))/STDEV('The List'!S2:S665)</f>
        <v>-0.830314775904772</v>
      </c>
      <c r="G373" s="77">
        <f>(VLOOKUP($A373,'The List'!$B1:$AH665,19,FALSE)-AVERAGE('The List'!T2:T665))/STDEV('The List'!T2:T665)</f>
        <v>-0.164819598273371</v>
      </c>
      <c r="H373" s="77">
        <f>(VLOOKUP($A373,'The List'!$B1:$AH665,20,FALSE)-AVERAGE('The List'!U2:U665))/STDEV('The List'!U2:U665)</f>
        <v>-0.479779771701051</v>
      </c>
      <c r="I373" s="77">
        <f>(VLOOKUP($A373,'The List'!$B1:$AH665,21,FALSE)-AVERAGE('The List'!V2:V665))/STDEV('The List'!V2:V665)</f>
        <v>-0.785369463995867</v>
      </c>
      <c r="J373" s="77">
        <f>(VLOOKUP($A373,'The List'!$B1:$AH665,22,FALSE)-AVERAGE('The List'!W2:W665))/STDEV('The List'!W2:W665)</f>
        <v>-0.666826158669012</v>
      </c>
      <c r="K373" s="77">
        <f>(VLOOKUP($A373,'The List'!$B1:$AH665,23,FALSE)-AVERAGE('The List'!X2:X665))/STDEV('The List'!X2:X665)</f>
        <v>-0.733783782612111</v>
      </c>
      <c r="L373" s="77">
        <f>(VLOOKUP($A373,'The List'!$B1:$AH665,24,FALSE)-AVERAGE('The List'!Y2:Y665))/STDEV('The List'!Y2:Y665)</f>
        <v>-0.533404789054144</v>
      </c>
      <c r="M373" s="77">
        <f>(VLOOKUP($A373,'The List'!$B1:$AH665,25,FALSE)-AVERAGE('The List'!Z2:Z665))/STDEV('The List'!Z2:Z665)</f>
        <v>-0.158539666357037</v>
      </c>
      <c r="N373" s="77">
        <f>(VLOOKUP($A373,'The List'!$B1:$AH665,26,FALSE)-AVERAGE('The List'!AA2:AA665))/STDEV('The List'!AA2:AA665)</f>
        <v>1.86534996713125</v>
      </c>
      <c r="O373" s="77">
        <f>(VLOOKUP($A373,'The List'!$B1:$AH665,27,FALSE)-AVERAGE('The List'!AB2:AB665))/STDEV('The List'!AB2:AB665)</f>
        <v>2.21110262030514</v>
      </c>
      <c r="P373" s="77">
        <f>(VLOOKUP($A373,'The List'!$B1:$AH665,28,FALSE)-AVERAGE('The List'!AC2:AC665))/STDEV('The List'!AC2:AC665)</f>
        <v>1.42591273364883</v>
      </c>
      <c r="Q373" s="77">
        <f>(VLOOKUP($A373,'The List'!$B1:$AH665,29,FALSE)-AVERAGE('The List'!AD2:AD665))/STDEV('The List'!AD2:AD665)</f>
        <v>1.11799918840251</v>
      </c>
      <c r="R373" s="77">
        <f>(VLOOKUP($A373,'The List'!$B1:$AH665,30,FALSE)-AVERAGE('The List'!AE2:AE665))/STDEV('The List'!AE2:AE665)</f>
        <v>-0.758332784309145</v>
      </c>
      <c r="S373" s="77">
        <f>(VLOOKUP($A373,'The List'!$B1:$AH665,31,FALSE)-AVERAGE('The List'!AF2:AF665))/STDEV('The List'!AF2:AF665)</f>
        <v>-0.573894410680004</v>
      </c>
      <c r="T373" s="77">
        <f>(VLOOKUP($A373,'The List'!$B1:$AH665,32,FALSE)-AVERAGE('The List'!AG2:AG665))/STDEV('The List'!AG2:AG665)</f>
        <v>-0.625770787132651</v>
      </c>
      <c r="U373" s="77">
        <f>(VLOOKUP($A373,'The List'!$B1:$AH665,33,FALSE)-AVERAGE('The List'!AH2:AH665))/STDEV('The List'!AH2:AH665)</f>
        <v>-1.23143509451486</v>
      </c>
      <c r="V373" s="77"/>
      <c r="W373" s="79"/>
      <c r="X373" s="77"/>
      <c r="Y373" s="77"/>
      <c r="Z373" s="77"/>
      <c r="AA373" s="77"/>
      <c r="AB373" s="77"/>
      <c r="AC373" s="77"/>
      <c r="AD373" s="77"/>
      <c r="AE373" s="84"/>
    </row>
    <row r="374" ht="21.25" customHeight="1">
      <c r="A374" t="s" s="10">
        <v>631</v>
      </c>
      <c r="B374" t="s" s="86">
        <f>VLOOKUP(A374,'Player Data'!A1:B667,2,FALSE)</f>
        <v>192</v>
      </c>
      <c r="C374" s="74">
        <f>((E374)*'Settings'!$C$12)+(F374*'Settings'!$C$2)+(G374*'Settings'!$C$3)+(H374*'Settings'!$C$4)+(I374*'Settings'!$C$5)+(K374*'Settings'!$C$9)+(N374*'Settings'!$C$6)+(J374*'Settings'!$C$8)+(O374*'Settings'!$C$7)+(P374*'Settings'!$C$14)+(Q374*'Settings'!$C$15)+(R374*'Settings'!$C$16)+(S374*'Settings'!$C$17)+(T374*'Settings'!$C$18)+(U374*'Settings'!$C$19)+(L374*'Settings'!$C$10)+('Settings'!$C$11*M374)</f>
        <v>-2.46803806874013</v>
      </c>
      <c r="D374" s="79">
        <f>IF('Settings'!$E$12="YES",VLOOKUP(A374,'Player Data'!A1:E667,5,FALSE),82)</f>
        <v>74.9325</v>
      </c>
      <c r="E374" s="77">
        <f>(VLOOKUP($A374,'The List'!$B1:$AH665,17,FALSE)-AVERAGE('The List'!R2:R665))/STDEV('The List'!R2:R665)</f>
        <v>0.332539155108747</v>
      </c>
      <c r="F374" s="77">
        <f>(VLOOKUP($A374,'The List'!$B1:$AH665,18,FALSE)-AVERAGE('The List'!S2:S665))/STDEV('The List'!S2:S665)</f>
        <v>-0.817036803501469</v>
      </c>
      <c r="G374" s="77">
        <f>(VLOOKUP($A374,'The List'!$B1:$AH665,19,FALSE)-AVERAGE('The List'!T2:T665))/STDEV('The List'!T2:T665)</f>
        <v>-0.283257089791856</v>
      </c>
      <c r="H374" s="77">
        <f>(VLOOKUP($A374,'The List'!$B1:$AH665,20,FALSE)-AVERAGE('The List'!U2:U665))/STDEV('The List'!U2:U665)</f>
        <v>-0.547300643840821</v>
      </c>
      <c r="I374" s="77">
        <f>(VLOOKUP($A374,'The List'!$B1:$AH665,21,FALSE)-AVERAGE('The List'!V2:V665))/STDEV('The List'!V2:V665)</f>
        <v>-0.901643986321404</v>
      </c>
      <c r="J374" s="77">
        <f>(VLOOKUP($A374,'The List'!$B1:$AH665,22,FALSE)-AVERAGE('The List'!W2:W665))/STDEV('The List'!W2:W665)</f>
        <v>-0.7281615617909321</v>
      </c>
      <c r="K374" s="77">
        <f>(VLOOKUP($A374,'The List'!$B1:$AH665,23,FALSE)-AVERAGE('The List'!X2:X665))/STDEV('The List'!X2:X665)</f>
        <v>-0.515274129080697</v>
      </c>
      <c r="L374" s="77">
        <f>(VLOOKUP($A374,'The List'!$B1:$AH665,24,FALSE)-AVERAGE('The List'!Y2:Y665))/STDEV('The List'!Y2:Y665)</f>
        <v>-0.560198699682839</v>
      </c>
      <c r="M374" s="77">
        <f>(VLOOKUP($A374,'The List'!$B1:$AH665,25,FALSE)-AVERAGE('The List'!Z2:Z665))/STDEV('The List'!Z2:Z665)</f>
        <v>-0.694770960039366</v>
      </c>
      <c r="N374" s="77">
        <f>(VLOOKUP($A374,'The List'!$B1:$AH665,26,FALSE)-AVERAGE('The List'!AA2:AA665))/STDEV('The List'!AA2:AA665)</f>
        <v>0.735311266287443</v>
      </c>
      <c r="O374" s="77">
        <f>(VLOOKUP($A374,'The List'!$B1:$AH665,27,FALSE)-AVERAGE('The List'!AB2:AB665))/STDEV('The List'!AB2:AB665)</f>
        <v>0.0101969297489293</v>
      </c>
      <c r="P374" s="77">
        <f>(VLOOKUP($A374,'The List'!$B1:$AH665,28,FALSE)-AVERAGE('The List'!AC2:AC665))/STDEV('The List'!AC2:AC665)</f>
        <v>-0.686137326332149</v>
      </c>
      <c r="Q374" s="77">
        <f>(VLOOKUP($A374,'The List'!$B1:$AH665,29,FALSE)-AVERAGE('The List'!AD2:AD665))/STDEV('The List'!AD2:AD665)</f>
        <v>-0.42515475199235</v>
      </c>
      <c r="R374" s="77">
        <f>(VLOOKUP($A374,'The List'!$B1:$AH665,30,FALSE)-AVERAGE('The List'!AE2:AE665))/STDEV('The List'!AE2:AE665)</f>
        <v>-0.804591379905136</v>
      </c>
      <c r="S374" s="77">
        <f>(VLOOKUP($A374,'The List'!$B1:$AH665,31,FALSE)-AVERAGE('The List'!AF2:AF665))/STDEV('The List'!AF2:AF665)</f>
        <v>-0.573894410680004</v>
      </c>
      <c r="T374" s="77">
        <f>(VLOOKUP($A374,'The List'!$B1:$AH665,32,FALSE)-AVERAGE('The List'!AG2:AG665))/STDEV('The List'!AG2:AG665)</f>
        <v>-0.625770787132651</v>
      </c>
      <c r="U374" s="77">
        <f>(VLOOKUP($A374,'The List'!$B1:$AH665,33,FALSE)-AVERAGE('The List'!AH2:AH665))/STDEV('The List'!AH2:AH665)</f>
        <v>-1.23143509451486</v>
      </c>
      <c r="V374" s="77"/>
      <c r="W374" s="79"/>
      <c r="X374" s="77"/>
      <c r="Y374" s="77"/>
      <c r="Z374" s="77"/>
      <c r="AA374" s="77"/>
      <c r="AB374" s="77"/>
      <c r="AC374" s="77"/>
      <c r="AD374" s="77"/>
      <c r="AE374" s="84"/>
    </row>
    <row r="375" ht="21.25" customHeight="1">
      <c r="A375" t="s" s="10">
        <v>540</v>
      </c>
      <c r="B375" t="s" s="86">
        <f>VLOOKUP(A375,'Player Data'!A1:B667,2,FALSE)</f>
        <v>866</v>
      </c>
      <c r="C375" s="74">
        <f>((E375)*'Settings'!$C$12)+(F375*'Settings'!$C$2)+(G375*'Settings'!$C$3)+(H375*'Settings'!$C$4)+(I375*'Settings'!$C$5)+(K375*'Settings'!$C$9)+(N375*'Settings'!$C$6)+(J375*'Settings'!$C$8)+(O375*'Settings'!$C$7)+(P375*'Settings'!$C$14)+(Q375*'Settings'!$C$15)+(R375*'Settings'!$C$16)+(S375*'Settings'!$C$17)+(T375*'Settings'!$C$18)+(U375*'Settings'!$C$19)+(L375*'Settings'!$C$10)+('Settings'!$C$11*M375)</f>
        <v>0.292377153688984</v>
      </c>
      <c r="D375" s="79">
        <f>IF('Settings'!$E$12="YES",VLOOKUP(A375,'Player Data'!A1:E667,5,FALSE),82)</f>
        <v>77.9975</v>
      </c>
      <c r="E375" s="77">
        <f>(VLOOKUP($A375,'The List'!$B1:$AH665,17,FALSE)-AVERAGE('The List'!R2:R665))/STDEV('The List'!R2:R665)</f>
        <v>1.21404691194227</v>
      </c>
      <c r="F375" s="77">
        <f>(VLOOKUP($A375,'The List'!$B1:$AH665,18,FALSE)-AVERAGE('The List'!S2:S665))/STDEV('The List'!S2:S665)</f>
        <v>-1.06624246445095</v>
      </c>
      <c r="G375" s="77">
        <f>(VLOOKUP($A375,'The List'!$B1:$AH665,19,FALSE)-AVERAGE('The List'!T2:T665))/STDEV('The List'!T2:T665)</f>
        <v>-0.0363781453949531</v>
      </c>
      <c r="H375" s="77">
        <f>(VLOOKUP($A375,'The List'!$B1:$AH665,20,FALSE)-AVERAGE('The List'!U2:U665))/STDEV('The List'!U2:U665)</f>
        <v>-0.507250756430366</v>
      </c>
      <c r="I375" s="77">
        <f>(VLOOKUP($A375,'The List'!$B1:$AH665,21,FALSE)-AVERAGE('The List'!V2:V665))/STDEV('The List'!V2:V665)</f>
        <v>-0.759386454969584</v>
      </c>
      <c r="J375" s="77">
        <f>(VLOOKUP($A375,'The List'!$B1:$AH665,22,FALSE)-AVERAGE('The List'!W2:W665))/STDEV('The List'!W2:W665)</f>
        <v>-0.718808255129055</v>
      </c>
      <c r="K375" s="77">
        <f>(VLOOKUP($A375,'The List'!$B1:$AH665,23,FALSE)-AVERAGE('The List'!X2:X665))/STDEV('The List'!X2:X665)</f>
        <v>-0.584876122119017</v>
      </c>
      <c r="L375" s="77">
        <f>(VLOOKUP($A375,'The List'!$B1:$AH665,24,FALSE)-AVERAGE('The List'!Y2:Y665))/STDEV('The List'!Y2:Y665)</f>
        <v>-0.543905624410162</v>
      </c>
      <c r="M375" s="77">
        <f>(VLOOKUP($A375,'The List'!$B1:$AH665,25,FALSE)-AVERAGE('The List'!Z2:Z665))/STDEV('The List'!Z2:Z665)</f>
        <v>-0.64235219935612</v>
      </c>
      <c r="N375" s="77">
        <f>(VLOOKUP($A375,'The List'!$B1:$AH665,26,FALSE)-AVERAGE('The List'!AA2:AA665))/STDEV('The List'!AA2:AA665)</f>
        <v>1.94982315733446</v>
      </c>
      <c r="O375" s="77">
        <f>(VLOOKUP($A375,'The List'!$B1:$AH665,27,FALSE)-AVERAGE('The List'!AB2:AB665))/STDEV('The List'!AB2:AB665)</f>
        <v>-0.639215112628946</v>
      </c>
      <c r="P375" s="77">
        <f>(VLOOKUP($A375,'The List'!$B1:$AH665,28,FALSE)-AVERAGE('The List'!AC2:AC665))/STDEV('The List'!AC2:AC665)</f>
        <v>0.789437183289028</v>
      </c>
      <c r="Q375" s="77">
        <f>(VLOOKUP($A375,'The List'!$B1:$AH665,29,FALSE)-AVERAGE('The List'!AD2:AD665))/STDEV('The List'!AD2:AD665)</f>
        <v>-0.567900802522275</v>
      </c>
      <c r="R375" s="77">
        <f>(VLOOKUP($A375,'The List'!$B1:$AH665,30,FALSE)-AVERAGE('The List'!AE2:AE665))/STDEV('The List'!AE2:AE665)</f>
        <v>-1.00475194392201</v>
      </c>
      <c r="S375" s="77">
        <f>(VLOOKUP($A375,'The List'!$B1:$AH665,31,FALSE)-AVERAGE('The List'!AF2:AF665))/STDEV('The List'!AF2:AF665)</f>
        <v>-0.573894410680004</v>
      </c>
      <c r="T375" s="77">
        <f>(VLOOKUP($A375,'The List'!$B1:$AH665,32,FALSE)-AVERAGE('The List'!AG2:AG665))/STDEV('The List'!AG2:AG665)</f>
        <v>-0.624993248877175</v>
      </c>
      <c r="U375" s="77">
        <f>(VLOOKUP($A375,'The List'!$B1:$AH665,33,FALSE)-AVERAGE('The List'!AH2:AH665))/STDEV('The List'!AH2:AH665)</f>
        <v>-1.23143509451486</v>
      </c>
      <c r="V375" s="77"/>
      <c r="W375" s="79"/>
      <c r="X375" s="77"/>
      <c r="Y375" s="77"/>
      <c r="Z375" s="77"/>
      <c r="AA375" s="77"/>
      <c r="AB375" s="77"/>
      <c r="AC375" s="77"/>
      <c r="AD375" s="77"/>
      <c r="AE375" s="84"/>
    </row>
    <row r="376" ht="21.25" customHeight="1">
      <c r="A376" t="s" s="10">
        <v>820</v>
      </c>
      <c r="B376" t="s" s="86">
        <f>VLOOKUP(A376,'Player Data'!A1:B667,2,FALSE)</f>
        <v>905</v>
      </c>
      <c r="C376" s="74">
        <f>((E376)*'Settings'!$C$12)+(F376*'Settings'!$C$2)+(G376*'Settings'!$C$3)+(H376*'Settings'!$C$4)+(I376*'Settings'!$C$5)+(K376*'Settings'!$C$9)+(N376*'Settings'!$C$6)+(J376*'Settings'!$C$8)+(O376*'Settings'!$C$7)+(P376*'Settings'!$C$14)+(Q376*'Settings'!$C$15)+(R376*'Settings'!$C$16)+(S376*'Settings'!$C$17)+(T376*'Settings'!$C$18)+(U376*'Settings'!$C$19)+(L376*'Settings'!$C$10)+('Settings'!$C$11*M376)</f>
        <v>-4.51798235006133</v>
      </c>
      <c r="D376" s="79">
        <f>IF('Settings'!$E$12="YES",VLOOKUP(A376,'Player Data'!A1:E667,5,FALSE),82)</f>
        <v>66.9075</v>
      </c>
      <c r="E376" s="77">
        <f>(VLOOKUP($A376,'The List'!$B1:$AH665,17,FALSE)-AVERAGE('The List'!R2:R665))/STDEV('The List'!R2:R665)</f>
        <v>-1.30941518792132</v>
      </c>
      <c r="F376" s="77">
        <f>(VLOOKUP($A376,'The List'!$B1:$AH665,18,FALSE)-AVERAGE('The List'!S2:S665))/STDEV('The List'!S2:S665)</f>
        <v>-0.348846847465063</v>
      </c>
      <c r="G376" s="77">
        <f>(VLOOKUP($A376,'The List'!$B1:$AH665,19,FALSE)-AVERAGE('The List'!T2:T665))/STDEV('The List'!T2:T665)</f>
        <v>-0.825940337009612</v>
      </c>
      <c r="H376" s="77">
        <f>(VLOOKUP($A376,'The List'!$B1:$AH665,20,FALSE)-AVERAGE('The List'!U2:U665))/STDEV('The List'!U2:U665)</f>
        <v>-0.671522864544999</v>
      </c>
      <c r="I376" s="77">
        <f>(VLOOKUP($A376,'The List'!$B1:$AH665,21,FALSE)-AVERAGE('The List'!V2:V665))/STDEV('The List'!V2:V665)</f>
        <v>-0.539447964841311</v>
      </c>
      <c r="J376" s="77">
        <f>(VLOOKUP($A376,'The List'!$B1:$AH665,22,FALSE)-AVERAGE('The List'!W2:W665))/STDEV('The List'!W2:W665)</f>
        <v>-0.554923400700737</v>
      </c>
      <c r="K376" s="77">
        <f>(VLOOKUP($A376,'The List'!$B1:$AH665,23,FALSE)-AVERAGE('The List'!X2:X665))/STDEV('The List'!X2:X665)</f>
        <v>-0.602109938576152</v>
      </c>
      <c r="L376" s="77">
        <f>(VLOOKUP($A376,'The List'!$B1:$AH665,24,FALSE)-AVERAGE('The List'!Y2:Y665))/STDEV('The List'!Y2:Y665)</f>
        <v>-0.578041129756516</v>
      </c>
      <c r="M376" s="77">
        <f>(VLOOKUP($A376,'The List'!$B1:$AH665,25,FALSE)-AVERAGE('The List'!Z2:Z665))/STDEV('The List'!Z2:Z665)</f>
        <v>-0.751830273913082</v>
      </c>
      <c r="N376" s="77">
        <f>(VLOOKUP($A376,'The List'!$B1:$AH665,26,FALSE)-AVERAGE('The List'!AA2:AA665))/STDEV('The List'!AA2:AA665)</f>
        <v>-0.733576522161662</v>
      </c>
      <c r="O376" s="77">
        <f>(VLOOKUP($A376,'The List'!$B1:$AH665,27,FALSE)-AVERAGE('The List'!AB2:AB665))/STDEV('The List'!AB2:AB665)</f>
        <v>-1.17560344534007</v>
      </c>
      <c r="P376" s="77">
        <f>(VLOOKUP($A376,'The List'!$B1:$AH665,28,FALSE)-AVERAGE('The List'!AC2:AC665))/STDEV('The List'!AC2:AC665)</f>
        <v>-1.46806074000753</v>
      </c>
      <c r="Q376" s="77">
        <f>(VLOOKUP($A376,'The List'!$B1:$AH665,29,FALSE)-AVERAGE('The List'!AD2:AD665))/STDEV('The List'!AD2:AD665)</f>
        <v>-1.20048761297785</v>
      </c>
      <c r="R376" s="77">
        <f>(VLOOKUP($A376,'The List'!$B1:$AH665,30,FALSE)-AVERAGE('The List'!AE2:AE665))/STDEV('The List'!AE2:AE665)</f>
        <v>-0.458238728054821</v>
      </c>
      <c r="S376" s="77">
        <f>(VLOOKUP($A376,'The List'!$B1:$AH665,31,FALSE)-AVERAGE('The List'!AF2:AF665))/STDEV('The List'!AF2:AF665)</f>
        <v>-0.0305696674220158</v>
      </c>
      <c r="T376" s="77">
        <f>(VLOOKUP($A376,'The List'!$B1:$AH665,32,FALSE)-AVERAGE('The List'!AG2:AG665))/STDEV('The List'!AG2:AG665)</f>
        <v>-0.0300417889932748</v>
      </c>
      <c r="U376" s="77">
        <f>(VLOOKUP($A376,'The List'!$B1:$AH665,33,FALSE)-AVERAGE('The List'!AH2:AH665))/STDEV('The List'!AH2:AH665)</f>
        <v>1.00067136544708</v>
      </c>
      <c r="V376" s="77"/>
      <c r="W376" s="89"/>
      <c r="X376" s="79"/>
      <c r="Y376" s="79"/>
      <c r="Z376" s="79"/>
      <c r="AA376" s="79"/>
      <c r="AB376" s="79"/>
      <c r="AC376" s="82"/>
      <c r="AD376" s="83"/>
      <c r="AE376" s="84"/>
    </row>
    <row r="377" ht="21.25" customHeight="1">
      <c r="A377" t="s" s="10">
        <v>580</v>
      </c>
      <c r="B377" t="s" s="86">
        <f>VLOOKUP(A377,'Player Data'!A1:B667,2,FALSE)</f>
        <v>866</v>
      </c>
      <c r="C377" s="74">
        <f>((E377)*'Settings'!$C$12)+(F377*'Settings'!$C$2)+(G377*'Settings'!$C$3)+(H377*'Settings'!$C$4)+(I377*'Settings'!$C$5)+(K377*'Settings'!$C$9)+(N377*'Settings'!$C$6)+(J377*'Settings'!$C$8)+(O377*'Settings'!$C$7)+(P377*'Settings'!$C$14)+(Q377*'Settings'!$C$15)+(R377*'Settings'!$C$16)+(S377*'Settings'!$C$17)+(T377*'Settings'!$C$18)+(U377*'Settings'!$C$19)+(L377*'Settings'!$C$10)+('Settings'!$C$11*M377)</f>
        <v>-1.86580339892287</v>
      </c>
      <c r="D377" s="79">
        <f>IF('Settings'!$E$12="YES",VLOOKUP(A377,'Player Data'!A1:E667,5,FALSE),82)</f>
        <v>75.2025</v>
      </c>
      <c r="E377" s="77">
        <f>(VLOOKUP($A377,'The List'!$B1:$AH665,17,FALSE)-AVERAGE('The List'!R2:R665))/STDEV('The List'!R2:R665)</f>
        <v>-1.01697321814018</v>
      </c>
      <c r="F377" s="77">
        <f>(VLOOKUP($A377,'The List'!$B1:$AH665,18,FALSE)-AVERAGE('The List'!S2:S665))/STDEV('The List'!S2:S665)</f>
        <v>-0.364902384013854</v>
      </c>
      <c r="G377" s="77">
        <f>(VLOOKUP($A377,'The List'!$B1:$AH665,19,FALSE)-AVERAGE('The List'!T2:T665))/STDEV('The List'!T2:T665)</f>
        <v>-0.6209940086235241</v>
      </c>
      <c r="H377" s="77">
        <f>(VLOOKUP($A377,'The List'!$B1:$AH665,20,FALSE)-AVERAGE('The List'!U2:U665))/STDEV('The List'!U2:U665)</f>
        <v>-0.551537675414054</v>
      </c>
      <c r="I377" s="77">
        <f>(VLOOKUP($A377,'The List'!$B1:$AH665,21,FALSE)-AVERAGE('The List'!V2:V665))/STDEV('The List'!V2:V665)</f>
        <v>0.290054377106889</v>
      </c>
      <c r="J377" s="77">
        <f>(VLOOKUP($A377,'The List'!$B1:$AH665,22,FALSE)-AVERAGE('The List'!W2:W665))/STDEV('The List'!W2:W665)</f>
        <v>-0.640358530876207</v>
      </c>
      <c r="K377" s="77">
        <f>(VLOOKUP($A377,'The List'!$B1:$AH665,23,FALSE)-AVERAGE('The List'!X2:X665))/STDEV('The List'!X2:X665)</f>
        <v>-0.743660286846598</v>
      </c>
      <c r="L377" s="77">
        <f>(VLOOKUP($A377,'The List'!$B1:$AH665,24,FALSE)-AVERAGE('The List'!Y2:Y665))/STDEV('The List'!Y2:Y665)</f>
        <v>-0.5729736822675791</v>
      </c>
      <c r="M377" s="77">
        <f>(VLOOKUP($A377,'The List'!$B1:$AH665,25,FALSE)-AVERAGE('The List'!Z2:Z665))/STDEV('The List'!Z2:Z665)</f>
        <v>-0.746582779878352</v>
      </c>
      <c r="N377" s="77">
        <f>(VLOOKUP($A377,'The List'!$B1:$AH665,26,FALSE)-AVERAGE('The List'!AA2:AA665))/STDEV('The List'!AA2:AA665)</f>
        <v>-0.786763266425364</v>
      </c>
      <c r="O377" s="77">
        <f>(VLOOKUP($A377,'The List'!$B1:$AH665,27,FALSE)-AVERAGE('The List'!AB2:AB665))/STDEV('The List'!AB2:AB665)</f>
        <v>0.979923697418622</v>
      </c>
      <c r="P377" s="77">
        <f>(VLOOKUP($A377,'The List'!$B1:$AH665,28,FALSE)-AVERAGE('The List'!AC2:AC665))/STDEV('The List'!AC2:AC665)</f>
        <v>0.36046216987958</v>
      </c>
      <c r="Q377" s="77">
        <f>(VLOOKUP($A377,'The List'!$B1:$AH665,29,FALSE)-AVERAGE('The List'!AD2:AD665))/STDEV('The List'!AD2:AD665)</f>
        <v>1.73685526337341</v>
      </c>
      <c r="R377" s="77">
        <f>(VLOOKUP($A377,'The List'!$B1:$AH665,30,FALSE)-AVERAGE('The List'!AE2:AE665))/STDEV('The List'!AE2:AE665)</f>
        <v>-0.295460172465498</v>
      </c>
      <c r="S377" s="77">
        <f>(VLOOKUP($A377,'The List'!$B1:$AH665,31,FALSE)-AVERAGE('The List'!AF2:AF665))/STDEV('The List'!AF2:AF665)</f>
        <v>-0.5372820326576661</v>
      </c>
      <c r="T377" s="77">
        <f>(VLOOKUP($A377,'The List'!$B1:$AH665,32,FALSE)-AVERAGE('The List'!AG2:AG665))/STDEV('The List'!AG2:AG665)</f>
        <v>-0.572235260094647</v>
      </c>
      <c r="U377" s="77">
        <f>(VLOOKUP($A377,'The List'!$B1:$AH665,33,FALSE)-AVERAGE('The List'!AH2:AH665))/STDEV('The List'!AH2:AH665)</f>
        <v>0.677437766921982</v>
      </c>
      <c r="V377" s="77"/>
      <c r="W377" s="89"/>
      <c r="X377" s="79"/>
      <c r="Y377" s="79"/>
      <c r="Z377" s="79"/>
      <c r="AA377" s="79"/>
      <c r="AB377" s="79"/>
      <c r="AC377" s="82"/>
      <c r="AD377" s="83"/>
      <c r="AE377" s="84"/>
    </row>
    <row r="378" ht="21.25" customHeight="1">
      <c r="A378" t="s" s="10">
        <v>696</v>
      </c>
      <c r="B378" t="s" s="86">
        <f>VLOOKUP(A378,'Player Data'!A1:B667,2,FALSE)</f>
        <v>909</v>
      </c>
      <c r="C378" s="74">
        <f>((E378)*'Settings'!$C$12)+(F378*'Settings'!$C$2)+(G378*'Settings'!$C$3)+(H378*'Settings'!$C$4)+(I378*'Settings'!$C$5)+(K378*'Settings'!$C$9)+(N378*'Settings'!$C$6)+(J378*'Settings'!$C$8)+(O378*'Settings'!$C$7)+(P378*'Settings'!$C$14)+(Q378*'Settings'!$C$15)+(R378*'Settings'!$C$16)+(S378*'Settings'!$C$17)+(T378*'Settings'!$C$18)+(U378*'Settings'!$C$19)+(L378*'Settings'!$C$10)+('Settings'!$C$11*M378)</f>
        <v>-4.17327609033908</v>
      </c>
      <c r="D378" s="79">
        <f>IF('Settings'!$E$12="YES",VLOOKUP(A378,'Player Data'!A1:E667,5,FALSE),82)</f>
        <v>77.18000000000001</v>
      </c>
      <c r="E378" s="77">
        <f>(VLOOKUP($A378,'The List'!$B1:$AH665,17,FALSE)-AVERAGE('The List'!R2:R665))/STDEV('The List'!R2:R665)</f>
        <v>-0.625186842542824</v>
      </c>
      <c r="F378" s="77">
        <f>(VLOOKUP($A378,'The List'!$B1:$AH665,18,FALSE)-AVERAGE('The List'!S2:S665))/STDEV('The List'!S2:S665)</f>
        <v>-0.659050914643171</v>
      </c>
      <c r="G378" s="77">
        <f>(VLOOKUP($A378,'The List'!$B1:$AH665,19,FALSE)-AVERAGE('The List'!T2:T665))/STDEV('The List'!T2:T665)</f>
        <v>-0.360256824232425</v>
      </c>
      <c r="H378" s="77">
        <f>(VLOOKUP($A378,'The List'!$B1:$AH665,20,FALSE)-AVERAGE('The List'!U2:U665))/STDEV('The List'!U2:U665)</f>
        <v>-0.523309712320064</v>
      </c>
      <c r="I378" s="77">
        <f>(VLOOKUP($A378,'The List'!$B1:$AH665,21,FALSE)-AVERAGE('The List'!V2:V665))/STDEV('The List'!V2:V665)</f>
        <v>-0.846076539002415</v>
      </c>
      <c r="J378" s="77">
        <f>(VLOOKUP($A378,'The List'!$B1:$AH665,22,FALSE)-AVERAGE('The List'!W2:W665))/STDEV('The List'!W2:W665)</f>
        <v>-0.680114079231762</v>
      </c>
      <c r="K378" s="77">
        <f>(VLOOKUP($A378,'The List'!$B1:$AH665,23,FALSE)-AVERAGE('The List'!X2:X665))/STDEV('The List'!X2:X665)</f>
        <v>-0.780428165242214</v>
      </c>
      <c r="L378" s="77">
        <f>(VLOOKUP($A378,'The List'!$B1:$AH665,24,FALSE)-AVERAGE('The List'!Y2:Y665))/STDEV('The List'!Y2:Y665)</f>
        <v>0.348995296705612</v>
      </c>
      <c r="M378" s="77">
        <f>(VLOOKUP($A378,'The List'!$B1:$AH665,25,FALSE)-AVERAGE('The List'!Z2:Z665))/STDEV('The List'!Z2:Z665)</f>
        <v>0.6636865086855041</v>
      </c>
      <c r="N378" s="77">
        <f>(VLOOKUP($A378,'The List'!$B1:$AH665,26,FALSE)-AVERAGE('The List'!AA2:AA665))/STDEV('The List'!AA2:AA665)</f>
        <v>-0.27606935023769</v>
      </c>
      <c r="O378" s="77">
        <f>(VLOOKUP($A378,'The List'!$B1:$AH665,27,FALSE)-AVERAGE('The List'!AB2:AB665))/STDEV('The List'!AB2:AB665)</f>
        <v>-0.395452385155165</v>
      </c>
      <c r="P378" s="77">
        <f>(VLOOKUP($A378,'The List'!$B1:$AH665,28,FALSE)-AVERAGE('The List'!AC2:AC665))/STDEV('The List'!AC2:AC665)</f>
        <v>-1.25139429698116</v>
      </c>
      <c r="Q378" s="77">
        <f>(VLOOKUP($A378,'The List'!$B1:$AH665,29,FALSE)-AVERAGE('The List'!AD2:AD665))/STDEV('The List'!AD2:AD665)</f>
        <v>-0.413833822846926</v>
      </c>
      <c r="R378" s="77">
        <f>(VLOOKUP($A378,'The List'!$B1:$AH665,30,FALSE)-AVERAGE('The List'!AE2:AE665))/STDEV('The List'!AE2:AE665)</f>
        <v>-0.773277490153542</v>
      </c>
      <c r="S378" s="77">
        <f>(VLOOKUP($A378,'The List'!$B1:$AH665,31,FALSE)-AVERAGE('The List'!AF2:AF665))/STDEV('The List'!AF2:AF665)</f>
        <v>1.82300472812477</v>
      </c>
      <c r="T378" s="77">
        <f>(VLOOKUP($A378,'The List'!$B1:$AH665,32,FALSE)-AVERAGE('The List'!AG2:AG665))/STDEV('The List'!AG2:AG665)</f>
        <v>1.77329670301433</v>
      </c>
      <c r="U378" s="77">
        <f>(VLOOKUP($A378,'The List'!$B1:$AH665,33,FALSE)-AVERAGE('The List'!AH2:AH665))/STDEV('The List'!AH2:AH665)</f>
        <v>1.10397225850267</v>
      </c>
      <c r="V378" s="77"/>
      <c r="W378" s="79"/>
      <c r="X378" s="77"/>
      <c r="Y378" s="77"/>
      <c r="Z378" s="77"/>
      <c r="AA378" s="77"/>
      <c r="AB378" s="77"/>
      <c r="AC378" s="77"/>
      <c r="AD378" s="77"/>
      <c r="AE378" s="84"/>
    </row>
    <row r="379" ht="21.25" customHeight="1">
      <c r="A379" t="s" s="10">
        <v>503</v>
      </c>
      <c r="B379" t="s" s="86">
        <f>VLOOKUP(A379,'Player Data'!A1:B667,2,FALSE)</f>
        <v>342</v>
      </c>
      <c r="C379" s="74">
        <f>((E379)*'Settings'!$C$12)+(F379*'Settings'!$C$2)+(G379*'Settings'!$C$3)+(H379*'Settings'!$C$4)+(I379*'Settings'!$C$5)+(K379*'Settings'!$C$9)+(N379*'Settings'!$C$6)+(J379*'Settings'!$C$8)+(O379*'Settings'!$C$7)+(P379*'Settings'!$C$14)+(Q379*'Settings'!$C$15)+(R379*'Settings'!$C$16)+(S379*'Settings'!$C$17)+(T379*'Settings'!$C$18)+(U379*'Settings'!$C$19)+(L379*'Settings'!$C$10)+('Settings'!$C$11*M379)</f>
        <v>-1.20586965153178</v>
      </c>
      <c r="D379" s="79">
        <f>IF('Settings'!$E$12="YES",VLOOKUP(A379,'Player Data'!A1:E667,5,FALSE),82)</f>
        <v>81.1375</v>
      </c>
      <c r="E379" s="77">
        <f>(VLOOKUP($A379,'The List'!$B1:$AH665,17,FALSE)-AVERAGE('The List'!R2:R665))/STDEV('The List'!R2:R665)</f>
        <v>-0.471756111045333</v>
      </c>
      <c r="F379" s="77">
        <f>(VLOOKUP($A379,'The List'!$B1:$AH665,18,FALSE)-AVERAGE('The List'!S2:S665))/STDEV('The List'!S2:S665)</f>
        <v>-0.293030756386757</v>
      </c>
      <c r="G379" s="77">
        <f>(VLOOKUP($A379,'The List'!$B1:$AH665,19,FALSE)-AVERAGE('The List'!T2:T665))/STDEV('The List'!T2:T665)</f>
        <v>-0.53688050292621</v>
      </c>
      <c r="H379" s="77">
        <f>(VLOOKUP($A379,'The List'!$B1:$AH665,20,FALSE)-AVERAGE('The List'!U2:U665))/STDEV('The List'!U2:U665)</f>
        <v>-0.466629387743024</v>
      </c>
      <c r="I379" s="77">
        <f>(VLOOKUP($A379,'The List'!$B1:$AH665,21,FALSE)-AVERAGE('The List'!V2:V665))/STDEV('The List'!V2:V665)</f>
        <v>-0.175310149356065</v>
      </c>
      <c r="J379" s="77">
        <f>(VLOOKUP($A379,'The List'!$B1:$AH665,22,FALSE)-AVERAGE('The List'!W2:W665))/STDEV('The List'!W2:W665)</f>
        <v>-0.732673659715036</v>
      </c>
      <c r="K379" s="77">
        <f>(VLOOKUP($A379,'The List'!$B1:$AH665,23,FALSE)-AVERAGE('The List'!X2:X665))/STDEV('The List'!X2:X665)</f>
        <v>-0.817655063130422</v>
      </c>
      <c r="L379" s="77">
        <f>(VLOOKUP($A379,'The List'!$B1:$AH665,24,FALSE)-AVERAGE('The List'!Y2:Y665))/STDEV('The List'!Y2:Y665)</f>
        <v>0.203288704712816</v>
      </c>
      <c r="M379" s="77">
        <f>(VLOOKUP($A379,'The List'!$B1:$AH665,25,FALSE)-AVERAGE('The List'!Z2:Z665))/STDEV('The List'!Z2:Z665)</f>
        <v>0.601477085754599</v>
      </c>
      <c r="N379" s="77">
        <f>(VLOOKUP($A379,'The List'!$B1:$AH665,26,FALSE)-AVERAGE('The List'!AA2:AA665))/STDEV('The List'!AA2:AA665)</f>
        <v>-0.612689041321881</v>
      </c>
      <c r="O379" s="77">
        <f>(VLOOKUP($A379,'The List'!$B1:$AH665,27,FALSE)-AVERAGE('The List'!AB2:AB665))/STDEV('The List'!AB2:AB665)</f>
        <v>1.07095324889632</v>
      </c>
      <c r="P379" s="77">
        <f>(VLOOKUP($A379,'The List'!$B1:$AH665,28,FALSE)-AVERAGE('The List'!AC2:AC665))/STDEV('The List'!AC2:AC665)</f>
        <v>1.22969586158956</v>
      </c>
      <c r="Q379" s="77">
        <f>(VLOOKUP($A379,'The List'!$B1:$AH665,29,FALSE)-AVERAGE('The List'!AD2:AD665))/STDEV('The List'!AD2:AD665)</f>
        <v>-0.0232549199555945</v>
      </c>
      <c r="R379" s="77">
        <f>(VLOOKUP($A379,'The List'!$B1:$AH665,30,FALSE)-AVERAGE('The List'!AE2:AE665))/STDEV('The List'!AE2:AE665)</f>
        <v>-0.117768512759711</v>
      </c>
      <c r="S379" s="77">
        <f>(VLOOKUP($A379,'The List'!$B1:$AH665,31,FALSE)-AVERAGE('The List'!AF2:AF665))/STDEV('The List'!AF2:AF665)</f>
        <v>3.14090788224124</v>
      </c>
      <c r="T379" s="77">
        <f>(VLOOKUP($A379,'The List'!$B1:$AH665,32,FALSE)-AVERAGE('The List'!AG2:AG665))/STDEV('The List'!AG2:AG665)</f>
        <v>2.34895293964774</v>
      </c>
      <c r="U379" s="77">
        <f>(VLOOKUP($A379,'The List'!$B1:$AH665,33,FALSE)-AVERAGE('The List'!AH2:AH665))/STDEV('The List'!AH2:AH665)</f>
        <v>1.35465734622983</v>
      </c>
      <c r="V379" s="77"/>
      <c r="W379" s="89"/>
      <c r="X379" s="79"/>
      <c r="Y379" s="79"/>
      <c r="Z379" s="79"/>
      <c r="AA379" s="79"/>
      <c r="AB379" s="79"/>
      <c r="AC379" s="82"/>
      <c r="AD379" s="83"/>
      <c r="AE379" s="84"/>
    </row>
    <row r="380" ht="21.25" customHeight="1">
      <c r="A380" t="s" s="10">
        <v>746</v>
      </c>
      <c r="B380" t="s" s="86">
        <f>VLOOKUP(A380,'Player Data'!A1:B667,2,FALSE)</f>
        <v>914</v>
      </c>
      <c r="C380" s="74">
        <f>((E380)*'Settings'!$C$12)+(F380*'Settings'!$C$2)+(G380*'Settings'!$C$3)+(H380*'Settings'!$C$4)+(I380*'Settings'!$C$5)+(K380*'Settings'!$C$9)+(N380*'Settings'!$C$6)+(J380*'Settings'!$C$8)+(O380*'Settings'!$C$7)+(P380*'Settings'!$C$14)+(Q380*'Settings'!$C$15)+(R380*'Settings'!$C$16)+(S380*'Settings'!$C$17)+(T380*'Settings'!$C$18)+(U380*'Settings'!$C$19)+(L380*'Settings'!$C$10)+('Settings'!$C$11*M380)</f>
        <v>-4.94097743275787</v>
      </c>
      <c r="D380" s="79">
        <f>IF('Settings'!$E$12="YES",VLOOKUP(A380,'Player Data'!A1:E667,5,FALSE),82)</f>
        <v>65.92749999999999</v>
      </c>
      <c r="E380" s="77">
        <f>(VLOOKUP($A380,'The List'!$B1:$AH665,17,FALSE)-AVERAGE('The List'!R2:R665))/STDEV('The List'!R2:R665)</f>
        <v>-0.887973366762572</v>
      </c>
      <c r="F380" s="77">
        <f>(VLOOKUP($A380,'The List'!$B1:$AH665,18,FALSE)-AVERAGE('The List'!S2:S665))/STDEV('The List'!S2:S665)</f>
        <v>-0.402807275120677</v>
      </c>
      <c r="G380" s="77">
        <f>(VLOOKUP($A380,'The List'!$B1:$AH665,19,FALSE)-AVERAGE('The List'!T2:T665))/STDEV('The List'!T2:T665)</f>
        <v>-0.814275162836078</v>
      </c>
      <c r="H380" s="77">
        <f>(VLOOKUP($A380,'The List'!$B1:$AH665,20,FALSE)-AVERAGE('The List'!U2:U665))/STDEV('The List'!U2:U665)</f>
        <v>-0.688805714786981</v>
      </c>
      <c r="I380" s="77">
        <f>(VLOOKUP($A380,'The List'!$B1:$AH665,21,FALSE)-AVERAGE('The List'!V2:V665))/STDEV('The List'!V2:V665)</f>
        <v>-0.850917376475546</v>
      </c>
      <c r="J380" s="77">
        <f>(VLOOKUP($A380,'The List'!$B1:$AH665,22,FALSE)-AVERAGE('The List'!W2:W665))/STDEV('The List'!W2:W665)</f>
        <v>-0.701088367293209</v>
      </c>
      <c r="K380" s="77">
        <f>(VLOOKUP($A380,'The List'!$B1:$AH665,23,FALSE)-AVERAGE('The List'!X2:X665))/STDEV('The List'!X2:X665)</f>
        <v>-0.78487838992306</v>
      </c>
      <c r="L380" s="77">
        <f>(VLOOKUP($A380,'The List'!$B1:$AH665,24,FALSE)-AVERAGE('The List'!Y2:Y665))/STDEV('The List'!Y2:Y665)</f>
        <v>-0.331854109640943</v>
      </c>
      <c r="M380" s="77">
        <f>(VLOOKUP($A380,'The List'!$B1:$AH665,25,FALSE)-AVERAGE('The List'!Z2:Z665))/STDEV('The List'!Z2:Z665)</f>
        <v>-0.496528708304876</v>
      </c>
      <c r="N380" s="77">
        <f>(VLOOKUP($A380,'The List'!$B1:$AH665,26,FALSE)-AVERAGE('The List'!AA2:AA665))/STDEV('The List'!AA2:AA665)</f>
        <v>-0.613417039074857</v>
      </c>
      <c r="O380" s="77">
        <f>(VLOOKUP($A380,'The List'!$B1:$AH665,27,FALSE)-AVERAGE('The List'!AB2:AB665))/STDEV('The List'!AB2:AB665)</f>
        <v>0.07656867080377711</v>
      </c>
      <c r="P380" s="77">
        <f>(VLOOKUP($A380,'The List'!$B1:$AH665,28,FALSE)-AVERAGE('The List'!AC2:AC665))/STDEV('The List'!AC2:AC665)</f>
        <v>-1.47468218932765</v>
      </c>
      <c r="Q380" s="77">
        <f>(VLOOKUP($A380,'The List'!$B1:$AH665,29,FALSE)-AVERAGE('The List'!AD2:AD665))/STDEV('The List'!AD2:AD665)</f>
        <v>-1.03749750020467</v>
      </c>
      <c r="R380" s="77">
        <f>(VLOOKUP($A380,'The List'!$B1:$AH665,30,FALSE)-AVERAGE('The List'!AE2:AE665))/STDEV('The List'!AE2:AE665)</f>
        <v>-0.61440948356832</v>
      </c>
      <c r="S380" s="77">
        <f>(VLOOKUP($A380,'The List'!$B1:$AH665,31,FALSE)-AVERAGE('The List'!AF2:AF665))/STDEV('The List'!AF2:AF665)</f>
        <v>0.166425724235934</v>
      </c>
      <c r="T380" s="77">
        <f>(VLOOKUP($A380,'The List'!$B1:$AH665,32,FALSE)-AVERAGE('The List'!AG2:AG665))/STDEV('The List'!AG2:AG665)</f>
        <v>0.197895366552834</v>
      </c>
      <c r="U380" s="77">
        <f>(VLOOKUP($A380,'The List'!$B1:$AH665,33,FALSE)-AVERAGE('The List'!AH2:AH665))/STDEV('The List'!AH2:AH665)</f>
        <v>0.984127205959679</v>
      </c>
      <c r="V380" s="77"/>
      <c r="W380" s="89"/>
      <c r="X380" s="79"/>
      <c r="Y380" s="79"/>
      <c r="Z380" s="79"/>
      <c r="AA380" s="79"/>
      <c r="AB380" s="79"/>
      <c r="AC380" s="82"/>
      <c r="AD380" s="83"/>
      <c r="AE380" s="84"/>
    </row>
    <row r="381" ht="21.25" customHeight="1">
      <c r="A381" t="s" s="10">
        <v>637</v>
      </c>
      <c r="B381" t="s" s="86">
        <f>VLOOKUP(A381,'Player Data'!A1:B667,2,FALSE)</f>
        <v>910</v>
      </c>
      <c r="C381" s="74">
        <f>((E381)*'Settings'!$C$12)+(F381*'Settings'!$C$2)+(G381*'Settings'!$C$3)+(H381*'Settings'!$C$4)+(I381*'Settings'!$C$5)+(K381*'Settings'!$C$9)+(N381*'Settings'!$C$6)+(J381*'Settings'!$C$8)+(O381*'Settings'!$C$7)+(P381*'Settings'!$C$14)+(Q381*'Settings'!$C$15)+(R381*'Settings'!$C$16)+(S381*'Settings'!$C$17)+(T381*'Settings'!$C$18)+(U381*'Settings'!$C$19)+(L381*'Settings'!$C$10)+('Settings'!$C$11*M381)</f>
        <v>-2.9022861002785</v>
      </c>
      <c r="D381" s="79">
        <f>IF('Settings'!$E$12="YES",VLOOKUP(A381,'Player Data'!A1:E667,5,FALSE),82)</f>
        <v>74.655</v>
      </c>
      <c r="E381" s="77">
        <f>(VLOOKUP($A381,'The List'!$B1:$AH665,17,FALSE)-AVERAGE('The List'!R2:R665))/STDEV('The List'!R2:R665)</f>
        <v>-1.02370281895162</v>
      </c>
      <c r="F381" s="77">
        <f>(VLOOKUP($A381,'The List'!$B1:$AH665,18,FALSE)-AVERAGE('The List'!S2:S665))/STDEV('The List'!S2:S665)</f>
        <v>-0.339593604601757</v>
      </c>
      <c r="G381" s="77">
        <f>(VLOOKUP($A381,'The List'!$B1:$AH665,19,FALSE)-AVERAGE('The List'!T2:T665))/STDEV('The List'!T2:T665)</f>
        <v>-0.667442419211278</v>
      </c>
      <c r="H381" s="77">
        <f>(VLOOKUP($A381,'The List'!$B1:$AH665,20,FALSE)-AVERAGE('The List'!U2:U665))/STDEV('The List'!U2:U665)</f>
        <v>-0.568880706829925</v>
      </c>
      <c r="I381" s="77">
        <f>(VLOOKUP($A381,'The List'!$B1:$AH665,21,FALSE)-AVERAGE('The List'!V2:V665))/STDEV('The List'!V2:V665)</f>
        <v>-0.595082917914502</v>
      </c>
      <c r="J381" s="77">
        <f>(VLOOKUP($A381,'The List'!$B1:$AH665,22,FALSE)-AVERAGE('The List'!W2:W665))/STDEV('The List'!W2:W665)</f>
        <v>-0.675734823066431</v>
      </c>
      <c r="K381" s="77">
        <f>(VLOOKUP($A381,'The List'!$B1:$AH665,23,FALSE)-AVERAGE('The List'!X2:X665))/STDEV('The List'!X2:X665)</f>
        <v>-0.78793029289959</v>
      </c>
      <c r="L381" s="77">
        <f>(VLOOKUP($A381,'The List'!$B1:$AH665,24,FALSE)-AVERAGE('The List'!Y2:Y665))/STDEV('The List'!Y2:Y665)</f>
        <v>3.75039402293068</v>
      </c>
      <c r="M381" s="77">
        <f>(VLOOKUP($A381,'The List'!$B1:$AH665,25,FALSE)-AVERAGE('The List'!Z2:Z665))/STDEV('The List'!Z2:Z665)</f>
        <v>2.97327230288143</v>
      </c>
      <c r="N381" s="77">
        <f>(VLOOKUP($A381,'The List'!$B1:$AH665,26,FALSE)-AVERAGE('The List'!AA2:AA665))/STDEV('The List'!AA2:AA665)</f>
        <v>0.235205223027</v>
      </c>
      <c r="O381" s="77">
        <f>(VLOOKUP($A381,'The List'!$B1:$AH665,27,FALSE)-AVERAGE('The List'!AB2:AB665))/STDEV('The List'!AB2:AB665)</f>
        <v>-0.605108294235389</v>
      </c>
      <c r="P381" s="77">
        <f>(VLOOKUP($A381,'The List'!$B1:$AH665,28,FALSE)-AVERAGE('The List'!AC2:AC665))/STDEV('The List'!AC2:AC665)</f>
        <v>-0.747442088678373</v>
      </c>
      <c r="Q381" s="77">
        <f>(VLOOKUP($A381,'The List'!$B1:$AH665,29,FALSE)-AVERAGE('The List'!AD2:AD665))/STDEV('The List'!AD2:AD665)</f>
        <v>-1.49547538243559</v>
      </c>
      <c r="R381" s="77">
        <f>(VLOOKUP($A381,'The List'!$B1:$AH665,30,FALSE)-AVERAGE('The List'!AE2:AE665))/STDEV('The List'!AE2:AE665)</f>
        <v>-0.350319037433858</v>
      </c>
      <c r="S381" s="77">
        <f>(VLOOKUP($A381,'The List'!$B1:$AH665,31,FALSE)-AVERAGE('The List'!AF2:AF665))/STDEV('The List'!AF2:AF665)</f>
        <v>1.20035189306879</v>
      </c>
      <c r="T381" s="77">
        <f>(VLOOKUP($A381,'The List'!$B1:$AH665,32,FALSE)-AVERAGE('The List'!AG2:AG665))/STDEV('The List'!AG2:AG665)</f>
        <v>1.44801646383841</v>
      </c>
      <c r="U381" s="77">
        <f>(VLOOKUP($A381,'The List'!$B1:$AH665,33,FALSE)-AVERAGE('The List'!AH2:AH665))/STDEV('The List'!AH2:AH665)</f>
        <v>0.928307135286109</v>
      </c>
      <c r="V381" s="77"/>
      <c r="W381" s="89"/>
      <c r="X381" s="79"/>
      <c r="Y381" s="79"/>
      <c r="Z381" s="79"/>
      <c r="AA381" s="79"/>
      <c r="AB381" s="79"/>
      <c r="AC381" s="82"/>
      <c r="AD381" s="83"/>
      <c r="AE381" s="84"/>
    </row>
    <row r="382" ht="21.25" customHeight="1">
      <c r="A382" t="s" s="10">
        <v>505</v>
      </c>
      <c r="B382" t="s" s="86">
        <f>VLOOKUP(A382,'Player Data'!A1:B667,2,FALSE)</f>
        <v>908</v>
      </c>
      <c r="C382" s="74">
        <f>((E382)*'Settings'!$C$12)+(F382*'Settings'!$C$2)+(G382*'Settings'!$C$3)+(H382*'Settings'!$C$4)+(I382*'Settings'!$C$5)+(K382*'Settings'!$C$9)+(N382*'Settings'!$C$6)+(J382*'Settings'!$C$8)+(O382*'Settings'!$C$7)+(P382*'Settings'!$C$14)+(Q382*'Settings'!$C$15)+(R382*'Settings'!$C$16)+(S382*'Settings'!$C$17)+(T382*'Settings'!$C$18)+(U382*'Settings'!$C$19)+(L382*'Settings'!$C$10)+('Settings'!$C$11*M382)</f>
        <v>-3.64610941793963</v>
      </c>
      <c r="D382" s="79">
        <f>IF('Settings'!$E$12="YES",VLOOKUP(A382,'Player Data'!A1:E667,5,FALSE),82)</f>
        <v>72.1675</v>
      </c>
      <c r="E382" s="77">
        <f>(VLOOKUP($A382,'The List'!$B1:$AH665,17,FALSE)-AVERAGE('The List'!R2:R665))/STDEV('The List'!R2:R665)</f>
        <v>-1.23436675011739</v>
      </c>
      <c r="F382" s="77">
        <f>(VLOOKUP($A382,'The List'!$B1:$AH665,18,FALSE)-AVERAGE('The List'!S2:S665))/STDEV('The List'!S2:S665)</f>
        <v>-0.438719411783886</v>
      </c>
      <c r="G382" s="77">
        <f>(VLOOKUP($A382,'The List'!$B1:$AH665,19,FALSE)-AVERAGE('The List'!T2:T665))/STDEV('The List'!T2:T665)</f>
        <v>-0.654319754531783</v>
      </c>
      <c r="H382" s="77">
        <f>(VLOOKUP($A382,'The List'!$B1:$AH665,20,FALSE)-AVERAGE('The List'!U2:U665))/STDEV('The List'!U2:U665)</f>
        <v>-0.605788185393386</v>
      </c>
      <c r="I382" s="77">
        <f>(VLOOKUP($A382,'The List'!$B1:$AH665,21,FALSE)-AVERAGE('The List'!V2:V665))/STDEV('The List'!V2:V665)</f>
        <v>-1.09926579565593</v>
      </c>
      <c r="J382" s="77">
        <f>(VLOOKUP($A382,'The List'!$B1:$AH665,22,FALSE)-AVERAGE('The List'!W2:W665))/STDEV('The List'!W2:W665)</f>
        <v>-0.728832820823725</v>
      </c>
      <c r="K382" s="77">
        <f>(VLOOKUP($A382,'The List'!$B1:$AH665,23,FALSE)-AVERAGE('The List'!X2:X665))/STDEV('The List'!X2:X665)</f>
        <v>-0.811423755185788</v>
      </c>
      <c r="L382" s="77">
        <f>(VLOOKUP($A382,'The List'!$B1:$AH665,24,FALSE)-AVERAGE('The List'!Y2:Y665))/STDEV('The List'!Y2:Y665)</f>
        <v>-0.401661031381203</v>
      </c>
      <c r="M382" s="77">
        <f>(VLOOKUP($A382,'The List'!$B1:$AH665,25,FALSE)-AVERAGE('The List'!Z2:Z665))/STDEV('The List'!Z2:Z665)</f>
        <v>-0.572026290506247</v>
      </c>
      <c r="N382" s="77">
        <f>(VLOOKUP($A382,'The List'!$B1:$AH665,26,FALSE)-AVERAGE('The List'!AA2:AA665))/STDEV('The List'!AA2:AA665)</f>
        <v>-0.552922614554872</v>
      </c>
      <c r="O382" s="77">
        <f>(VLOOKUP($A382,'The List'!$B1:$AH665,27,FALSE)-AVERAGE('The List'!AB2:AB665))/STDEV('The List'!AB2:AB665)</f>
        <v>2.50178346820262</v>
      </c>
      <c r="P382" s="77">
        <f>(VLOOKUP($A382,'The List'!$B1:$AH665,28,FALSE)-AVERAGE('The List'!AC2:AC665))/STDEV('The List'!AC2:AC665)</f>
        <v>-0.0894580862273698</v>
      </c>
      <c r="Q382" s="77">
        <f>(VLOOKUP($A382,'The List'!$B1:$AH665,29,FALSE)-AVERAGE('The List'!AD2:AD665))/STDEV('The List'!AD2:AD665)</f>
        <v>0.749511823245449</v>
      </c>
      <c r="R382" s="77">
        <f>(VLOOKUP($A382,'The List'!$B1:$AH665,30,FALSE)-AVERAGE('The List'!AE2:AE665))/STDEV('The List'!AE2:AE665)</f>
        <v>-0.434619747223593</v>
      </c>
      <c r="S382" s="77">
        <f>(VLOOKUP($A382,'The List'!$B1:$AH665,31,FALSE)-AVERAGE('The List'!AF2:AF665))/STDEV('The List'!AF2:AF665)</f>
        <v>0.869797955744762</v>
      </c>
      <c r="T382" s="77">
        <f>(VLOOKUP($A382,'The List'!$B1:$AH665,32,FALSE)-AVERAGE('The List'!AG2:AG665))/STDEV('The List'!AG2:AG665)</f>
        <v>1.3180473434749</v>
      </c>
      <c r="U382" s="77">
        <f>(VLOOKUP($A382,'The List'!$B1:$AH665,33,FALSE)-AVERAGE('The List'!AH2:AH665))/STDEV('The List'!AH2:AH665)</f>
        <v>0.769158982451821</v>
      </c>
      <c r="V382" s="77"/>
      <c r="W382" s="89"/>
      <c r="X382" s="79"/>
      <c r="Y382" s="79"/>
      <c r="Z382" s="79"/>
      <c r="AA382" s="79"/>
      <c r="AB382" s="79"/>
      <c r="AC382" s="82"/>
      <c r="AD382" s="83"/>
      <c r="AE382" s="84"/>
    </row>
    <row r="383" ht="21.25" customHeight="1">
      <c r="A383" t="s" s="10">
        <v>407</v>
      </c>
      <c r="B383" t="s" s="86">
        <f>VLOOKUP(A383,'Player Data'!A1:B667,2,FALSE)</f>
        <v>902</v>
      </c>
      <c r="C383" s="74">
        <f>((E383)*'Settings'!$C$12)+(F383*'Settings'!$C$2)+(G383*'Settings'!$C$3)+(H383*'Settings'!$C$4)+(I383*'Settings'!$C$5)+(K383*'Settings'!$C$9)+(N383*'Settings'!$C$6)+(J383*'Settings'!$C$8)+(O383*'Settings'!$C$7)+(P383*'Settings'!$C$14)+(Q383*'Settings'!$C$15)+(R383*'Settings'!$C$16)+(S383*'Settings'!$C$17)+(T383*'Settings'!$C$18)+(U383*'Settings'!$C$19)+(L383*'Settings'!$C$10)+('Settings'!$C$11*M383)</f>
        <v>1.45236530151563</v>
      </c>
      <c r="D383" s="79">
        <f>IF('Settings'!$E$12="YES",VLOOKUP(A383,'Player Data'!A1:E667,5,FALSE),82)</f>
        <v>81.43000000000001</v>
      </c>
      <c r="E383" s="77">
        <f>(VLOOKUP($A383,'The List'!$B1:$AH665,17,FALSE)-AVERAGE('The List'!R2:R665))/STDEV('The List'!R2:R665)</f>
        <v>1.26813620901796</v>
      </c>
      <c r="F383" s="77">
        <f>(VLOOKUP($A383,'The List'!$B1:$AH665,18,FALSE)-AVERAGE('The List'!S2:S665))/STDEV('The List'!S2:S665)</f>
        <v>-0.743596202563382</v>
      </c>
      <c r="G383" s="77">
        <f>(VLOOKUP($A383,'The List'!$B1:$AH665,19,FALSE)-AVERAGE('The List'!T2:T665))/STDEV('The List'!T2:T665)</f>
        <v>-0.216500885125752</v>
      </c>
      <c r="H383" s="77">
        <f>(VLOOKUP($A383,'The List'!$B1:$AH665,20,FALSE)-AVERAGE('The List'!U2:U665))/STDEV('The List'!U2:U665)</f>
        <v>-0.472459043129341</v>
      </c>
      <c r="I383" s="77">
        <f>(VLOOKUP($A383,'The List'!$B1:$AH665,21,FALSE)-AVERAGE('The List'!V2:V665))/STDEV('The List'!V2:V665)</f>
        <v>-0.219016734720887</v>
      </c>
      <c r="J383" s="77">
        <f>(VLOOKUP($A383,'The List'!$B1:$AH665,22,FALSE)-AVERAGE('The List'!W2:W665))/STDEV('The List'!W2:W665)</f>
        <v>-0.736139085784482</v>
      </c>
      <c r="K383" s="77">
        <f>(VLOOKUP($A383,'The List'!$B1:$AH665,23,FALSE)-AVERAGE('The List'!X2:X665))/STDEV('The List'!X2:X665)</f>
        <v>-0.787541750997517</v>
      </c>
      <c r="L383" s="77">
        <f>(VLOOKUP($A383,'The List'!$B1:$AH665,24,FALSE)-AVERAGE('The List'!Y2:Y665))/STDEV('The List'!Y2:Y665)</f>
        <v>-0.20655729353611</v>
      </c>
      <c r="M383" s="77">
        <f>(VLOOKUP($A383,'The List'!$B1:$AH665,25,FALSE)-AVERAGE('The List'!Z2:Z665))/STDEV('The List'!Z2:Z665)</f>
        <v>1.20158501165759</v>
      </c>
      <c r="N383" s="77">
        <f>(VLOOKUP($A383,'The List'!$B1:$AH665,26,FALSE)-AVERAGE('The List'!AA2:AA665))/STDEV('The List'!AA2:AA665)</f>
        <v>2.27694191510474</v>
      </c>
      <c r="O383" s="77">
        <f>(VLOOKUP($A383,'The List'!$B1:$AH665,27,FALSE)-AVERAGE('The List'!AB2:AB665))/STDEV('The List'!AB2:AB665)</f>
        <v>-0.0491544019436916</v>
      </c>
      <c r="P383" s="77">
        <f>(VLOOKUP($A383,'The List'!$B1:$AH665,28,FALSE)-AVERAGE('The List'!AC2:AC665))/STDEV('The List'!AC2:AC665)</f>
        <v>1.14207895981843</v>
      </c>
      <c r="Q383" s="77">
        <f>(VLOOKUP($A383,'The List'!$B1:$AH665,29,FALSE)-AVERAGE('The List'!AD2:AD665))/STDEV('The List'!AD2:AD665)</f>
        <v>-1.11254213582849</v>
      </c>
      <c r="R383" s="77">
        <f>(VLOOKUP($A383,'The List'!$B1:$AH665,30,FALSE)-AVERAGE('The List'!AE2:AE665))/STDEV('The List'!AE2:AE665)</f>
        <v>-0.6695236221062399</v>
      </c>
      <c r="S383" s="77">
        <f>(VLOOKUP($A383,'The List'!$B1:$AH665,31,FALSE)-AVERAGE('The List'!AF2:AF665))/STDEV('The List'!AF2:AF665)</f>
        <v>-0.573894410680004</v>
      </c>
      <c r="T383" s="77">
        <f>(VLOOKUP($A383,'The List'!$B1:$AH665,32,FALSE)-AVERAGE('The List'!AG2:AG665))/STDEV('The List'!AG2:AG665)</f>
        <v>-0.6249879426412021</v>
      </c>
      <c r="U383" s="77">
        <f>(VLOOKUP($A383,'The List'!$B1:$AH665,33,FALSE)-AVERAGE('The List'!AH2:AH665))/STDEV('The List'!AH2:AH665)</f>
        <v>-1.23143509451486</v>
      </c>
      <c r="V383" s="77"/>
      <c r="W383" s="89"/>
      <c r="X383" s="79"/>
      <c r="Y383" s="79"/>
      <c r="Z383" s="79"/>
      <c r="AA383" s="79"/>
      <c r="AB383" s="79"/>
      <c r="AC383" s="82"/>
      <c r="AD383" s="83"/>
      <c r="AE383" s="84"/>
    </row>
    <row r="384" ht="21.25" customHeight="1">
      <c r="A384" t="s" s="10">
        <v>254</v>
      </c>
      <c r="B384" t="s" s="86">
        <f>VLOOKUP(A384,'Player Data'!A1:B667,2,FALSE)</f>
        <v>878</v>
      </c>
      <c r="C384" s="74">
        <f>((E384)*'Settings'!$C$12)+(F384*'Settings'!$C$2)+(G384*'Settings'!$C$3)+(H384*'Settings'!$C$4)+(I384*'Settings'!$C$5)+(K384*'Settings'!$C$9)+(N384*'Settings'!$C$6)+(J384*'Settings'!$C$8)+(O384*'Settings'!$C$7)+(P384*'Settings'!$C$14)+(Q384*'Settings'!$C$15)+(R384*'Settings'!$C$16)+(S384*'Settings'!$C$17)+(T384*'Settings'!$C$18)+(U384*'Settings'!$C$19)+(L384*'Settings'!$C$10)+('Settings'!$C$11*M384)</f>
        <v>1.62005708548727</v>
      </c>
      <c r="D384" s="79">
        <f>IF('Settings'!$E$12="YES",VLOOKUP(A384,'Player Data'!A1:E667,5,FALSE),82)</f>
        <v>79.6225</v>
      </c>
      <c r="E384" s="77">
        <f>(VLOOKUP($A384,'The List'!$B1:$AH665,17,FALSE)-AVERAGE('The List'!R2:R665))/STDEV('The List'!R2:R665)</f>
        <v>0.93239496648076</v>
      </c>
      <c r="F384" s="77">
        <f>(VLOOKUP($A384,'The List'!$B1:$AH665,18,FALSE)-AVERAGE('The List'!S2:S665))/STDEV('The List'!S2:S665)</f>
        <v>-0.7839374579271901</v>
      </c>
      <c r="G384" s="77">
        <f>(VLOOKUP($A384,'The List'!$B1:$AH665,19,FALSE)-AVERAGE('The List'!T2:T665))/STDEV('The List'!T2:T665)</f>
        <v>-0.232780031981645</v>
      </c>
      <c r="H384" s="77">
        <f>(VLOOKUP($A384,'The List'!$B1:$AH665,20,FALSE)-AVERAGE('The List'!U2:U665))/STDEV('The List'!U2:U665)</f>
        <v>-0.500906326809217</v>
      </c>
      <c r="I384" s="77">
        <f>(VLOOKUP($A384,'The List'!$B1:$AH665,21,FALSE)-AVERAGE('The List'!V2:V665))/STDEV('The List'!V2:V665)</f>
        <v>0.226548862204348</v>
      </c>
      <c r="J384" s="77">
        <f>(VLOOKUP($A384,'The List'!$B1:$AH665,22,FALSE)-AVERAGE('The List'!W2:W665))/STDEV('The List'!W2:W665)</f>
        <v>-0.664039907299056</v>
      </c>
      <c r="K384" s="77">
        <f>(VLOOKUP($A384,'The List'!$B1:$AH665,23,FALSE)-AVERAGE('The List'!X2:X665))/STDEV('The List'!X2:X665)</f>
        <v>-0.716077462356605</v>
      </c>
      <c r="L384" s="77">
        <f>(VLOOKUP($A384,'The List'!$B1:$AH665,24,FALSE)-AVERAGE('The List'!Y2:Y665))/STDEV('The List'!Y2:Y665)</f>
        <v>-0.523592638826225</v>
      </c>
      <c r="M384" s="77">
        <f>(VLOOKUP($A384,'The List'!$B1:$AH665,25,FALSE)-AVERAGE('The List'!Z2:Z665))/STDEV('The List'!Z2:Z665)</f>
        <v>0.480124912302988</v>
      </c>
      <c r="N384" s="77">
        <f>(VLOOKUP($A384,'The List'!$B1:$AH665,26,FALSE)-AVERAGE('The List'!AA2:AA665))/STDEV('The List'!AA2:AA665)</f>
        <v>2.75798556751962</v>
      </c>
      <c r="O384" s="77">
        <f>(VLOOKUP($A384,'The List'!$B1:$AH665,27,FALSE)-AVERAGE('The List'!AB2:AB665))/STDEV('The List'!AB2:AB665)</f>
        <v>1.99243098103686</v>
      </c>
      <c r="P384" s="77">
        <f>(VLOOKUP($A384,'The List'!$B1:$AH665,28,FALSE)-AVERAGE('The List'!AC2:AC665))/STDEV('The List'!AC2:AC665)</f>
        <v>0.368317608028746</v>
      </c>
      <c r="Q384" s="77">
        <f>(VLOOKUP($A384,'The List'!$B1:$AH665,29,FALSE)-AVERAGE('The List'!AD2:AD665))/STDEV('The List'!AD2:AD665)</f>
        <v>1.93549618716084</v>
      </c>
      <c r="R384" s="77">
        <f>(VLOOKUP($A384,'The List'!$B1:$AH665,30,FALSE)-AVERAGE('The List'!AE2:AE665))/STDEV('The List'!AE2:AE665)</f>
        <v>-0.698448254211622</v>
      </c>
      <c r="S384" s="77">
        <f>(VLOOKUP($A384,'The List'!$B1:$AH665,31,FALSE)-AVERAGE('The List'!AF2:AF665))/STDEV('The List'!AF2:AF665)</f>
        <v>-0.573894410680004</v>
      </c>
      <c r="T384" s="77">
        <f>(VLOOKUP($A384,'The List'!$B1:$AH665,32,FALSE)-AVERAGE('The List'!AG2:AG665))/STDEV('The List'!AG2:AG665)</f>
        <v>-0.62499554354507</v>
      </c>
      <c r="U384" s="77">
        <f>(VLOOKUP($A384,'The List'!$B1:$AH665,33,FALSE)-AVERAGE('The List'!AH2:AH665))/STDEV('The List'!AH2:AH665)</f>
        <v>-1.23143509451486</v>
      </c>
      <c r="V384" s="77"/>
      <c r="W384" s="89"/>
      <c r="X384" s="79"/>
      <c r="Y384" s="79"/>
      <c r="Z384" s="79"/>
      <c r="AA384" s="79"/>
      <c r="AB384" s="79"/>
      <c r="AC384" s="82"/>
      <c r="AD384" s="83"/>
      <c r="AE384" s="84"/>
    </row>
    <row r="385" ht="21.25" customHeight="1">
      <c r="A385" t="s" s="10">
        <v>522</v>
      </c>
      <c r="B385" t="s" s="86">
        <f>VLOOKUP(A385,'Player Data'!A1:B667,2,FALSE)</f>
        <v>165</v>
      </c>
      <c r="C385" s="74">
        <f>((E385)*'Settings'!$C$12)+(F385*'Settings'!$C$2)+(G385*'Settings'!$C$3)+(H385*'Settings'!$C$4)+(I385*'Settings'!$C$5)+(K385*'Settings'!$C$9)+(N385*'Settings'!$C$6)+(J385*'Settings'!$C$8)+(O385*'Settings'!$C$7)+(P385*'Settings'!$C$14)+(Q385*'Settings'!$C$15)+(R385*'Settings'!$C$16)+(S385*'Settings'!$C$17)+(T385*'Settings'!$C$18)+(U385*'Settings'!$C$19)+(L385*'Settings'!$C$10)+('Settings'!$C$11*M385)</f>
        <v>-0.928146820210431</v>
      </c>
      <c r="D385" s="79">
        <f>IF('Settings'!$E$12="YES",VLOOKUP(A385,'Player Data'!A1:E667,5,FALSE),82)</f>
        <v>74.56999999999999</v>
      </c>
      <c r="E385" s="77">
        <f>(VLOOKUP($A385,'The List'!$B1:$AH665,17,FALSE)-AVERAGE('The List'!R2:R665))/STDEV('The List'!R2:R665)</f>
        <v>0.991868748955184</v>
      </c>
      <c r="F385" s="77">
        <f>(VLOOKUP($A385,'The List'!$B1:$AH665,18,FALSE)-AVERAGE('The List'!S2:S665))/STDEV('The List'!S2:S665)</f>
        <v>-0.924180792988477</v>
      </c>
      <c r="G385" s="77">
        <f>(VLOOKUP($A385,'The List'!$B1:$AH665,19,FALSE)-AVERAGE('The List'!T2:T665))/STDEV('The List'!T2:T665)</f>
        <v>-0.251118739130727</v>
      </c>
      <c r="H385" s="77">
        <f>(VLOOKUP($A385,'The List'!$B1:$AH665,20,FALSE)-AVERAGE('The List'!U2:U665))/STDEV('The List'!U2:U665)</f>
        <v>-0.576042957185889</v>
      </c>
      <c r="I385" s="77">
        <f>(VLOOKUP($A385,'The List'!$B1:$AH665,21,FALSE)-AVERAGE('The List'!V2:V665))/STDEV('The List'!V2:V665)</f>
        <v>-0.726327078031696</v>
      </c>
      <c r="J385" s="77">
        <f>(VLOOKUP($A385,'The List'!$B1:$AH665,22,FALSE)-AVERAGE('The List'!W2:W665))/STDEV('The List'!W2:W665)</f>
        <v>-0.711335746277314</v>
      </c>
      <c r="K385" s="77">
        <f>(VLOOKUP($A385,'The List'!$B1:$AH665,23,FALSE)-AVERAGE('The List'!X2:X665))/STDEV('The List'!X2:X665)</f>
        <v>-0.747772881881072</v>
      </c>
      <c r="L385" s="77">
        <f>(VLOOKUP($A385,'The List'!$B1:$AH665,24,FALSE)-AVERAGE('The List'!Y2:Y665))/STDEV('The List'!Y2:Y665)</f>
        <v>0.306896682666745</v>
      </c>
      <c r="M385" s="77">
        <f>(VLOOKUP($A385,'The List'!$B1:$AH665,25,FALSE)-AVERAGE('The List'!Z2:Z665))/STDEV('The List'!Z2:Z665)</f>
        <v>0.0774279609293464</v>
      </c>
      <c r="N385" s="77">
        <f>(VLOOKUP($A385,'The List'!$B1:$AH665,26,FALSE)-AVERAGE('The List'!AA2:AA665))/STDEV('The List'!AA2:AA665)</f>
        <v>1.78940882933763</v>
      </c>
      <c r="O385" s="77">
        <f>(VLOOKUP($A385,'The List'!$B1:$AH665,27,FALSE)-AVERAGE('The List'!AB2:AB665))/STDEV('The List'!AB2:AB665)</f>
        <v>-0.182079443150891</v>
      </c>
      <c r="P385" s="77">
        <f>(VLOOKUP($A385,'The List'!$B1:$AH665,28,FALSE)-AVERAGE('The List'!AC2:AC665))/STDEV('The List'!AC2:AC665)</f>
        <v>-0.0681561575160894</v>
      </c>
      <c r="Q385" s="77">
        <f>(VLOOKUP($A385,'The List'!$B1:$AH665,29,FALSE)-AVERAGE('The List'!AD2:AD665))/STDEV('The List'!AD2:AD665)</f>
        <v>0.95463446273622</v>
      </c>
      <c r="R385" s="77">
        <f>(VLOOKUP($A385,'The List'!$B1:$AH665,30,FALSE)-AVERAGE('The List'!AE2:AE665))/STDEV('The List'!AE2:AE665)</f>
        <v>-0.903027766949451</v>
      </c>
      <c r="S385" s="77">
        <f>(VLOOKUP($A385,'The List'!$B1:$AH665,31,FALSE)-AVERAGE('The List'!AF2:AF665))/STDEV('The List'!AF2:AF665)</f>
        <v>-0.573894410680004</v>
      </c>
      <c r="T385" s="77">
        <f>(VLOOKUP($A385,'The List'!$B1:$AH665,32,FALSE)-AVERAGE('The List'!AG2:AG665))/STDEV('The List'!AG2:AG665)</f>
        <v>-0.624905374606278</v>
      </c>
      <c r="U385" s="77">
        <f>(VLOOKUP($A385,'The List'!$B1:$AH665,33,FALSE)-AVERAGE('The List'!AH2:AH665))/STDEV('The List'!AH2:AH665)</f>
        <v>-1.23143509451486</v>
      </c>
      <c r="V385" s="77"/>
      <c r="W385" s="79"/>
      <c r="X385" s="77"/>
      <c r="Y385" s="77"/>
      <c r="Z385" s="77"/>
      <c r="AA385" s="77"/>
      <c r="AB385" s="77"/>
      <c r="AC385" s="77"/>
      <c r="AD385" s="77"/>
      <c r="AE385" s="84"/>
    </row>
    <row r="386" ht="21.25" customHeight="1">
      <c r="A386" t="s" s="10">
        <v>583</v>
      </c>
      <c r="B386" t="s" s="86">
        <f>VLOOKUP(A386,'Player Data'!A1:B667,2,FALSE)</f>
        <v>154</v>
      </c>
      <c r="C386" s="74">
        <f>((E386)*'Settings'!$C$12)+(F386*'Settings'!$C$2)+(G386*'Settings'!$C$3)+(H386*'Settings'!$C$4)+(I386*'Settings'!$C$5)+(K386*'Settings'!$C$9)+(N386*'Settings'!$C$6)+(J386*'Settings'!$C$8)+(O386*'Settings'!$C$7)+(P386*'Settings'!$C$14)+(Q386*'Settings'!$C$15)+(R386*'Settings'!$C$16)+(S386*'Settings'!$C$17)+(T386*'Settings'!$C$18)+(U386*'Settings'!$C$19)+(L386*'Settings'!$C$10)+('Settings'!$C$11*M386)</f>
        <v>-2.52412538058527</v>
      </c>
      <c r="D386" s="79">
        <f>IF('Settings'!$E$12="YES",VLOOKUP(A386,'Player Data'!A1:E667,5,FALSE),82)</f>
        <v>74.61750000000001</v>
      </c>
      <c r="E386" s="77">
        <f>(VLOOKUP($A386,'The List'!$B1:$AH665,17,FALSE)-AVERAGE('The List'!R2:R665))/STDEV('The List'!R2:R665)</f>
        <v>-0.505758459968378</v>
      </c>
      <c r="F386" s="77">
        <f>(VLOOKUP($A386,'The List'!$B1:$AH665,18,FALSE)-AVERAGE('The List'!S2:S665))/STDEV('The List'!S2:S665)</f>
        <v>-0.411079891595501</v>
      </c>
      <c r="G386" s="77">
        <f>(VLOOKUP($A386,'The List'!$B1:$AH665,19,FALSE)-AVERAGE('The List'!T2:T665))/STDEV('The List'!T2:T665)</f>
        <v>-0.626297596623561</v>
      </c>
      <c r="H386" s="77">
        <f>(VLOOKUP($A386,'The List'!$B1:$AH665,20,FALSE)-AVERAGE('The List'!U2:U665))/STDEV('The List'!U2:U665)</f>
        <v>-0.575821373961813</v>
      </c>
      <c r="I386" s="77">
        <f>(VLOOKUP($A386,'The List'!$B1:$AH665,21,FALSE)-AVERAGE('The List'!V2:V665))/STDEV('The List'!V2:V665)</f>
        <v>-0.396414109203448</v>
      </c>
      <c r="J386" s="77">
        <f>(VLOOKUP($A386,'The List'!$B1:$AH665,22,FALSE)-AVERAGE('The List'!W2:W665))/STDEV('The List'!W2:W665)</f>
        <v>-0.659892553362222</v>
      </c>
      <c r="K386" s="77">
        <f>(VLOOKUP($A386,'The List'!$B1:$AH665,23,FALSE)-AVERAGE('The List'!X2:X665))/STDEV('The List'!X2:X665)</f>
        <v>-0.713940841293392</v>
      </c>
      <c r="L386" s="77">
        <f>(VLOOKUP($A386,'The List'!$B1:$AH665,24,FALSE)-AVERAGE('The List'!Y2:Y665))/STDEV('The List'!Y2:Y665)</f>
        <v>-0.375217306885251</v>
      </c>
      <c r="M386" s="77">
        <f>(VLOOKUP($A386,'The List'!$B1:$AH665,25,FALSE)-AVERAGE('The List'!Z2:Z665))/STDEV('The List'!Z2:Z665)</f>
        <v>0.243995213697125</v>
      </c>
      <c r="N386" s="77">
        <f>(VLOOKUP($A386,'The List'!$B1:$AH665,26,FALSE)-AVERAGE('The List'!AA2:AA665))/STDEV('The List'!AA2:AA665)</f>
        <v>-0.156004885109833</v>
      </c>
      <c r="O386" s="77">
        <f>(VLOOKUP($A386,'The List'!$B1:$AH665,27,FALSE)-AVERAGE('The List'!AB2:AB665))/STDEV('The List'!AB2:AB665)</f>
        <v>0.832575143232465</v>
      </c>
      <c r="P386" s="77">
        <f>(VLOOKUP($A386,'The List'!$B1:$AH665,28,FALSE)-AVERAGE('The List'!AC2:AC665))/STDEV('The List'!AC2:AC665)</f>
        <v>-0.220388056759538</v>
      </c>
      <c r="Q386" s="77">
        <f>(VLOOKUP($A386,'The List'!$B1:$AH665,29,FALSE)-AVERAGE('The List'!AD2:AD665))/STDEV('The List'!AD2:AD665)</f>
        <v>1.25032895487179</v>
      </c>
      <c r="R386" s="77">
        <f>(VLOOKUP($A386,'The List'!$B1:$AH665,30,FALSE)-AVERAGE('The List'!AE2:AE665))/STDEV('The List'!AE2:AE665)</f>
        <v>-0.437514910884904</v>
      </c>
      <c r="S386" s="77">
        <f>(VLOOKUP($A386,'The List'!$B1:$AH665,31,FALSE)-AVERAGE('The List'!AF2:AF665))/STDEV('The List'!AF2:AF665)</f>
        <v>-0.506847699054802</v>
      </c>
      <c r="T386" s="77">
        <f>(VLOOKUP($A386,'The List'!$B1:$AH665,32,FALSE)-AVERAGE('The List'!AG2:AG665))/STDEV('The List'!AG2:AG665)</f>
        <v>-0.431324640505575</v>
      </c>
      <c r="U386" s="77">
        <f>(VLOOKUP($A386,'The List'!$B1:$AH665,33,FALSE)-AVERAGE('The List'!AH2:AH665))/STDEV('The List'!AH2:AH665)</f>
        <v>-0.0150369825471563</v>
      </c>
      <c r="V386" s="77"/>
      <c r="W386" s="89"/>
      <c r="X386" s="79"/>
      <c r="Y386" s="79"/>
      <c r="Z386" s="79"/>
      <c r="AA386" s="79"/>
      <c r="AB386" s="79"/>
      <c r="AC386" s="82"/>
      <c r="AD386" s="83"/>
      <c r="AE386" s="84"/>
    </row>
    <row r="387" ht="21.25" customHeight="1">
      <c r="A387" t="s" s="10">
        <v>651</v>
      </c>
      <c r="B387" t="s" s="86">
        <f>VLOOKUP(A387,'Player Data'!A1:B667,2,FALSE)</f>
        <v>132</v>
      </c>
      <c r="C387" s="74">
        <f>((E387)*'Settings'!$C$12)+(F387*'Settings'!$C$2)+(G387*'Settings'!$C$3)+(H387*'Settings'!$C$4)+(I387*'Settings'!$C$5)+(K387*'Settings'!$C$9)+(N387*'Settings'!$C$6)+(J387*'Settings'!$C$8)+(O387*'Settings'!$C$7)+(P387*'Settings'!$C$14)+(Q387*'Settings'!$C$15)+(R387*'Settings'!$C$16)+(S387*'Settings'!$C$17)+(T387*'Settings'!$C$18)+(U387*'Settings'!$C$19)+(L387*'Settings'!$C$10)+('Settings'!$C$11*M387)</f>
        <v>-1.5608254147011</v>
      </c>
      <c r="D387" s="79">
        <f>IF('Settings'!$E$12="YES",VLOOKUP(A387,'Player Data'!A1:E667,5,FALSE),82)</f>
        <v>77.52500000000001</v>
      </c>
      <c r="E387" s="77">
        <f>(VLOOKUP($A387,'The List'!$B1:$AH665,17,FALSE)-AVERAGE('The List'!R2:R665))/STDEV('The List'!R2:R665)</f>
        <v>0.152219682076416</v>
      </c>
      <c r="F387" s="77">
        <f>(VLOOKUP($A387,'The List'!$B1:$AH665,18,FALSE)-AVERAGE('The List'!S2:S665))/STDEV('The List'!S2:S665)</f>
        <v>-0.878980583440821</v>
      </c>
      <c r="G387" s="77">
        <f>(VLOOKUP($A387,'The List'!$B1:$AH665,19,FALSE)-AVERAGE('The List'!T2:T665))/STDEV('The List'!T2:T665)</f>
        <v>-0.227026461778261</v>
      </c>
      <c r="H387" s="77">
        <f>(VLOOKUP($A387,'The List'!$B1:$AH665,20,FALSE)-AVERAGE('The List'!U2:U665))/STDEV('The List'!U2:U665)</f>
        <v>-0.540534654508857</v>
      </c>
      <c r="I387" s="77">
        <f>(VLOOKUP($A387,'The List'!$B1:$AH665,21,FALSE)-AVERAGE('The List'!V2:V665))/STDEV('The List'!V2:V665)</f>
        <v>-0.3775831181264</v>
      </c>
      <c r="J387" s="77">
        <f>(VLOOKUP($A387,'The List'!$B1:$AH665,22,FALSE)-AVERAGE('The List'!W2:W665))/STDEV('The List'!W2:W665)</f>
        <v>-0.486844967615938</v>
      </c>
      <c r="K387" s="77">
        <f>(VLOOKUP($A387,'The List'!$B1:$AH665,23,FALSE)-AVERAGE('The List'!X2:X665))/STDEV('The List'!X2:X665)</f>
        <v>-0.07239014059332489</v>
      </c>
      <c r="L387" s="77">
        <f>(VLOOKUP($A387,'The List'!$B1:$AH665,24,FALSE)-AVERAGE('The List'!Y2:Y665))/STDEV('The List'!Y2:Y665)</f>
        <v>-0.556094376235032</v>
      </c>
      <c r="M387" s="77">
        <f>(VLOOKUP($A387,'The List'!$B1:$AH665,25,FALSE)-AVERAGE('The List'!Z2:Z665))/STDEV('The List'!Z2:Z665)</f>
        <v>-0.5184169029339319</v>
      </c>
      <c r="N387" s="77">
        <f>(VLOOKUP($A387,'The List'!$B1:$AH665,26,FALSE)-AVERAGE('The List'!AA2:AA665))/STDEV('The List'!AA2:AA665)</f>
        <v>0.137532604455552</v>
      </c>
      <c r="O387" s="77">
        <f>(VLOOKUP($A387,'The List'!$B1:$AH665,27,FALSE)-AVERAGE('The List'!AB2:AB665))/STDEV('The List'!AB2:AB665)</f>
        <v>0.0467553602896842</v>
      </c>
      <c r="P387" s="77">
        <f>(VLOOKUP($A387,'The List'!$B1:$AH665,28,FALSE)-AVERAGE('The List'!AC2:AC665))/STDEV('The List'!AC2:AC665)</f>
        <v>-0.142377715217844</v>
      </c>
      <c r="Q387" s="77">
        <f>(VLOOKUP($A387,'The List'!$B1:$AH665,29,FALSE)-AVERAGE('The List'!AD2:AD665))/STDEV('The List'!AD2:AD665)</f>
        <v>0.637318562577462</v>
      </c>
      <c r="R387" s="77">
        <f>(VLOOKUP($A387,'The List'!$B1:$AH665,30,FALSE)-AVERAGE('The List'!AE2:AE665))/STDEV('The List'!AE2:AE665)</f>
        <v>-0.8083064351188169</v>
      </c>
      <c r="S387" s="77">
        <f>(VLOOKUP($A387,'The List'!$B1:$AH665,31,FALSE)-AVERAGE('The List'!AF2:AF665))/STDEV('The List'!AF2:AF665)</f>
        <v>-0.573894410680004</v>
      </c>
      <c r="T387" s="77">
        <f>(VLOOKUP($A387,'The List'!$B1:$AH665,32,FALSE)-AVERAGE('The List'!AG2:AG665))/STDEV('The List'!AG2:AG665)</f>
        <v>-0.625770787132651</v>
      </c>
      <c r="U387" s="77">
        <f>(VLOOKUP($A387,'The List'!$B1:$AH665,33,FALSE)-AVERAGE('The List'!AH2:AH665))/STDEV('The List'!AH2:AH665)</f>
        <v>-1.23143509451486</v>
      </c>
      <c r="V387" s="77"/>
      <c r="W387" s="89"/>
      <c r="X387" s="79"/>
      <c r="Y387" s="79"/>
      <c r="Z387" s="79"/>
      <c r="AA387" s="79"/>
      <c r="AB387" s="79"/>
      <c r="AC387" s="82"/>
      <c r="AD387" s="83"/>
      <c r="AE387" s="84"/>
    </row>
    <row r="388" ht="21.25" customHeight="1">
      <c r="A388" t="s" s="10">
        <v>760</v>
      </c>
      <c r="B388" t="s" s="86">
        <f>VLOOKUP(A388,'Player Data'!A1:B667,2,FALSE)</f>
        <v>866</v>
      </c>
      <c r="C388" s="74">
        <f>((E388)*'Settings'!$C$12)+(F388*'Settings'!$C$2)+(G388*'Settings'!$C$3)+(H388*'Settings'!$C$4)+(I388*'Settings'!$C$5)+(K388*'Settings'!$C$9)+(N388*'Settings'!$C$6)+(J388*'Settings'!$C$8)+(O388*'Settings'!$C$7)+(P388*'Settings'!$C$14)+(Q388*'Settings'!$C$15)+(R388*'Settings'!$C$16)+(S388*'Settings'!$C$17)+(T388*'Settings'!$C$18)+(U388*'Settings'!$C$19)+(L388*'Settings'!$C$10)+('Settings'!$C$11*M388)</f>
        <v>-3.06334569693076</v>
      </c>
      <c r="D388" s="79">
        <f>IF('Settings'!$E$12="YES",VLOOKUP(A388,'Player Data'!A1:E667,5,FALSE),82)</f>
        <v>76.66249999999999</v>
      </c>
      <c r="E388" s="77">
        <f>(VLOOKUP($A388,'The List'!$B1:$AH665,17,FALSE)-AVERAGE('The List'!R2:R665))/STDEV('The List'!R2:R665)</f>
        <v>-1.28816650528146</v>
      </c>
      <c r="F388" s="77">
        <f>(VLOOKUP($A388,'The List'!$B1:$AH665,18,FALSE)-AVERAGE('The List'!S2:S665))/STDEV('The List'!S2:S665)</f>
        <v>-0.23954217640302</v>
      </c>
      <c r="G388" s="77">
        <f>(VLOOKUP($A388,'The List'!$B1:$AH665,19,FALSE)-AVERAGE('The List'!T2:T665))/STDEV('The List'!T2:T665)</f>
        <v>-0.719807359492606</v>
      </c>
      <c r="H388" s="77">
        <f>(VLOOKUP($A388,'The List'!$B1:$AH665,20,FALSE)-AVERAGE('The List'!U2:U665))/STDEV('The List'!U2:U665)</f>
        <v>-0.555924149184004</v>
      </c>
      <c r="I388" s="77">
        <f>(VLOOKUP($A388,'The List'!$B1:$AH665,21,FALSE)-AVERAGE('The List'!V2:V665))/STDEV('The List'!V2:V665)</f>
        <v>0.07690410128269851</v>
      </c>
      <c r="J388" s="77">
        <f>(VLOOKUP($A388,'The List'!$B1:$AH665,22,FALSE)-AVERAGE('The List'!W2:W665))/STDEV('The List'!W2:W665)</f>
        <v>-0.475398985453808</v>
      </c>
      <c r="K388" s="77">
        <f>(VLOOKUP($A388,'The List'!$B1:$AH665,23,FALSE)-AVERAGE('The List'!X2:X665))/STDEV('The List'!X2:X665)</f>
        <v>-0.559473567708646</v>
      </c>
      <c r="L388" s="77">
        <f>(VLOOKUP($A388,'The List'!$B1:$AH665,24,FALSE)-AVERAGE('The List'!Y2:Y665))/STDEV('The List'!Y2:Y665)</f>
        <v>-0.101409498128491</v>
      </c>
      <c r="M388" s="77">
        <f>(VLOOKUP($A388,'The List'!$B1:$AH665,25,FALSE)-AVERAGE('The List'!Z2:Z665))/STDEV('The List'!Z2:Z665)</f>
        <v>-0.42298740720823</v>
      </c>
      <c r="N388" s="77">
        <f>(VLOOKUP($A388,'The List'!$B1:$AH665,26,FALSE)-AVERAGE('The List'!AA2:AA665))/STDEV('The List'!AA2:AA665)</f>
        <v>-0.619600374418255</v>
      </c>
      <c r="O388" s="77">
        <f>(VLOOKUP($A388,'The List'!$B1:$AH665,27,FALSE)-AVERAGE('The List'!AB2:AB665))/STDEV('The List'!AB2:AB665)</f>
        <v>-0.972746480546772</v>
      </c>
      <c r="P388" s="77">
        <f>(VLOOKUP($A388,'The List'!$B1:$AH665,28,FALSE)-AVERAGE('The List'!AC2:AC665))/STDEV('The List'!AC2:AC665)</f>
        <v>-1.00182632019093</v>
      </c>
      <c r="Q388" s="77">
        <f>(VLOOKUP($A388,'The List'!$B1:$AH665,29,FALSE)-AVERAGE('The List'!AD2:AD665))/STDEV('The List'!AD2:AD665)</f>
        <v>-0.892100542755049</v>
      </c>
      <c r="R388" s="77">
        <f>(VLOOKUP($A388,'The List'!$B1:$AH665,30,FALSE)-AVERAGE('The List'!AE2:AE665))/STDEV('The List'!AE2:AE665)</f>
        <v>-0.168678649197891</v>
      </c>
      <c r="S388" s="77">
        <f>(VLOOKUP($A388,'The List'!$B1:$AH665,31,FALSE)-AVERAGE('The List'!AF2:AF665))/STDEV('The List'!AF2:AF665)</f>
        <v>-0.536680791356941</v>
      </c>
      <c r="T388" s="77">
        <f>(VLOOKUP($A388,'The List'!$B1:$AH665,32,FALSE)-AVERAGE('The List'!AG2:AG665))/STDEV('The List'!AG2:AG665)</f>
        <v>-0.567215503890815</v>
      </c>
      <c r="U388" s="77">
        <f>(VLOOKUP($A388,'The List'!$B1:$AH665,33,FALSE)-AVERAGE('The List'!AH2:AH665))/STDEV('The List'!AH2:AH665)</f>
        <v>0.596898698877158</v>
      </c>
      <c r="V388" s="77"/>
      <c r="W388" s="89"/>
      <c r="X388" s="79"/>
      <c r="Y388" s="79"/>
      <c r="Z388" s="79"/>
      <c r="AA388" s="79"/>
      <c r="AB388" s="79"/>
      <c r="AC388" s="82"/>
      <c r="AD388" s="83"/>
      <c r="AE388" s="84"/>
    </row>
    <row r="389" ht="21.25" customHeight="1">
      <c r="A389" t="s" s="10">
        <v>811</v>
      </c>
      <c r="B389" t="s" s="86">
        <f>VLOOKUP(A389,'Player Data'!A1:B667,2,FALSE)</f>
        <v>192</v>
      </c>
      <c r="C389" s="74">
        <f>((E389)*'Settings'!$C$12)+(F389*'Settings'!$C$2)+(G389*'Settings'!$C$3)+(H389*'Settings'!$C$4)+(I389*'Settings'!$C$5)+(K389*'Settings'!$C$9)+(N389*'Settings'!$C$6)+(J389*'Settings'!$C$8)+(O389*'Settings'!$C$7)+(P389*'Settings'!$C$14)+(Q389*'Settings'!$C$15)+(R389*'Settings'!$C$16)+(S389*'Settings'!$C$17)+(T389*'Settings'!$C$18)+(U389*'Settings'!$C$19)+(L389*'Settings'!$C$10)+('Settings'!$C$11*M389)</f>
        <v>-4.6908368263175</v>
      </c>
      <c r="D389" s="79">
        <f>IF('Settings'!$E$12="YES",VLOOKUP(A389,'Player Data'!A1:E667,5,FALSE),82)</f>
        <v>56.715</v>
      </c>
      <c r="E389" s="77">
        <f>(VLOOKUP($A389,'The List'!$B1:$AH665,17,FALSE)-AVERAGE('The List'!R2:R665))/STDEV('The List'!R2:R665)</f>
        <v>-1.40964689784893</v>
      </c>
      <c r="F389" s="77">
        <f>(VLOOKUP($A389,'The List'!$B1:$AH665,18,FALSE)-AVERAGE('The List'!S2:S665))/STDEV('The List'!S2:S665)</f>
        <v>-0.604205053153971</v>
      </c>
      <c r="G389" s="77">
        <f>(VLOOKUP($A389,'The List'!$B1:$AH665,19,FALSE)-AVERAGE('The List'!T2:T665))/STDEV('The List'!T2:T665)</f>
        <v>-0.916005449787877</v>
      </c>
      <c r="H389" s="77">
        <f>(VLOOKUP($A389,'The List'!$B1:$AH665,20,FALSE)-AVERAGE('The List'!U2:U665))/STDEV('The List'!U2:U665)</f>
        <v>-0.843530806407189</v>
      </c>
      <c r="I389" s="77">
        <f>(VLOOKUP($A389,'The List'!$B1:$AH665,21,FALSE)-AVERAGE('The List'!V2:V665))/STDEV('The List'!V2:V665)</f>
        <v>-0.9206180361391459</v>
      </c>
      <c r="J389" s="77">
        <f>(VLOOKUP($A389,'The List'!$B1:$AH665,22,FALSE)-AVERAGE('The List'!W2:W665))/STDEV('The List'!W2:W665)</f>
        <v>-0.676579829237845</v>
      </c>
      <c r="K389" s="77">
        <f>(VLOOKUP($A389,'The List'!$B1:$AH665,23,FALSE)-AVERAGE('The List'!X2:X665))/STDEV('The List'!X2:X665)</f>
        <v>-0.748542822685779</v>
      </c>
      <c r="L389" s="77">
        <f>(VLOOKUP($A389,'The List'!$B1:$AH665,24,FALSE)-AVERAGE('The List'!Y2:Y665))/STDEV('The List'!Y2:Y665)</f>
        <v>-0.580182913902084</v>
      </c>
      <c r="M389" s="77">
        <f>(VLOOKUP($A389,'The List'!$B1:$AH665,25,FALSE)-AVERAGE('The List'!Z2:Z665))/STDEV('The List'!Z2:Z665)</f>
        <v>-0.754036664989997</v>
      </c>
      <c r="N389" s="77">
        <f>(VLOOKUP($A389,'The List'!$B1:$AH665,26,FALSE)-AVERAGE('The List'!AA2:AA665))/STDEV('The List'!AA2:AA665)</f>
        <v>-1.09216056769119</v>
      </c>
      <c r="O389" s="77">
        <f>(VLOOKUP($A389,'The List'!$B1:$AH665,27,FALSE)-AVERAGE('The List'!AB2:AB665))/STDEV('The List'!AB2:AB665)</f>
        <v>0.259043606138685</v>
      </c>
      <c r="P389" s="77">
        <f>(VLOOKUP($A389,'The List'!$B1:$AH665,28,FALSE)-AVERAGE('The List'!AC2:AC665))/STDEV('The List'!AC2:AC665)</f>
        <v>-0.409304896859536</v>
      </c>
      <c r="Q389" s="77">
        <f>(VLOOKUP($A389,'The List'!$B1:$AH665,29,FALSE)-AVERAGE('The List'!AD2:AD665))/STDEV('The List'!AD2:AD665)</f>
        <v>-1.13382819479281</v>
      </c>
      <c r="R389" s="77">
        <f>(VLOOKUP($A389,'The List'!$B1:$AH665,30,FALSE)-AVERAGE('The List'!AE2:AE665))/STDEV('The List'!AE2:AE665)</f>
        <v>-0.610724779509439</v>
      </c>
      <c r="S389" s="77">
        <f>(VLOOKUP($A389,'The List'!$B1:$AH665,31,FALSE)-AVERAGE('The List'!AF2:AF665))/STDEV('The List'!AF2:AF665)</f>
        <v>-0.573894410680004</v>
      </c>
      <c r="T389" s="77">
        <f>(VLOOKUP($A389,'The List'!$B1:$AH665,32,FALSE)-AVERAGE('The List'!AG2:AG665))/STDEV('The List'!AG2:AG665)</f>
        <v>-0.598994778221835</v>
      </c>
      <c r="U389" s="77">
        <f>(VLOOKUP($A389,'The List'!$B1:$AH665,33,FALSE)-AVERAGE('The List'!AH2:AH665))/STDEV('The List'!AH2:AH665)</f>
        <v>-1.23143509451486</v>
      </c>
      <c r="V389" s="77"/>
      <c r="W389" s="79"/>
      <c r="X389" s="77"/>
      <c r="Y389" s="77"/>
      <c r="Z389" s="77"/>
      <c r="AA389" s="77"/>
      <c r="AB389" s="77"/>
      <c r="AC389" s="77"/>
      <c r="AD389" s="77"/>
      <c r="AE389" s="84"/>
    </row>
    <row r="390" ht="21.25" customHeight="1">
      <c r="A390" t="s" s="10">
        <v>815</v>
      </c>
      <c r="B390" t="s" s="86">
        <f>VLOOKUP(A390,'Player Data'!A1:B667,2,FALSE)</f>
        <v>207</v>
      </c>
      <c r="C390" s="74">
        <f>((E390)*'Settings'!$C$12)+(F390*'Settings'!$C$2)+(G390*'Settings'!$C$3)+(H390*'Settings'!$C$4)+(I390*'Settings'!$C$5)+(K390*'Settings'!$C$9)+(N390*'Settings'!$C$6)+(J390*'Settings'!$C$8)+(O390*'Settings'!$C$7)+(P390*'Settings'!$C$14)+(Q390*'Settings'!$C$15)+(R390*'Settings'!$C$16)+(S390*'Settings'!$C$17)+(T390*'Settings'!$C$18)+(U390*'Settings'!$C$19)+(L390*'Settings'!$C$10)+('Settings'!$C$11*M390)</f>
        <v>-1.84914906908698</v>
      </c>
      <c r="D390" s="79">
        <f>IF('Settings'!$E$12="YES",VLOOKUP(A390,'Player Data'!A1:E667,5,FALSE),82)</f>
        <v>79.38500000000001</v>
      </c>
      <c r="E390" s="77">
        <f>(VLOOKUP($A390,'The List'!$B1:$AH665,17,FALSE)-AVERAGE('The List'!R2:R665))/STDEV('The List'!R2:R665)</f>
        <v>-0.924138441196894</v>
      </c>
      <c r="F390" s="77">
        <f>(VLOOKUP($A390,'The List'!$B1:$AH665,18,FALSE)-AVERAGE('The List'!S2:S665))/STDEV('The List'!S2:S665)</f>
        <v>-0.267863678330728</v>
      </c>
      <c r="G390" s="77">
        <f>(VLOOKUP($A390,'The List'!$B1:$AH665,19,FALSE)-AVERAGE('The List'!T2:T665))/STDEV('The List'!T2:T665)</f>
        <v>-0.646849275420454</v>
      </c>
      <c r="H390" s="77">
        <f>(VLOOKUP($A390,'The List'!$B1:$AH665,20,FALSE)-AVERAGE('The List'!U2:U665))/STDEV('The List'!U2:U665)</f>
        <v>-0.523486545534918</v>
      </c>
      <c r="I390" s="77">
        <f>(VLOOKUP($A390,'The List'!$B1:$AH665,21,FALSE)-AVERAGE('The List'!V2:V665))/STDEV('The List'!V2:V665)</f>
        <v>-0.07062349527985939</v>
      </c>
      <c r="J390" s="77">
        <f>(VLOOKUP($A390,'The List'!$B1:$AH665,22,FALSE)-AVERAGE('The List'!W2:W665))/STDEV('The List'!W2:W665)</f>
        <v>-0.419508622970824</v>
      </c>
      <c r="K390" s="77">
        <f>(VLOOKUP($A390,'The List'!$B1:$AH665,23,FALSE)-AVERAGE('The List'!X2:X665))/STDEV('The List'!X2:X665)</f>
        <v>-0.451101376302924</v>
      </c>
      <c r="L390" s="77">
        <f>(VLOOKUP($A390,'The List'!$B1:$AH665,24,FALSE)-AVERAGE('The List'!Y2:Y665))/STDEV('The List'!Y2:Y665)</f>
        <v>-0.576069419515675</v>
      </c>
      <c r="M390" s="77">
        <f>(VLOOKUP($A390,'The List'!$B1:$AH665,25,FALSE)-AVERAGE('The List'!Z2:Z665))/STDEV('The List'!Z2:Z665)</f>
        <v>-0.750135098343608</v>
      </c>
      <c r="N390" s="77">
        <f>(VLOOKUP($A390,'The List'!$B1:$AH665,26,FALSE)-AVERAGE('The List'!AA2:AA665))/STDEV('The List'!AA2:AA665)</f>
        <v>-1.11068235029805</v>
      </c>
      <c r="O390" s="77">
        <f>(VLOOKUP($A390,'The List'!$B1:$AH665,27,FALSE)-AVERAGE('The List'!AB2:AB665))/STDEV('The List'!AB2:AB665)</f>
        <v>-1.0628513641275</v>
      </c>
      <c r="P390" s="77">
        <f>(VLOOKUP($A390,'The List'!$B1:$AH665,28,FALSE)-AVERAGE('The List'!AC2:AC665))/STDEV('The List'!AC2:AC665)</f>
        <v>0.697971106545035</v>
      </c>
      <c r="Q390" s="77">
        <f>(VLOOKUP($A390,'The List'!$B1:$AH665,29,FALSE)-AVERAGE('The List'!AD2:AD665))/STDEV('The List'!AD2:AD665)</f>
        <v>-0.508104960645011</v>
      </c>
      <c r="R390" s="77">
        <f>(VLOOKUP($A390,'The List'!$B1:$AH665,30,FALSE)-AVERAGE('The List'!AE2:AE665))/STDEV('The List'!AE2:AE665)</f>
        <v>-0.200075440945507</v>
      </c>
      <c r="S390" s="77">
        <f>(VLOOKUP($A390,'The List'!$B1:$AH665,31,FALSE)-AVERAGE('The List'!AF2:AF665))/STDEV('The List'!AF2:AF665)</f>
        <v>-0.447120715585269</v>
      </c>
      <c r="T390" s="77">
        <f>(VLOOKUP($A390,'The List'!$B1:$AH665,32,FALSE)-AVERAGE('The List'!AG2:AG665))/STDEV('The List'!AG2:AG665)</f>
        <v>-0.473937804146205</v>
      </c>
      <c r="U390" s="77">
        <f>(VLOOKUP($A390,'The List'!$B1:$AH665,33,FALSE)-AVERAGE('The List'!AH2:AH665))/STDEV('The List'!AH2:AH665)</f>
        <v>0.900760341539219</v>
      </c>
      <c r="V390" s="77"/>
      <c r="W390" s="89"/>
      <c r="X390" s="79"/>
      <c r="Y390" s="79"/>
      <c r="Z390" s="79"/>
      <c r="AA390" s="79"/>
      <c r="AB390" s="79"/>
      <c r="AC390" s="82"/>
      <c r="AD390" s="83"/>
      <c r="AE390" s="84"/>
    </row>
    <row r="391" ht="21.25" customHeight="1">
      <c r="A391" t="s" s="10">
        <v>584</v>
      </c>
      <c r="B391" t="s" s="86">
        <f>VLOOKUP(A391,'Player Data'!A1:B667,2,FALSE)</f>
        <v>907</v>
      </c>
      <c r="C391" s="74">
        <f>((E391)*'Settings'!$C$12)+(F391*'Settings'!$C$2)+(G391*'Settings'!$C$3)+(H391*'Settings'!$C$4)+(I391*'Settings'!$C$5)+(K391*'Settings'!$C$9)+(N391*'Settings'!$C$6)+(J391*'Settings'!$C$8)+(O391*'Settings'!$C$7)+(P391*'Settings'!$C$14)+(Q391*'Settings'!$C$15)+(R391*'Settings'!$C$16)+(S391*'Settings'!$C$17)+(T391*'Settings'!$C$18)+(U391*'Settings'!$C$19)+(L391*'Settings'!$C$10)+('Settings'!$C$11*M391)</f>
        <v>-2.44558530799743</v>
      </c>
      <c r="D391" s="79">
        <f>IF('Settings'!$E$12="YES",VLOOKUP(A391,'Player Data'!A1:E667,5,FALSE),82)</f>
        <v>76.73</v>
      </c>
      <c r="E391" s="77">
        <f>(VLOOKUP($A391,'The List'!$B1:$AH665,17,FALSE)-AVERAGE('The List'!R2:R665))/STDEV('The List'!R2:R665)</f>
        <v>0.686302547161826</v>
      </c>
      <c r="F391" s="77">
        <f>(VLOOKUP($A391,'The List'!$B1:$AH665,18,FALSE)-AVERAGE('The List'!S2:S665))/STDEV('The List'!S2:S665)</f>
        <v>-0.910427039935623</v>
      </c>
      <c r="G391" s="77">
        <f>(VLOOKUP($A391,'The List'!$B1:$AH665,19,FALSE)-AVERAGE('The List'!T2:T665))/STDEV('The List'!T2:T665)</f>
        <v>-0.237647759054881</v>
      </c>
      <c r="H391" s="77">
        <f>(VLOOKUP($A391,'The List'!$B1:$AH665,20,FALSE)-AVERAGE('The List'!U2:U665))/STDEV('The List'!U2:U665)</f>
        <v>-0.561424986580105</v>
      </c>
      <c r="I391" s="77">
        <f>(VLOOKUP($A391,'The List'!$B1:$AH665,21,FALSE)-AVERAGE('The List'!V2:V665))/STDEV('The List'!V2:V665)</f>
        <v>-0.169048477356016</v>
      </c>
      <c r="J391" s="77">
        <f>(VLOOKUP($A391,'The List'!$B1:$AH665,22,FALSE)-AVERAGE('The List'!W2:W665))/STDEV('The List'!W2:W665)</f>
        <v>-0.746088181559229</v>
      </c>
      <c r="K391" s="77">
        <f>(VLOOKUP($A391,'The List'!$B1:$AH665,23,FALSE)-AVERAGE('The List'!X2:X665))/STDEV('The List'!X2:X665)</f>
        <v>-0.829375461016337</v>
      </c>
      <c r="L391" s="77">
        <f>(VLOOKUP($A391,'The List'!$B1:$AH665,24,FALSE)-AVERAGE('The List'!Y2:Y665))/STDEV('The List'!Y2:Y665)</f>
        <v>-0.497755828388338</v>
      </c>
      <c r="M391" s="77">
        <f>(VLOOKUP($A391,'The List'!$B1:$AH665,25,FALSE)-AVERAGE('The List'!Z2:Z665))/STDEV('The List'!Z2:Z665)</f>
        <v>-0.525522216373926</v>
      </c>
      <c r="N391" s="77">
        <f>(VLOOKUP($A391,'The List'!$B1:$AH665,26,FALSE)-AVERAGE('The List'!AA2:AA665))/STDEV('The List'!AA2:AA665)</f>
        <v>1.18561703839859</v>
      </c>
      <c r="O391" s="77">
        <f>(VLOOKUP($A391,'The List'!$B1:$AH665,27,FALSE)-AVERAGE('The List'!AB2:AB665))/STDEV('The List'!AB2:AB665)</f>
        <v>-0.412647971785784</v>
      </c>
      <c r="P391" s="77">
        <f>(VLOOKUP($A391,'The List'!$B1:$AH665,28,FALSE)-AVERAGE('The List'!AC2:AC665))/STDEV('The List'!AC2:AC665)</f>
        <v>-1.48470360903316</v>
      </c>
      <c r="Q391" s="77">
        <f>(VLOOKUP($A391,'The List'!$B1:$AH665,29,FALSE)-AVERAGE('The List'!AD2:AD665))/STDEV('The List'!AD2:AD665)</f>
        <v>0.635702593157232</v>
      </c>
      <c r="R391" s="77">
        <f>(VLOOKUP($A391,'The List'!$B1:$AH665,30,FALSE)-AVERAGE('The List'!AE2:AE665))/STDEV('The List'!AE2:AE665)</f>
        <v>-0.948085828371942</v>
      </c>
      <c r="S391" s="77">
        <f>(VLOOKUP($A391,'The List'!$B1:$AH665,31,FALSE)-AVERAGE('The List'!AF2:AF665))/STDEV('The List'!AF2:AF665)</f>
        <v>-0.573894410680004</v>
      </c>
      <c r="T391" s="77">
        <f>(VLOOKUP($A391,'The List'!$B1:$AH665,32,FALSE)-AVERAGE('The List'!AG2:AG665))/STDEV('The List'!AG2:AG665)</f>
        <v>-0.625770787132651</v>
      </c>
      <c r="U391" s="77">
        <f>(VLOOKUP($A391,'The List'!$B1:$AH665,33,FALSE)-AVERAGE('The List'!AH2:AH665))/STDEV('The List'!AH2:AH665)</f>
        <v>-1.23143509451486</v>
      </c>
      <c r="V391" s="77"/>
      <c r="W391" s="89"/>
      <c r="X391" s="79"/>
      <c r="Y391" s="79"/>
      <c r="Z391" s="79"/>
      <c r="AA391" s="79"/>
      <c r="AB391" s="79"/>
      <c r="AC391" s="82"/>
      <c r="AD391" s="83"/>
      <c r="AE391" s="84"/>
    </row>
    <row r="392" ht="21.25" customHeight="1">
      <c r="A392" t="s" s="10">
        <v>548</v>
      </c>
      <c r="B392" t="s" s="86">
        <f>VLOOKUP(A392,'Player Data'!A1:B667,2,FALSE)</f>
        <v>156</v>
      </c>
      <c r="C392" s="74">
        <f>((E392)*'Settings'!$C$12)+(F392*'Settings'!$C$2)+(G392*'Settings'!$C$3)+(H392*'Settings'!$C$4)+(I392*'Settings'!$C$5)+(K392*'Settings'!$C$9)+(N392*'Settings'!$C$6)+(J392*'Settings'!$C$8)+(O392*'Settings'!$C$7)+(P392*'Settings'!$C$14)+(Q392*'Settings'!$C$15)+(R392*'Settings'!$C$16)+(S392*'Settings'!$C$17)+(T392*'Settings'!$C$18)+(U392*'Settings'!$C$19)+(L392*'Settings'!$C$10)+('Settings'!$C$11*M392)</f>
        <v>-2.10583079209156</v>
      </c>
      <c r="D392" s="79">
        <f>IF('Settings'!$E$12="YES",VLOOKUP(A392,'Player Data'!A1:E667,5,FALSE),82)</f>
        <v>75</v>
      </c>
      <c r="E392" s="77">
        <f>(VLOOKUP($A392,'The List'!$B1:$AH665,17,FALSE)-AVERAGE('The List'!R2:R665))/STDEV('The List'!R2:R665)</f>
        <v>0.883534778403801</v>
      </c>
      <c r="F392" s="77">
        <f>(VLOOKUP($A392,'The List'!$B1:$AH665,18,FALSE)-AVERAGE('The List'!S2:S665))/STDEV('The List'!S2:S665)</f>
        <v>-0.561246451466738</v>
      </c>
      <c r="G392" s="77">
        <f>(VLOOKUP($A392,'The List'!$B1:$AH665,19,FALSE)-AVERAGE('The List'!T2:T665))/STDEV('The List'!T2:T665)</f>
        <v>-0.537178572235017</v>
      </c>
      <c r="H392" s="77">
        <f>(VLOOKUP($A392,'The List'!$B1:$AH665,20,FALSE)-AVERAGE('The List'!U2:U665))/STDEV('The List'!U2:U665)</f>
        <v>-0.588731288272894</v>
      </c>
      <c r="I392" s="77">
        <f>(VLOOKUP($A392,'The List'!$B1:$AH665,21,FALSE)-AVERAGE('The List'!V2:V665))/STDEV('The List'!V2:V665)</f>
        <v>-0.707845312599781</v>
      </c>
      <c r="J392" s="77">
        <f>(VLOOKUP($A392,'The List'!$B1:$AH665,22,FALSE)-AVERAGE('The List'!W2:W665))/STDEV('The List'!W2:W665)</f>
        <v>-0.741889533893668</v>
      </c>
      <c r="K392" s="77">
        <f>(VLOOKUP($A392,'The List'!$B1:$AH665,23,FALSE)-AVERAGE('The List'!X2:X665))/STDEV('The List'!X2:X665)</f>
        <v>-0.819172975756801</v>
      </c>
      <c r="L392" s="77">
        <f>(VLOOKUP($A392,'The List'!$B1:$AH665,24,FALSE)-AVERAGE('The List'!Y2:Y665))/STDEV('The List'!Y2:Y665)</f>
        <v>-0.475429005107244</v>
      </c>
      <c r="M392" s="77">
        <f>(VLOOKUP($A392,'The List'!$B1:$AH665,25,FALSE)-AVERAGE('The List'!Z2:Z665))/STDEV('The List'!Z2:Z665)</f>
        <v>-0.438204950105288</v>
      </c>
      <c r="N392" s="77">
        <f>(VLOOKUP($A392,'The List'!$B1:$AH665,26,FALSE)-AVERAGE('The List'!AA2:AA665))/STDEV('The List'!AA2:AA665)</f>
        <v>1.13811352486889</v>
      </c>
      <c r="O392" s="77">
        <f>(VLOOKUP($A392,'The List'!$B1:$AH665,27,FALSE)-AVERAGE('The List'!AB2:AB665))/STDEV('The List'!AB2:AB665)</f>
        <v>0.193068318800554</v>
      </c>
      <c r="P392" s="77">
        <f>(VLOOKUP($A392,'The List'!$B1:$AH665,28,FALSE)-AVERAGE('The List'!AC2:AC665))/STDEV('The List'!AC2:AC665)</f>
        <v>-0.618501004902115</v>
      </c>
      <c r="Q392" s="77">
        <f>(VLOOKUP($A392,'The List'!$B1:$AH665,29,FALSE)-AVERAGE('The List'!AD2:AD665))/STDEV('The List'!AD2:AD665)</f>
        <v>0.550360834373659</v>
      </c>
      <c r="R392" s="77">
        <f>(VLOOKUP($A392,'The List'!$B1:$AH665,30,FALSE)-AVERAGE('The List'!AE2:AE665))/STDEV('The List'!AE2:AE665)</f>
        <v>-0.5942444585578039</v>
      </c>
      <c r="S392" s="77">
        <f>(VLOOKUP($A392,'The List'!$B1:$AH665,31,FALSE)-AVERAGE('The List'!AF2:AF665))/STDEV('The List'!AF2:AF665)</f>
        <v>-0.573894410680004</v>
      </c>
      <c r="T392" s="77">
        <f>(VLOOKUP($A392,'The List'!$B1:$AH665,32,FALSE)-AVERAGE('The List'!AG2:AG665))/STDEV('The List'!AG2:AG665)</f>
        <v>-0.625770787132651</v>
      </c>
      <c r="U392" s="77">
        <f>(VLOOKUP($A392,'The List'!$B1:$AH665,33,FALSE)-AVERAGE('The List'!AH2:AH665))/STDEV('The List'!AH2:AH665)</f>
        <v>-1.23143509451486</v>
      </c>
      <c r="V392" s="77"/>
      <c r="W392" s="89"/>
      <c r="X392" s="79"/>
      <c r="Y392" s="79"/>
      <c r="Z392" s="79"/>
      <c r="AA392" s="79"/>
      <c r="AB392" s="79"/>
      <c r="AC392" s="82"/>
      <c r="AD392" s="83"/>
      <c r="AE392" s="84"/>
    </row>
    <row r="393" ht="21.25" customHeight="1">
      <c r="A393" t="s" s="10">
        <v>763</v>
      </c>
      <c r="B393" t="s" s="86">
        <f>VLOOKUP(A393,'Player Data'!A1:B667,2,FALSE)</f>
        <v>259</v>
      </c>
      <c r="C393" s="74">
        <f>((E393)*'Settings'!$C$12)+(F393*'Settings'!$C$2)+(G393*'Settings'!$C$3)+(H393*'Settings'!$C$4)+(I393*'Settings'!$C$5)+(K393*'Settings'!$C$9)+(N393*'Settings'!$C$6)+(J393*'Settings'!$C$8)+(O393*'Settings'!$C$7)+(P393*'Settings'!$C$14)+(Q393*'Settings'!$C$15)+(R393*'Settings'!$C$16)+(S393*'Settings'!$C$17)+(T393*'Settings'!$C$18)+(U393*'Settings'!$C$19)+(L393*'Settings'!$C$10)+('Settings'!$C$11*M393)</f>
        <v>-2.83311633762641</v>
      </c>
      <c r="D393" s="79">
        <f>IF('Settings'!$E$12="YES",VLOOKUP(A393,'Player Data'!A1:E667,5,FALSE),82)</f>
        <v>77.425</v>
      </c>
      <c r="E393" s="77">
        <f>(VLOOKUP($A393,'The List'!$B1:$AH665,17,FALSE)-AVERAGE('The List'!R2:R665))/STDEV('The List'!R2:R665)</f>
        <v>-1.0705728506249</v>
      </c>
      <c r="F393" s="77">
        <f>(VLOOKUP($A393,'The List'!$B1:$AH665,18,FALSE)-AVERAGE('The List'!S2:S665))/STDEV('The List'!S2:S665)</f>
        <v>-0.463425287949686</v>
      </c>
      <c r="G393" s="77">
        <f>(VLOOKUP($A393,'The List'!$B1:$AH665,19,FALSE)-AVERAGE('The List'!T2:T665))/STDEV('The List'!T2:T665)</f>
        <v>-0.561587401831867</v>
      </c>
      <c r="H393" s="77">
        <f>(VLOOKUP($A393,'The List'!$B1:$AH665,20,FALSE)-AVERAGE('The List'!U2:U665))/STDEV('The List'!U2:U665)</f>
        <v>-0.559426175283351</v>
      </c>
      <c r="I393" s="77">
        <f>(VLOOKUP($A393,'The List'!$B1:$AH665,21,FALSE)-AVERAGE('The List'!V2:V665))/STDEV('The List'!V2:V665)</f>
        <v>-0.168218924750361</v>
      </c>
      <c r="J393" s="77">
        <f>(VLOOKUP($A393,'The List'!$B1:$AH665,22,FALSE)-AVERAGE('The List'!W2:W665))/STDEV('The List'!W2:W665)</f>
        <v>-0.480377929141506</v>
      </c>
      <c r="K393" s="77">
        <f>(VLOOKUP($A393,'The List'!$B1:$AH665,23,FALSE)-AVERAGE('The List'!X2:X665))/STDEV('The List'!X2:X665)</f>
        <v>-0.631659519675825</v>
      </c>
      <c r="L393" s="77">
        <f>(VLOOKUP($A393,'The List'!$B1:$AH665,24,FALSE)-AVERAGE('The List'!Y2:Y665))/STDEV('The List'!Y2:Y665)</f>
        <v>-0.569733392587999</v>
      </c>
      <c r="M393" s="77">
        <f>(VLOOKUP($A393,'The List'!$B1:$AH665,25,FALSE)-AVERAGE('The List'!Z2:Z665))/STDEV('The List'!Z2:Z665)</f>
        <v>-0.743217531290415</v>
      </c>
      <c r="N393" s="77">
        <f>(VLOOKUP($A393,'The List'!$B1:$AH665,26,FALSE)-AVERAGE('The List'!AA2:AA665))/STDEV('The List'!AA2:AA665)</f>
        <v>-0.720313107026573</v>
      </c>
      <c r="O393" s="77">
        <f>(VLOOKUP($A393,'The List'!$B1:$AH665,27,FALSE)-AVERAGE('The List'!AB2:AB665))/STDEV('The List'!AB2:AB665)</f>
        <v>-0.586060322687853</v>
      </c>
      <c r="P393" s="77">
        <f>(VLOOKUP($A393,'The List'!$B1:$AH665,28,FALSE)-AVERAGE('The List'!AC2:AC665))/STDEV('The List'!AC2:AC665)</f>
        <v>-0.287912096392102</v>
      </c>
      <c r="Q393" s="77">
        <f>(VLOOKUP($A393,'The List'!$B1:$AH665,29,FALSE)-AVERAGE('The List'!AD2:AD665))/STDEV('The List'!AD2:AD665)</f>
        <v>-1.16223384060184</v>
      </c>
      <c r="R393" s="77">
        <f>(VLOOKUP($A393,'The List'!$B1:$AH665,30,FALSE)-AVERAGE('The List'!AE2:AE665))/STDEV('The List'!AE2:AE665)</f>
        <v>-0.447138878609511</v>
      </c>
      <c r="S393" s="77">
        <f>(VLOOKUP($A393,'The List'!$B1:$AH665,31,FALSE)-AVERAGE('The List'!AF2:AF665))/STDEV('The List'!AF2:AF665)</f>
        <v>-0.465762694515549</v>
      </c>
      <c r="T393" s="77">
        <f>(VLOOKUP($A393,'The List'!$B1:$AH665,32,FALSE)-AVERAGE('The List'!AG2:AG665))/STDEV('The List'!AG2:AG665)</f>
        <v>-0.425021399345553</v>
      </c>
      <c r="U393" s="77">
        <f>(VLOOKUP($A393,'The List'!$B1:$AH665,33,FALSE)-AVERAGE('The List'!AH2:AH665))/STDEV('The List'!AH2:AH665)</f>
        <v>0.419688604195102</v>
      </c>
      <c r="V393" s="77"/>
      <c r="W393" s="89"/>
      <c r="X393" s="79"/>
      <c r="Y393" s="79"/>
      <c r="Z393" s="79"/>
      <c r="AA393" s="79"/>
      <c r="AB393" s="79"/>
      <c r="AC393" s="82"/>
      <c r="AD393" s="83"/>
      <c r="AE393" s="84"/>
    </row>
    <row r="394" ht="21.25" customHeight="1">
      <c r="A394" t="s" s="10">
        <v>402</v>
      </c>
      <c r="B394" t="s" s="86">
        <f>VLOOKUP(A394,'Player Data'!A1:B667,2,FALSE)</f>
        <v>207</v>
      </c>
      <c r="C394" s="74">
        <f>((E394)*'Settings'!$C$12)+(F394*'Settings'!$C$2)+(G394*'Settings'!$C$3)+(H394*'Settings'!$C$4)+(I394*'Settings'!$C$5)+(K394*'Settings'!$C$9)+(N394*'Settings'!$C$6)+(J394*'Settings'!$C$8)+(O394*'Settings'!$C$7)+(P394*'Settings'!$C$14)+(Q394*'Settings'!$C$15)+(R394*'Settings'!$C$16)+(S394*'Settings'!$C$17)+(T394*'Settings'!$C$18)+(U394*'Settings'!$C$19)+(L394*'Settings'!$C$10)+('Settings'!$C$11*M394)</f>
        <v>0.778832483001324</v>
      </c>
      <c r="D394" s="79">
        <f>IF('Settings'!$E$12="YES",VLOOKUP(A394,'Player Data'!A1:E667,5,FALSE),82)</f>
        <v>75.17</v>
      </c>
      <c r="E394" s="77">
        <f>(VLOOKUP($A394,'The List'!$B1:$AH665,17,FALSE)-AVERAGE('The List'!R2:R665))/STDEV('The List'!R2:R665)</f>
        <v>1.30128547430182</v>
      </c>
      <c r="F394" s="77">
        <f>(VLOOKUP($A394,'The List'!$B1:$AH665,18,FALSE)-AVERAGE('The List'!S2:S665))/STDEV('The List'!S2:S665)</f>
        <v>-0.8301357655200819</v>
      </c>
      <c r="G394" s="77">
        <f>(VLOOKUP($A394,'The List'!$B1:$AH665,19,FALSE)-AVERAGE('The List'!T2:T665))/STDEV('The List'!T2:T665)</f>
        <v>-0.352125315265193</v>
      </c>
      <c r="H394" s="77">
        <f>(VLOOKUP($A394,'The List'!$B1:$AH665,20,FALSE)-AVERAGE('The List'!U2:U665))/STDEV('The List'!U2:U665)</f>
        <v>-0.596025785071301</v>
      </c>
      <c r="I394" s="77">
        <f>(VLOOKUP($A394,'The List'!$B1:$AH665,21,FALSE)-AVERAGE('The List'!V2:V665))/STDEV('The List'!V2:V665)</f>
        <v>-0.306088094274262</v>
      </c>
      <c r="J394" s="77">
        <f>(VLOOKUP($A394,'The List'!$B1:$AH665,22,FALSE)-AVERAGE('The List'!W2:W665))/STDEV('The List'!W2:W665)</f>
        <v>-0.389280158037037</v>
      </c>
      <c r="K394" s="77">
        <f>(VLOOKUP($A394,'The List'!$B1:$AH665,23,FALSE)-AVERAGE('The List'!X2:X665))/STDEV('The List'!X2:X665)</f>
        <v>-0.329061294778649</v>
      </c>
      <c r="L394" s="77">
        <f>(VLOOKUP($A394,'The List'!$B1:$AH665,24,FALSE)-AVERAGE('The List'!Y2:Y665))/STDEV('The List'!Y2:Y665)</f>
        <v>-0.5154992798111701</v>
      </c>
      <c r="M394" s="77">
        <f>(VLOOKUP($A394,'The List'!$B1:$AH665,25,FALSE)-AVERAGE('The List'!Z2:Z665))/STDEV('The List'!Z2:Z665)</f>
        <v>-0.359800892109718</v>
      </c>
      <c r="N394" s="77">
        <f>(VLOOKUP($A394,'The List'!$B1:$AH665,26,FALSE)-AVERAGE('The List'!AA2:AA665))/STDEV('The List'!AA2:AA665)</f>
        <v>2.20418853136591</v>
      </c>
      <c r="O394" s="77">
        <f>(VLOOKUP($A394,'The List'!$B1:$AH665,27,FALSE)-AVERAGE('The List'!AB2:AB665))/STDEV('The List'!AB2:AB665)</f>
        <v>0.555086597502327</v>
      </c>
      <c r="P394" s="77">
        <f>(VLOOKUP($A394,'The List'!$B1:$AH665,28,FALSE)-AVERAGE('The List'!AC2:AC665))/STDEV('The List'!AC2:AC665)</f>
        <v>0.3920544214736</v>
      </c>
      <c r="Q394" s="77">
        <f>(VLOOKUP($A394,'The List'!$B1:$AH665,29,FALSE)-AVERAGE('The List'!AD2:AD665))/STDEV('The List'!AD2:AD665)</f>
        <v>-1.11539143695889</v>
      </c>
      <c r="R394" s="77">
        <f>(VLOOKUP($A394,'The List'!$B1:$AH665,30,FALSE)-AVERAGE('The List'!AE2:AE665))/STDEV('The List'!AE2:AE665)</f>
        <v>-0.767269182789989</v>
      </c>
      <c r="S394" s="77">
        <f>(VLOOKUP($A394,'The List'!$B1:$AH665,31,FALSE)-AVERAGE('The List'!AF2:AF665))/STDEV('The List'!AF2:AF665)</f>
        <v>-0.573894410680004</v>
      </c>
      <c r="T394" s="77">
        <f>(VLOOKUP($A394,'The List'!$B1:$AH665,32,FALSE)-AVERAGE('The List'!AG2:AG665))/STDEV('The List'!AG2:AG665)</f>
        <v>-0.625770787132651</v>
      </c>
      <c r="U394" s="77">
        <f>(VLOOKUP($A394,'The List'!$B1:$AH665,33,FALSE)-AVERAGE('The List'!AH2:AH665))/STDEV('The List'!AH2:AH665)</f>
        <v>-1.23143509451486</v>
      </c>
      <c r="V394" s="77"/>
      <c r="W394" s="89"/>
      <c r="X394" s="79"/>
      <c r="Y394" s="79"/>
      <c r="Z394" s="79"/>
      <c r="AA394" s="79"/>
      <c r="AB394" s="79"/>
      <c r="AC394" s="82"/>
      <c r="AD394" s="83"/>
      <c r="AE394" s="84"/>
    </row>
    <row r="395" ht="21.25" customHeight="1">
      <c r="A395" t="s" s="10">
        <v>470</v>
      </c>
      <c r="B395" t="s" s="86">
        <f>VLOOKUP(A395,'Player Data'!A1:B667,2,FALSE)</f>
        <v>275</v>
      </c>
      <c r="C395" s="74">
        <f>((E395)*'Settings'!$C$12)+(F395*'Settings'!$C$2)+(G395*'Settings'!$C$3)+(H395*'Settings'!$C$4)+(I395*'Settings'!$C$5)+(K395*'Settings'!$C$9)+(N395*'Settings'!$C$6)+(J395*'Settings'!$C$8)+(O395*'Settings'!$C$7)+(P395*'Settings'!$C$14)+(Q395*'Settings'!$C$15)+(R395*'Settings'!$C$16)+(S395*'Settings'!$C$17)+(T395*'Settings'!$C$18)+(U395*'Settings'!$C$19)+(L395*'Settings'!$C$10)+('Settings'!$C$11*M395)</f>
        <v>-3.15093803907991</v>
      </c>
      <c r="D395" s="79">
        <f>IF('Settings'!$E$12="YES",VLOOKUP(A395,'Player Data'!A1:E667,5,FALSE),82)</f>
        <v>74.09999999999999</v>
      </c>
      <c r="E395" s="77">
        <f>(VLOOKUP($A395,'The List'!$B1:$AH665,17,FALSE)-AVERAGE('The List'!R2:R665))/STDEV('The List'!R2:R665)</f>
        <v>-0.781843160957424</v>
      </c>
      <c r="F395" s="77">
        <f>(VLOOKUP($A395,'The List'!$B1:$AH665,18,FALSE)-AVERAGE('The List'!S2:S665))/STDEV('The List'!S2:S665)</f>
        <v>-0.360988302185308</v>
      </c>
      <c r="G395" s="77">
        <f>(VLOOKUP($A395,'The List'!$B1:$AH665,19,FALSE)-AVERAGE('The List'!T2:T665))/STDEV('The List'!T2:T665)</f>
        <v>-0.727412165024982</v>
      </c>
      <c r="H395" s="77">
        <f>(VLOOKUP($A395,'The List'!$B1:$AH665,20,FALSE)-AVERAGE('The List'!U2:U665))/STDEV('The List'!U2:U665)</f>
        <v>-0.615850197989275</v>
      </c>
      <c r="I395" s="77">
        <f>(VLOOKUP($A395,'The List'!$B1:$AH665,21,FALSE)-AVERAGE('The List'!V2:V665))/STDEV('The List'!V2:V665)</f>
        <v>-0.903373087225996</v>
      </c>
      <c r="J395" s="77">
        <f>(VLOOKUP($A395,'The List'!$B1:$AH665,22,FALSE)-AVERAGE('The List'!W2:W665))/STDEV('The List'!W2:W665)</f>
        <v>-0.649103981464965</v>
      </c>
      <c r="K395" s="77">
        <f>(VLOOKUP($A395,'The List'!$B1:$AH665,23,FALSE)-AVERAGE('The List'!X2:X665))/STDEV('The List'!X2:X665)</f>
        <v>-0.741127679627709</v>
      </c>
      <c r="L395" s="77">
        <f>(VLOOKUP($A395,'The List'!$B1:$AH665,24,FALSE)-AVERAGE('The List'!Y2:Y665))/STDEV('The List'!Y2:Y665)</f>
        <v>-0.333516223875703</v>
      </c>
      <c r="M395" s="77">
        <f>(VLOOKUP($A395,'The List'!$B1:$AH665,25,FALSE)-AVERAGE('The List'!Z2:Z665))/STDEV('The List'!Z2:Z665)</f>
        <v>0.0801957540568389</v>
      </c>
      <c r="N395" s="77">
        <f>(VLOOKUP($A395,'The List'!$B1:$AH665,26,FALSE)-AVERAGE('The List'!AA2:AA665))/STDEV('The List'!AA2:AA665)</f>
        <v>-0.422464809082316</v>
      </c>
      <c r="O395" s="77">
        <f>(VLOOKUP($A395,'The List'!$B1:$AH665,27,FALSE)-AVERAGE('The List'!AB2:AB665))/STDEV('The List'!AB2:AB665)</f>
        <v>2.63608114768907</v>
      </c>
      <c r="P395" s="77">
        <f>(VLOOKUP($A395,'The List'!$B1:$AH665,28,FALSE)-AVERAGE('The List'!AC2:AC665))/STDEV('The List'!AC2:AC665)</f>
        <v>0.00442800406639721</v>
      </c>
      <c r="Q395" s="77">
        <f>(VLOOKUP($A395,'The List'!$B1:$AH665,29,FALSE)-AVERAGE('The List'!AD2:AD665))/STDEV('The List'!AD2:AD665)</f>
        <v>2.28822613158698</v>
      </c>
      <c r="R395" s="77">
        <f>(VLOOKUP($A395,'The List'!$B1:$AH665,30,FALSE)-AVERAGE('The List'!AE2:AE665))/STDEV('The List'!AE2:AE665)</f>
        <v>-0.244578680911349</v>
      </c>
      <c r="S395" s="77">
        <f>(VLOOKUP($A395,'The List'!$B1:$AH665,31,FALSE)-AVERAGE('The List'!AF2:AF665))/STDEV('The List'!AF2:AF665)</f>
        <v>-0.524421972259678</v>
      </c>
      <c r="T395" s="77">
        <f>(VLOOKUP($A395,'The List'!$B1:$AH665,32,FALSE)-AVERAGE('The List'!AG2:AG665))/STDEV('The List'!AG2:AG665)</f>
        <v>-0.571576219630757</v>
      </c>
      <c r="U395" s="77">
        <f>(VLOOKUP($A395,'The List'!$B1:$AH665,33,FALSE)-AVERAGE('The List'!AH2:AH665))/STDEV('The List'!AH2:AH665)</f>
        <v>1.00170660847307</v>
      </c>
      <c r="V395" s="77"/>
      <c r="W395" s="89"/>
      <c r="X395" s="79"/>
      <c r="Y395" s="79"/>
      <c r="Z395" s="79"/>
      <c r="AA395" s="79"/>
      <c r="AB395" s="79"/>
      <c r="AC395" s="82"/>
      <c r="AD395" s="83"/>
      <c r="AE395" s="84"/>
    </row>
    <row r="396" ht="21.25" customHeight="1">
      <c r="A396" t="s" s="10">
        <v>588</v>
      </c>
      <c r="B396" t="s" s="86">
        <f>VLOOKUP(A396,'Player Data'!A1:B667,2,FALSE)</f>
        <v>866</v>
      </c>
      <c r="C396" s="74">
        <f>((E396)*'Settings'!$C$12)+(F396*'Settings'!$C$2)+(G396*'Settings'!$C$3)+(H396*'Settings'!$C$4)+(I396*'Settings'!$C$5)+(K396*'Settings'!$C$9)+(N396*'Settings'!$C$6)+(J396*'Settings'!$C$8)+(O396*'Settings'!$C$7)+(P396*'Settings'!$C$14)+(Q396*'Settings'!$C$15)+(R396*'Settings'!$C$16)+(S396*'Settings'!$C$17)+(T396*'Settings'!$C$18)+(U396*'Settings'!$C$19)+(L396*'Settings'!$C$10)+('Settings'!$C$11*M396)</f>
        <v>-2.02215817204235</v>
      </c>
      <c r="D396" s="79">
        <f>IF('Settings'!$E$12="YES",VLOOKUP(A396,'Player Data'!A1:E667,5,FALSE),82)</f>
        <v>77.77500000000001</v>
      </c>
      <c r="E396" s="77">
        <f>(VLOOKUP($A396,'The List'!$B1:$AH665,17,FALSE)-AVERAGE('The List'!R2:R665))/STDEV('The List'!R2:R665)</f>
        <v>0.662526995089646</v>
      </c>
      <c r="F396" s="77">
        <f>(VLOOKUP($A396,'The List'!$B1:$AH665,18,FALSE)-AVERAGE('The List'!S2:S665))/STDEV('The List'!S2:S665)</f>
        <v>-0.828489253767918</v>
      </c>
      <c r="G396" s="77">
        <f>(VLOOKUP($A396,'The List'!$B1:$AH665,19,FALSE)-AVERAGE('The List'!T2:T665))/STDEV('The List'!T2:T665)</f>
        <v>-0.305442068926495</v>
      </c>
      <c r="H396" s="77">
        <f>(VLOOKUP($A396,'The List'!$B1:$AH665,20,FALSE)-AVERAGE('The List'!U2:U665))/STDEV('The List'!U2:U665)</f>
        <v>-0.566284446327725</v>
      </c>
      <c r="I396" s="77">
        <f>(VLOOKUP($A396,'The List'!$B1:$AH665,21,FALSE)-AVERAGE('The List'!V2:V665))/STDEV('The List'!V2:V665)</f>
        <v>-0.9463571189675249</v>
      </c>
      <c r="J396" s="77">
        <f>(VLOOKUP($A396,'The List'!$B1:$AH665,22,FALSE)-AVERAGE('The List'!W2:W665))/STDEV('The List'!W2:W665)</f>
        <v>-0.571721156834453</v>
      </c>
      <c r="K396" s="77">
        <f>(VLOOKUP($A396,'The List'!$B1:$AH665,23,FALSE)-AVERAGE('The List'!X2:X665))/STDEV('The List'!X2:X665)</f>
        <v>-0.518000041324596</v>
      </c>
      <c r="L396" s="77">
        <f>(VLOOKUP($A396,'The List'!$B1:$AH665,24,FALSE)-AVERAGE('The List'!Y2:Y665))/STDEV('The List'!Y2:Y665)</f>
        <v>-0.533959838828309</v>
      </c>
      <c r="M396" s="77">
        <f>(VLOOKUP($A396,'The List'!$B1:$AH665,25,FALSE)-AVERAGE('The List'!Z2:Z665))/STDEV('The List'!Z2:Z665)</f>
        <v>0.268359128418296</v>
      </c>
      <c r="N396" s="77">
        <f>(VLOOKUP($A396,'The List'!$B1:$AH665,26,FALSE)-AVERAGE('The List'!AA2:AA665))/STDEV('The List'!AA2:AA665)</f>
        <v>1.06355757966331</v>
      </c>
      <c r="O396" s="77">
        <f>(VLOOKUP($A396,'The List'!$B1:$AH665,27,FALSE)-AVERAGE('The List'!AB2:AB665))/STDEV('The List'!AB2:AB665)</f>
        <v>0.0131473033657775</v>
      </c>
      <c r="P396" s="77">
        <f>(VLOOKUP($A396,'The List'!$B1:$AH665,28,FALSE)-AVERAGE('The List'!AC2:AC665))/STDEV('The List'!AC2:AC665)</f>
        <v>-0.487427268719126</v>
      </c>
      <c r="Q396" s="77">
        <f>(VLOOKUP($A396,'The List'!$B1:$AH665,29,FALSE)-AVERAGE('The List'!AD2:AD665))/STDEV('The List'!AD2:AD665)</f>
        <v>-0.0162969473185938</v>
      </c>
      <c r="R396" s="77">
        <f>(VLOOKUP($A396,'The List'!$B1:$AH665,30,FALSE)-AVERAGE('The List'!AE2:AE665))/STDEV('The List'!AE2:AE665)</f>
        <v>-0.764303122189557</v>
      </c>
      <c r="S396" s="77">
        <f>(VLOOKUP($A396,'The List'!$B1:$AH665,31,FALSE)-AVERAGE('The List'!AF2:AF665))/STDEV('The List'!AF2:AF665)</f>
        <v>-0.573894410680004</v>
      </c>
      <c r="T396" s="77">
        <f>(VLOOKUP($A396,'The List'!$B1:$AH665,32,FALSE)-AVERAGE('The List'!AG2:AG665))/STDEV('The List'!AG2:AG665)</f>
        <v>-0.625770787132651</v>
      </c>
      <c r="U396" s="77">
        <f>(VLOOKUP($A396,'The List'!$B1:$AH665,33,FALSE)-AVERAGE('The List'!AH2:AH665))/STDEV('The List'!AH2:AH665)</f>
        <v>-1.23143509451486</v>
      </c>
      <c r="V396" s="77"/>
      <c r="W396" s="89"/>
      <c r="X396" s="79"/>
      <c r="Y396" s="79"/>
      <c r="Z396" s="79"/>
      <c r="AA396" s="79"/>
      <c r="AB396" s="79"/>
      <c r="AC396" s="82"/>
      <c r="AD396" s="83"/>
      <c r="AE396" s="84"/>
    </row>
    <row r="397" ht="21.25" customHeight="1">
      <c r="A397" t="s" s="10">
        <v>828</v>
      </c>
      <c r="B397" t="s" s="86">
        <f>VLOOKUP(A397,'Player Data'!A1:B667,2,FALSE)</f>
        <v>908</v>
      </c>
      <c r="C397" s="74">
        <f>((E397)*'Settings'!$C$12)+(F397*'Settings'!$C$2)+(G397*'Settings'!$C$3)+(H397*'Settings'!$C$4)+(I397*'Settings'!$C$5)+(K397*'Settings'!$C$9)+(N397*'Settings'!$C$6)+(J397*'Settings'!$C$8)+(O397*'Settings'!$C$7)+(P397*'Settings'!$C$14)+(Q397*'Settings'!$C$15)+(R397*'Settings'!$C$16)+(S397*'Settings'!$C$17)+(T397*'Settings'!$C$18)+(U397*'Settings'!$C$19)+(L397*'Settings'!$C$10)+('Settings'!$C$11*M397)</f>
        <v>-3.98555042292253</v>
      </c>
      <c r="D397" s="79">
        <f>IF('Settings'!$E$12="YES",VLOOKUP(A397,'Player Data'!A1:E667,5,FALSE),82)</f>
        <v>64.4725</v>
      </c>
      <c r="E397" s="77">
        <f>(VLOOKUP($A397,'The List'!$B1:$AH665,17,FALSE)-AVERAGE('The List'!R2:R665))/STDEV('The List'!R2:R665)</f>
        <v>-1.59577535436886</v>
      </c>
      <c r="F397" s="77">
        <f>(VLOOKUP($A397,'The List'!$B1:$AH665,18,FALSE)-AVERAGE('The List'!S2:S665))/STDEV('The List'!S2:S665)</f>
        <v>-0.0484487748004484</v>
      </c>
      <c r="G397" s="77">
        <f>(VLOOKUP($A397,'The List'!$B1:$AH665,19,FALSE)-AVERAGE('The List'!T2:T665))/STDEV('The List'!T2:T665)</f>
        <v>-1.18509440837439</v>
      </c>
      <c r="H397" s="77">
        <f>(VLOOKUP($A397,'The List'!$B1:$AH665,20,FALSE)-AVERAGE('The List'!U2:U665))/STDEV('The List'!U2:U665)</f>
        <v>-0.758032534325962</v>
      </c>
      <c r="I397" s="77">
        <f>(VLOOKUP($A397,'The List'!$B1:$AH665,21,FALSE)-AVERAGE('The List'!V2:V665))/STDEV('The List'!V2:V665)</f>
        <v>-0.708007006647286</v>
      </c>
      <c r="J397" s="77">
        <f>(VLOOKUP($A397,'The List'!$B1:$AH665,22,FALSE)-AVERAGE('The List'!W2:W665))/STDEV('The List'!W2:W665)</f>
        <v>-0.684263553527296</v>
      </c>
      <c r="K397" s="77">
        <f>(VLOOKUP($A397,'The List'!$B1:$AH665,23,FALSE)-AVERAGE('The List'!X2:X665))/STDEV('The List'!X2:X665)</f>
        <v>-0.778905180912962</v>
      </c>
      <c r="L397" s="77">
        <f>(VLOOKUP($A397,'The List'!$B1:$AH665,24,FALSE)-AVERAGE('The List'!Y2:Y665))/STDEV('The List'!Y2:Y665)</f>
        <v>-0.330951106231191</v>
      </c>
      <c r="M397" s="77">
        <f>(VLOOKUP($A397,'The List'!$B1:$AH665,25,FALSE)-AVERAGE('The List'!Z2:Z665))/STDEV('The List'!Z2:Z665)</f>
        <v>-0.583699883494306</v>
      </c>
      <c r="N397" s="77">
        <f>(VLOOKUP($A397,'The List'!$B1:$AH665,26,FALSE)-AVERAGE('The List'!AA2:AA665))/STDEV('The List'!AA2:AA665)</f>
        <v>-1.04977157151941</v>
      </c>
      <c r="O397" s="77">
        <f>(VLOOKUP($A397,'The List'!$B1:$AH665,27,FALSE)-AVERAGE('The List'!AB2:AB665))/STDEV('The List'!AB2:AB665)</f>
        <v>-0.617063443431241</v>
      </c>
      <c r="P397" s="77">
        <f>(VLOOKUP($A397,'The List'!$B1:$AH665,28,FALSE)-AVERAGE('The List'!AC2:AC665))/STDEV('The List'!AC2:AC665)</f>
        <v>-0.215323480668035</v>
      </c>
      <c r="Q397" s="77">
        <f>(VLOOKUP($A397,'The List'!$B1:$AH665,29,FALSE)-AVERAGE('The List'!AD2:AD665))/STDEV('The List'!AD2:AD665)</f>
        <v>-0.523690898646456</v>
      </c>
      <c r="R397" s="77">
        <f>(VLOOKUP($A397,'The List'!$B1:$AH665,30,FALSE)-AVERAGE('The List'!AE2:AE665))/STDEV('The List'!AE2:AE665)</f>
        <v>-0.0680612699651971</v>
      </c>
      <c r="S397" s="77">
        <f>(VLOOKUP($A397,'The List'!$B1:$AH665,31,FALSE)-AVERAGE('The List'!AF2:AF665))/STDEV('The List'!AF2:AF665)</f>
        <v>-0.56094973969132</v>
      </c>
      <c r="T397" s="77">
        <f>(VLOOKUP($A397,'The List'!$B1:$AH665,32,FALSE)-AVERAGE('The List'!AG2:AG665))/STDEV('The List'!AG2:AG665)</f>
        <v>-0.581566794825691</v>
      </c>
      <c r="U397" s="77">
        <f>(VLOOKUP($A397,'The List'!$B1:$AH665,33,FALSE)-AVERAGE('The List'!AH2:AH665))/STDEV('The List'!AH2:AH665)</f>
        <v>-0.154829262537396</v>
      </c>
      <c r="V397" s="77"/>
      <c r="W397" s="79"/>
      <c r="X397" s="77"/>
      <c r="Y397" s="77"/>
      <c r="Z397" s="77"/>
      <c r="AA397" s="77"/>
      <c r="AB397" s="77"/>
      <c r="AC397" s="77"/>
      <c r="AD397" s="77"/>
      <c r="AE397" s="84"/>
    </row>
    <row r="398" ht="21.25" customHeight="1">
      <c r="A398" t="s" s="10">
        <v>647</v>
      </c>
      <c r="B398" t="s" s="86">
        <f>VLOOKUP(A398,'Player Data'!A1:B667,2,FALSE)</f>
        <v>866</v>
      </c>
      <c r="C398" s="74">
        <f>((E398)*'Settings'!$C$12)+(F398*'Settings'!$C$2)+(G398*'Settings'!$C$3)+(H398*'Settings'!$C$4)+(I398*'Settings'!$C$5)+(K398*'Settings'!$C$9)+(N398*'Settings'!$C$6)+(J398*'Settings'!$C$8)+(O398*'Settings'!$C$7)+(P398*'Settings'!$C$14)+(Q398*'Settings'!$C$15)+(R398*'Settings'!$C$16)+(S398*'Settings'!$C$17)+(T398*'Settings'!$C$18)+(U398*'Settings'!$C$19)+(L398*'Settings'!$C$10)+('Settings'!$C$11*M398)</f>
        <v>-1.33104718634165</v>
      </c>
      <c r="D398" s="79">
        <f>IF('Settings'!$E$12="YES",VLOOKUP(A398,'Player Data'!A1:E667,5,FALSE),82)</f>
        <v>78.655</v>
      </c>
      <c r="E398" s="77">
        <f>(VLOOKUP($A398,'The List'!$B1:$AH665,17,FALSE)-AVERAGE('The List'!R2:R665))/STDEV('The List'!R2:R665)</f>
        <v>0.0893584742173288</v>
      </c>
      <c r="F398" s="77">
        <f>(VLOOKUP($A398,'The List'!$B1:$AH665,18,FALSE)-AVERAGE('The List'!S2:S665))/STDEV('The List'!S2:S665)</f>
        <v>-0.875627243095803</v>
      </c>
      <c r="G398" s="77">
        <f>(VLOOKUP($A398,'The List'!$B1:$AH665,19,FALSE)-AVERAGE('The List'!T2:T665))/STDEV('The List'!T2:T665)</f>
        <v>-0.265587796382699</v>
      </c>
      <c r="H398" s="77">
        <f>(VLOOKUP($A398,'The List'!$B1:$AH665,20,FALSE)-AVERAGE('The List'!U2:U665))/STDEV('The List'!U2:U665)</f>
        <v>-0.562959158945461</v>
      </c>
      <c r="I398" s="77">
        <f>(VLOOKUP($A398,'The List'!$B1:$AH665,21,FALSE)-AVERAGE('The List'!V2:V665))/STDEV('The List'!V2:V665)</f>
        <v>-0.734991761176932</v>
      </c>
      <c r="J398" s="77">
        <f>(VLOOKUP($A398,'The List'!$B1:$AH665,22,FALSE)-AVERAGE('The List'!W2:W665))/STDEV('The List'!W2:W665)</f>
        <v>-0.56173047142498</v>
      </c>
      <c r="K398" s="77">
        <f>(VLOOKUP($A398,'The List'!$B1:$AH665,23,FALSE)-AVERAGE('The List'!X2:X665))/STDEV('The List'!X2:X665)</f>
        <v>-0.345100881086612</v>
      </c>
      <c r="L398" s="77">
        <f>(VLOOKUP($A398,'The List'!$B1:$AH665,24,FALSE)-AVERAGE('The List'!Y2:Y665))/STDEV('The List'!Y2:Y665)</f>
        <v>-0.541219793478432</v>
      </c>
      <c r="M398" s="77">
        <f>(VLOOKUP($A398,'The List'!$B1:$AH665,25,FALSE)-AVERAGE('The List'!Z2:Z665))/STDEV('The List'!Z2:Z665)</f>
        <v>-0.6367560337035491</v>
      </c>
      <c r="N398" s="77">
        <f>(VLOOKUP($A398,'The List'!$B1:$AH665,26,FALSE)-AVERAGE('The List'!AA2:AA665))/STDEV('The List'!AA2:AA665)</f>
        <v>0.677156702389445</v>
      </c>
      <c r="O398" s="77">
        <f>(VLOOKUP($A398,'The List'!$B1:$AH665,27,FALSE)-AVERAGE('The List'!AB2:AB665))/STDEV('The List'!AB2:AB665)</f>
        <v>-0.247158732964207</v>
      </c>
      <c r="P398" s="77">
        <f>(VLOOKUP($A398,'The List'!$B1:$AH665,28,FALSE)-AVERAGE('The List'!AC2:AC665))/STDEV('The List'!AC2:AC665)</f>
        <v>0.21310379301095</v>
      </c>
      <c r="Q398" s="77">
        <f>(VLOOKUP($A398,'The List'!$B1:$AH665,29,FALSE)-AVERAGE('The List'!AD2:AD665))/STDEV('The List'!AD2:AD665)</f>
        <v>-0.770751575733705</v>
      </c>
      <c r="R398" s="77">
        <f>(VLOOKUP($A398,'The List'!$B1:$AH665,30,FALSE)-AVERAGE('The List'!AE2:AE665))/STDEV('The List'!AE2:AE665)</f>
        <v>-0.811975555130273</v>
      </c>
      <c r="S398" s="77">
        <f>(VLOOKUP($A398,'The List'!$B1:$AH665,31,FALSE)-AVERAGE('The List'!AF2:AF665))/STDEV('The List'!AF2:AF665)</f>
        <v>-0.573894410680004</v>
      </c>
      <c r="T398" s="77">
        <f>(VLOOKUP($A398,'The List'!$B1:$AH665,32,FALSE)-AVERAGE('The List'!AG2:AG665))/STDEV('The List'!AG2:AG665)</f>
        <v>-0.625770787132651</v>
      </c>
      <c r="U398" s="77">
        <f>(VLOOKUP($A398,'The List'!$B1:$AH665,33,FALSE)-AVERAGE('The List'!AH2:AH665))/STDEV('The List'!AH2:AH665)</f>
        <v>-1.23143509451486</v>
      </c>
      <c r="V398" s="77"/>
      <c r="W398" s="79"/>
      <c r="X398" s="77"/>
      <c r="Y398" s="77"/>
      <c r="Z398" s="77"/>
      <c r="AA398" s="77"/>
      <c r="AB398" s="77"/>
      <c r="AC398" s="77"/>
      <c r="AD398" s="77"/>
      <c r="AE398" s="84"/>
    </row>
    <row r="399" ht="21.25" customHeight="1">
      <c r="A399" t="s" s="10">
        <v>609</v>
      </c>
      <c r="B399" t="s" s="86">
        <f>VLOOKUP(A399,'Player Data'!A1:B667,2,FALSE)</f>
        <v>900</v>
      </c>
      <c r="C399" s="74">
        <f>((E399)*'Settings'!$C$12)+(F399*'Settings'!$C$2)+(G399*'Settings'!$C$3)+(H399*'Settings'!$C$4)+(I399*'Settings'!$C$5)+(K399*'Settings'!$C$9)+(N399*'Settings'!$C$6)+(J399*'Settings'!$C$8)+(O399*'Settings'!$C$7)+(P399*'Settings'!$C$14)+(Q399*'Settings'!$C$15)+(R399*'Settings'!$C$16)+(S399*'Settings'!$C$17)+(T399*'Settings'!$C$18)+(U399*'Settings'!$C$19)+(L399*'Settings'!$C$10)+('Settings'!$C$11*M399)</f>
        <v>-0.6172997086598629</v>
      </c>
      <c r="D399" s="79">
        <f>IF('Settings'!$E$12="YES",VLOOKUP(A399,'Player Data'!A1:E667,5,FALSE),82)</f>
        <v>78.7</v>
      </c>
      <c r="E399" s="77">
        <f>(VLOOKUP($A399,'The List'!$B1:$AH665,17,FALSE)-AVERAGE('The List'!R2:R665))/STDEV('The List'!R2:R665)</f>
        <v>1.18133479777663</v>
      </c>
      <c r="F399" s="77">
        <f>(VLOOKUP($A399,'The List'!$B1:$AH665,18,FALSE)-AVERAGE('The List'!S2:S665))/STDEV('The List'!S2:S665)</f>
        <v>-0.855187982779679</v>
      </c>
      <c r="G399" s="77">
        <f>(VLOOKUP($A399,'The List'!$B1:$AH665,19,FALSE)-AVERAGE('The List'!T2:T665))/STDEV('The List'!T2:T665)</f>
        <v>-0.283280396273207</v>
      </c>
      <c r="H399" s="77">
        <f>(VLOOKUP($A399,'The List'!$B1:$AH665,20,FALSE)-AVERAGE('The List'!U2:U665))/STDEV('The List'!U2:U665)</f>
        <v>-0.564656642929283</v>
      </c>
      <c r="I399" s="77">
        <f>(VLOOKUP($A399,'The List'!$B1:$AH665,21,FALSE)-AVERAGE('The List'!V2:V665))/STDEV('The List'!V2:V665)</f>
        <v>-0.06800006311385599</v>
      </c>
      <c r="J399" s="77">
        <f>(VLOOKUP($A399,'The List'!$B1:$AH665,22,FALSE)-AVERAGE('The List'!W2:W665))/STDEV('The List'!W2:W665)</f>
        <v>-0.72108482244858</v>
      </c>
      <c r="K399" s="77">
        <f>(VLOOKUP($A399,'The List'!$B1:$AH665,23,FALSE)-AVERAGE('The List'!X2:X665))/STDEV('The List'!X2:X665)</f>
        <v>-0.788770680350257</v>
      </c>
      <c r="L399" s="77">
        <f>(VLOOKUP($A399,'The List'!$B1:$AH665,24,FALSE)-AVERAGE('The List'!Y2:Y665))/STDEV('The List'!Y2:Y665)</f>
        <v>-0.531261772720766</v>
      </c>
      <c r="M399" s="77">
        <f>(VLOOKUP($A399,'The List'!$B1:$AH665,25,FALSE)-AVERAGE('The List'!Z2:Z665))/STDEV('The List'!Z2:Z665)</f>
        <v>-0.06412456030046169</v>
      </c>
      <c r="N399" s="77">
        <f>(VLOOKUP($A399,'The List'!$B1:$AH665,26,FALSE)-AVERAGE('The List'!AA2:AA665))/STDEV('The List'!AA2:AA665)</f>
        <v>1.35161804336429</v>
      </c>
      <c r="O399" s="77">
        <f>(VLOOKUP($A399,'The List'!$B1:$AH665,27,FALSE)-AVERAGE('The List'!AB2:AB665))/STDEV('The List'!AB2:AB665)</f>
        <v>-0.980713152178869</v>
      </c>
      <c r="P399" s="77">
        <f>(VLOOKUP($A399,'The List'!$B1:$AH665,28,FALSE)-AVERAGE('The List'!AC2:AC665))/STDEV('The List'!AC2:AC665)</f>
        <v>0.0263213704928458</v>
      </c>
      <c r="Q399" s="77">
        <f>(VLOOKUP($A399,'The List'!$B1:$AH665,29,FALSE)-AVERAGE('The List'!AD2:AD665))/STDEV('The List'!AD2:AD665)</f>
        <v>-0.172600775948856</v>
      </c>
      <c r="R399" s="77">
        <f>(VLOOKUP($A399,'The List'!$B1:$AH665,30,FALSE)-AVERAGE('The List'!AE2:AE665))/STDEV('The List'!AE2:AE665)</f>
        <v>-0.811826596311742</v>
      </c>
      <c r="S399" s="77">
        <f>(VLOOKUP($A399,'The List'!$B1:$AH665,31,FALSE)-AVERAGE('The List'!AF2:AF665))/STDEV('The List'!AF2:AF665)</f>
        <v>-0.573894410680004</v>
      </c>
      <c r="T399" s="77">
        <f>(VLOOKUP($A399,'The List'!$B1:$AH665,32,FALSE)-AVERAGE('The List'!AG2:AG665))/STDEV('The List'!AG2:AG665)</f>
        <v>-0.625770787132651</v>
      </c>
      <c r="U399" s="77">
        <f>(VLOOKUP($A399,'The List'!$B1:$AH665,33,FALSE)-AVERAGE('The List'!AH2:AH665))/STDEV('The List'!AH2:AH665)</f>
        <v>-1.23143509451486</v>
      </c>
      <c r="V399" s="77"/>
      <c r="W399" s="89"/>
      <c r="X399" s="79"/>
      <c r="Y399" s="79"/>
      <c r="Z399" s="79"/>
      <c r="AA399" s="79"/>
      <c r="AB399" s="79"/>
      <c r="AC399" s="82"/>
      <c r="AD399" s="83"/>
      <c r="AE399" s="84"/>
    </row>
    <row r="400" ht="21.25" customHeight="1">
      <c r="A400" t="s" s="10">
        <v>796</v>
      </c>
      <c r="B400" t="s" s="86">
        <f>VLOOKUP(A400,'Player Data'!A1:B667,2,FALSE)</f>
        <v>907</v>
      </c>
      <c r="C400" s="74">
        <f>((E400)*'Settings'!$C$12)+(F400*'Settings'!$C$2)+(G400*'Settings'!$C$3)+(H400*'Settings'!$C$4)+(I400*'Settings'!$C$5)+(K400*'Settings'!$C$9)+(N400*'Settings'!$C$6)+(J400*'Settings'!$C$8)+(O400*'Settings'!$C$7)+(P400*'Settings'!$C$14)+(Q400*'Settings'!$C$15)+(R400*'Settings'!$C$16)+(S400*'Settings'!$C$17)+(T400*'Settings'!$C$18)+(U400*'Settings'!$C$19)+(L400*'Settings'!$C$10)+('Settings'!$C$11*M400)</f>
        <v>-3.50858857245595</v>
      </c>
      <c r="D400" s="79">
        <f>IF('Settings'!$E$12="YES",VLOOKUP(A400,'Player Data'!A1:E667,5,FALSE),82)</f>
        <v>66.91</v>
      </c>
      <c r="E400" s="77">
        <f>(VLOOKUP($A400,'The List'!$B1:$AH665,17,FALSE)-AVERAGE('The List'!R2:R665))/STDEV('The List'!R2:R665)</f>
        <v>-0.186722087152476</v>
      </c>
      <c r="F400" s="77">
        <f>(VLOOKUP($A400,'The List'!$B1:$AH665,18,FALSE)-AVERAGE('The List'!S2:S665))/STDEV('The List'!S2:S665)</f>
        <v>-1.17860675208266</v>
      </c>
      <c r="G400" s="77">
        <f>(VLOOKUP($A400,'The List'!$B1:$AH665,19,FALSE)-AVERAGE('The List'!T2:T665))/STDEV('The List'!T2:T665)</f>
        <v>-0.310337666406083</v>
      </c>
      <c r="H400" s="77">
        <f>(VLOOKUP($A400,'The List'!$B1:$AH665,20,FALSE)-AVERAGE('The List'!U2:U665))/STDEV('The List'!U2:U665)</f>
        <v>-0.728469933037398</v>
      </c>
      <c r="I400" s="77">
        <f>(VLOOKUP($A400,'The List'!$B1:$AH665,21,FALSE)-AVERAGE('The List'!V2:V665))/STDEV('The List'!V2:V665)</f>
        <v>-1.29088060553188</v>
      </c>
      <c r="J400" s="77">
        <f>(VLOOKUP($A400,'The List'!$B1:$AH665,22,FALSE)-AVERAGE('The List'!W2:W665))/STDEV('The List'!W2:W665)</f>
        <v>-0.669418296502665</v>
      </c>
      <c r="K400" s="77">
        <f>(VLOOKUP($A400,'The List'!$B1:$AH665,23,FALSE)-AVERAGE('The List'!X2:X665))/STDEV('The List'!X2:X665)</f>
        <v>-0.172550180407706</v>
      </c>
      <c r="L400" s="77">
        <f>(VLOOKUP($A400,'The List'!$B1:$AH665,24,FALSE)-AVERAGE('The List'!Y2:Y665))/STDEV('The List'!Y2:Y665)</f>
        <v>-0.579626619375066</v>
      </c>
      <c r="M400" s="77">
        <f>(VLOOKUP($A400,'The List'!$B1:$AH665,25,FALSE)-AVERAGE('The List'!Z2:Z665))/STDEV('The List'!Z2:Z665)</f>
        <v>-0.752409315093479</v>
      </c>
      <c r="N400" s="77">
        <f>(VLOOKUP($A400,'The List'!$B1:$AH665,26,FALSE)-AVERAGE('The List'!AA2:AA665))/STDEV('The List'!AA2:AA665)</f>
        <v>0.210081620563724</v>
      </c>
      <c r="O400" s="77">
        <f>(VLOOKUP($A400,'The List'!$B1:$AH665,27,FALSE)-AVERAGE('The List'!AB2:AB665))/STDEV('The List'!AB2:AB665)</f>
        <v>-0.709290847217779</v>
      </c>
      <c r="P400" s="77">
        <f>(VLOOKUP($A400,'The List'!$B1:$AH665,28,FALSE)-AVERAGE('The List'!AC2:AC665))/STDEV('The List'!AC2:AC665)</f>
        <v>-0.766294988591349</v>
      </c>
      <c r="Q400" s="77">
        <f>(VLOOKUP($A400,'The List'!$B1:$AH665,29,FALSE)-AVERAGE('The List'!AD2:AD665))/STDEV('The List'!AD2:AD665)</f>
        <v>-0.689755335310376</v>
      </c>
      <c r="R400" s="77">
        <f>(VLOOKUP($A400,'The List'!$B1:$AH665,30,FALSE)-AVERAGE('The List'!AE2:AE665))/STDEV('The List'!AE2:AE665)</f>
        <v>-1.15532742078305</v>
      </c>
      <c r="S400" s="77">
        <f>(VLOOKUP($A400,'The List'!$B1:$AH665,31,FALSE)-AVERAGE('The List'!AF2:AF665))/STDEV('The List'!AF2:AF665)</f>
        <v>-0.573894410680004</v>
      </c>
      <c r="T400" s="77">
        <f>(VLOOKUP($A400,'The List'!$B1:$AH665,32,FALSE)-AVERAGE('The List'!AG2:AG665))/STDEV('The List'!AG2:AG665)</f>
        <v>-0.625770787132651</v>
      </c>
      <c r="U400" s="77">
        <f>(VLOOKUP($A400,'The List'!$B1:$AH665,33,FALSE)-AVERAGE('The List'!AH2:AH665))/STDEV('The List'!AH2:AH665)</f>
        <v>-1.23143509451486</v>
      </c>
      <c r="V400" s="77"/>
      <c r="W400" s="89"/>
      <c r="X400" s="79"/>
      <c r="Y400" s="79"/>
      <c r="Z400" s="79"/>
      <c r="AA400" s="79"/>
      <c r="AB400" s="79"/>
      <c r="AC400" s="82"/>
      <c r="AD400" s="83"/>
      <c r="AE400" s="84"/>
    </row>
    <row r="401" ht="21.25" customHeight="1">
      <c r="A401" t="s" s="10">
        <v>400</v>
      </c>
      <c r="B401" t="s" s="86">
        <f>VLOOKUP(A401,'Player Data'!A1:B667,2,FALSE)</f>
        <v>267</v>
      </c>
      <c r="C401" s="74">
        <f>((E401)*'Settings'!$C$12)+(F401*'Settings'!$C$2)+(G401*'Settings'!$C$3)+(H401*'Settings'!$C$4)+(I401*'Settings'!$C$5)+(K401*'Settings'!$C$9)+(N401*'Settings'!$C$6)+(J401*'Settings'!$C$8)+(O401*'Settings'!$C$7)+(P401*'Settings'!$C$14)+(Q401*'Settings'!$C$15)+(R401*'Settings'!$C$16)+(S401*'Settings'!$C$17)+(T401*'Settings'!$C$18)+(U401*'Settings'!$C$19)+(L401*'Settings'!$C$10)+('Settings'!$C$11*M401)</f>
        <v>-2.71195142732132</v>
      </c>
      <c r="D401" s="79">
        <f>IF('Settings'!$E$12="YES",VLOOKUP(A401,'Player Data'!A1:E667,5,FALSE),82)</f>
        <v>76.3125</v>
      </c>
      <c r="E401" s="77">
        <f>(VLOOKUP($A401,'The List'!$B1:$AH665,17,FALSE)-AVERAGE('The List'!R2:R665))/STDEV('The List'!R2:R665)</f>
        <v>-1.14756981438874</v>
      </c>
      <c r="F401" s="77">
        <f>(VLOOKUP($A401,'The List'!$B1:$AH665,18,FALSE)-AVERAGE('The List'!S2:S665))/STDEV('The List'!S2:S665)</f>
        <v>-0.264427778512428</v>
      </c>
      <c r="G401" s="77">
        <f>(VLOOKUP($A401,'The List'!$B1:$AH665,19,FALSE)-AVERAGE('The List'!T2:T665))/STDEV('The List'!T2:T665)</f>
        <v>-0.783050999690007</v>
      </c>
      <c r="H401" s="77">
        <f>(VLOOKUP($A401,'The List'!$B1:$AH665,20,FALSE)-AVERAGE('The List'!U2:U665))/STDEV('The List'!U2:U665)</f>
        <v>-0.60651369488355</v>
      </c>
      <c r="I401" s="77">
        <f>(VLOOKUP($A401,'The List'!$B1:$AH665,21,FALSE)-AVERAGE('The List'!V2:V665))/STDEV('The List'!V2:V665)</f>
        <v>-0.620607093481355</v>
      </c>
      <c r="J401" s="77">
        <f>(VLOOKUP($A401,'The List'!$B1:$AH665,22,FALSE)-AVERAGE('The List'!W2:W665))/STDEV('The List'!W2:W665)</f>
        <v>-0.387799848105452</v>
      </c>
      <c r="K401" s="77">
        <f>(VLOOKUP($A401,'The List'!$B1:$AH665,23,FALSE)-AVERAGE('The List'!X2:X665))/STDEV('The List'!X2:X665)</f>
        <v>-0.5550302952487</v>
      </c>
      <c r="L401" s="77">
        <f>(VLOOKUP($A401,'The List'!$B1:$AH665,24,FALSE)-AVERAGE('The List'!Y2:Y665))/STDEV('The List'!Y2:Y665)</f>
        <v>-0.578594435186389</v>
      </c>
      <c r="M401" s="77">
        <f>(VLOOKUP($A401,'The List'!$B1:$AH665,25,FALSE)-AVERAGE('The List'!Z2:Z665))/STDEV('The List'!Z2:Z665)</f>
        <v>-0.751835478147422</v>
      </c>
      <c r="N401" s="77">
        <f>(VLOOKUP($A401,'The List'!$B1:$AH665,26,FALSE)-AVERAGE('The List'!AA2:AA665))/STDEV('The List'!AA2:AA665)</f>
        <v>-0.560316207936831</v>
      </c>
      <c r="O401" s="77">
        <f>(VLOOKUP($A401,'The List'!$B1:$AH665,27,FALSE)-AVERAGE('The List'!AB2:AB665))/STDEV('The List'!AB2:AB665)</f>
        <v>3.6111152921841</v>
      </c>
      <c r="P401" s="77">
        <f>(VLOOKUP($A401,'The List'!$B1:$AH665,28,FALSE)-AVERAGE('The List'!AC2:AC665))/STDEV('The List'!AC2:AC665)</f>
        <v>0.0714809475479963</v>
      </c>
      <c r="Q401" s="77">
        <f>(VLOOKUP($A401,'The List'!$B1:$AH665,29,FALSE)-AVERAGE('The List'!AD2:AD665))/STDEV('The List'!AD2:AD665)</f>
        <v>2.7680955590832</v>
      </c>
      <c r="R401" s="77">
        <f>(VLOOKUP($A401,'The List'!$B1:$AH665,30,FALSE)-AVERAGE('The List'!AE2:AE665))/STDEV('The List'!AE2:AE665)</f>
        <v>-0.0521534698062772</v>
      </c>
      <c r="S401" s="77">
        <f>(VLOOKUP($A401,'The List'!$B1:$AH665,31,FALSE)-AVERAGE('The List'!AF2:AF665))/STDEV('The List'!AF2:AF665)</f>
        <v>-0.452108853874556</v>
      </c>
      <c r="T401" s="77">
        <f>(VLOOKUP($A401,'The List'!$B1:$AH665,32,FALSE)-AVERAGE('The List'!AG2:AG665))/STDEV('The List'!AG2:AG665)</f>
        <v>-0.437320261563973</v>
      </c>
      <c r="U401" s="77">
        <f>(VLOOKUP($A401,'The List'!$B1:$AH665,33,FALSE)-AVERAGE('The List'!AH2:AH665))/STDEV('The List'!AH2:AH665)</f>
        <v>0.615170780904979</v>
      </c>
      <c r="V401" s="77"/>
      <c r="W401" s="89"/>
      <c r="X401" s="79"/>
      <c r="Y401" s="79"/>
      <c r="Z401" s="79"/>
      <c r="AA401" s="79"/>
      <c r="AB401" s="79"/>
      <c r="AC401" s="82"/>
      <c r="AD401" s="83"/>
      <c r="AE401" s="84"/>
    </row>
    <row r="402" ht="21.25" customHeight="1">
      <c r="A402" t="s" s="10">
        <v>565</v>
      </c>
      <c r="B402" t="s" s="86">
        <f>VLOOKUP(A402,'Player Data'!A1:B667,2,FALSE)</f>
        <v>267</v>
      </c>
      <c r="C402" s="74">
        <f>((E402)*'Settings'!$C$12)+(F402*'Settings'!$C$2)+(G402*'Settings'!$C$3)+(H402*'Settings'!$C$4)+(I402*'Settings'!$C$5)+(K402*'Settings'!$C$9)+(N402*'Settings'!$C$6)+(J402*'Settings'!$C$8)+(O402*'Settings'!$C$7)+(P402*'Settings'!$C$14)+(Q402*'Settings'!$C$15)+(R402*'Settings'!$C$16)+(S402*'Settings'!$C$17)+(T402*'Settings'!$C$18)+(U402*'Settings'!$C$19)+(L402*'Settings'!$C$10)+('Settings'!$C$11*M402)</f>
        <v>-0.597317995937277</v>
      </c>
      <c r="D402" s="79">
        <f>IF('Settings'!$E$12="YES",VLOOKUP(A402,'Player Data'!A1:E667,5,FALSE),82)</f>
        <v>79.5675</v>
      </c>
      <c r="E402" s="77">
        <f>(VLOOKUP($A402,'The List'!$B1:$AH665,17,FALSE)-AVERAGE('The List'!R2:R665))/STDEV('The List'!R2:R665)</f>
        <v>0.995261187571526</v>
      </c>
      <c r="F402" s="77">
        <f>(VLOOKUP($A402,'The List'!$B1:$AH665,18,FALSE)-AVERAGE('The List'!S2:S665))/STDEV('The List'!S2:S665)</f>
        <v>-0.787475954017254</v>
      </c>
      <c r="G402" s="77">
        <f>(VLOOKUP($A402,'The List'!$B1:$AH665,19,FALSE)-AVERAGE('The List'!T2:T665))/STDEV('The List'!T2:T665)</f>
        <v>-0.330215487265924</v>
      </c>
      <c r="H402" s="77">
        <f>(VLOOKUP($A402,'The List'!$B1:$AH665,20,FALSE)-AVERAGE('The List'!U2:U665))/STDEV('The List'!U2:U665)</f>
        <v>-0.5630276378238021</v>
      </c>
      <c r="I402" s="77">
        <f>(VLOOKUP($A402,'The List'!$B1:$AH665,21,FALSE)-AVERAGE('The List'!V2:V665))/STDEV('The List'!V2:V665)</f>
        <v>-0.430741158414658</v>
      </c>
      <c r="J402" s="77">
        <f>(VLOOKUP($A402,'The List'!$B1:$AH665,22,FALSE)-AVERAGE('The List'!W2:W665))/STDEV('The List'!W2:W665)</f>
        <v>-0.734101780980976</v>
      </c>
      <c r="K402" s="77">
        <f>(VLOOKUP($A402,'The List'!$B1:$AH665,23,FALSE)-AVERAGE('The List'!X2:X665))/STDEV('The List'!X2:X665)</f>
        <v>-0.80028949305618</v>
      </c>
      <c r="L402" s="77">
        <f>(VLOOKUP($A402,'The List'!$B1:$AH665,24,FALSE)-AVERAGE('The List'!Y2:Y665))/STDEV('The List'!Y2:Y665)</f>
        <v>-0.11847461095004</v>
      </c>
      <c r="M402" s="77">
        <f>(VLOOKUP($A402,'The List'!$B1:$AH665,25,FALSE)-AVERAGE('The List'!Z2:Z665))/STDEV('The List'!Z2:Z665)</f>
        <v>0.485445042591114</v>
      </c>
      <c r="N402" s="77">
        <f>(VLOOKUP($A402,'The List'!$B1:$AH665,26,FALSE)-AVERAGE('The List'!AA2:AA665))/STDEV('The List'!AA2:AA665)</f>
        <v>1.32917280425722</v>
      </c>
      <c r="O402" s="77">
        <f>(VLOOKUP($A402,'The List'!$B1:$AH665,27,FALSE)-AVERAGE('The List'!AB2:AB665))/STDEV('The List'!AB2:AB665)</f>
        <v>-0.36467408535722</v>
      </c>
      <c r="P402" s="77">
        <f>(VLOOKUP($A402,'The List'!$B1:$AH665,28,FALSE)-AVERAGE('The List'!AC2:AC665))/STDEV('The List'!AC2:AC665)</f>
        <v>0.422231292559519</v>
      </c>
      <c r="Q402" s="77">
        <f>(VLOOKUP($A402,'The List'!$B1:$AH665,29,FALSE)-AVERAGE('The List'!AD2:AD665))/STDEV('The List'!AD2:AD665)</f>
        <v>0.330127982913555</v>
      </c>
      <c r="R402" s="77">
        <f>(VLOOKUP($A402,'The List'!$B1:$AH665,30,FALSE)-AVERAGE('The List'!AE2:AE665))/STDEV('The List'!AE2:AE665)</f>
        <v>-0.650459874989221</v>
      </c>
      <c r="S402" s="77">
        <f>(VLOOKUP($A402,'The List'!$B1:$AH665,31,FALSE)-AVERAGE('The List'!AF2:AF665))/STDEV('The List'!AF2:AF665)</f>
        <v>-0.573894410680004</v>
      </c>
      <c r="T402" s="77">
        <f>(VLOOKUP($A402,'The List'!$B1:$AH665,32,FALSE)-AVERAGE('The List'!AG2:AG665))/STDEV('The List'!AG2:AG665)</f>
        <v>-0.625770787132651</v>
      </c>
      <c r="U402" s="77">
        <f>(VLOOKUP($A402,'The List'!$B1:$AH665,33,FALSE)-AVERAGE('The List'!AH2:AH665))/STDEV('The List'!AH2:AH665)</f>
        <v>-1.23143509451486</v>
      </c>
      <c r="V402" s="77"/>
      <c r="W402" s="89"/>
      <c r="X402" s="79"/>
      <c r="Y402" s="79"/>
      <c r="Z402" s="79"/>
      <c r="AA402" s="79"/>
      <c r="AB402" s="79"/>
      <c r="AC402" s="82"/>
      <c r="AD402" s="83"/>
      <c r="AE402" s="84"/>
    </row>
    <row r="403" ht="21.25" customHeight="1">
      <c r="A403" t="s" s="10">
        <v>526</v>
      </c>
      <c r="B403" t="s" s="86">
        <f>VLOOKUP(A403,'Player Data'!A1:B667,2,FALSE)</f>
        <v>207</v>
      </c>
      <c r="C403" s="74">
        <f>((E403)*'Settings'!$C$12)+(F403*'Settings'!$C$2)+(G403*'Settings'!$C$3)+(H403*'Settings'!$C$4)+(I403*'Settings'!$C$5)+(K403*'Settings'!$C$9)+(N403*'Settings'!$C$6)+(J403*'Settings'!$C$8)+(O403*'Settings'!$C$7)+(P403*'Settings'!$C$14)+(Q403*'Settings'!$C$15)+(R403*'Settings'!$C$16)+(S403*'Settings'!$C$17)+(T403*'Settings'!$C$18)+(U403*'Settings'!$C$19)+(L403*'Settings'!$C$10)+('Settings'!$C$11*M403)</f>
        <v>-0.706750823394389</v>
      </c>
      <c r="D403" s="79">
        <f>IF('Settings'!$E$12="YES",VLOOKUP(A403,'Player Data'!A1:E667,5,FALSE),82)</f>
        <v>74.4825</v>
      </c>
      <c r="E403" s="77">
        <f>(VLOOKUP($A403,'The List'!$B1:$AH665,17,FALSE)-AVERAGE('The List'!R2:R665))/STDEV('The List'!R2:R665)</f>
        <v>0.961787570912559</v>
      </c>
      <c r="F403" s="77">
        <f>(VLOOKUP($A403,'The List'!$B1:$AH665,18,FALSE)-AVERAGE('The List'!S2:S665))/STDEV('The List'!S2:S665)</f>
        <v>-0.9723623016556</v>
      </c>
      <c r="G403" s="77">
        <f>(VLOOKUP($A403,'The List'!$B1:$AH665,19,FALSE)-AVERAGE('The List'!T2:T665))/STDEV('The List'!T2:T665)</f>
        <v>-0.318034832896582</v>
      </c>
      <c r="H403" s="77">
        <f>(VLOOKUP($A403,'The List'!$B1:$AH665,20,FALSE)-AVERAGE('The List'!U2:U665))/STDEV('The List'!U2:U665)</f>
        <v>-0.639502399920389</v>
      </c>
      <c r="I403" s="77">
        <f>(VLOOKUP($A403,'The List'!$B1:$AH665,21,FALSE)-AVERAGE('The List'!V2:V665))/STDEV('The List'!V2:V665)</f>
        <v>-0.614920248928345</v>
      </c>
      <c r="J403" s="77">
        <f>(VLOOKUP($A403,'The List'!$B1:$AH665,22,FALSE)-AVERAGE('The List'!W2:W665))/STDEV('The List'!W2:W665)</f>
        <v>-0.741156918899835</v>
      </c>
      <c r="K403" s="77">
        <f>(VLOOKUP($A403,'The List'!$B1:$AH665,23,FALSE)-AVERAGE('The List'!X2:X665))/STDEV('The List'!X2:X665)</f>
        <v>-0.817102229896368</v>
      </c>
      <c r="L403" s="77">
        <f>(VLOOKUP($A403,'The List'!$B1:$AH665,24,FALSE)-AVERAGE('The List'!Y2:Y665))/STDEV('The List'!Y2:Y665)</f>
        <v>-0.5234277586609341</v>
      </c>
      <c r="M403" s="77">
        <f>(VLOOKUP($A403,'The List'!$B1:$AH665,25,FALSE)-AVERAGE('The List'!Z2:Z665))/STDEV('The List'!Z2:Z665)</f>
        <v>0.706185878896571</v>
      </c>
      <c r="N403" s="77">
        <f>(VLOOKUP($A403,'The List'!$B1:$AH665,26,FALSE)-AVERAGE('The List'!AA2:AA665))/STDEV('The List'!AA2:AA665)</f>
        <v>1.66575972979674</v>
      </c>
      <c r="O403" s="77">
        <f>(VLOOKUP($A403,'The List'!$B1:$AH665,27,FALSE)-AVERAGE('The List'!AB2:AB665))/STDEV('The List'!AB2:AB665)</f>
        <v>-0.0762355521561565</v>
      </c>
      <c r="P403" s="77">
        <f>(VLOOKUP($A403,'The List'!$B1:$AH665,28,FALSE)-AVERAGE('The List'!AC2:AC665))/STDEV('The List'!AC2:AC665)</f>
        <v>0.349909060185766</v>
      </c>
      <c r="Q403" s="77">
        <f>(VLOOKUP($A403,'The List'!$B1:$AH665,29,FALSE)-AVERAGE('The List'!AD2:AD665))/STDEV('The List'!AD2:AD665)</f>
        <v>0.237356133908003</v>
      </c>
      <c r="R403" s="77">
        <f>(VLOOKUP($A403,'The List'!$B1:$AH665,30,FALSE)-AVERAGE('The List'!AE2:AE665))/STDEV('The List'!AE2:AE665)</f>
        <v>-0.910740649822133</v>
      </c>
      <c r="S403" s="77">
        <f>(VLOOKUP($A403,'The List'!$B1:$AH665,31,FALSE)-AVERAGE('The List'!AF2:AF665))/STDEV('The List'!AF2:AF665)</f>
        <v>-0.573894410680004</v>
      </c>
      <c r="T403" s="77">
        <f>(VLOOKUP($A403,'The List'!$B1:$AH665,32,FALSE)-AVERAGE('The List'!AG2:AG665))/STDEV('The List'!AG2:AG665)</f>
        <v>-0.625770787132651</v>
      </c>
      <c r="U403" s="77">
        <f>(VLOOKUP($A403,'The List'!$B1:$AH665,33,FALSE)-AVERAGE('The List'!AH2:AH665))/STDEV('The List'!AH2:AH665)</f>
        <v>-1.23143509451486</v>
      </c>
      <c r="V403" s="77"/>
      <c r="W403" s="89"/>
      <c r="X403" s="79"/>
      <c r="Y403" s="79"/>
      <c r="Z403" s="79"/>
      <c r="AA403" s="79"/>
      <c r="AB403" s="79"/>
      <c r="AC403" s="82"/>
      <c r="AD403" s="83"/>
      <c r="AE403" s="84"/>
    </row>
    <row r="404" ht="21.25" customHeight="1">
      <c r="A404" t="s" s="10">
        <v>639</v>
      </c>
      <c r="B404" t="s" s="86">
        <f>VLOOKUP(A404,'Player Data'!A1:B667,2,FALSE)</f>
        <v>866</v>
      </c>
      <c r="C404" s="74">
        <f>((E404)*'Settings'!$C$12)+(F404*'Settings'!$C$2)+(G404*'Settings'!$C$3)+(H404*'Settings'!$C$4)+(I404*'Settings'!$C$5)+(K404*'Settings'!$C$9)+(N404*'Settings'!$C$6)+(J404*'Settings'!$C$8)+(O404*'Settings'!$C$7)+(P404*'Settings'!$C$14)+(Q404*'Settings'!$C$15)+(R404*'Settings'!$C$16)+(S404*'Settings'!$C$17)+(T404*'Settings'!$C$18)+(U404*'Settings'!$C$19)+(L404*'Settings'!$C$10)+('Settings'!$C$11*M404)</f>
        <v>-1.91643175925517</v>
      </c>
      <c r="D404" s="79">
        <f>IF('Settings'!$E$12="YES",VLOOKUP(A404,'Player Data'!A1:E667,5,FALSE),82)</f>
        <v>78.05500000000001</v>
      </c>
      <c r="E404" s="77">
        <f>(VLOOKUP($A404,'The List'!$B1:$AH665,17,FALSE)-AVERAGE('The List'!R2:R665))/STDEV('The List'!R2:R665)</f>
        <v>-0.21914979185416</v>
      </c>
      <c r="F404" s="77">
        <f>(VLOOKUP($A404,'The List'!$B1:$AH665,18,FALSE)-AVERAGE('The List'!S2:S665))/STDEV('The List'!S2:S665)</f>
        <v>-0.948630274667872</v>
      </c>
      <c r="G404" s="77">
        <f>(VLOOKUP($A404,'The List'!$B1:$AH665,19,FALSE)-AVERAGE('The List'!T2:T665))/STDEV('The List'!T2:T665)</f>
        <v>-0.259803182107461</v>
      </c>
      <c r="H404" s="77">
        <f>(VLOOKUP($A404,'The List'!$B1:$AH665,20,FALSE)-AVERAGE('The List'!U2:U665))/STDEV('The List'!U2:U665)</f>
        <v>-0.592549936184731</v>
      </c>
      <c r="I404" s="77">
        <f>(VLOOKUP($A404,'The List'!$B1:$AH665,21,FALSE)-AVERAGE('The List'!V2:V665))/STDEV('The List'!V2:V665)</f>
        <v>-0.94283279588818</v>
      </c>
      <c r="J404" s="77">
        <f>(VLOOKUP($A404,'The List'!$B1:$AH665,22,FALSE)-AVERAGE('The List'!W2:W665))/STDEV('The List'!W2:W665)</f>
        <v>-0.742395460181791</v>
      </c>
      <c r="K404" s="77">
        <f>(VLOOKUP($A404,'The List'!$B1:$AH665,23,FALSE)-AVERAGE('The List'!X2:X665))/STDEV('The List'!X2:X665)</f>
        <v>-0.820534291514835</v>
      </c>
      <c r="L404" s="77">
        <f>(VLOOKUP($A404,'The List'!$B1:$AH665,24,FALSE)-AVERAGE('The List'!Y2:Y665))/STDEV('The List'!Y2:Y665)</f>
        <v>-0.545200839545769</v>
      </c>
      <c r="M404" s="77">
        <f>(VLOOKUP($A404,'The List'!$B1:$AH665,25,FALSE)-AVERAGE('The List'!Z2:Z665))/STDEV('The List'!Z2:Z665)</f>
        <v>-0.650117011031675</v>
      </c>
      <c r="N404" s="77">
        <f>(VLOOKUP($A404,'The List'!$B1:$AH665,26,FALSE)-AVERAGE('The List'!AA2:AA665))/STDEV('The List'!AA2:AA665)</f>
        <v>0.851702081255673</v>
      </c>
      <c r="O404" s="77">
        <f>(VLOOKUP($A404,'The List'!$B1:$AH665,27,FALSE)-AVERAGE('The List'!AB2:AB665))/STDEV('The List'!AB2:AB665)</f>
        <v>-0.0919108413807293</v>
      </c>
      <c r="P404" s="77">
        <f>(VLOOKUP($A404,'The List'!$B1:$AH665,28,FALSE)-AVERAGE('The List'!AC2:AC665))/STDEV('The List'!AC2:AC665)</f>
        <v>0.203666703667509</v>
      </c>
      <c r="Q404" s="77">
        <f>(VLOOKUP($A404,'The List'!$B1:$AH665,29,FALSE)-AVERAGE('The List'!AD2:AD665))/STDEV('The List'!AD2:AD665)</f>
        <v>-0.933947757645527</v>
      </c>
      <c r="R404" s="77">
        <f>(VLOOKUP($A404,'The List'!$B1:$AH665,30,FALSE)-AVERAGE('The List'!AE2:AE665))/STDEV('The List'!AE2:AE665)</f>
        <v>-0.885806284372466</v>
      </c>
      <c r="S404" s="77">
        <f>(VLOOKUP($A404,'The List'!$B1:$AH665,31,FALSE)-AVERAGE('The List'!AF2:AF665))/STDEV('The List'!AF2:AF665)</f>
        <v>-0.573894410680004</v>
      </c>
      <c r="T404" s="77">
        <f>(VLOOKUP($A404,'The List'!$B1:$AH665,32,FALSE)-AVERAGE('The List'!AG2:AG665))/STDEV('The List'!AG2:AG665)</f>
        <v>-0.625770787132651</v>
      </c>
      <c r="U404" s="77">
        <f>(VLOOKUP($A404,'The List'!$B1:$AH665,33,FALSE)-AVERAGE('The List'!AH2:AH665))/STDEV('The List'!AH2:AH665)</f>
        <v>-1.23143509451486</v>
      </c>
      <c r="V404" s="77"/>
      <c r="W404" s="89"/>
      <c r="X404" s="79"/>
      <c r="Y404" s="79"/>
      <c r="Z404" s="79"/>
      <c r="AA404" s="79"/>
      <c r="AB404" s="79"/>
      <c r="AC404" s="82"/>
      <c r="AD404" s="83"/>
      <c r="AE404" s="84"/>
    </row>
    <row r="405" ht="21.25" customHeight="1">
      <c r="A405" t="s" s="10">
        <v>832</v>
      </c>
      <c r="B405" t="s" s="86">
        <f>VLOOKUP(A405,'Player Data'!A1:B667,2,FALSE)</f>
        <v>905</v>
      </c>
      <c r="C405" s="74">
        <f>((E405)*'Settings'!$C$12)+(F405*'Settings'!$C$2)+(G405*'Settings'!$C$3)+(H405*'Settings'!$C$4)+(I405*'Settings'!$C$5)+(K405*'Settings'!$C$9)+(N405*'Settings'!$C$6)+(J405*'Settings'!$C$8)+(O405*'Settings'!$C$7)+(P405*'Settings'!$C$14)+(Q405*'Settings'!$C$15)+(R405*'Settings'!$C$16)+(S405*'Settings'!$C$17)+(T405*'Settings'!$C$18)+(U405*'Settings'!$C$19)+(L405*'Settings'!$C$10)+('Settings'!$C$11*M405)</f>
        <v>-5.11611409608714</v>
      </c>
      <c r="D405" s="79">
        <f>IF('Settings'!$E$12="YES",VLOOKUP(A405,'Player Data'!A1:E667,5,FALSE),82)</f>
        <v>67.6875</v>
      </c>
      <c r="E405" s="77">
        <f>(VLOOKUP($A405,'The List'!$B1:$AH665,17,FALSE)-AVERAGE('The List'!R2:R665))/STDEV('The List'!R2:R665)</f>
        <v>-0.982193521737834</v>
      </c>
      <c r="F405" s="77">
        <f>(VLOOKUP($A405,'The List'!$B1:$AH665,18,FALSE)-AVERAGE('The List'!S2:S665))/STDEV('The List'!S2:S665)</f>
        <v>-0.537511306744288</v>
      </c>
      <c r="G405" s="77">
        <f>(VLOOKUP($A405,'The List'!$B1:$AH665,19,FALSE)-AVERAGE('The List'!T2:T665))/STDEV('The List'!T2:T665)</f>
        <v>-0.789726518296104</v>
      </c>
      <c r="H405" s="77">
        <f>(VLOOKUP($A405,'The List'!$B1:$AH665,20,FALSE)-AVERAGE('The List'!U2:U665))/STDEV('The List'!U2:U665)</f>
        <v>-0.734789011573196</v>
      </c>
      <c r="I405" s="77">
        <f>(VLOOKUP($A405,'The List'!$B1:$AH665,21,FALSE)-AVERAGE('The List'!V2:V665))/STDEV('The List'!V2:V665)</f>
        <v>-0.9487788339841901</v>
      </c>
      <c r="J405" s="77">
        <f>(VLOOKUP($A405,'The List'!$B1:$AH665,22,FALSE)-AVERAGE('The List'!W2:W665))/STDEV('The List'!W2:W665)</f>
        <v>-0.733781190024644</v>
      </c>
      <c r="K405" s="77">
        <f>(VLOOKUP($A405,'The List'!$B1:$AH665,23,FALSE)-AVERAGE('The List'!X2:X665))/STDEV('The List'!X2:X665)</f>
        <v>-0.818616913616385</v>
      </c>
      <c r="L405" s="77">
        <f>(VLOOKUP($A405,'The List'!$B1:$AH665,24,FALSE)-AVERAGE('The List'!Y2:Y665))/STDEV('The List'!Y2:Y665)</f>
        <v>-0.26007863959466</v>
      </c>
      <c r="M405" s="77">
        <f>(VLOOKUP($A405,'The List'!$B1:$AH665,25,FALSE)-AVERAGE('The List'!Z2:Z665))/STDEV('The List'!Z2:Z665)</f>
        <v>-0.424937586334437</v>
      </c>
      <c r="N405" s="77">
        <f>(VLOOKUP($A405,'The List'!$B1:$AH665,26,FALSE)-AVERAGE('The List'!AA2:AA665))/STDEV('The List'!AA2:AA665)</f>
        <v>-0.911643971567619</v>
      </c>
      <c r="O405" s="77">
        <f>(VLOOKUP($A405,'The List'!$B1:$AH665,27,FALSE)-AVERAGE('The List'!AB2:AB665))/STDEV('The List'!AB2:AB665)</f>
        <v>-0.597772529453116</v>
      </c>
      <c r="P405" s="77">
        <f>(VLOOKUP($A405,'The List'!$B1:$AH665,28,FALSE)-AVERAGE('The List'!AC2:AC665))/STDEV('The List'!AC2:AC665)</f>
        <v>-1.10983655187855</v>
      </c>
      <c r="Q405" s="77">
        <f>(VLOOKUP($A405,'The List'!$B1:$AH665,29,FALSE)-AVERAGE('The List'!AD2:AD665))/STDEV('The List'!AD2:AD665)</f>
        <v>-1.4168269150594</v>
      </c>
      <c r="R405" s="77">
        <f>(VLOOKUP($A405,'The List'!$B1:$AH665,30,FALSE)-AVERAGE('The List'!AE2:AE665))/STDEV('The List'!AE2:AE665)</f>
        <v>-0.614739645082148</v>
      </c>
      <c r="S405" s="77">
        <f>(VLOOKUP($A405,'The List'!$B1:$AH665,31,FALSE)-AVERAGE('The List'!AF2:AF665))/STDEV('The List'!AF2:AF665)</f>
        <v>-0.573894410680004</v>
      </c>
      <c r="T405" s="77">
        <f>(VLOOKUP($A405,'The List'!$B1:$AH665,32,FALSE)-AVERAGE('The List'!AG2:AG665))/STDEV('The List'!AG2:AG665)</f>
        <v>-0.612611665777597</v>
      </c>
      <c r="U405" s="77">
        <f>(VLOOKUP($A405,'The List'!$B1:$AH665,33,FALSE)-AVERAGE('The List'!AH2:AH665))/STDEV('The List'!AH2:AH665)</f>
        <v>-1.23143509451486</v>
      </c>
      <c r="V405" s="77"/>
      <c r="W405" s="89"/>
      <c r="X405" s="79"/>
      <c r="Y405" s="79"/>
      <c r="Z405" s="79"/>
      <c r="AA405" s="79"/>
      <c r="AB405" s="79"/>
      <c r="AC405" s="82"/>
      <c r="AD405" s="83"/>
      <c r="AE405" s="84"/>
    </row>
    <row r="406" ht="21.25" customHeight="1">
      <c r="A406" t="s" s="10">
        <v>384</v>
      </c>
      <c r="B406" t="s" s="86">
        <f>VLOOKUP(A406,'Player Data'!A1:B667,2,FALSE)</f>
        <v>878</v>
      </c>
      <c r="C406" s="74">
        <f>((E406)*'Settings'!$C$12)+(F406*'Settings'!$C$2)+(G406*'Settings'!$C$3)+(H406*'Settings'!$C$4)+(I406*'Settings'!$C$5)+(K406*'Settings'!$C$9)+(N406*'Settings'!$C$6)+(J406*'Settings'!$C$8)+(O406*'Settings'!$C$7)+(P406*'Settings'!$C$14)+(Q406*'Settings'!$C$15)+(R406*'Settings'!$C$16)+(S406*'Settings'!$C$17)+(T406*'Settings'!$C$18)+(U406*'Settings'!$C$19)+(L406*'Settings'!$C$10)+('Settings'!$C$11*M406)</f>
        <v>-0.315882798150648</v>
      </c>
      <c r="D406" s="79">
        <f>IF('Settings'!$E$12="YES",VLOOKUP(A406,'Player Data'!A1:E667,5,FALSE),82)</f>
        <v>77.99250000000001</v>
      </c>
      <c r="E406" s="77">
        <f>(VLOOKUP($A406,'The List'!$B1:$AH665,17,FALSE)-AVERAGE('The List'!R2:R665))/STDEV('The List'!R2:R665)</f>
        <v>0.5424565049792019</v>
      </c>
      <c r="F406" s="77">
        <f>(VLOOKUP($A406,'The List'!$B1:$AH665,18,FALSE)-AVERAGE('The List'!S2:S665))/STDEV('The List'!S2:S665)</f>
        <v>-0.7590727461472671</v>
      </c>
      <c r="G406" s="77">
        <f>(VLOOKUP($A406,'The List'!$B1:$AH665,19,FALSE)-AVERAGE('The List'!T2:T665))/STDEV('The List'!T2:T665)</f>
        <v>-0.406677746900124</v>
      </c>
      <c r="H406" s="77">
        <f>(VLOOKUP($A406,'The List'!$B1:$AH665,20,FALSE)-AVERAGE('The List'!U2:U665))/STDEV('The List'!U2:U665)</f>
        <v>-0.59760439229554</v>
      </c>
      <c r="I406" s="77">
        <f>(VLOOKUP($A406,'The List'!$B1:$AH665,21,FALSE)-AVERAGE('The List'!V2:V665))/STDEV('The List'!V2:V665)</f>
        <v>-0.546488318646421</v>
      </c>
      <c r="J406" s="77">
        <f>(VLOOKUP($A406,'The List'!$B1:$AH665,22,FALSE)-AVERAGE('The List'!W2:W665))/STDEV('The List'!W2:W665)</f>
        <v>-0.744020511016618</v>
      </c>
      <c r="K406" s="77">
        <f>(VLOOKUP($A406,'The List'!$B1:$AH665,23,FALSE)-AVERAGE('The List'!X2:X665))/STDEV('The List'!X2:X665)</f>
        <v>-0.8232131771661551</v>
      </c>
      <c r="L406" s="77">
        <f>(VLOOKUP($A406,'The List'!$B1:$AH665,24,FALSE)-AVERAGE('The List'!Y2:Y665))/STDEV('The List'!Y2:Y665)</f>
        <v>0.317549284170817</v>
      </c>
      <c r="M406" s="77">
        <f>(VLOOKUP($A406,'The List'!$B1:$AH665,25,FALSE)-AVERAGE('The List'!Z2:Z665))/STDEV('The List'!Z2:Z665)</f>
        <v>-0.0950710526345323</v>
      </c>
      <c r="N406" s="77">
        <f>(VLOOKUP($A406,'The List'!$B1:$AH665,26,FALSE)-AVERAGE('The List'!AA2:AA665))/STDEV('The List'!AA2:AA665)</f>
        <v>1.78387079560981</v>
      </c>
      <c r="O406" s="77">
        <f>(VLOOKUP($A406,'The List'!$B1:$AH665,27,FALSE)-AVERAGE('The List'!AB2:AB665))/STDEV('The List'!AB2:AB665)</f>
        <v>1.46837045738274</v>
      </c>
      <c r="P406" s="77">
        <f>(VLOOKUP($A406,'The List'!$B1:$AH665,28,FALSE)-AVERAGE('The List'!AC2:AC665))/STDEV('The List'!AC2:AC665)</f>
        <v>0.435698395099509</v>
      </c>
      <c r="Q406" s="77">
        <f>(VLOOKUP($A406,'The List'!$B1:$AH665,29,FALSE)-AVERAGE('The List'!AD2:AD665))/STDEV('The List'!AD2:AD665)</f>
        <v>-0.733845743206318</v>
      </c>
      <c r="R406" s="77">
        <f>(VLOOKUP($A406,'The List'!$B1:$AH665,30,FALSE)-AVERAGE('The List'!AE2:AE665))/STDEV('The List'!AE2:AE665)</f>
        <v>-0.672360527431508</v>
      </c>
      <c r="S406" s="77">
        <f>(VLOOKUP($A406,'The List'!$B1:$AH665,31,FALSE)-AVERAGE('The List'!AF2:AF665))/STDEV('The List'!AF2:AF665)</f>
        <v>-0.573894410680004</v>
      </c>
      <c r="T406" s="77">
        <f>(VLOOKUP($A406,'The List'!$B1:$AH665,32,FALSE)-AVERAGE('The List'!AG2:AG665))/STDEV('The List'!AG2:AG665)</f>
        <v>-0.625770787132651</v>
      </c>
      <c r="U406" s="77">
        <f>(VLOOKUP($A406,'The List'!$B1:$AH665,33,FALSE)-AVERAGE('The List'!AH2:AH665))/STDEV('The List'!AH2:AH665)</f>
        <v>-1.23143509451486</v>
      </c>
      <c r="V406" s="77"/>
      <c r="W406" s="79"/>
      <c r="X406" s="77"/>
      <c r="Y406" s="77"/>
      <c r="Z406" s="77"/>
      <c r="AA406" s="77"/>
      <c r="AB406" s="77"/>
      <c r="AC406" s="77"/>
      <c r="AD406" s="77"/>
      <c r="AE406" s="84"/>
    </row>
    <row r="407" ht="21.25" customHeight="1">
      <c r="A407" t="s" s="10">
        <v>330</v>
      </c>
      <c r="B407" t="s" s="86">
        <f>VLOOKUP(A407,'Player Data'!A1:B667,2,FALSE)</f>
        <v>192</v>
      </c>
      <c r="C407" s="74">
        <f>((E407)*'Settings'!$C$12)+(F407*'Settings'!$C$2)+(G407*'Settings'!$C$3)+(H407*'Settings'!$C$4)+(I407*'Settings'!$C$5)+(K407*'Settings'!$C$9)+(N407*'Settings'!$C$6)+(J407*'Settings'!$C$8)+(O407*'Settings'!$C$7)+(P407*'Settings'!$C$14)+(Q407*'Settings'!$C$15)+(R407*'Settings'!$C$16)+(S407*'Settings'!$C$17)+(T407*'Settings'!$C$18)+(U407*'Settings'!$C$19)+(L407*'Settings'!$C$10)+('Settings'!$C$11*M407)</f>
        <v>0.853984053439271</v>
      </c>
      <c r="D407" s="79">
        <f>IF('Settings'!$E$12="YES",VLOOKUP(A407,'Player Data'!A1:E667,5,FALSE),82)</f>
        <v>80.35250000000001</v>
      </c>
      <c r="E407" s="77">
        <f>(VLOOKUP($A407,'The List'!$B1:$AH665,17,FALSE)-AVERAGE('The List'!R2:R665))/STDEV('The List'!R2:R665)</f>
        <v>1.0044896513104</v>
      </c>
      <c r="F407" s="77">
        <f>(VLOOKUP($A407,'The List'!$B1:$AH665,18,FALSE)-AVERAGE('The List'!S2:S665))/STDEV('The List'!S2:S665)</f>
        <v>-0.781932724893773</v>
      </c>
      <c r="G407" s="77">
        <f>(VLOOKUP($A407,'The List'!$B1:$AH665,19,FALSE)-AVERAGE('The List'!T2:T665))/STDEV('The List'!T2:T665)</f>
        <v>-0.338969064956392</v>
      </c>
      <c r="H407" s="77">
        <f>(VLOOKUP($A407,'The List'!$B1:$AH665,20,FALSE)-AVERAGE('The List'!U2:U665))/STDEV('The List'!U2:U665)</f>
        <v>-0.5659444406392919</v>
      </c>
      <c r="I407" s="77">
        <f>(VLOOKUP($A407,'The List'!$B1:$AH665,21,FALSE)-AVERAGE('The List'!V2:V665))/STDEV('The List'!V2:V665)</f>
        <v>0.0240437862287147</v>
      </c>
      <c r="J407" s="77">
        <f>(VLOOKUP($A407,'The List'!$B1:$AH665,22,FALSE)-AVERAGE('The List'!W2:W665))/STDEV('The List'!W2:W665)</f>
        <v>-0.742158762857299</v>
      </c>
      <c r="K407" s="77">
        <f>(VLOOKUP($A407,'The List'!$B1:$AH665,23,FALSE)-AVERAGE('The List'!X2:X665))/STDEV('The List'!X2:X665)</f>
        <v>-0.810700728154706</v>
      </c>
      <c r="L407" s="77">
        <f>(VLOOKUP($A407,'The List'!$B1:$AH665,24,FALSE)-AVERAGE('The List'!Y2:Y665))/STDEV('The List'!Y2:Y665)</f>
        <v>-0.0575738177810817</v>
      </c>
      <c r="M407" s="77">
        <f>(VLOOKUP($A407,'The List'!$B1:$AH665,25,FALSE)-AVERAGE('The List'!Z2:Z665))/STDEV('The List'!Z2:Z665)</f>
        <v>0.82960629443594</v>
      </c>
      <c r="N407" s="77">
        <f>(VLOOKUP($A407,'The List'!$B1:$AH665,26,FALSE)-AVERAGE('The List'!AA2:AA665))/STDEV('The List'!AA2:AA665)</f>
        <v>2.52894642200147</v>
      </c>
      <c r="O407" s="77">
        <f>(VLOOKUP($A407,'The List'!$B1:$AH665,27,FALSE)-AVERAGE('The List'!AB2:AB665))/STDEV('The List'!AB2:AB665)</f>
        <v>0.928722989413157</v>
      </c>
      <c r="P407" s="77">
        <f>(VLOOKUP($A407,'The List'!$B1:$AH665,28,FALSE)-AVERAGE('The List'!AC2:AC665))/STDEV('The List'!AC2:AC665)</f>
        <v>0.232596363213957</v>
      </c>
      <c r="Q407" s="77">
        <f>(VLOOKUP($A407,'The List'!$B1:$AH665,29,FALSE)-AVERAGE('The List'!AD2:AD665))/STDEV('The List'!AD2:AD665)</f>
        <v>-0.109377200239466</v>
      </c>
      <c r="R407" s="77">
        <f>(VLOOKUP($A407,'The List'!$B1:$AH665,30,FALSE)-AVERAGE('The List'!AE2:AE665))/STDEV('The List'!AE2:AE665)</f>
        <v>-0.772615378351862</v>
      </c>
      <c r="S407" s="77">
        <f>(VLOOKUP($A407,'The List'!$B1:$AH665,31,FALSE)-AVERAGE('The List'!AF2:AF665))/STDEV('The List'!AF2:AF665)</f>
        <v>-0.573894410680004</v>
      </c>
      <c r="T407" s="77">
        <f>(VLOOKUP($A407,'The List'!$B1:$AH665,32,FALSE)-AVERAGE('The List'!AG2:AG665))/STDEV('The List'!AG2:AG665)</f>
        <v>-0.625770787132651</v>
      </c>
      <c r="U407" s="77">
        <f>(VLOOKUP($A407,'The List'!$B1:$AH665,33,FALSE)-AVERAGE('The List'!AH2:AH665))/STDEV('The List'!AH2:AH665)</f>
        <v>-1.23143509451486</v>
      </c>
      <c r="V407" s="77"/>
      <c r="W407" s="89"/>
      <c r="X407" s="79"/>
      <c r="Y407" s="79"/>
      <c r="Z407" s="79"/>
      <c r="AA407" s="79"/>
      <c r="AB407" s="79"/>
      <c r="AC407" s="82"/>
      <c r="AD407" s="83"/>
      <c r="AE407" s="84"/>
    </row>
    <row r="408" ht="21.25" customHeight="1">
      <c r="A408" t="s" s="10">
        <v>688</v>
      </c>
      <c r="B408" t="s" s="86">
        <f>VLOOKUP(A408,'Player Data'!A1:B667,2,FALSE)</f>
        <v>909</v>
      </c>
      <c r="C408" s="74">
        <f>((E408)*'Settings'!$C$12)+(F408*'Settings'!$C$2)+(G408*'Settings'!$C$3)+(H408*'Settings'!$C$4)+(I408*'Settings'!$C$5)+(K408*'Settings'!$C$9)+(N408*'Settings'!$C$6)+(J408*'Settings'!$C$8)+(O408*'Settings'!$C$7)+(P408*'Settings'!$C$14)+(Q408*'Settings'!$C$15)+(R408*'Settings'!$C$16)+(S408*'Settings'!$C$17)+(T408*'Settings'!$C$18)+(U408*'Settings'!$C$19)+(L408*'Settings'!$C$10)+('Settings'!$C$11*M408)</f>
        <v>-3.53037930833553</v>
      </c>
      <c r="D408" s="79">
        <f>IF('Settings'!$E$12="YES",VLOOKUP(A408,'Player Data'!A1:E667,5,FALSE),82)</f>
        <v>66.2825</v>
      </c>
      <c r="E408" s="77">
        <f>(VLOOKUP($A408,'The List'!$B1:$AH665,17,FALSE)-AVERAGE('The List'!R2:R665))/STDEV('The List'!R2:R665)</f>
        <v>0.299806593557724</v>
      </c>
      <c r="F408" s="77">
        <f>(VLOOKUP($A408,'The List'!$B1:$AH665,18,FALSE)-AVERAGE('The List'!S2:S665))/STDEV('The List'!S2:S665)</f>
        <v>-0.669542791127914</v>
      </c>
      <c r="G408" s="77">
        <f>(VLOOKUP($A408,'The List'!$B1:$AH665,19,FALSE)-AVERAGE('The List'!T2:T665))/STDEV('The List'!T2:T665)</f>
        <v>-0.726759962832902</v>
      </c>
      <c r="H408" s="77">
        <f>(VLOOKUP($A408,'The List'!$B1:$AH665,20,FALSE)-AVERAGE('The List'!U2:U665))/STDEV('The List'!U2:U665)</f>
        <v>-0.75569782575247</v>
      </c>
      <c r="I408" s="77">
        <f>(VLOOKUP($A408,'The List'!$B1:$AH665,21,FALSE)-AVERAGE('The List'!V2:V665))/STDEV('The List'!V2:V665)</f>
        <v>-0.913724103518702</v>
      </c>
      <c r="J408" s="77">
        <f>(VLOOKUP($A408,'The List'!$B1:$AH665,22,FALSE)-AVERAGE('The List'!W2:W665))/STDEV('The List'!W2:W665)</f>
        <v>-0.610234074632813</v>
      </c>
      <c r="K408" s="77">
        <f>(VLOOKUP($A408,'The List'!$B1:$AH665,23,FALSE)-AVERAGE('The List'!X2:X665))/STDEV('The List'!X2:X665)</f>
        <v>-0.713320470686727</v>
      </c>
      <c r="L408" s="77">
        <f>(VLOOKUP($A408,'The List'!$B1:$AH665,24,FALSE)-AVERAGE('The List'!Y2:Y665))/STDEV('The List'!Y2:Y665)</f>
        <v>-0.0753633622459101</v>
      </c>
      <c r="M408" s="77">
        <f>(VLOOKUP($A408,'The List'!$B1:$AH665,25,FALSE)-AVERAGE('The List'!Z2:Z665))/STDEV('The List'!Z2:Z665)</f>
        <v>-0.337248248012067</v>
      </c>
      <c r="N408" s="77">
        <f>(VLOOKUP($A408,'The List'!$B1:$AH665,26,FALSE)-AVERAGE('The List'!AA2:AA665))/STDEV('The List'!AA2:AA665)</f>
        <v>0.476499187913293</v>
      </c>
      <c r="O408" s="77">
        <f>(VLOOKUP($A408,'The List'!$B1:$AH665,27,FALSE)-AVERAGE('The List'!AB2:AB665))/STDEV('The List'!AB2:AB665)</f>
        <v>-0.0480587251485227</v>
      </c>
      <c r="P408" s="77">
        <f>(VLOOKUP($A408,'The List'!$B1:$AH665,28,FALSE)-AVERAGE('The List'!AC2:AC665))/STDEV('The List'!AC2:AC665)</f>
        <v>-0.983531168082574</v>
      </c>
      <c r="Q408" s="77">
        <f>(VLOOKUP($A408,'The List'!$B1:$AH665,29,FALSE)-AVERAGE('The List'!AD2:AD665))/STDEV('The List'!AD2:AD665)</f>
        <v>-0.263771493420003</v>
      </c>
      <c r="R408" s="77">
        <f>(VLOOKUP($A408,'The List'!$B1:$AH665,30,FALSE)-AVERAGE('The List'!AE2:AE665))/STDEV('The List'!AE2:AE665)</f>
        <v>-0.781082746910212</v>
      </c>
      <c r="S408" s="77">
        <f>(VLOOKUP($A408,'The List'!$B1:$AH665,31,FALSE)-AVERAGE('The List'!AF2:AF665))/STDEV('The List'!AF2:AF665)</f>
        <v>-0.573894410680004</v>
      </c>
      <c r="T408" s="77">
        <f>(VLOOKUP($A408,'The List'!$B1:$AH665,32,FALSE)-AVERAGE('The List'!AG2:AG665))/STDEV('The List'!AG2:AG665)</f>
        <v>-0.625770787132651</v>
      </c>
      <c r="U408" s="77">
        <f>(VLOOKUP($A408,'The List'!$B1:$AH665,33,FALSE)-AVERAGE('The List'!AH2:AH665))/STDEV('The List'!AH2:AH665)</f>
        <v>-1.23143509451486</v>
      </c>
      <c r="V408" s="77"/>
      <c r="W408" s="79"/>
      <c r="X408" s="77"/>
      <c r="Y408" s="77"/>
      <c r="Z408" s="77"/>
      <c r="AA408" s="77"/>
      <c r="AB408" s="77"/>
      <c r="AC408" s="77"/>
      <c r="AD408" s="77"/>
      <c r="AE408" s="84"/>
    </row>
    <row r="409" ht="21.25" customHeight="1">
      <c r="A409" t="s" s="10">
        <v>642</v>
      </c>
      <c r="B409" t="s" s="86">
        <f>VLOOKUP(A409,'Player Data'!A1:B667,2,FALSE)</f>
        <v>900</v>
      </c>
      <c r="C409" s="74">
        <f>((E409)*'Settings'!$C$12)+(F409*'Settings'!$C$2)+(G409*'Settings'!$C$3)+(H409*'Settings'!$C$4)+(I409*'Settings'!$C$5)+(K409*'Settings'!$C$9)+(N409*'Settings'!$C$6)+(J409*'Settings'!$C$8)+(O409*'Settings'!$C$7)+(P409*'Settings'!$C$14)+(Q409*'Settings'!$C$15)+(R409*'Settings'!$C$16)+(S409*'Settings'!$C$17)+(T409*'Settings'!$C$18)+(U409*'Settings'!$C$19)+(L409*'Settings'!$C$10)+('Settings'!$C$11*M409)</f>
        <v>-0.768436392351207</v>
      </c>
      <c r="D409" s="79">
        <f>IF('Settings'!$E$12="YES",VLOOKUP(A409,'Player Data'!A1:E667,5,FALSE),82)</f>
        <v>76.27500000000001</v>
      </c>
      <c r="E409" s="77">
        <f>(VLOOKUP($A409,'The List'!$B1:$AH665,17,FALSE)-AVERAGE('The List'!R2:R665))/STDEV('The List'!R2:R665)</f>
        <v>0.466354050061939</v>
      </c>
      <c r="F409" s="77">
        <f>(VLOOKUP($A409,'The List'!$B1:$AH665,18,FALSE)-AVERAGE('The List'!S2:S665))/STDEV('The List'!S2:S665)</f>
        <v>-0.929768546384883</v>
      </c>
      <c r="G409" s="77">
        <f>(VLOOKUP($A409,'The List'!$B1:$AH665,19,FALSE)-AVERAGE('The List'!T2:T665))/STDEV('The List'!T2:T665)</f>
        <v>-0.326461294108637</v>
      </c>
      <c r="H409" s="77">
        <f>(VLOOKUP($A409,'The List'!$B1:$AH665,20,FALSE)-AVERAGE('The List'!U2:U665))/STDEV('The List'!U2:U665)</f>
        <v>-0.625374819722851</v>
      </c>
      <c r="I409" s="77">
        <f>(VLOOKUP($A409,'The List'!$B1:$AH665,21,FALSE)-AVERAGE('The List'!V2:V665))/STDEV('The List'!V2:V665)</f>
        <v>-0.798239629866899</v>
      </c>
      <c r="J409" s="77">
        <f>(VLOOKUP($A409,'The List'!$B1:$AH665,22,FALSE)-AVERAGE('The List'!W2:W665))/STDEV('The List'!W2:W665)</f>
        <v>-0.698863490506926</v>
      </c>
      <c r="K409" s="77">
        <f>(VLOOKUP($A409,'The List'!$B1:$AH665,23,FALSE)-AVERAGE('The List'!X2:X665))/STDEV('The List'!X2:X665)</f>
        <v>-0.613168188711869</v>
      </c>
      <c r="L409" s="77">
        <f>(VLOOKUP($A409,'The List'!$B1:$AH665,24,FALSE)-AVERAGE('The List'!Y2:Y665))/STDEV('The List'!Y2:Y665)</f>
        <v>-0.513976273807914</v>
      </c>
      <c r="M409" s="77">
        <f>(VLOOKUP($A409,'The List'!$B1:$AH665,25,FALSE)-AVERAGE('The List'!Z2:Z665))/STDEV('The List'!Z2:Z665)</f>
        <v>-0.56050633256194</v>
      </c>
      <c r="N409" s="77">
        <f>(VLOOKUP($A409,'The List'!$B1:$AH665,26,FALSE)-AVERAGE('The List'!AA2:AA665))/STDEV('The List'!AA2:AA665)</f>
        <v>1.32219321429372</v>
      </c>
      <c r="O409" s="77">
        <f>(VLOOKUP($A409,'The List'!$B1:$AH665,27,FALSE)-AVERAGE('The List'!AB2:AB665))/STDEV('The List'!AB2:AB665)</f>
        <v>-0.748878803088348</v>
      </c>
      <c r="P409" s="77">
        <f>(VLOOKUP($A409,'The List'!$B1:$AH665,28,FALSE)-AVERAGE('The List'!AC2:AC665))/STDEV('The List'!AC2:AC665)</f>
        <v>0.577008052427361</v>
      </c>
      <c r="Q409" s="77">
        <f>(VLOOKUP($A409,'The List'!$B1:$AH665,29,FALSE)-AVERAGE('The List'!AD2:AD665))/STDEV('The List'!AD2:AD665)</f>
        <v>0.331772711163177</v>
      </c>
      <c r="R409" s="77">
        <f>(VLOOKUP($A409,'The List'!$B1:$AH665,30,FALSE)-AVERAGE('The List'!AE2:AE665))/STDEV('The List'!AE2:AE665)</f>
        <v>-0.884052430524199</v>
      </c>
      <c r="S409" s="77">
        <f>(VLOOKUP($A409,'The List'!$B1:$AH665,31,FALSE)-AVERAGE('The List'!AF2:AF665))/STDEV('The List'!AF2:AF665)</f>
        <v>-0.573894410680004</v>
      </c>
      <c r="T409" s="77">
        <f>(VLOOKUP($A409,'The List'!$B1:$AH665,32,FALSE)-AVERAGE('The List'!AG2:AG665))/STDEV('The List'!AG2:AG665)</f>
        <v>-0.625770787132651</v>
      </c>
      <c r="U409" s="77">
        <f>(VLOOKUP($A409,'The List'!$B1:$AH665,33,FALSE)-AVERAGE('The List'!AH2:AH665))/STDEV('The List'!AH2:AH665)</f>
        <v>-1.23143509451486</v>
      </c>
      <c r="V409" s="77"/>
      <c r="W409" s="89"/>
      <c r="X409" s="79"/>
      <c r="Y409" s="79"/>
      <c r="Z409" s="79"/>
      <c r="AA409" s="79"/>
      <c r="AB409" s="79"/>
      <c r="AC409" s="82"/>
      <c r="AD409" s="83"/>
      <c r="AE409" s="84"/>
    </row>
    <row r="410" ht="21.25" customHeight="1">
      <c r="A410" t="s" s="10">
        <v>650</v>
      </c>
      <c r="B410" t="s" s="86">
        <f>VLOOKUP(A410,'Player Data'!A1:B667,2,FALSE)</f>
        <v>908</v>
      </c>
      <c r="C410" s="74">
        <f>((E410)*'Settings'!$C$12)+(F410*'Settings'!$C$2)+(G410*'Settings'!$C$3)+(H410*'Settings'!$C$4)+(I410*'Settings'!$C$5)+(K410*'Settings'!$C$9)+(N410*'Settings'!$C$6)+(J410*'Settings'!$C$8)+(O410*'Settings'!$C$7)+(P410*'Settings'!$C$14)+(Q410*'Settings'!$C$15)+(R410*'Settings'!$C$16)+(S410*'Settings'!$C$17)+(T410*'Settings'!$C$18)+(U410*'Settings'!$C$19)+(L410*'Settings'!$C$10)+('Settings'!$C$11*M410)</f>
        <v>-2.4484131459715</v>
      </c>
      <c r="D410" s="79">
        <f>IF('Settings'!$E$12="YES",VLOOKUP(A410,'Player Data'!A1:E667,5,FALSE),82)</f>
        <v>74.97499999999999</v>
      </c>
      <c r="E410" s="77">
        <f>(VLOOKUP($A410,'The List'!$B1:$AH665,17,FALSE)-AVERAGE('The List'!R2:R665))/STDEV('The List'!R2:R665)</f>
        <v>-0.298692971905271</v>
      </c>
      <c r="F410" s="77">
        <f>(VLOOKUP($A410,'The List'!$B1:$AH665,18,FALSE)-AVERAGE('The List'!S2:S665))/STDEV('The List'!S2:S665)</f>
        <v>-0.862067157135734</v>
      </c>
      <c r="G410" s="77">
        <f>(VLOOKUP($A410,'The List'!$B1:$AH665,19,FALSE)-AVERAGE('The List'!T2:T665))/STDEV('The List'!T2:T665)</f>
        <v>-0.412360283339072</v>
      </c>
      <c r="H410" s="77">
        <f>(VLOOKUP($A410,'The List'!$B1:$AH665,20,FALSE)-AVERAGE('The List'!U2:U665))/STDEV('The List'!U2:U665)</f>
        <v>-0.647949422454028</v>
      </c>
      <c r="I410" s="77">
        <f>(VLOOKUP($A410,'The List'!$B1:$AH665,21,FALSE)-AVERAGE('The List'!V2:V665))/STDEV('The List'!V2:V665)</f>
        <v>-0.798294050789206</v>
      </c>
      <c r="J410" s="77">
        <f>(VLOOKUP($A410,'The List'!$B1:$AH665,22,FALSE)-AVERAGE('The List'!W2:W665))/STDEV('The List'!W2:W665)</f>
        <v>-0.737015310065709</v>
      </c>
      <c r="K410" s="77">
        <f>(VLOOKUP($A410,'The List'!$B1:$AH665,23,FALSE)-AVERAGE('The List'!X2:X665))/STDEV('The List'!X2:X665)</f>
        <v>-0.8076863665116391</v>
      </c>
      <c r="L410" s="77">
        <f>(VLOOKUP($A410,'The List'!$B1:$AH665,24,FALSE)-AVERAGE('The List'!Y2:Y665))/STDEV('The List'!Y2:Y665)</f>
        <v>-0.5586844754946541</v>
      </c>
      <c r="M410" s="77">
        <f>(VLOOKUP($A410,'The List'!$B1:$AH665,25,FALSE)-AVERAGE('The List'!Z2:Z665))/STDEV('The List'!Z2:Z665)</f>
        <v>-0.690270171848678</v>
      </c>
      <c r="N410" s="77">
        <f>(VLOOKUP($A410,'The List'!$B1:$AH665,26,FALSE)-AVERAGE('The List'!AA2:AA665))/STDEV('The List'!AA2:AA665)</f>
        <v>0.25452717822935</v>
      </c>
      <c r="O410" s="77">
        <f>(VLOOKUP($A410,'The List'!$B1:$AH665,27,FALSE)-AVERAGE('The List'!AB2:AB665))/STDEV('The List'!AB2:AB665)</f>
        <v>0.470787222612541</v>
      </c>
      <c r="P410" s="77">
        <f>(VLOOKUP($A410,'The List'!$B1:$AH665,28,FALSE)-AVERAGE('The List'!AC2:AC665))/STDEV('The List'!AC2:AC665)</f>
        <v>0.177467533574802</v>
      </c>
      <c r="Q410" s="77">
        <f>(VLOOKUP($A410,'The List'!$B1:$AH665,29,FALSE)-AVERAGE('The List'!AD2:AD665))/STDEV('The List'!AD2:AD665)</f>
        <v>1.22870229439915</v>
      </c>
      <c r="R410" s="77">
        <f>(VLOOKUP($A410,'The List'!$B1:$AH665,30,FALSE)-AVERAGE('The List'!AE2:AE665))/STDEV('The List'!AE2:AE665)</f>
        <v>-0.832245625732947</v>
      </c>
      <c r="S410" s="77">
        <f>(VLOOKUP($A410,'The List'!$B1:$AH665,31,FALSE)-AVERAGE('The List'!AF2:AF665))/STDEV('The List'!AF2:AF665)</f>
        <v>-0.573894410680004</v>
      </c>
      <c r="T410" s="77">
        <f>(VLOOKUP($A410,'The List'!$B1:$AH665,32,FALSE)-AVERAGE('The List'!AG2:AG665))/STDEV('The List'!AG2:AG665)</f>
        <v>-0.625770787132651</v>
      </c>
      <c r="U410" s="77">
        <f>(VLOOKUP($A410,'The List'!$B1:$AH665,33,FALSE)-AVERAGE('The List'!AH2:AH665))/STDEV('The List'!AH2:AH665)</f>
        <v>-1.23143509451486</v>
      </c>
      <c r="V410" s="77"/>
      <c r="W410" s="79"/>
      <c r="X410" s="77"/>
      <c r="Y410" s="77"/>
      <c r="Z410" s="77"/>
      <c r="AA410" s="77"/>
      <c r="AB410" s="77"/>
      <c r="AC410" s="77"/>
      <c r="AD410" s="77"/>
      <c r="AE410" s="84"/>
    </row>
    <row r="411" ht="21.25" customHeight="1">
      <c r="A411" t="s" s="10">
        <v>786</v>
      </c>
      <c r="B411" t="s" s="86">
        <f>VLOOKUP(A411,'Player Data'!A1:B667,2,FALSE)</f>
        <v>902</v>
      </c>
      <c r="C411" s="74">
        <f>((E411)*'Settings'!$C$12)+(F411*'Settings'!$C$2)+(G411*'Settings'!$C$3)+(H411*'Settings'!$C$4)+(I411*'Settings'!$C$5)+(K411*'Settings'!$C$9)+(N411*'Settings'!$C$6)+(J411*'Settings'!$C$8)+(O411*'Settings'!$C$7)+(P411*'Settings'!$C$14)+(Q411*'Settings'!$C$15)+(R411*'Settings'!$C$16)+(S411*'Settings'!$C$17)+(T411*'Settings'!$C$18)+(U411*'Settings'!$C$19)+(L411*'Settings'!$C$10)+('Settings'!$C$11*M411)</f>
        <v>-2.83374077433555</v>
      </c>
      <c r="D411" s="79">
        <f>IF('Settings'!$E$12="YES",VLOOKUP(A411,'Player Data'!A1:E667,5,FALSE),82)</f>
        <v>77.405</v>
      </c>
      <c r="E411" s="77">
        <f>(VLOOKUP($A411,'The List'!$B1:$AH665,17,FALSE)-AVERAGE('The List'!R2:R665))/STDEV('The List'!R2:R665)</f>
        <v>-1.15578723278552</v>
      </c>
      <c r="F411" s="77">
        <f>(VLOOKUP($A411,'The List'!$B1:$AH665,18,FALSE)-AVERAGE('The List'!S2:S665))/STDEV('The List'!S2:S665)</f>
        <v>-0.457879909429722</v>
      </c>
      <c r="G411" s="77">
        <f>(VLOOKUP($A411,'The List'!$B1:$AH665,19,FALSE)-AVERAGE('The List'!T2:T665))/STDEV('The List'!T2:T665)</f>
        <v>-0.67562776109845</v>
      </c>
      <c r="H411" s="77">
        <f>(VLOOKUP($A411,'The List'!$B1:$AH665,20,FALSE)-AVERAGE('The List'!U2:U665))/STDEV('The List'!U2:U665)</f>
        <v>-0.6277310125319</v>
      </c>
      <c r="I411" s="77">
        <f>(VLOOKUP($A411,'The List'!$B1:$AH665,21,FALSE)-AVERAGE('The List'!V2:V665))/STDEV('The List'!V2:V665)</f>
        <v>-0.824384823081506</v>
      </c>
      <c r="J411" s="77">
        <f>(VLOOKUP($A411,'The List'!$B1:$AH665,22,FALSE)-AVERAGE('The List'!W2:W665))/STDEV('The List'!W2:W665)</f>
        <v>-0.734672459280032</v>
      </c>
      <c r="K411" s="77">
        <f>(VLOOKUP($A411,'The List'!$B1:$AH665,23,FALSE)-AVERAGE('The List'!X2:X665))/STDEV('The List'!X2:X665)</f>
        <v>-0.809742248188241</v>
      </c>
      <c r="L411" s="77">
        <f>(VLOOKUP($A411,'The List'!$B1:$AH665,24,FALSE)-AVERAGE('The List'!Y2:Y665))/STDEV('The List'!Y2:Y665)</f>
        <v>1.72712558868559</v>
      </c>
      <c r="M411" s="77">
        <f>(VLOOKUP($A411,'The List'!$B1:$AH665,25,FALSE)-AVERAGE('The List'!Z2:Z665))/STDEV('The List'!Z2:Z665)</f>
        <v>1.60534374216228</v>
      </c>
      <c r="N411" s="77">
        <f>(VLOOKUP($A411,'The List'!$B1:$AH665,26,FALSE)-AVERAGE('The List'!AA2:AA665))/STDEV('The List'!AA2:AA665)</f>
        <v>-0.834703868143813</v>
      </c>
      <c r="O411" s="77">
        <f>(VLOOKUP($A411,'The List'!$B1:$AH665,27,FALSE)-AVERAGE('The List'!AB2:AB665))/STDEV('The List'!AB2:AB665)</f>
        <v>-0.604893717227858</v>
      </c>
      <c r="P411" s="77">
        <f>(VLOOKUP($A411,'The List'!$B1:$AH665,28,FALSE)-AVERAGE('The List'!AC2:AC665))/STDEV('The List'!AC2:AC665)</f>
        <v>0.768597835606183</v>
      </c>
      <c r="Q411" s="77">
        <f>(VLOOKUP($A411,'The List'!$B1:$AH665,29,FALSE)-AVERAGE('The List'!AD2:AD665))/STDEV('The List'!AD2:AD665)</f>
        <v>-0.672135106786767</v>
      </c>
      <c r="R411" s="77">
        <f>(VLOOKUP($A411,'The List'!$B1:$AH665,30,FALSE)-AVERAGE('The List'!AE2:AE665))/STDEV('The List'!AE2:AE665)</f>
        <v>-0.376245197355935</v>
      </c>
      <c r="S411" s="77">
        <f>(VLOOKUP($A411,'The List'!$B1:$AH665,31,FALSE)-AVERAGE('The List'!AF2:AF665))/STDEV('The List'!AF2:AF665)</f>
        <v>0.105128259771616</v>
      </c>
      <c r="T411" s="77">
        <f>(VLOOKUP($A411,'The List'!$B1:$AH665,32,FALSE)-AVERAGE('The List'!AG2:AG665))/STDEV('The List'!AG2:AG665)</f>
        <v>0.183164167670483</v>
      </c>
      <c r="U411" s="77">
        <f>(VLOOKUP($A411,'The List'!$B1:$AH665,33,FALSE)-AVERAGE('The List'!AH2:AH665))/STDEV('The List'!AH2:AH665)</f>
        <v>0.906761783967715</v>
      </c>
      <c r="V411" s="77"/>
      <c r="W411" s="89"/>
      <c r="X411" s="79"/>
      <c r="Y411" s="79"/>
      <c r="Z411" s="79"/>
      <c r="AA411" s="79"/>
      <c r="AB411" s="79"/>
      <c r="AC411" s="82"/>
      <c r="AD411" s="83"/>
      <c r="AE411" s="84"/>
    </row>
    <row r="412" ht="21.25" customHeight="1">
      <c r="A412" t="s" s="10">
        <v>454</v>
      </c>
      <c r="B412" t="s" s="86">
        <f>VLOOKUP(A412,'Player Data'!A1:B667,2,FALSE)</f>
        <v>132</v>
      </c>
      <c r="C412" s="74">
        <f>((E412)*'Settings'!$C$12)+(F412*'Settings'!$C$2)+(G412*'Settings'!$C$3)+(H412*'Settings'!$C$4)+(I412*'Settings'!$C$5)+(K412*'Settings'!$C$9)+(N412*'Settings'!$C$6)+(J412*'Settings'!$C$8)+(O412*'Settings'!$C$7)+(P412*'Settings'!$C$14)+(Q412*'Settings'!$C$15)+(R412*'Settings'!$C$16)+(S412*'Settings'!$C$17)+(T412*'Settings'!$C$18)+(U412*'Settings'!$C$19)+(L412*'Settings'!$C$10)+('Settings'!$C$11*M412)</f>
        <v>0.165235807671745</v>
      </c>
      <c r="D412" s="79">
        <f>IF('Settings'!$E$12="YES",VLOOKUP(A412,'Player Data'!A1:E667,5,FALSE),82)</f>
        <v>78.45</v>
      </c>
      <c r="E412" s="77">
        <f>(VLOOKUP($A412,'The List'!$B1:$AH665,17,FALSE)-AVERAGE('The List'!R2:R665))/STDEV('The List'!R2:R665)</f>
        <v>1.25573987686128</v>
      </c>
      <c r="F412" s="77">
        <f>(VLOOKUP($A412,'The List'!$B1:$AH665,18,FALSE)-AVERAGE('The List'!S2:S665))/STDEV('The List'!S2:S665)</f>
        <v>-1.01230255386457</v>
      </c>
      <c r="G412" s="77">
        <f>(VLOOKUP($A412,'The List'!$B1:$AH665,19,FALSE)-AVERAGE('The List'!T2:T665))/STDEV('The List'!T2:T665)</f>
        <v>-0.251267592626543</v>
      </c>
      <c r="H412" s="77">
        <f>(VLOOKUP($A412,'The List'!$B1:$AH665,20,FALSE)-AVERAGE('The List'!U2:U665))/STDEV('The List'!U2:U665)</f>
        <v>-0.616190932658253</v>
      </c>
      <c r="I412" s="77">
        <f>(VLOOKUP($A412,'The List'!$B1:$AH665,21,FALSE)-AVERAGE('The List'!V2:V665))/STDEV('The List'!V2:V665)</f>
        <v>-0.942620415527054</v>
      </c>
      <c r="J412" s="77">
        <f>(VLOOKUP($A412,'The List'!$B1:$AH665,22,FALSE)-AVERAGE('The List'!W2:W665))/STDEV('The List'!W2:W665)</f>
        <v>-0.741715672973148</v>
      </c>
      <c r="K412" s="77">
        <f>(VLOOKUP($A412,'The List'!$B1:$AH665,23,FALSE)-AVERAGE('The List'!X2:X665))/STDEV('The List'!X2:X665)</f>
        <v>-0.813683102370136</v>
      </c>
      <c r="L412" s="77">
        <f>(VLOOKUP($A412,'The List'!$B1:$AH665,24,FALSE)-AVERAGE('The List'!Y2:Y665))/STDEV('The List'!Y2:Y665)</f>
        <v>-0.53965904620381</v>
      </c>
      <c r="M412" s="77">
        <f>(VLOOKUP($A412,'The List'!$B1:$AH665,25,FALSE)-AVERAGE('The List'!Z2:Z665))/STDEV('The List'!Z2:Z665)</f>
        <v>-0.636105971674258</v>
      </c>
      <c r="N412" s="77">
        <f>(VLOOKUP($A412,'The List'!$B1:$AH665,26,FALSE)-AVERAGE('The List'!AA2:AA665))/STDEV('The List'!AA2:AA665)</f>
        <v>2.98141983548695</v>
      </c>
      <c r="O412" s="77">
        <f>(VLOOKUP($A412,'The List'!$B1:$AH665,27,FALSE)-AVERAGE('The List'!AB2:AB665))/STDEV('The List'!AB2:AB665)</f>
        <v>-0.580505931252101</v>
      </c>
      <c r="P412" s="77">
        <f>(VLOOKUP($A412,'The List'!$B1:$AH665,28,FALSE)-AVERAGE('The List'!AC2:AC665))/STDEV('The List'!AC2:AC665)</f>
        <v>0.203689636573098</v>
      </c>
      <c r="Q412" s="77">
        <f>(VLOOKUP($A412,'The List'!$B1:$AH665,29,FALSE)-AVERAGE('The List'!AD2:AD665))/STDEV('The List'!AD2:AD665)</f>
        <v>-0.199244505327094</v>
      </c>
      <c r="R412" s="77">
        <f>(VLOOKUP($A412,'The List'!$B1:$AH665,30,FALSE)-AVERAGE('The List'!AE2:AE665))/STDEV('The List'!AE2:AE665)</f>
        <v>-0.945211295688086</v>
      </c>
      <c r="S412" s="77">
        <f>(VLOOKUP($A412,'The List'!$B1:$AH665,31,FALSE)-AVERAGE('The List'!AF2:AF665))/STDEV('The List'!AF2:AF665)</f>
        <v>-0.573894410680004</v>
      </c>
      <c r="T412" s="77">
        <f>(VLOOKUP($A412,'The List'!$B1:$AH665,32,FALSE)-AVERAGE('The List'!AG2:AG665))/STDEV('The List'!AG2:AG665)</f>
        <v>-0.625770787132651</v>
      </c>
      <c r="U412" s="77">
        <f>(VLOOKUP($A412,'The List'!$B1:$AH665,33,FALSE)-AVERAGE('The List'!AH2:AH665))/STDEV('The List'!AH2:AH665)</f>
        <v>-1.23143509451486</v>
      </c>
      <c r="V412" s="77"/>
      <c r="W412" s="89"/>
      <c r="X412" s="79"/>
      <c r="Y412" s="79"/>
      <c r="Z412" s="79"/>
      <c r="AA412" s="79"/>
      <c r="AB412" s="79"/>
      <c r="AC412" s="82"/>
      <c r="AD412" s="83"/>
      <c r="AE412" s="84"/>
    </row>
    <row r="413" ht="21.25" customHeight="1">
      <c r="A413" t="s" s="10">
        <v>434</v>
      </c>
      <c r="B413" t="s" s="86">
        <f>VLOOKUP(A413,'Player Data'!A1:B667,2,FALSE)</f>
        <v>156</v>
      </c>
      <c r="C413" s="74">
        <f>((E413)*'Settings'!$C$12)+(F413*'Settings'!$C$2)+(G413*'Settings'!$C$3)+(H413*'Settings'!$C$4)+(I413*'Settings'!$C$5)+(K413*'Settings'!$C$9)+(N413*'Settings'!$C$6)+(J413*'Settings'!$C$8)+(O413*'Settings'!$C$7)+(P413*'Settings'!$C$14)+(Q413*'Settings'!$C$15)+(R413*'Settings'!$C$16)+(S413*'Settings'!$C$17)+(T413*'Settings'!$C$18)+(U413*'Settings'!$C$19)+(L413*'Settings'!$C$10)+('Settings'!$C$11*M413)</f>
        <v>-1.96090786980317</v>
      </c>
      <c r="D413" s="79">
        <f>IF('Settings'!$E$12="YES",VLOOKUP(A413,'Player Data'!A1:E667,5,FALSE),82)</f>
        <v>76.145</v>
      </c>
      <c r="E413" s="77">
        <f>(VLOOKUP($A413,'The List'!$B1:$AH665,17,FALSE)-AVERAGE('The List'!R2:R665))/STDEV('The List'!R2:R665)</f>
        <v>0.478020909479177</v>
      </c>
      <c r="F413" s="77">
        <f>(VLOOKUP($A413,'The List'!$B1:$AH665,18,FALSE)-AVERAGE('The List'!S2:S665))/STDEV('The List'!S2:S665)</f>
        <v>-1.0100330628752</v>
      </c>
      <c r="G413" s="77">
        <f>(VLOOKUP($A413,'The List'!$B1:$AH665,19,FALSE)-AVERAGE('The List'!T2:T665))/STDEV('The List'!T2:T665)</f>
        <v>-0.308366676205991</v>
      </c>
      <c r="H413" s="77">
        <f>(VLOOKUP($A413,'The List'!$B1:$AH665,20,FALSE)-AVERAGE('The List'!U2:U665))/STDEV('The List'!U2:U665)</f>
        <v>-0.650621082602642</v>
      </c>
      <c r="I413" s="77">
        <f>(VLOOKUP($A413,'The List'!$B1:$AH665,21,FALSE)-AVERAGE('The List'!V2:V665))/STDEV('The List'!V2:V665)</f>
        <v>-0.683415996748702</v>
      </c>
      <c r="J413" s="77">
        <f>(VLOOKUP($A413,'The List'!$B1:$AH665,22,FALSE)-AVERAGE('The List'!W2:W665))/STDEV('The List'!W2:W665)</f>
        <v>-0.713959363929812</v>
      </c>
      <c r="K413" s="77">
        <f>(VLOOKUP($A413,'The List'!$B1:$AH665,23,FALSE)-AVERAGE('The List'!X2:X665))/STDEV('The List'!X2:X665)</f>
        <v>-0.749779450303968</v>
      </c>
      <c r="L413" s="77">
        <f>(VLOOKUP($A413,'The List'!$B1:$AH665,24,FALSE)-AVERAGE('The List'!Y2:Y665))/STDEV('The List'!Y2:Y665)</f>
        <v>-0.553793161085666</v>
      </c>
      <c r="M413" s="77">
        <f>(VLOOKUP($A413,'The List'!$B1:$AH665,25,FALSE)-AVERAGE('The List'!Z2:Z665))/STDEV('The List'!Z2:Z665)</f>
        <v>-0.213845390639271</v>
      </c>
      <c r="N413" s="77">
        <f>(VLOOKUP($A413,'The List'!$B1:$AH665,26,FALSE)-AVERAGE('The List'!AA2:AA665))/STDEV('The List'!AA2:AA665)</f>
        <v>1.45260151668948</v>
      </c>
      <c r="O413" s="77">
        <f>(VLOOKUP($A413,'The List'!$B1:$AH665,27,FALSE)-AVERAGE('The List'!AB2:AB665))/STDEV('The List'!AB2:AB665)</f>
        <v>1.33519338452419</v>
      </c>
      <c r="P413" s="77">
        <f>(VLOOKUP($A413,'The List'!$B1:$AH665,28,FALSE)-AVERAGE('The List'!AC2:AC665))/STDEV('The List'!AC2:AC665)</f>
        <v>-0.661914200358787</v>
      </c>
      <c r="Q413" s="77">
        <f>(VLOOKUP($A413,'The List'!$B1:$AH665,29,FALSE)-AVERAGE('The List'!AD2:AD665))/STDEV('The List'!AD2:AD665)</f>
        <v>0.126972899789105</v>
      </c>
      <c r="R413" s="77">
        <f>(VLOOKUP($A413,'The List'!$B1:$AH665,30,FALSE)-AVERAGE('The List'!AE2:AE665))/STDEV('The List'!AE2:AE665)</f>
        <v>-0.989876250096105</v>
      </c>
      <c r="S413" s="77">
        <f>(VLOOKUP($A413,'The List'!$B1:$AH665,31,FALSE)-AVERAGE('The List'!AF2:AF665))/STDEV('The List'!AF2:AF665)</f>
        <v>-0.573894410680004</v>
      </c>
      <c r="T413" s="77">
        <f>(VLOOKUP($A413,'The List'!$B1:$AH665,32,FALSE)-AVERAGE('The List'!AG2:AG665))/STDEV('The List'!AG2:AG665)</f>
        <v>-0.625770787132651</v>
      </c>
      <c r="U413" s="77">
        <f>(VLOOKUP($A413,'The List'!$B1:$AH665,33,FALSE)-AVERAGE('The List'!AH2:AH665))/STDEV('The List'!AH2:AH665)</f>
        <v>-1.23143509451486</v>
      </c>
      <c r="V413" s="77"/>
      <c r="W413" s="89"/>
      <c r="X413" s="79"/>
      <c r="Y413" s="79"/>
      <c r="Z413" s="79"/>
      <c r="AA413" s="79"/>
      <c r="AB413" s="79"/>
      <c r="AC413" s="82"/>
      <c r="AD413" s="83"/>
      <c r="AE413" s="84"/>
    </row>
    <row r="414" ht="21.25" customHeight="1">
      <c r="A414" t="s" s="10">
        <v>810</v>
      </c>
      <c r="B414" t="s" s="86">
        <f>VLOOKUP(A414,'Player Data'!A1:B667,2,FALSE)</f>
        <v>909</v>
      </c>
      <c r="C414" s="74">
        <f>((E414)*'Settings'!$C$12)+(F414*'Settings'!$C$2)+(G414*'Settings'!$C$3)+(H414*'Settings'!$C$4)+(I414*'Settings'!$C$5)+(K414*'Settings'!$C$9)+(N414*'Settings'!$C$6)+(J414*'Settings'!$C$8)+(O414*'Settings'!$C$7)+(P414*'Settings'!$C$14)+(Q414*'Settings'!$C$15)+(R414*'Settings'!$C$16)+(S414*'Settings'!$C$17)+(T414*'Settings'!$C$18)+(U414*'Settings'!$C$19)+(L414*'Settings'!$C$10)+('Settings'!$C$11*M414)</f>
        <v>-4.75017666622246</v>
      </c>
      <c r="D414" s="79">
        <f>IF('Settings'!$E$12="YES",VLOOKUP(A414,'Player Data'!A1:E667,5,FALSE),82)</f>
        <v>67.72499999999999</v>
      </c>
      <c r="E414" s="77">
        <f>(VLOOKUP($A414,'The List'!$B1:$AH665,17,FALSE)-AVERAGE('The List'!R2:R665))/STDEV('The List'!R2:R665)</f>
        <v>-0.940778160650956</v>
      </c>
      <c r="F414" s="77">
        <f>(VLOOKUP($A414,'The List'!$B1:$AH665,18,FALSE)-AVERAGE('The List'!S2:S665))/STDEV('The List'!S2:S665)</f>
        <v>-0.546481336792527</v>
      </c>
      <c r="G414" s="77">
        <f>(VLOOKUP($A414,'The List'!$B1:$AH665,19,FALSE)-AVERAGE('The List'!T2:T665))/STDEV('The List'!T2:T665)</f>
        <v>-0.8299344185006921</v>
      </c>
      <c r="H414" s="77">
        <f>(VLOOKUP($A414,'The List'!$B1:$AH665,20,FALSE)-AVERAGE('The List'!U2:U665))/STDEV('The List'!U2:U665)</f>
        <v>-0.763837683451322</v>
      </c>
      <c r="I414" s="77">
        <f>(VLOOKUP($A414,'The List'!$B1:$AH665,21,FALSE)-AVERAGE('The List'!V2:V665))/STDEV('The List'!V2:V665)</f>
        <v>-1.02200780433701</v>
      </c>
      <c r="J414" s="77">
        <f>(VLOOKUP($A414,'The List'!$B1:$AH665,22,FALSE)-AVERAGE('The List'!W2:W665))/STDEV('The List'!W2:W665)</f>
        <v>-0.632072698776625</v>
      </c>
      <c r="K414" s="77">
        <f>(VLOOKUP($A414,'The List'!$B1:$AH665,23,FALSE)-AVERAGE('The List'!X2:X665))/STDEV('The List'!X2:X665)</f>
        <v>-0.705558902412241</v>
      </c>
      <c r="L414" s="77">
        <f>(VLOOKUP($A414,'The List'!$B1:$AH665,24,FALSE)-AVERAGE('The List'!Y2:Y665))/STDEV('The List'!Y2:Y665)</f>
        <v>0.266287099160316</v>
      </c>
      <c r="M414" s="77">
        <f>(VLOOKUP($A414,'The List'!$B1:$AH665,25,FALSE)-AVERAGE('The List'!Z2:Z665))/STDEV('The List'!Z2:Z665)</f>
        <v>-0.114507020399371</v>
      </c>
      <c r="N414" s="77">
        <f>(VLOOKUP($A414,'The List'!$B1:$AH665,26,FALSE)-AVERAGE('The List'!AA2:AA665))/STDEV('The List'!AA2:AA665)</f>
        <v>-0.420360837682105</v>
      </c>
      <c r="O414" s="77">
        <f>(VLOOKUP($A414,'The List'!$B1:$AH665,27,FALSE)-AVERAGE('The List'!AB2:AB665))/STDEV('The List'!AB2:AB665)</f>
        <v>-1.03524836985956</v>
      </c>
      <c r="P414" s="77">
        <f>(VLOOKUP($A414,'The List'!$B1:$AH665,28,FALSE)-AVERAGE('The List'!AC2:AC665))/STDEV('The List'!AC2:AC665)</f>
        <v>-1.22583336649788</v>
      </c>
      <c r="Q414" s="77">
        <f>(VLOOKUP($A414,'The List'!$B1:$AH665,29,FALSE)-AVERAGE('The List'!AD2:AD665))/STDEV('The List'!AD2:AD665)</f>
        <v>-1.37179800803876</v>
      </c>
      <c r="R414" s="77">
        <f>(VLOOKUP($A414,'The List'!$B1:$AH665,30,FALSE)-AVERAGE('The List'!AE2:AE665))/STDEV('The List'!AE2:AE665)</f>
        <v>-0.689533227686114</v>
      </c>
      <c r="S414" s="77">
        <f>(VLOOKUP($A414,'The List'!$B1:$AH665,31,FALSE)-AVERAGE('The List'!AF2:AF665))/STDEV('The List'!AF2:AF665)</f>
        <v>1.39907604104743</v>
      </c>
      <c r="T414" s="77">
        <f>(VLOOKUP($A414,'The List'!$B1:$AH665,32,FALSE)-AVERAGE('The List'!AG2:AG665))/STDEV('The List'!AG2:AG665)</f>
        <v>1.10643739344875</v>
      </c>
      <c r="U414" s="77">
        <f>(VLOOKUP($A414,'The List'!$B1:$AH665,33,FALSE)-AVERAGE('The List'!AH2:AH665))/STDEV('The List'!AH2:AH665)</f>
        <v>1.2518405995851</v>
      </c>
      <c r="V414" s="77"/>
      <c r="W414" s="89"/>
      <c r="X414" s="79"/>
      <c r="Y414" s="79"/>
      <c r="Z414" s="79"/>
      <c r="AA414" s="79"/>
      <c r="AB414" s="79"/>
      <c r="AC414" s="82"/>
      <c r="AD414" s="83"/>
      <c r="AE414" s="84"/>
    </row>
    <row r="415" ht="21.25" customHeight="1">
      <c r="A415" t="s" s="10">
        <v>821</v>
      </c>
      <c r="B415" t="s" s="86">
        <f>VLOOKUP(A415,'Player Data'!A1:B667,2,FALSE)</f>
        <v>132</v>
      </c>
      <c r="C415" s="74">
        <f>((E415)*'Settings'!$C$12)+(F415*'Settings'!$C$2)+(G415*'Settings'!$C$3)+(H415*'Settings'!$C$4)+(I415*'Settings'!$C$5)+(K415*'Settings'!$C$9)+(N415*'Settings'!$C$6)+(J415*'Settings'!$C$8)+(O415*'Settings'!$C$7)+(P415*'Settings'!$C$14)+(Q415*'Settings'!$C$15)+(R415*'Settings'!$C$16)+(S415*'Settings'!$C$17)+(T415*'Settings'!$C$18)+(U415*'Settings'!$C$19)+(L415*'Settings'!$C$10)+('Settings'!$C$11*M415)</f>
        <v>-2.74137249230207</v>
      </c>
      <c r="D415" s="79">
        <f>IF('Settings'!$E$12="YES",VLOOKUP(A415,'Player Data'!A1:E667,5,FALSE),82)</f>
        <v>58.85</v>
      </c>
      <c r="E415" s="77">
        <f>(VLOOKUP($A415,'The List'!$B1:$AH665,17,FALSE)-AVERAGE('The List'!R2:R665))/STDEV('The List'!R2:R665)</f>
        <v>-0.547880361748162</v>
      </c>
      <c r="F415" s="77">
        <f>(VLOOKUP($A415,'The List'!$B1:$AH665,18,FALSE)-AVERAGE('The List'!S2:S665))/STDEV('The List'!S2:S665)</f>
        <v>-1.03972344939268</v>
      </c>
      <c r="G415" s="77">
        <f>(VLOOKUP($A415,'The List'!$B1:$AH665,19,FALSE)-AVERAGE('The List'!T2:T665))/STDEV('The List'!T2:T665)</f>
        <v>-0.659509149704647</v>
      </c>
      <c r="H415" s="77">
        <f>(VLOOKUP($A415,'The List'!$B1:$AH665,20,FALSE)-AVERAGE('The List'!U2:U665))/STDEV('The List'!U2:U665)</f>
        <v>-0.882195994693902</v>
      </c>
      <c r="I415" s="77">
        <f>(VLOOKUP($A415,'The List'!$B1:$AH665,21,FALSE)-AVERAGE('The List'!V2:V665))/STDEV('The List'!V2:V665)</f>
        <v>-1.34621916294858</v>
      </c>
      <c r="J415" s="77">
        <f>(VLOOKUP($A415,'The List'!$B1:$AH665,22,FALSE)-AVERAGE('The List'!W2:W665))/STDEV('The List'!W2:W665)</f>
        <v>-0.721430742513258</v>
      </c>
      <c r="K415" s="77">
        <f>(VLOOKUP($A415,'The List'!$B1:$AH665,23,FALSE)-AVERAGE('The List'!X2:X665))/STDEV('The List'!X2:X665)</f>
        <v>-0.610318385974898</v>
      </c>
      <c r="L415" s="77">
        <f>(VLOOKUP($A415,'The List'!$B1:$AH665,24,FALSE)-AVERAGE('The List'!Y2:Y665))/STDEV('The List'!Y2:Y665)</f>
        <v>-0.572908490598813</v>
      </c>
      <c r="M415" s="77">
        <f>(VLOOKUP($A415,'The List'!$B1:$AH665,25,FALSE)-AVERAGE('The List'!Z2:Z665))/STDEV('The List'!Z2:Z665)</f>
        <v>-0.732450291663564</v>
      </c>
      <c r="N415" s="77">
        <f>(VLOOKUP($A415,'The List'!$B1:$AH665,26,FALSE)-AVERAGE('The List'!AA2:AA665))/STDEV('The List'!AA2:AA665)</f>
        <v>-0.124160295034347</v>
      </c>
      <c r="O415" s="77">
        <f>(VLOOKUP($A415,'The List'!$B1:$AH665,27,FALSE)-AVERAGE('The List'!AB2:AB665))/STDEV('The List'!AB2:AB665)</f>
        <v>-0.322183397685558</v>
      </c>
      <c r="P415" s="77">
        <f>(VLOOKUP($A415,'The List'!$B1:$AH665,28,FALSE)-AVERAGE('The List'!AC2:AC665))/STDEV('The List'!AC2:AC665)</f>
        <v>1.03855795075308</v>
      </c>
      <c r="Q415" s="77">
        <f>(VLOOKUP($A415,'The List'!$B1:$AH665,29,FALSE)-AVERAGE('The List'!AD2:AD665))/STDEV('The List'!AD2:AD665)</f>
        <v>-0.6111519057426</v>
      </c>
      <c r="R415" s="77">
        <f>(VLOOKUP($A415,'The List'!$B1:$AH665,30,FALSE)-AVERAGE('The List'!AE2:AE665))/STDEV('The List'!AE2:AE665)</f>
        <v>-0.973369099439633</v>
      </c>
      <c r="S415" s="77">
        <f>(VLOOKUP($A415,'The List'!$B1:$AH665,31,FALSE)-AVERAGE('The List'!AF2:AF665))/STDEV('The List'!AF2:AF665)</f>
        <v>-0.573894410680004</v>
      </c>
      <c r="T415" s="77">
        <f>(VLOOKUP($A415,'The List'!$B1:$AH665,32,FALSE)-AVERAGE('The List'!AG2:AG665))/STDEV('The List'!AG2:AG665)</f>
        <v>-0.625770787132651</v>
      </c>
      <c r="U415" s="77">
        <f>(VLOOKUP($A415,'The List'!$B1:$AH665,33,FALSE)-AVERAGE('The List'!AH2:AH665))/STDEV('The List'!AH2:AH665)</f>
        <v>-1.23143509451486</v>
      </c>
      <c r="V415" s="77"/>
      <c r="W415" s="89"/>
      <c r="X415" s="79"/>
      <c r="Y415" s="79"/>
      <c r="Z415" s="79"/>
      <c r="AA415" s="79"/>
      <c r="AB415" s="79"/>
      <c r="AC415" s="82"/>
      <c r="AD415" s="83"/>
      <c r="AE415" s="84"/>
    </row>
    <row r="416" ht="21.25" customHeight="1">
      <c r="A416" t="s" s="10">
        <v>717</v>
      </c>
      <c r="B416" t="s" s="86">
        <f>VLOOKUP(A416,'Player Data'!A1:B667,2,FALSE)</f>
        <v>259</v>
      </c>
      <c r="C416" s="74">
        <f>((E416)*'Settings'!$C$12)+(F416*'Settings'!$C$2)+(G416*'Settings'!$C$3)+(H416*'Settings'!$C$4)+(I416*'Settings'!$C$5)+(K416*'Settings'!$C$9)+(N416*'Settings'!$C$6)+(J416*'Settings'!$C$8)+(O416*'Settings'!$C$7)+(P416*'Settings'!$C$14)+(Q416*'Settings'!$C$15)+(R416*'Settings'!$C$16)+(S416*'Settings'!$C$17)+(T416*'Settings'!$C$18)+(U416*'Settings'!$C$19)+(L416*'Settings'!$C$10)+('Settings'!$C$11*M416)</f>
        <v>-2.95866272920501</v>
      </c>
      <c r="D416" s="79">
        <f>IF('Settings'!$E$12="YES",VLOOKUP(A416,'Player Data'!A1:E667,5,FALSE),82)</f>
        <v>77.1425</v>
      </c>
      <c r="E416" s="77">
        <f>(VLOOKUP($A416,'The List'!$B1:$AH665,17,FALSE)-AVERAGE('The List'!R2:R665))/STDEV('The List'!R2:R665)</f>
        <v>-1.40420431816334</v>
      </c>
      <c r="F416" s="77">
        <f>(VLOOKUP($A416,'The List'!$B1:$AH665,18,FALSE)-AVERAGE('The List'!S2:S665))/STDEV('The List'!S2:S665)</f>
        <v>-0.465733838221404</v>
      </c>
      <c r="G416" s="77">
        <f>(VLOOKUP($A416,'The List'!$B1:$AH665,19,FALSE)-AVERAGE('The List'!T2:T665))/STDEV('The List'!T2:T665)</f>
        <v>-0.698136613265554</v>
      </c>
      <c r="H416" s="77">
        <f>(VLOOKUP($A416,'The List'!$B1:$AH665,20,FALSE)-AVERAGE('The List'!U2:U665))/STDEV('The List'!U2:U665)</f>
        <v>-0.645280259321001</v>
      </c>
      <c r="I416" s="77">
        <f>(VLOOKUP($A416,'The List'!$B1:$AH665,21,FALSE)-AVERAGE('The List'!V2:V665))/STDEV('The List'!V2:V665)</f>
        <v>-0.666727230689762</v>
      </c>
      <c r="J416" s="77">
        <f>(VLOOKUP($A416,'The List'!$B1:$AH665,22,FALSE)-AVERAGE('The List'!W2:W665))/STDEV('The List'!W2:W665)</f>
        <v>-0.727609830768017</v>
      </c>
      <c r="K416" s="77">
        <f>(VLOOKUP($A416,'The List'!$B1:$AH665,23,FALSE)-AVERAGE('The List'!X2:X665))/STDEV('The List'!X2:X665)</f>
        <v>-0.813205158847527</v>
      </c>
      <c r="L416" s="77">
        <f>(VLOOKUP($A416,'The List'!$B1:$AH665,24,FALSE)-AVERAGE('The List'!Y2:Y665))/STDEV('The List'!Y2:Y665)</f>
        <v>1.03570224737962</v>
      </c>
      <c r="M416" s="77">
        <f>(VLOOKUP($A416,'The List'!$B1:$AH665,25,FALSE)-AVERAGE('The List'!Z2:Z665))/STDEV('The List'!Z2:Z665)</f>
        <v>1.49966532022855</v>
      </c>
      <c r="N416" s="77">
        <f>(VLOOKUP($A416,'The List'!$B1:$AH665,26,FALSE)-AVERAGE('The List'!AA2:AA665))/STDEV('The List'!AA2:AA665)</f>
        <v>-0.717509882303754</v>
      </c>
      <c r="O416" s="77">
        <f>(VLOOKUP($A416,'The List'!$B1:$AH665,27,FALSE)-AVERAGE('The List'!AB2:AB665))/STDEV('The List'!AB2:AB665)</f>
        <v>-0.101403463414933</v>
      </c>
      <c r="P416" s="77">
        <f>(VLOOKUP($A416,'The List'!$B1:$AH665,28,FALSE)-AVERAGE('The List'!AC2:AC665))/STDEV('The List'!AC2:AC665)</f>
        <v>0.40264999412299</v>
      </c>
      <c r="Q416" s="77">
        <f>(VLOOKUP($A416,'The List'!$B1:$AH665,29,FALSE)-AVERAGE('The List'!AD2:AD665))/STDEV('The List'!AD2:AD665)</f>
        <v>0.0219529982508476</v>
      </c>
      <c r="R416" s="77">
        <f>(VLOOKUP($A416,'The List'!$B1:$AH665,30,FALSE)-AVERAGE('The List'!AE2:AE665))/STDEV('The List'!AE2:AE665)</f>
        <v>-0.449335519506107</v>
      </c>
      <c r="S416" s="77">
        <f>(VLOOKUP($A416,'The List'!$B1:$AH665,31,FALSE)-AVERAGE('The List'!AF2:AF665))/STDEV('The List'!AF2:AF665)</f>
        <v>0.698698746798194</v>
      </c>
      <c r="T416" s="77">
        <f>(VLOOKUP($A416,'The List'!$B1:$AH665,32,FALSE)-AVERAGE('The List'!AG2:AG665))/STDEV('The List'!AG2:AG665)</f>
        <v>0.73519826183223</v>
      </c>
      <c r="U416" s="77">
        <f>(VLOOKUP($A416,'The List'!$B1:$AH665,33,FALSE)-AVERAGE('The List'!AH2:AH665))/STDEV('The List'!AH2:AH665)</f>
        <v>1.02893049566012</v>
      </c>
      <c r="V416" s="77"/>
      <c r="W416" s="89"/>
      <c r="X416" s="79"/>
      <c r="Y416" s="79"/>
      <c r="Z416" s="79"/>
      <c r="AA416" s="79"/>
      <c r="AB416" s="79"/>
      <c r="AC416" s="82"/>
      <c r="AD416" s="83"/>
      <c r="AE416" s="84"/>
    </row>
    <row r="417" ht="21.25" customHeight="1">
      <c r="A417" t="s" s="10">
        <v>567</v>
      </c>
      <c r="B417" t="s" s="86">
        <f>VLOOKUP(A417,'Player Data'!A1:B667,2,FALSE)</f>
        <v>911</v>
      </c>
      <c r="C417" s="74">
        <f>((E417)*'Settings'!$C$12)+(F417*'Settings'!$C$2)+(G417*'Settings'!$C$3)+(H417*'Settings'!$C$4)+(I417*'Settings'!$C$5)+(K417*'Settings'!$C$9)+(N417*'Settings'!$C$6)+(J417*'Settings'!$C$8)+(O417*'Settings'!$C$7)+(P417*'Settings'!$C$14)+(Q417*'Settings'!$C$15)+(R417*'Settings'!$C$16)+(S417*'Settings'!$C$17)+(T417*'Settings'!$C$18)+(U417*'Settings'!$C$19)+(L417*'Settings'!$C$10)+('Settings'!$C$11*M417)</f>
        <v>-3.30303087397951</v>
      </c>
      <c r="D417" s="79">
        <f>IF('Settings'!$E$12="YES",VLOOKUP(A417,'Player Data'!A1:E667,5,FALSE),82)</f>
        <v>73.98999999999999</v>
      </c>
      <c r="E417" s="77">
        <f>(VLOOKUP($A417,'The List'!$B1:$AH665,17,FALSE)-AVERAGE('The List'!R2:R665))/STDEV('The List'!R2:R665)</f>
        <v>-0.780166858068386</v>
      </c>
      <c r="F417" s="77">
        <f>(VLOOKUP($A417,'The List'!$B1:$AH665,18,FALSE)-AVERAGE('The List'!S2:S665))/STDEV('The List'!S2:S665)</f>
        <v>-0.405781438652389</v>
      </c>
      <c r="G417" s="77">
        <f>(VLOOKUP($A417,'The List'!$B1:$AH665,19,FALSE)-AVERAGE('The List'!T2:T665))/STDEV('The List'!T2:T665)</f>
        <v>-0.808835266056523</v>
      </c>
      <c r="H417" s="77">
        <f>(VLOOKUP($A417,'The List'!$B1:$AH665,20,FALSE)-AVERAGE('The List'!U2:U665))/STDEV('The List'!U2:U665)</f>
        <v>-0.686779131710247</v>
      </c>
      <c r="I417" s="77">
        <f>(VLOOKUP($A417,'The List'!$B1:$AH665,21,FALSE)-AVERAGE('The List'!V2:V665))/STDEV('The List'!V2:V665)</f>
        <v>-0.781262906115031</v>
      </c>
      <c r="J417" s="77">
        <f>(VLOOKUP($A417,'The List'!$B1:$AH665,22,FALSE)-AVERAGE('The List'!W2:W665))/STDEV('The List'!W2:W665)</f>
        <v>-0.722808028254625</v>
      </c>
      <c r="K417" s="77">
        <f>(VLOOKUP($A417,'The List'!$B1:$AH665,23,FALSE)-AVERAGE('The List'!X2:X665))/STDEV('The List'!X2:X665)</f>
        <v>-0.812899506789335</v>
      </c>
      <c r="L417" s="77">
        <f>(VLOOKUP($A417,'The List'!$B1:$AH665,24,FALSE)-AVERAGE('The List'!Y2:Y665))/STDEV('The List'!Y2:Y665)</f>
        <v>0.447985563894358</v>
      </c>
      <c r="M417" s="77">
        <f>(VLOOKUP($A417,'The List'!$B1:$AH665,25,FALSE)-AVERAGE('The List'!Z2:Z665))/STDEV('The List'!Z2:Z665)</f>
        <v>0.568124406419913</v>
      </c>
      <c r="N417" s="77">
        <f>(VLOOKUP($A417,'The List'!$B1:$AH665,26,FALSE)-AVERAGE('The List'!AA2:AA665))/STDEV('The List'!AA2:AA665)</f>
        <v>-0.0618827041667125</v>
      </c>
      <c r="O417" s="77">
        <f>(VLOOKUP($A417,'The List'!$B1:$AH665,27,FALSE)-AVERAGE('The List'!AB2:AB665))/STDEV('The List'!AB2:AB665)</f>
        <v>1.2561051426987</v>
      </c>
      <c r="P417" s="77">
        <f>(VLOOKUP($A417,'The List'!$B1:$AH665,28,FALSE)-AVERAGE('The List'!AC2:AC665))/STDEV('The List'!AC2:AC665)</f>
        <v>-0.432369052199523</v>
      </c>
      <c r="Q417" s="77">
        <f>(VLOOKUP($A417,'The List'!$B1:$AH665,29,FALSE)-AVERAGE('The List'!AD2:AD665))/STDEV('The List'!AD2:AD665)</f>
        <v>0.399848270386561</v>
      </c>
      <c r="R417" s="77">
        <f>(VLOOKUP($A417,'The List'!$B1:$AH665,30,FALSE)-AVERAGE('The List'!AE2:AE665))/STDEV('The List'!AE2:AE665)</f>
        <v>-0.37082541818923</v>
      </c>
      <c r="S417" s="77">
        <f>(VLOOKUP($A417,'The List'!$B1:$AH665,31,FALSE)-AVERAGE('The List'!AF2:AF665))/STDEV('The List'!AF2:AF665)</f>
        <v>-0.540324027825855</v>
      </c>
      <c r="T417" s="77">
        <f>(VLOOKUP($A417,'The List'!$B1:$AH665,32,FALSE)-AVERAGE('The List'!AG2:AG665))/STDEV('The List'!AG2:AG665)</f>
        <v>-0.515079289814909</v>
      </c>
      <c r="U417" s="77">
        <f>(VLOOKUP($A417,'The List'!$B1:$AH665,33,FALSE)-AVERAGE('The List'!AH2:AH665))/STDEV('The List'!AH2:AH665)</f>
        <v>-0.125810458099258</v>
      </c>
      <c r="V417" s="77"/>
      <c r="W417" s="89"/>
      <c r="X417" s="79"/>
      <c r="Y417" s="79"/>
      <c r="Z417" s="79"/>
      <c r="AA417" s="79"/>
      <c r="AB417" s="79"/>
      <c r="AC417" s="82"/>
      <c r="AD417" s="83"/>
      <c r="AE417" s="84"/>
    </row>
    <row r="418" ht="21.25" customHeight="1">
      <c r="A418" t="s" s="10">
        <v>784</v>
      </c>
      <c r="B418" t="s" s="86">
        <f>VLOOKUP(A418,'Player Data'!A1:B667,2,FALSE)</f>
        <v>907</v>
      </c>
      <c r="C418" s="74">
        <f>((E418)*'Settings'!$C$12)+(F418*'Settings'!$C$2)+(G418*'Settings'!$C$3)+(H418*'Settings'!$C$4)+(I418*'Settings'!$C$5)+(K418*'Settings'!$C$9)+(N418*'Settings'!$C$6)+(J418*'Settings'!$C$8)+(O418*'Settings'!$C$7)+(P418*'Settings'!$C$14)+(Q418*'Settings'!$C$15)+(R418*'Settings'!$C$16)+(S418*'Settings'!$C$17)+(T418*'Settings'!$C$18)+(U418*'Settings'!$C$19)+(L418*'Settings'!$C$10)+('Settings'!$C$11*M418)</f>
        <v>-4.53937977253476</v>
      </c>
      <c r="D418" s="79">
        <f>IF('Settings'!$E$12="YES",VLOOKUP(A418,'Player Data'!A1:E667,5,FALSE),82)</f>
        <v>77.9325</v>
      </c>
      <c r="E418" s="77">
        <f>(VLOOKUP($A418,'The List'!$B1:$AH665,17,FALSE)-AVERAGE('The List'!R2:R665))/STDEV('The List'!R2:R665)</f>
        <v>-1.1828859607341</v>
      </c>
      <c r="F418" s="77">
        <f>(VLOOKUP($A418,'The List'!$B1:$AH665,18,FALSE)-AVERAGE('The List'!S2:S665))/STDEV('The List'!S2:S665)</f>
        <v>-0.5464372243036379</v>
      </c>
      <c r="G418" s="77">
        <f>(VLOOKUP($A418,'The List'!$B1:$AH665,19,FALSE)-AVERAGE('The List'!T2:T665))/STDEV('The List'!T2:T665)</f>
        <v>-0.625660106300794</v>
      </c>
      <c r="H418" s="77">
        <f>(VLOOKUP($A418,'The List'!$B1:$AH665,20,FALSE)-AVERAGE('The List'!U2:U665))/STDEV('The List'!U2:U665)</f>
        <v>-0.636951798392829</v>
      </c>
      <c r="I418" s="77">
        <f>(VLOOKUP($A418,'The List'!$B1:$AH665,21,FALSE)-AVERAGE('The List'!V2:V665))/STDEV('The List'!V2:V665)</f>
        <v>-0.521089968739474</v>
      </c>
      <c r="J418" s="77">
        <f>(VLOOKUP($A418,'The List'!$B1:$AH665,22,FALSE)-AVERAGE('The List'!W2:W665))/STDEV('The List'!W2:W665)</f>
        <v>-0.602758941813575</v>
      </c>
      <c r="K418" s="77">
        <f>(VLOOKUP($A418,'The List'!$B1:$AH665,23,FALSE)-AVERAGE('The List'!X2:X665))/STDEV('The List'!X2:X665)</f>
        <v>-0.67922919864707</v>
      </c>
      <c r="L418" s="77">
        <f>(VLOOKUP($A418,'The List'!$B1:$AH665,24,FALSE)-AVERAGE('The List'!Y2:Y665))/STDEV('The List'!Y2:Y665)</f>
        <v>0.157523891865561</v>
      </c>
      <c r="M418" s="77">
        <f>(VLOOKUP($A418,'The List'!$B1:$AH665,25,FALSE)-AVERAGE('The List'!Z2:Z665))/STDEV('The List'!Z2:Z665)</f>
        <v>-0.00188177513479932</v>
      </c>
      <c r="N418" s="77">
        <f>(VLOOKUP($A418,'The List'!$B1:$AH665,26,FALSE)-AVERAGE('The List'!AA2:AA665))/STDEV('The List'!AA2:AA665)</f>
        <v>-0.916489849445325</v>
      </c>
      <c r="O418" s="77">
        <f>(VLOOKUP($A418,'The List'!$B1:$AH665,27,FALSE)-AVERAGE('The List'!AB2:AB665))/STDEV('The List'!AB2:AB665)</f>
        <v>-0.273188233943058</v>
      </c>
      <c r="P418" s="77">
        <f>(VLOOKUP($A418,'The List'!$B1:$AH665,28,FALSE)-AVERAGE('The List'!AC2:AC665))/STDEV('The List'!AC2:AC665)</f>
        <v>-1.25047342509846</v>
      </c>
      <c r="Q418" s="77">
        <f>(VLOOKUP($A418,'The List'!$B1:$AH665,29,FALSE)-AVERAGE('The List'!AD2:AD665))/STDEV('The List'!AD2:AD665)</f>
        <v>-1.02319127061536</v>
      </c>
      <c r="R418" s="77">
        <f>(VLOOKUP($A418,'The List'!$B1:$AH665,30,FALSE)-AVERAGE('The List'!AE2:AE665))/STDEV('The List'!AE2:AE665)</f>
        <v>-0.666804935014725</v>
      </c>
      <c r="S418" s="77">
        <f>(VLOOKUP($A418,'The List'!$B1:$AH665,31,FALSE)-AVERAGE('The List'!AF2:AF665))/STDEV('The List'!AF2:AF665)</f>
        <v>-0.505899221942663</v>
      </c>
      <c r="T418" s="77">
        <f>(VLOOKUP($A418,'The List'!$B1:$AH665,32,FALSE)-AVERAGE('The List'!AG2:AG665))/STDEV('The List'!AG2:AG665)</f>
        <v>-0.5046394252537501</v>
      </c>
      <c r="U418" s="77">
        <f>(VLOOKUP($A418,'The List'!$B1:$AH665,33,FALSE)-AVERAGE('The List'!AH2:AH665))/STDEV('The List'!AH2:AH665)</f>
        <v>0.463246814500159</v>
      </c>
      <c r="V418" s="77"/>
      <c r="W418" s="89"/>
      <c r="X418" s="79"/>
      <c r="Y418" s="79"/>
      <c r="Z418" s="79"/>
      <c r="AA418" s="79"/>
      <c r="AB418" s="79"/>
      <c r="AC418" s="82"/>
      <c r="AD418" s="83"/>
      <c r="AE418" s="84"/>
    </row>
    <row r="419" ht="21.25" customHeight="1">
      <c r="A419" t="s" s="10">
        <v>806</v>
      </c>
      <c r="B419" t="s" s="86">
        <f>VLOOKUP(A419,'Player Data'!A1:B667,2,FALSE)</f>
        <v>174</v>
      </c>
      <c r="C419" s="74">
        <f>((E419)*'Settings'!$C$12)+(F419*'Settings'!$C$2)+(G419*'Settings'!$C$3)+(H419*'Settings'!$C$4)+(I419*'Settings'!$C$5)+(K419*'Settings'!$C$9)+(N419*'Settings'!$C$6)+(J419*'Settings'!$C$8)+(O419*'Settings'!$C$7)+(P419*'Settings'!$C$14)+(Q419*'Settings'!$C$15)+(R419*'Settings'!$C$16)+(S419*'Settings'!$C$17)+(T419*'Settings'!$C$18)+(U419*'Settings'!$C$19)+(L419*'Settings'!$C$10)+('Settings'!$C$11*M419)</f>
        <v>-2.66664928107851</v>
      </c>
      <c r="D419" s="79">
        <f>IF('Settings'!$E$12="YES",VLOOKUP(A419,'Player Data'!A1:E667,5,FALSE),82)</f>
        <v>57.96</v>
      </c>
      <c r="E419" s="77">
        <f>(VLOOKUP($A419,'The List'!$B1:$AH665,17,FALSE)-AVERAGE('The List'!R2:R665))/STDEV('The List'!R2:R665)</f>
        <v>0.418937483696812</v>
      </c>
      <c r="F419" s="77">
        <f>(VLOOKUP($A419,'The List'!$B1:$AH665,18,FALSE)-AVERAGE('The List'!S2:S665))/STDEV('The List'!S2:S665)</f>
        <v>-0.836409399433042</v>
      </c>
      <c r="G419" s="77">
        <f>(VLOOKUP($A419,'The List'!$B1:$AH665,19,FALSE)-AVERAGE('The List'!T2:T665))/STDEV('The List'!T2:T665)</f>
        <v>-0.832368016792012</v>
      </c>
      <c r="H419" s="77">
        <f>(VLOOKUP($A419,'The List'!$B1:$AH665,20,FALSE)-AVERAGE('The List'!U2:U665))/STDEV('The List'!U2:U665)</f>
        <v>-0.897135170684041</v>
      </c>
      <c r="I419" s="77">
        <f>(VLOOKUP($A419,'The List'!$B1:$AH665,21,FALSE)-AVERAGE('The List'!V2:V665))/STDEV('The List'!V2:V665)</f>
        <v>-0.664321729223019</v>
      </c>
      <c r="J419" s="77">
        <f>(VLOOKUP($A419,'The List'!$B1:$AH665,22,FALSE)-AVERAGE('The List'!W2:W665))/STDEV('The List'!W2:W665)</f>
        <v>-0.641051106848918</v>
      </c>
      <c r="K419" s="77">
        <f>(VLOOKUP($A419,'The List'!$B1:$AH665,23,FALSE)-AVERAGE('The List'!X2:X665))/STDEV('The List'!X2:X665)</f>
        <v>-0.5871022717582079</v>
      </c>
      <c r="L419" s="77">
        <f>(VLOOKUP($A419,'The List'!$B1:$AH665,24,FALSE)-AVERAGE('The List'!Y2:Y665))/STDEV('The List'!Y2:Y665)</f>
        <v>-0.5607639035447189</v>
      </c>
      <c r="M419" s="77">
        <f>(VLOOKUP($A419,'The List'!$B1:$AH665,25,FALSE)-AVERAGE('The List'!Z2:Z665))/STDEV('The List'!Z2:Z665)</f>
        <v>-0.695990241330337</v>
      </c>
      <c r="N419" s="77">
        <f>(VLOOKUP($A419,'The List'!$B1:$AH665,26,FALSE)-AVERAGE('The List'!AA2:AA665))/STDEV('The List'!AA2:AA665)</f>
        <v>0.290416069519523</v>
      </c>
      <c r="O419" s="77">
        <f>(VLOOKUP($A419,'The List'!$B1:$AH665,27,FALSE)-AVERAGE('The List'!AB2:AB665))/STDEV('The List'!AB2:AB665)</f>
        <v>-1.01025688115859</v>
      </c>
      <c r="P419" s="77">
        <f>(VLOOKUP($A419,'The List'!$B1:$AH665,28,FALSE)-AVERAGE('The List'!AC2:AC665))/STDEV('The List'!AC2:AC665)</f>
        <v>-0.0368639333917482</v>
      </c>
      <c r="Q419" s="77">
        <f>(VLOOKUP($A419,'The List'!$B1:$AH665,29,FALSE)-AVERAGE('The List'!AD2:AD665))/STDEV('The List'!AD2:AD665)</f>
        <v>-0.845733684003923</v>
      </c>
      <c r="R419" s="77">
        <f>(VLOOKUP($A419,'The List'!$B1:$AH665,30,FALSE)-AVERAGE('The List'!AE2:AE665))/STDEV('The List'!AE2:AE665)</f>
        <v>-0.811482569745851</v>
      </c>
      <c r="S419" s="77">
        <f>(VLOOKUP($A419,'The List'!$B1:$AH665,31,FALSE)-AVERAGE('The List'!AF2:AF665))/STDEV('The List'!AF2:AF665)</f>
        <v>-0.573894410680004</v>
      </c>
      <c r="T419" s="77">
        <f>(VLOOKUP($A419,'The List'!$B1:$AH665,32,FALSE)-AVERAGE('The List'!AG2:AG665))/STDEV('The List'!AG2:AG665)</f>
        <v>-0.625770787132651</v>
      </c>
      <c r="U419" s="77">
        <f>(VLOOKUP($A419,'The List'!$B1:$AH665,33,FALSE)-AVERAGE('The List'!AH2:AH665))/STDEV('The List'!AH2:AH665)</f>
        <v>-1.23143509451486</v>
      </c>
      <c r="V419" s="77"/>
      <c r="W419" s="89"/>
      <c r="X419" s="79"/>
      <c r="Y419" s="79"/>
      <c r="Z419" s="79"/>
      <c r="AA419" s="79"/>
      <c r="AB419" s="79"/>
      <c r="AC419" s="82"/>
      <c r="AD419" s="83"/>
      <c r="AE419" s="84"/>
    </row>
    <row r="420" ht="21.25" customHeight="1">
      <c r="A420" t="s" s="10">
        <v>465</v>
      </c>
      <c r="B420" t="s" s="86">
        <f>VLOOKUP(A420,'Player Data'!A1:B667,2,FALSE)</f>
        <v>342</v>
      </c>
      <c r="C420" s="74">
        <f>((E420)*'Settings'!$C$12)+(F420*'Settings'!$C$2)+(G420*'Settings'!$C$3)+(H420*'Settings'!$C$4)+(I420*'Settings'!$C$5)+(K420*'Settings'!$C$9)+(N420*'Settings'!$C$6)+(J420*'Settings'!$C$8)+(O420*'Settings'!$C$7)+(P420*'Settings'!$C$14)+(Q420*'Settings'!$C$15)+(R420*'Settings'!$C$16)+(S420*'Settings'!$C$17)+(T420*'Settings'!$C$18)+(U420*'Settings'!$C$19)+(L420*'Settings'!$C$10)+('Settings'!$C$11*M420)</f>
        <v>-0.507691460010901</v>
      </c>
      <c r="D420" s="79">
        <f>IF('Settings'!$E$12="YES",VLOOKUP(A420,'Player Data'!A1:E667,5,FALSE),82)</f>
        <v>75.5025</v>
      </c>
      <c r="E420" s="77">
        <f>(VLOOKUP($A420,'The List'!$B1:$AH665,17,FALSE)-AVERAGE('The List'!R2:R665))/STDEV('The List'!R2:R665)</f>
        <v>0.565143933078176</v>
      </c>
      <c r="F420" s="77">
        <f>(VLOOKUP($A420,'The List'!$B1:$AH665,18,FALSE)-AVERAGE('The List'!S2:S665))/STDEV('The List'!S2:S665)</f>
        <v>-0.686480196744456</v>
      </c>
      <c r="G420" s="77">
        <f>(VLOOKUP($A420,'The List'!$B1:$AH665,19,FALSE)-AVERAGE('The List'!T2:T665))/STDEV('The List'!T2:T665)</f>
        <v>-0.506104951974632</v>
      </c>
      <c r="H420" s="77">
        <f>(VLOOKUP($A420,'The List'!$B1:$AH665,20,FALSE)-AVERAGE('The List'!U2:U665))/STDEV('The List'!U2:U665)</f>
        <v>-0.626357512946602</v>
      </c>
      <c r="I420" s="77">
        <f>(VLOOKUP($A420,'The List'!$B1:$AH665,21,FALSE)-AVERAGE('The List'!V2:V665))/STDEV('The List'!V2:V665)</f>
        <v>-0.0478288169198019</v>
      </c>
      <c r="J420" s="77">
        <f>(VLOOKUP($A420,'The List'!$B1:$AH665,22,FALSE)-AVERAGE('The List'!W2:W665))/STDEV('The List'!W2:W665)</f>
        <v>-0.720205203010697</v>
      </c>
      <c r="K420" s="77">
        <f>(VLOOKUP($A420,'The List'!$B1:$AH665,23,FALSE)-AVERAGE('The List'!X2:X665))/STDEV('The List'!X2:X665)</f>
        <v>-0.7022097984915729</v>
      </c>
      <c r="L420" s="77">
        <f>(VLOOKUP($A420,'The List'!$B1:$AH665,24,FALSE)-AVERAGE('The List'!Y2:Y665))/STDEV('The List'!Y2:Y665)</f>
        <v>1.29279449445335</v>
      </c>
      <c r="M420" s="77">
        <f>(VLOOKUP($A420,'The List'!$B1:$AH665,25,FALSE)-AVERAGE('The List'!Z2:Z665))/STDEV('The List'!Z2:Z665)</f>
        <v>1.08453063438347</v>
      </c>
      <c r="N420" s="77">
        <f>(VLOOKUP($A420,'The List'!$B1:$AH665,26,FALSE)-AVERAGE('The List'!AA2:AA665))/STDEV('The List'!AA2:AA665)</f>
        <v>1.32727304457229</v>
      </c>
      <c r="O420" s="77">
        <f>(VLOOKUP($A420,'The List'!$B1:$AH665,27,FALSE)-AVERAGE('The List'!AB2:AB665))/STDEV('The List'!AB2:AB665)</f>
        <v>0.393790112769331</v>
      </c>
      <c r="P420" s="77">
        <f>(VLOOKUP($A420,'The List'!$B1:$AH665,28,FALSE)-AVERAGE('The List'!AC2:AC665))/STDEV('The List'!AC2:AC665)</f>
        <v>0.107659259547272</v>
      </c>
      <c r="Q420" s="77">
        <f>(VLOOKUP($A420,'The List'!$B1:$AH665,29,FALSE)-AVERAGE('The List'!AD2:AD665))/STDEV('The List'!AD2:AD665)</f>
        <v>0.814442766893325</v>
      </c>
      <c r="R420" s="77">
        <f>(VLOOKUP($A420,'The List'!$B1:$AH665,30,FALSE)-AVERAGE('The List'!AE2:AE665))/STDEV('The List'!AE2:AE665)</f>
        <v>-0.555388542717417</v>
      </c>
      <c r="S420" s="77">
        <f>(VLOOKUP($A420,'The List'!$B1:$AH665,31,FALSE)-AVERAGE('The List'!AF2:AF665))/STDEV('The List'!AF2:AF665)</f>
        <v>-0.573894410680004</v>
      </c>
      <c r="T420" s="77">
        <f>(VLOOKUP($A420,'The List'!$B1:$AH665,32,FALSE)-AVERAGE('The List'!AG2:AG665))/STDEV('The List'!AG2:AG665)</f>
        <v>-0.625770787132651</v>
      </c>
      <c r="U420" s="77">
        <f>(VLOOKUP($A420,'The List'!$B1:$AH665,33,FALSE)-AVERAGE('The List'!AH2:AH665))/STDEV('The List'!AH2:AH665)</f>
        <v>-1.23143509451486</v>
      </c>
      <c r="V420" s="77"/>
      <c r="W420" s="89"/>
      <c r="X420" s="79"/>
      <c r="Y420" s="79"/>
      <c r="Z420" s="79"/>
      <c r="AA420" s="79"/>
      <c r="AB420" s="79"/>
      <c r="AC420" s="82"/>
      <c r="AD420" s="83"/>
      <c r="AE420" s="84"/>
    </row>
    <row r="421" ht="21.25" customHeight="1">
      <c r="A421" t="s" s="10">
        <v>720</v>
      </c>
      <c r="B421" t="s" s="86">
        <f>VLOOKUP(A421,'Player Data'!A1:B667,2,FALSE)</f>
        <v>903</v>
      </c>
      <c r="C421" s="74">
        <f>((E421)*'Settings'!$C$12)+(F421*'Settings'!$C$2)+(G421*'Settings'!$C$3)+(H421*'Settings'!$C$4)+(I421*'Settings'!$C$5)+(K421*'Settings'!$C$9)+(N421*'Settings'!$C$6)+(J421*'Settings'!$C$8)+(O421*'Settings'!$C$7)+(P421*'Settings'!$C$14)+(Q421*'Settings'!$C$15)+(R421*'Settings'!$C$16)+(S421*'Settings'!$C$17)+(T421*'Settings'!$C$18)+(U421*'Settings'!$C$19)+(L421*'Settings'!$C$10)+('Settings'!$C$11*M421)</f>
        <v>-3.5297124682083</v>
      </c>
      <c r="D421" s="79">
        <f>IF('Settings'!$E$12="YES",VLOOKUP(A421,'Player Data'!A1:E667,5,FALSE),82)</f>
        <v>72.905</v>
      </c>
      <c r="E421" s="77">
        <f>(VLOOKUP($A421,'The List'!$B1:$AH665,17,FALSE)-AVERAGE('The List'!R2:R665))/STDEV('The List'!R2:R665)</f>
        <v>-1.21639048140182</v>
      </c>
      <c r="F421" s="77">
        <f>(VLOOKUP($A421,'The List'!$B1:$AH665,18,FALSE)-AVERAGE('The List'!S2:S665))/STDEV('The List'!S2:S665)</f>
        <v>-0.456643488598904</v>
      </c>
      <c r="G421" s="77">
        <f>(VLOOKUP($A421,'The List'!$B1:$AH665,19,FALSE)-AVERAGE('The List'!T2:T665))/STDEV('The List'!T2:T665)</f>
        <v>-0.817255369408817</v>
      </c>
      <c r="H421" s="77">
        <f>(VLOOKUP($A421,'The List'!$B1:$AH665,20,FALSE)-AVERAGE('The List'!U2:U665))/STDEV('The List'!U2:U665)</f>
        <v>-0.715127708706543</v>
      </c>
      <c r="I421" s="77">
        <f>(VLOOKUP($A421,'The List'!$B1:$AH665,21,FALSE)-AVERAGE('The List'!V2:V665))/STDEV('The List'!V2:V665)</f>
        <v>-0.976219135977678</v>
      </c>
      <c r="J421" s="77">
        <f>(VLOOKUP($A421,'The List'!$B1:$AH665,22,FALSE)-AVERAGE('The List'!W2:W665))/STDEV('The List'!W2:W665)</f>
        <v>-0.722521524876884</v>
      </c>
      <c r="K421" s="77">
        <f>(VLOOKUP($A421,'The List'!$B1:$AH665,23,FALSE)-AVERAGE('The List'!X2:X665))/STDEV('The List'!X2:X665)</f>
        <v>-0.811290071202511</v>
      </c>
      <c r="L421" s="77">
        <f>(VLOOKUP($A421,'The List'!$B1:$AH665,24,FALSE)-AVERAGE('The List'!Y2:Y665))/STDEV('The List'!Y2:Y665)</f>
        <v>0.691765892544032</v>
      </c>
      <c r="M421" s="77">
        <f>(VLOOKUP($A421,'The List'!$B1:$AH665,25,FALSE)-AVERAGE('The List'!Z2:Z665))/STDEV('The List'!Z2:Z665)</f>
        <v>0.564826041088149</v>
      </c>
      <c r="N421" s="77">
        <f>(VLOOKUP($A421,'The List'!$B1:$AH665,26,FALSE)-AVERAGE('The List'!AA2:AA665))/STDEV('The List'!AA2:AA665)</f>
        <v>-0.457353864831661</v>
      </c>
      <c r="O421" s="77">
        <f>(VLOOKUP($A421,'The List'!$B1:$AH665,27,FALSE)-AVERAGE('The List'!AB2:AB665))/STDEV('The List'!AB2:AB665)</f>
        <v>0.0218752289374937</v>
      </c>
      <c r="P421" s="77">
        <f>(VLOOKUP($A421,'The List'!$B1:$AH665,28,FALSE)-AVERAGE('The List'!AC2:AC665))/STDEV('The List'!AC2:AC665)</f>
        <v>-0.0109505381887276</v>
      </c>
      <c r="Q421" s="77">
        <f>(VLOOKUP($A421,'The List'!$B1:$AH665,29,FALSE)-AVERAGE('The List'!AD2:AD665))/STDEV('The List'!AD2:AD665)</f>
        <v>0.248753362243805</v>
      </c>
      <c r="R421" s="77">
        <f>(VLOOKUP($A421,'The List'!$B1:$AH665,30,FALSE)-AVERAGE('The List'!AE2:AE665))/STDEV('The List'!AE2:AE665)</f>
        <v>-0.418971390330056</v>
      </c>
      <c r="S421" s="77">
        <f>(VLOOKUP($A421,'The List'!$B1:$AH665,31,FALSE)-AVERAGE('The List'!AF2:AF665))/STDEV('The List'!AF2:AF665)</f>
        <v>0.245967920199341</v>
      </c>
      <c r="T421" s="77">
        <f>(VLOOKUP($A421,'The List'!$B1:$AH665,32,FALSE)-AVERAGE('The List'!AG2:AG665))/STDEV('The List'!AG2:AG665)</f>
        <v>0.332996099080823</v>
      </c>
      <c r="U421" s="77">
        <f>(VLOOKUP($A421,'The List'!$B1:$AH665,33,FALSE)-AVERAGE('The List'!AH2:AH665))/STDEV('The List'!AH2:AH665)</f>
        <v>0.9277296484159659</v>
      </c>
      <c r="V421" s="77"/>
      <c r="W421" s="89"/>
      <c r="X421" s="79"/>
      <c r="Y421" s="79"/>
      <c r="Z421" s="79"/>
      <c r="AA421" s="79"/>
      <c r="AB421" s="79"/>
      <c r="AC421" s="82"/>
      <c r="AD421" s="83"/>
      <c r="AE421" s="84"/>
    </row>
    <row r="422" ht="21.25" customHeight="1">
      <c r="A422" t="s" s="10">
        <v>780</v>
      </c>
      <c r="B422" t="s" s="86">
        <f>VLOOKUP(A422,'Player Data'!A1:B667,2,FALSE)</f>
        <v>909</v>
      </c>
      <c r="C422" s="74">
        <f>((E422)*'Settings'!$C$12)+(F422*'Settings'!$C$2)+(G422*'Settings'!$C$3)+(H422*'Settings'!$C$4)+(I422*'Settings'!$C$5)+(K422*'Settings'!$C$9)+(N422*'Settings'!$C$6)+(J422*'Settings'!$C$8)+(O422*'Settings'!$C$7)+(P422*'Settings'!$C$14)+(Q422*'Settings'!$C$15)+(R422*'Settings'!$C$16)+(S422*'Settings'!$C$17)+(T422*'Settings'!$C$18)+(U422*'Settings'!$C$19)+(L422*'Settings'!$C$10)+('Settings'!$C$11*M422)</f>
        <v>-4.55320123245052</v>
      </c>
      <c r="D422" s="79">
        <f>IF('Settings'!$E$12="YES",VLOOKUP(A422,'Player Data'!A1:E667,5,FALSE),82)</f>
        <v>62.9625</v>
      </c>
      <c r="E422" s="77">
        <f>(VLOOKUP($A422,'The List'!$B1:$AH665,17,FALSE)-AVERAGE('The List'!R2:R665))/STDEV('The List'!R2:R665)</f>
        <v>-1.25008040350013</v>
      </c>
      <c r="F422" s="77">
        <f>(VLOOKUP($A422,'The List'!$B1:$AH665,18,FALSE)-AVERAGE('The List'!S2:S665))/STDEV('The List'!S2:S665)</f>
        <v>-0.538335917961939</v>
      </c>
      <c r="G422" s="77">
        <f>(VLOOKUP($A422,'The List'!$B1:$AH665,19,FALSE)-AVERAGE('The List'!T2:T665))/STDEV('The List'!T2:T665)</f>
        <v>-0.963711692367643</v>
      </c>
      <c r="H422" s="77">
        <f>(VLOOKUP($A422,'The List'!$B1:$AH665,20,FALSE)-AVERAGE('The List'!U2:U665))/STDEV('The List'!U2:U665)</f>
        <v>-0.843218412525173</v>
      </c>
      <c r="I422" s="77">
        <f>(VLOOKUP($A422,'The List'!$B1:$AH665,21,FALSE)-AVERAGE('The List'!V2:V665))/STDEV('The List'!V2:V665)</f>
        <v>-1.35538453331029</v>
      </c>
      <c r="J422" s="77">
        <f>(VLOOKUP($A422,'The List'!$B1:$AH665,22,FALSE)-AVERAGE('The List'!W2:W665))/STDEV('The List'!W2:W665)</f>
        <v>-0.62910822364923</v>
      </c>
      <c r="K422" s="77">
        <f>(VLOOKUP($A422,'The List'!$B1:$AH665,23,FALSE)-AVERAGE('The List'!X2:X665))/STDEV('The List'!X2:X665)</f>
        <v>-0.760529313330813</v>
      </c>
      <c r="L422" s="77">
        <f>(VLOOKUP($A422,'The List'!$B1:$AH665,24,FALSE)-AVERAGE('The List'!Y2:Y665))/STDEV('The List'!Y2:Y665)</f>
        <v>0.471793957640388</v>
      </c>
      <c r="M422" s="77">
        <f>(VLOOKUP($A422,'The List'!$B1:$AH665,25,FALSE)-AVERAGE('The List'!Z2:Z665))/STDEV('The List'!Z2:Z665)</f>
        <v>0.824071446862978</v>
      </c>
      <c r="N422" s="77">
        <f>(VLOOKUP($A422,'The List'!$B1:$AH665,26,FALSE)-AVERAGE('The List'!AA2:AA665))/STDEV('The List'!AA2:AA665)</f>
        <v>-0.121869871773072</v>
      </c>
      <c r="O422" s="77">
        <f>(VLOOKUP($A422,'The List'!$B1:$AH665,27,FALSE)-AVERAGE('The List'!AB2:AB665))/STDEV('The List'!AB2:AB665)</f>
        <v>-0.305196148832473</v>
      </c>
      <c r="P422" s="77">
        <f>(VLOOKUP($A422,'The List'!$B1:$AH665,28,FALSE)-AVERAGE('The List'!AC2:AC665))/STDEV('The List'!AC2:AC665)</f>
        <v>-0.813369903706766</v>
      </c>
      <c r="Q422" s="77">
        <f>(VLOOKUP($A422,'The List'!$B1:$AH665,29,FALSE)-AVERAGE('The List'!AD2:AD665))/STDEV('The List'!AD2:AD665)</f>
        <v>-1.34368155662032</v>
      </c>
      <c r="R422" s="77">
        <f>(VLOOKUP($A422,'The List'!$B1:$AH665,30,FALSE)-AVERAGE('The List'!AE2:AE665))/STDEV('The List'!AE2:AE665)</f>
        <v>-0.6834735790183259</v>
      </c>
      <c r="S422" s="77">
        <f>(VLOOKUP($A422,'The List'!$B1:$AH665,31,FALSE)-AVERAGE('The List'!AF2:AF665))/STDEV('The List'!AF2:AF665)</f>
        <v>-0.537151820378496</v>
      </c>
      <c r="T422" s="77">
        <f>(VLOOKUP($A422,'The List'!$B1:$AH665,32,FALSE)-AVERAGE('The List'!AG2:AG665))/STDEV('The List'!AG2:AG665)</f>
        <v>-0.42961493377742</v>
      </c>
      <c r="U422" s="77">
        <f>(VLOOKUP($A422,'The List'!$B1:$AH665,33,FALSE)-AVERAGE('The List'!AH2:AH665))/STDEV('The List'!AH2:AH665)</f>
        <v>-0.478335855467769</v>
      </c>
      <c r="V422" s="77"/>
      <c r="W422" s="79"/>
      <c r="X422" s="77"/>
      <c r="Y422" s="77"/>
      <c r="Z422" s="77"/>
      <c r="AA422" s="77"/>
      <c r="AB422" s="77"/>
      <c r="AC422" s="77"/>
      <c r="AD422" s="77"/>
      <c r="AE422" s="84"/>
    </row>
    <row r="423" ht="21.25" customHeight="1">
      <c r="A423" t="s" s="10">
        <v>693</v>
      </c>
      <c r="B423" t="s" s="86">
        <f>VLOOKUP(A423,'Player Data'!A1:B667,2,FALSE)</f>
        <v>267</v>
      </c>
      <c r="C423" s="74">
        <f>((E423)*'Settings'!$C$12)+(F423*'Settings'!$C$2)+(G423*'Settings'!$C$3)+(H423*'Settings'!$C$4)+(I423*'Settings'!$C$5)+(K423*'Settings'!$C$9)+(N423*'Settings'!$C$6)+(J423*'Settings'!$C$8)+(O423*'Settings'!$C$7)+(P423*'Settings'!$C$14)+(Q423*'Settings'!$C$15)+(R423*'Settings'!$C$16)+(S423*'Settings'!$C$17)+(T423*'Settings'!$C$18)+(U423*'Settings'!$C$19)+(L423*'Settings'!$C$10)+('Settings'!$C$11*M423)</f>
        <v>-2.80056577327987</v>
      </c>
      <c r="D423" s="79">
        <f>IF('Settings'!$E$12="YES",VLOOKUP(A423,'Player Data'!A1:E667,5,FALSE),82)</f>
        <v>80.61499999999999</v>
      </c>
      <c r="E423" s="77">
        <f>(VLOOKUP($A423,'The List'!$B1:$AH665,17,FALSE)-AVERAGE('The List'!R2:R665))/STDEV('The List'!R2:R665)</f>
        <v>-1.231915256646</v>
      </c>
      <c r="F423" s="77">
        <f>(VLOOKUP($A423,'The List'!$B1:$AH665,18,FALSE)-AVERAGE('The List'!S2:S665))/STDEV('The List'!S2:S665)</f>
        <v>-0.162838652936275</v>
      </c>
      <c r="G423" s="77">
        <f>(VLOOKUP($A423,'The List'!$B1:$AH665,19,FALSE)-AVERAGE('The List'!T2:T665))/STDEV('The List'!T2:T665)</f>
        <v>-0.883790310995017</v>
      </c>
      <c r="H423" s="77">
        <f>(VLOOKUP($A423,'The List'!$B1:$AH665,20,FALSE)-AVERAGE('The List'!U2:U665))/STDEV('The List'!U2:U665)</f>
        <v>-0.622901385092327</v>
      </c>
      <c r="I423" s="77">
        <f>(VLOOKUP($A423,'The List'!$B1:$AH665,21,FALSE)-AVERAGE('The List'!V2:V665))/STDEV('The List'!V2:V665)</f>
        <v>-0.0500530457303932</v>
      </c>
      <c r="J423" s="77">
        <f>(VLOOKUP($A423,'The List'!$B1:$AH665,22,FALSE)-AVERAGE('The List'!W2:W665))/STDEV('The List'!W2:W665)</f>
        <v>-0.683315372859197</v>
      </c>
      <c r="K423" s="77">
        <f>(VLOOKUP($A423,'The List'!$B1:$AH665,23,FALSE)-AVERAGE('The List'!X2:X665))/STDEV('The List'!X2:X665)</f>
        <v>-0.716260124849434</v>
      </c>
      <c r="L423" s="77">
        <f>(VLOOKUP($A423,'The List'!$B1:$AH665,24,FALSE)-AVERAGE('The List'!Y2:Y665))/STDEV('The List'!Y2:Y665)</f>
        <v>0.117237224562573</v>
      </c>
      <c r="M423" s="77">
        <f>(VLOOKUP($A423,'The List'!$B1:$AH665,25,FALSE)-AVERAGE('The List'!Z2:Z665))/STDEV('The List'!Z2:Z665)</f>
        <v>-0.0332043709822919</v>
      </c>
      <c r="N423" s="77">
        <f>(VLOOKUP($A423,'The List'!$B1:$AH665,26,FALSE)-AVERAGE('The List'!AA2:AA665))/STDEV('The List'!AA2:AA665)</f>
        <v>-0.859752634654295</v>
      </c>
      <c r="O423" s="77">
        <f>(VLOOKUP($A423,'The List'!$B1:$AH665,27,FALSE)-AVERAGE('The List'!AB2:AB665))/STDEV('The List'!AB2:AB665)</f>
        <v>0.183996175993841</v>
      </c>
      <c r="P423" s="77">
        <f>(VLOOKUP($A423,'The List'!$B1:$AH665,28,FALSE)-AVERAGE('The List'!AC2:AC665))/STDEV('The List'!AC2:AC665)</f>
        <v>-0.127871004114459</v>
      </c>
      <c r="Q423" s="77">
        <f>(VLOOKUP($A423,'The List'!$B1:$AH665,29,FALSE)-AVERAGE('The List'!AD2:AD665))/STDEV('The List'!AD2:AD665)</f>
        <v>0.507461172911042</v>
      </c>
      <c r="R423" s="77">
        <f>(VLOOKUP($A423,'The List'!$B1:$AH665,30,FALSE)-AVERAGE('The List'!AE2:AE665))/STDEV('The List'!AE2:AE665)</f>
        <v>0.06405269890941601</v>
      </c>
      <c r="S423" s="77">
        <f>(VLOOKUP($A423,'The List'!$B1:$AH665,31,FALSE)-AVERAGE('The List'!AF2:AF665))/STDEV('The List'!AF2:AF665)</f>
        <v>-0.542431344175472</v>
      </c>
      <c r="T423" s="77">
        <f>(VLOOKUP($A423,'The List'!$B1:$AH665,32,FALSE)-AVERAGE('The List'!AG2:AG665))/STDEV('The List'!AG2:AG665)</f>
        <v>-0.597086051957289</v>
      </c>
      <c r="U423" s="77">
        <f>(VLOOKUP($A423,'The List'!$B1:$AH665,33,FALSE)-AVERAGE('The List'!AH2:AH665))/STDEV('The List'!AH2:AH665)</f>
        <v>1.20944258483409</v>
      </c>
      <c r="V423" s="77"/>
      <c r="W423" s="89"/>
      <c r="X423" s="79"/>
      <c r="Y423" s="79"/>
      <c r="Z423" s="79"/>
      <c r="AA423" s="79"/>
      <c r="AB423" s="79"/>
      <c r="AC423" s="82"/>
      <c r="AD423" s="83"/>
      <c r="AE423" s="84"/>
    </row>
    <row r="424" ht="21.25" customHeight="1">
      <c r="A424" t="s" s="10">
        <v>422</v>
      </c>
      <c r="B424" t="s" s="86">
        <f>VLOOKUP(A424,'Player Data'!A1:B667,2,FALSE)</f>
        <v>871</v>
      </c>
      <c r="C424" s="74">
        <f>((E424)*'Settings'!$C$12)+(F424*'Settings'!$C$2)+(G424*'Settings'!$C$3)+(H424*'Settings'!$C$4)+(I424*'Settings'!$C$5)+(K424*'Settings'!$C$9)+(N424*'Settings'!$C$6)+(J424*'Settings'!$C$8)+(O424*'Settings'!$C$7)+(P424*'Settings'!$C$14)+(Q424*'Settings'!$C$15)+(R424*'Settings'!$C$16)+(S424*'Settings'!$C$17)+(T424*'Settings'!$C$18)+(U424*'Settings'!$C$19)+(L424*'Settings'!$C$10)+('Settings'!$C$11*M424)</f>
        <v>-0.967126237671453</v>
      </c>
      <c r="D424" s="79">
        <f>IF('Settings'!$E$12="YES",VLOOKUP(A424,'Player Data'!A1:E667,5,FALSE),82)</f>
        <v>71.9025</v>
      </c>
      <c r="E424" s="77">
        <f>(VLOOKUP($A424,'The List'!$B1:$AH665,17,FALSE)-AVERAGE('The List'!R2:R665))/STDEV('The List'!R2:R665)</f>
        <v>0.476393980978486</v>
      </c>
      <c r="F424" s="77">
        <f>(VLOOKUP($A424,'The List'!$B1:$AH665,18,FALSE)-AVERAGE('The List'!S2:S665))/STDEV('The List'!S2:S665)</f>
        <v>-0.769288174067195</v>
      </c>
      <c r="G424" s="77">
        <f>(VLOOKUP($A424,'The List'!$B1:$AH665,19,FALSE)-AVERAGE('The List'!T2:T665))/STDEV('The List'!T2:T665)</f>
        <v>-0.621635565114526</v>
      </c>
      <c r="H424" s="77">
        <f>(VLOOKUP($A424,'The List'!$B1:$AH665,20,FALSE)-AVERAGE('The List'!U2:U665))/STDEV('The List'!U2:U665)</f>
        <v>-0.735748681647275</v>
      </c>
      <c r="I424" s="77">
        <f>(VLOOKUP($A424,'The List'!$B1:$AH665,21,FALSE)-AVERAGE('The List'!V2:V665))/STDEV('The List'!V2:V665)</f>
        <v>-0.380173768264453</v>
      </c>
      <c r="J424" s="77">
        <f>(VLOOKUP($A424,'The List'!$B1:$AH665,22,FALSE)-AVERAGE('The List'!W2:W665))/STDEV('The List'!W2:W665)</f>
        <v>-0.7417449072786</v>
      </c>
      <c r="K424" s="77">
        <f>(VLOOKUP($A424,'The List'!$B1:$AH665,23,FALSE)-AVERAGE('The List'!X2:X665))/STDEV('The List'!X2:X665)</f>
        <v>-0.818853371974221</v>
      </c>
      <c r="L424" s="77">
        <f>(VLOOKUP($A424,'The List'!$B1:$AH665,24,FALSE)-AVERAGE('The List'!Y2:Y665))/STDEV('The List'!Y2:Y665)</f>
        <v>-0.523824752134658</v>
      </c>
      <c r="M424" s="77">
        <f>(VLOOKUP($A424,'The List'!$B1:$AH665,25,FALSE)-AVERAGE('The List'!Z2:Z665))/STDEV('The List'!Z2:Z665)</f>
        <v>-0.12881570518672</v>
      </c>
      <c r="N424" s="77">
        <f>(VLOOKUP($A424,'The List'!$B1:$AH665,26,FALSE)-AVERAGE('The List'!AA2:AA665))/STDEV('The List'!AA2:AA665)</f>
        <v>0.993707257347984</v>
      </c>
      <c r="O424" s="77">
        <f>(VLOOKUP($A424,'The List'!$B1:$AH665,27,FALSE)-AVERAGE('The List'!AB2:AB665))/STDEV('The List'!AB2:AB665)</f>
        <v>1.88490082627449</v>
      </c>
      <c r="P424" s="77">
        <f>(VLOOKUP($A424,'The List'!$B1:$AH665,28,FALSE)-AVERAGE('The List'!AC2:AC665))/STDEV('The List'!AC2:AC665)</f>
        <v>0.629117384400958</v>
      </c>
      <c r="Q424" s="77">
        <f>(VLOOKUP($A424,'The List'!$B1:$AH665,29,FALSE)-AVERAGE('The List'!AD2:AD665))/STDEV('The List'!AD2:AD665)</f>
        <v>2.53678518442942</v>
      </c>
      <c r="R424" s="77">
        <f>(VLOOKUP($A424,'The List'!$B1:$AH665,30,FALSE)-AVERAGE('The List'!AE2:AE665))/STDEV('The List'!AE2:AE665)</f>
        <v>-0.7339462077606</v>
      </c>
      <c r="S424" s="77">
        <f>(VLOOKUP($A424,'The List'!$B1:$AH665,31,FALSE)-AVERAGE('The List'!AF2:AF665))/STDEV('The List'!AF2:AF665)</f>
        <v>-0.573894410680004</v>
      </c>
      <c r="T424" s="77">
        <f>(VLOOKUP($A424,'The List'!$B1:$AH665,32,FALSE)-AVERAGE('The List'!AG2:AG665))/STDEV('The List'!AG2:AG665)</f>
        <v>-0.621762729769651</v>
      </c>
      <c r="U424" s="77">
        <f>(VLOOKUP($A424,'The List'!$B1:$AH665,33,FALSE)-AVERAGE('The List'!AH2:AH665))/STDEV('The List'!AH2:AH665)</f>
        <v>-1.23143509451486</v>
      </c>
      <c r="V424" s="77"/>
      <c r="W424" s="79"/>
      <c r="X424" s="77"/>
      <c r="Y424" s="77"/>
      <c r="Z424" s="77"/>
      <c r="AA424" s="77"/>
      <c r="AB424" s="77"/>
      <c r="AC424" s="77"/>
      <c r="AD424" s="77"/>
      <c r="AE424" s="84"/>
    </row>
    <row r="425" ht="21.25" customHeight="1">
      <c r="A425" t="s" s="10">
        <v>814</v>
      </c>
      <c r="B425" t="s" s="86">
        <f>VLOOKUP(A425,'Player Data'!A1:B667,2,FALSE)</f>
        <v>207</v>
      </c>
      <c r="C425" s="74">
        <f>((E425)*'Settings'!$C$12)+(F425*'Settings'!$C$2)+(G425*'Settings'!$C$3)+(H425*'Settings'!$C$4)+(I425*'Settings'!$C$5)+(K425*'Settings'!$C$9)+(N425*'Settings'!$C$6)+(J425*'Settings'!$C$8)+(O425*'Settings'!$C$7)+(P425*'Settings'!$C$14)+(Q425*'Settings'!$C$15)+(R425*'Settings'!$C$16)+(S425*'Settings'!$C$17)+(T425*'Settings'!$C$18)+(U425*'Settings'!$C$19)+(L425*'Settings'!$C$10)+('Settings'!$C$11*M425)</f>
        <v>-3.70240906360457</v>
      </c>
      <c r="D425" s="79">
        <f>IF('Settings'!$E$12="YES",VLOOKUP(A425,'Player Data'!A1:E667,5,FALSE),82)</f>
        <v>73.1875</v>
      </c>
      <c r="E425" s="77">
        <f>(VLOOKUP($A425,'The List'!$B1:$AH665,17,FALSE)-AVERAGE('The List'!R2:R665))/STDEV('The List'!R2:R665)</f>
        <v>-1.12448943874267</v>
      </c>
      <c r="F425" s="77">
        <f>(VLOOKUP($A425,'The List'!$B1:$AH665,18,FALSE)-AVERAGE('The List'!S2:S665))/STDEV('The List'!S2:S665)</f>
        <v>-0.173377018726882</v>
      </c>
      <c r="G425" s="77">
        <f>(VLOOKUP($A425,'The List'!$B1:$AH665,19,FALSE)-AVERAGE('The List'!T2:T665))/STDEV('The List'!T2:T665)</f>
        <v>-1.03189931409156</v>
      </c>
      <c r="H425" s="77">
        <f>(VLOOKUP($A425,'The List'!$B1:$AH665,20,FALSE)-AVERAGE('The List'!U2:U665))/STDEV('The List'!U2:U665)</f>
        <v>-0.719675592085763</v>
      </c>
      <c r="I425" s="77">
        <f>(VLOOKUP($A425,'The List'!$B1:$AH665,21,FALSE)-AVERAGE('The List'!V2:V665))/STDEV('The List'!V2:V665)</f>
        <v>-1.00269458355291</v>
      </c>
      <c r="J425" s="77">
        <f>(VLOOKUP($A425,'The List'!$B1:$AH665,22,FALSE)-AVERAGE('The List'!W2:W665))/STDEV('The List'!W2:W665)</f>
        <v>-0.730829402245309</v>
      </c>
      <c r="K425" s="77">
        <f>(VLOOKUP($A425,'The List'!$B1:$AH665,23,FALSE)-AVERAGE('The List'!X2:X665))/STDEV('The List'!X2:X665)</f>
        <v>-0.815898588817581</v>
      </c>
      <c r="L425" s="77">
        <f>(VLOOKUP($A425,'The List'!$B1:$AH665,24,FALSE)-AVERAGE('The List'!Y2:Y665))/STDEV('The List'!Y2:Y665)</f>
        <v>6.1819137509762</v>
      </c>
      <c r="M425" s="77">
        <f>(VLOOKUP($A425,'The List'!$B1:$AH665,25,FALSE)-AVERAGE('The List'!Z2:Z665))/STDEV('The List'!Z2:Z665)</f>
        <v>5.20440560438324</v>
      </c>
      <c r="N425" s="77">
        <f>(VLOOKUP($A425,'The List'!$B1:$AH665,26,FALSE)-AVERAGE('The List'!AA2:AA665))/STDEV('The List'!AA2:AA665)</f>
        <v>-0.55741484132259</v>
      </c>
      <c r="O425" s="77">
        <f>(VLOOKUP($A425,'The List'!$B1:$AH665,27,FALSE)-AVERAGE('The List'!AB2:AB665))/STDEV('The List'!AB2:AB665)</f>
        <v>-1.3599236710836</v>
      </c>
      <c r="P425" s="77">
        <f>(VLOOKUP($A425,'The List'!$B1:$AH665,28,FALSE)-AVERAGE('The List'!AC2:AC665))/STDEV('The List'!AC2:AC665)</f>
        <v>-0.121124717093044</v>
      </c>
      <c r="Q425" s="77">
        <f>(VLOOKUP($A425,'The List'!$B1:$AH665,29,FALSE)-AVERAGE('The List'!AD2:AD665))/STDEV('The List'!AD2:AD665)</f>
        <v>-1.331593406477</v>
      </c>
      <c r="R425" s="77">
        <f>(VLOOKUP($A425,'The List'!$B1:$AH665,30,FALSE)-AVERAGE('The List'!AE2:AE665))/STDEV('The List'!AE2:AE665)</f>
        <v>-0.104761724977525</v>
      </c>
      <c r="S425" s="77">
        <f>(VLOOKUP($A425,'The List'!$B1:$AH665,31,FALSE)-AVERAGE('The List'!AF2:AF665))/STDEV('The List'!AF2:AF665)</f>
        <v>-0.556719417417033</v>
      </c>
      <c r="T425" s="77">
        <f>(VLOOKUP($A425,'The List'!$B1:$AH665,32,FALSE)-AVERAGE('The List'!AG2:AG665))/STDEV('The List'!AG2:AG665)</f>
        <v>-0.5595344601205871</v>
      </c>
      <c r="U425" s="77">
        <f>(VLOOKUP($A425,'The List'!$B1:$AH665,33,FALSE)-AVERAGE('The List'!AH2:AH665))/STDEV('The List'!AH2:AH665)</f>
        <v>-0.251482480509908</v>
      </c>
      <c r="V425" s="77"/>
      <c r="W425" s="79"/>
      <c r="X425" s="77"/>
      <c r="Y425" s="77"/>
      <c r="Z425" s="77"/>
      <c r="AA425" s="77"/>
      <c r="AB425" s="77"/>
      <c r="AC425" s="77"/>
      <c r="AD425" s="77"/>
      <c r="AE425" s="84"/>
    </row>
    <row r="426" ht="21.25" customHeight="1">
      <c r="A426" t="s" s="10">
        <v>504</v>
      </c>
      <c r="B426" t="s" s="86">
        <f>VLOOKUP(A426,'Player Data'!A1:B667,2,FALSE)</f>
        <v>913</v>
      </c>
      <c r="C426" s="74">
        <f>((E426)*'Settings'!$C$12)+(F426*'Settings'!$C$2)+(G426*'Settings'!$C$3)+(H426*'Settings'!$C$4)+(I426*'Settings'!$C$5)+(K426*'Settings'!$C$9)+(N426*'Settings'!$C$6)+(J426*'Settings'!$C$8)+(O426*'Settings'!$C$7)+(P426*'Settings'!$C$14)+(Q426*'Settings'!$C$15)+(R426*'Settings'!$C$16)+(S426*'Settings'!$C$17)+(T426*'Settings'!$C$18)+(U426*'Settings'!$C$19)+(L426*'Settings'!$C$10)+('Settings'!$C$11*M426)</f>
        <v>-0.106702420463612</v>
      </c>
      <c r="D426" s="79">
        <f>IF('Settings'!$E$12="YES",VLOOKUP(A426,'Player Data'!A1:E667,5,FALSE),82)</f>
        <v>80.82250000000001</v>
      </c>
      <c r="E426" s="77">
        <f>(VLOOKUP($A426,'The List'!$B1:$AH665,17,FALSE)-AVERAGE('The List'!R2:R665))/STDEV('The List'!R2:R665)</f>
        <v>1.11796526096508</v>
      </c>
      <c r="F426" s="77">
        <f>(VLOOKUP($A426,'The List'!$B1:$AH665,18,FALSE)-AVERAGE('The List'!S2:S665))/STDEV('The List'!S2:S665)</f>
        <v>-0.966428422588373</v>
      </c>
      <c r="G426" s="77">
        <f>(VLOOKUP($A426,'The List'!$B1:$AH665,19,FALSE)-AVERAGE('The List'!T2:T665))/STDEV('The List'!T2:T665)</f>
        <v>-0.29809522750976</v>
      </c>
      <c r="H426" s="77">
        <f>(VLOOKUP($A426,'The List'!$B1:$AH665,20,FALSE)-AVERAGE('The List'!U2:U665))/STDEV('The List'!U2:U665)</f>
        <v>-0.6244215537127999</v>
      </c>
      <c r="I426" s="77">
        <f>(VLOOKUP($A426,'The List'!$B1:$AH665,21,FALSE)-AVERAGE('The List'!V2:V665))/STDEV('The List'!V2:V665)</f>
        <v>-0.547886562564296</v>
      </c>
      <c r="J426" s="77">
        <f>(VLOOKUP($A426,'The List'!$B1:$AH665,22,FALSE)-AVERAGE('The List'!W2:W665))/STDEV('The List'!W2:W665)</f>
        <v>-0.740056701780525</v>
      </c>
      <c r="K426" s="77">
        <f>(VLOOKUP($A426,'The List'!$B1:$AH665,23,FALSE)-AVERAGE('The List'!X2:X665))/STDEV('The List'!X2:X665)</f>
        <v>-0.814186068861993</v>
      </c>
      <c r="L426" s="77">
        <f>(VLOOKUP($A426,'The List'!$B1:$AH665,24,FALSE)-AVERAGE('The List'!Y2:Y665))/STDEV('The List'!Y2:Y665)</f>
        <v>-0.535172511632357</v>
      </c>
      <c r="M426" s="77">
        <f>(VLOOKUP($A426,'The List'!$B1:$AH665,25,FALSE)-AVERAGE('The List'!Z2:Z665))/STDEV('The List'!Z2:Z665)</f>
        <v>0.313682326769756</v>
      </c>
      <c r="N426" s="77">
        <f>(VLOOKUP($A426,'The List'!$B1:$AH665,26,FALSE)-AVERAGE('The List'!AA2:AA665))/STDEV('The List'!AA2:AA665)</f>
        <v>1.28515380848177</v>
      </c>
      <c r="O426" s="77">
        <f>(VLOOKUP($A426,'The List'!$B1:$AH665,27,FALSE)-AVERAGE('The List'!AB2:AB665))/STDEV('The List'!AB2:AB665)</f>
        <v>0.49144649386592</v>
      </c>
      <c r="P426" s="77">
        <f>(VLOOKUP($A426,'The List'!$B1:$AH665,28,FALSE)-AVERAGE('The List'!AC2:AC665))/STDEV('The List'!AC2:AC665)</f>
        <v>1.23474005257904</v>
      </c>
      <c r="Q426" s="77">
        <f>(VLOOKUP($A426,'The List'!$B1:$AH665,29,FALSE)-AVERAGE('The List'!AD2:AD665))/STDEV('The List'!AD2:AD665)</f>
        <v>-1.01386598548274</v>
      </c>
      <c r="R426" s="77">
        <f>(VLOOKUP($A426,'The List'!$B1:$AH665,30,FALSE)-AVERAGE('The List'!AE2:AE665))/STDEV('The List'!AE2:AE665)</f>
        <v>-1.02336196222731</v>
      </c>
      <c r="S426" s="77">
        <f>(VLOOKUP($A426,'The List'!$B1:$AH665,31,FALSE)-AVERAGE('The List'!AF2:AF665))/STDEV('The List'!AF2:AF665)</f>
        <v>-0.573894410680004</v>
      </c>
      <c r="T426" s="77">
        <f>(VLOOKUP($A426,'The List'!$B1:$AH665,32,FALSE)-AVERAGE('The List'!AG2:AG665))/STDEV('The List'!AG2:AG665)</f>
        <v>-0.625770787132651</v>
      </c>
      <c r="U426" s="77">
        <f>(VLOOKUP($A426,'The List'!$B1:$AH665,33,FALSE)-AVERAGE('The List'!AH2:AH665))/STDEV('The List'!AH2:AH665)</f>
        <v>-1.23143509451486</v>
      </c>
      <c r="V426" s="77"/>
      <c r="W426" s="89"/>
      <c r="X426" s="79"/>
      <c r="Y426" s="79"/>
      <c r="Z426" s="79"/>
      <c r="AA426" s="79"/>
      <c r="AB426" s="79"/>
      <c r="AC426" s="82"/>
      <c r="AD426" s="83"/>
      <c r="AE426" s="84"/>
    </row>
    <row r="427" ht="21.25" customHeight="1">
      <c r="A427" t="s" s="10">
        <v>591</v>
      </c>
      <c r="B427" t="s" s="86">
        <f>VLOOKUP(A427,'Player Data'!A1:B667,2,FALSE)</f>
        <v>905</v>
      </c>
      <c r="C427" s="74">
        <f>((E427)*'Settings'!$C$12)+(F427*'Settings'!$C$2)+(G427*'Settings'!$C$3)+(H427*'Settings'!$C$4)+(I427*'Settings'!$C$5)+(K427*'Settings'!$C$9)+(N427*'Settings'!$C$6)+(J427*'Settings'!$C$8)+(O427*'Settings'!$C$7)+(P427*'Settings'!$C$14)+(Q427*'Settings'!$C$15)+(R427*'Settings'!$C$16)+(S427*'Settings'!$C$17)+(T427*'Settings'!$C$18)+(U427*'Settings'!$C$19)+(L427*'Settings'!$C$10)+('Settings'!$C$11*M427)</f>
        <v>-2.21031653606861</v>
      </c>
      <c r="D427" s="79">
        <f>IF('Settings'!$E$12="YES",VLOOKUP(A427,'Player Data'!A1:E667,5,FALSE),82)</f>
        <v>74.47750000000001</v>
      </c>
      <c r="E427" s="77">
        <f>(VLOOKUP($A427,'The List'!$B1:$AH665,17,FALSE)-AVERAGE('The List'!R2:R665))/STDEV('The List'!R2:R665)</f>
        <v>1.32590853638851</v>
      </c>
      <c r="F427" s="77">
        <f>(VLOOKUP($A427,'The List'!$B1:$AH665,18,FALSE)-AVERAGE('The List'!S2:S665))/STDEV('The List'!S2:S665)</f>
        <v>-0.975594178716201</v>
      </c>
      <c r="G427" s="77">
        <f>(VLOOKUP($A427,'The List'!$B1:$AH665,19,FALSE)-AVERAGE('The List'!T2:T665))/STDEV('The List'!T2:T665)</f>
        <v>-0.422091950008781</v>
      </c>
      <c r="H427" s="77">
        <f>(VLOOKUP($A427,'The List'!$B1:$AH665,20,FALSE)-AVERAGE('The List'!U2:U665))/STDEV('The List'!U2:U665)</f>
        <v>-0.705596762330006</v>
      </c>
      <c r="I427" s="77">
        <f>(VLOOKUP($A427,'The List'!$B1:$AH665,21,FALSE)-AVERAGE('The List'!V2:V665))/STDEV('The List'!V2:V665)</f>
        <v>-0.890681904079105</v>
      </c>
      <c r="J427" s="77">
        <f>(VLOOKUP($A427,'The List'!$B1:$AH665,22,FALSE)-AVERAGE('The List'!W2:W665))/STDEV('The List'!W2:W665)</f>
        <v>-0.686623175975379</v>
      </c>
      <c r="K427" s="77">
        <f>(VLOOKUP($A427,'The List'!$B1:$AH665,23,FALSE)-AVERAGE('The List'!X2:X665))/STDEV('The List'!X2:X665)</f>
        <v>-0.556768802263787</v>
      </c>
      <c r="L427" s="77">
        <f>(VLOOKUP($A427,'The List'!$B1:$AH665,24,FALSE)-AVERAGE('The List'!Y2:Y665))/STDEV('The List'!Y2:Y665)</f>
        <v>-0.484095193485214</v>
      </c>
      <c r="M427" s="77">
        <f>(VLOOKUP($A427,'The List'!$B1:$AH665,25,FALSE)-AVERAGE('The List'!Z2:Z665))/STDEV('The List'!Z2:Z665)</f>
        <v>-0.510509225102811</v>
      </c>
      <c r="N427" s="77">
        <f>(VLOOKUP($A427,'The List'!$B1:$AH665,26,FALSE)-AVERAGE('The List'!AA2:AA665))/STDEV('The List'!AA2:AA665)</f>
        <v>1.80799666210716</v>
      </c>
      <c r="O427" s="77">
        <f>(VLOOKUP($A427,'The List'!$B1:$AH665,27,FALSE)-AVERAGE('The List'!AB2:AB665))/STDEV('The List'!AB2:AB665)</f>
        <v>-0.489846130110561</v>
      </c>
      <c r="P427" s="77">
        <f>(VLOOKUP($A427,'The List'!$B1:$AH665,28,FALSE)-AVERAGE('The List'!AC2:AC665))/STDEV('The List'!AC2:AC665)</f>
        <v>-1.1731763631079</v>
      </c>
      <c r="Q427" s="77">
        <f>(VLOOKUP($A427,'The List'!$B1:$AH665,29,FALSE)-AVERAGE('The List'!AD2:AD665))/STDEV('The List'!AD2:AD665)</f>
        <v>0.09895243815766359</v>
      </c>
      <c r="R427" s="77">
        <f>(VLOOKUP($A427,'The List'!$B1:$AH665,30,FALSE)-AVERAGE('The List'!AE2:AE665))/STDEV('The List'!AE2:AE665)</f>
        <v>-0.9781380904464519</v>
      </c>
      <c r="S427" s="77">
        <f>(VLOOKUP($A427,'The List'!$B1:$AH665,31,FALSE)-AVERAGE('The List'!AF2:AF665))/STDEV('The List'!AF2:AF665)</f>
        <v>-0.573894410680004</v>
      </c>
      <c r="T427" s="77">
        <f>(VLOOKUP($A427,'The List'!$B1:$AH665,32,FALSE)-AVERAGE('The List'!AG2:AG665))/STDEV('The List'!AG2:AG665)</f>
        <v>-0.625770787132651</v>
      </c>
      <c r="U427" s="77">
        <f>(VLOOKUP($A427,'The List'!$B1:$AH665,33,FALSE)-AVERAGE('The List'!AH2:AH665))/STDEV('The List'!AH2:AH665)</f>
        <v>-1.23143509451486</v>
      </c>
      <c r="V427" s="77"/>
      <c r="W427" s="89"/>
      <c r="X427" s="79"/>
      <c r="Y427" s="79"/>
      <c r="Z427" s="79"/>
      <c r="AA427" s="79"/>
      <c r="AB427" s="79"/>
      <c r="AC427" s="82"/>
      <c r="AD427" s="83"/>
      <c r="AE427" s="84"/>
    </row>
    <row r="428" ht="21.25" customHeight="1">
      <c r="A428" t="s" s="10">
        <v>373</v>
      </c>
      <c r="B428" t="s" s="86">
        <f>VLOOKUP(A428,'Player Data'!A1:B667,2,FALSE)</f>
        <v>911</v>
      </c>
      <c r="C428" s="74">
        <f>((E428)*'Settings'!$C$12)+(F428*'Settings'!$C$2)+(G428*'Settings'!$C$3)+(H428*'Settings'!$C$4)+(I428*'Settings'!$C$5)+(K428*'Settings'!$C$9)+(N428*'Settings'!$C$6)+(J428*'Settings'!$C$8)+(O428*'Settings'!$C$7)+(P428*'Settings'!$C$14)+(Q428*'Settings'!$C$15)+(R428*'Settings'!$C$16)+(S428*'Settings'!$C$17)+(T428*'Settings'!$C$18)+(U428*'Settings'!$C$19)+(L428*'Settings'!$C$10)+('Settings'!$C$11*M428)</f>
        <v>-0.531419776688537</v>
      </c>
      <c r="D428" s="79">
        <f>IF('Settings'!$E$12="YES",VLOOKUP(A428,'Player Data'!A1:E667,5,FALSE),82)</f>
        <v>81.85250000000001</v>
      </c>
      <c r="E428" s="77">
        <f>(VLOOKUP($A428,'The List'!$B1:$AH665,17,FALSE)-AVERAGE('The List'!R2:R665))/STDEV('The List'!R2:R665)</f>
        <v>1.29962485824204</v>
      </c>
      <c r="F428" s="77">
        <f>(VLOOKUP($A428,'The List'!$B1:$AH665,18,FALSE)-AVERAGE('The List'!S2:S665))/STDEV('The List'!S2:S665)</f>
        <v>-0.780659643564261</v>
      </c>
      <c r="G428" s="77">
        <f>(VLOOKUP($A428,'The List'!$B1:$AH665,19,FALSE)-AVERAGE('The List'!T2:T665))/STDEV('The List'!T2:T665)</f>
        <v>-0.418603182344932</v>
      </c>
      <c r="H428" s="77">
        <f>(VLOOKUP($A428,'The List'!$B1:$AH665,20,FALSE)-AVERAGE('The List'!U2:U665))/STDEV('The List'!U2:U665)</f>
        <v>-0.614823029235134</v>
      </c>
      <c r="I428" s="77">
        <f>(VLOOKUP($A428,'The List'!$B1:$AH665,21,FALSE)-AVERAGE('The List'!V2:V665))/STDEV('The List'!V2:V665)</f>
        <v>-0.210469417056396</v>
      </c>
      <c r="J428" s="77">
        <f>(VLOOKUP($A428,'The List'!$B1:$AH665,22,FALSE)-AVERAGE('The List'!W2:W665))/STDEV('The List'!W2:W665)</f>
        <v>-0.741721698240258</v>
      </c>
      <c r="K428" s="77">
        <f>(VLOOKUP($A428,'The List'!$B1:$AH665,23,FALSE)-AVERAGE('The List'!X2:X665))/STDEV('The List'!X2:X665)</f>
        <v>-0.816078653791918</v>
      </c>
      <c r="L428" s="77">
        <f>(VLOOKUP($A428,'The List'!$B1:$AH665,24,FALSE)-AVERAGE('The List'!Y2:Y665))/STDEV('The List'!Y2:Y665)</f>
        <v>-0.529374016959542</v>
      </c>
      <c r="M428" s="77">
        <f>(VLOOKUP($A428,'The List'!$B1:$AH665,25,FALSE)-AVERAGE('The List'!Z2:Z665))/STDEV('The List'!Z2:Z665)</f>
        <v>-0.110310213594377</v>
      </c>
      <c r="N428" s="77">
        <f>(VLOOKUP($A428,'The List'!$B1:$AH665,26,FALSE)-AVERAGE('The List'!AA2:AA665))/STDEV('The List'!AA2:AA665)</f>
        <v>1.94670761768482</v>
      </c>
      <c r="O428" s="77">
        <f>(VLOOKUP($A428,'The List'!$B1:$AH665,27,FALSE)-AVERAGE('The List'!AB2:AB665))/STDEV('The List'!AB2:AB665)</f>
        <v>1.32380975905187</v>
      </c>
      <c r="P428" s="77">
        <f>(VLOOKUP($A428,'The List'!$B1:$AH665,28,FALSE)-AVERAGE('The List'!AC2:AC665))/STDEV('The List'!AC2:AC665)</f>
        <v>-0.25231649761585</v>
      </c>
      <c r="Q428" s="77">
        <f>(VLOOKUP($A428,'The List'!$B1:$AH665,29,FALSE)-AVERAGE('The List'!AD2:AD665))/STDEV('The List'!AD2:AD665)</f>
        <v>0.922384267482925</v>
      </c>
      <c r="R428" s="77">
        <f>(VLOOKUP($A428,'The List'!$B1:$AH665,30,FALSE)-AVERAGE('The List'!AE2:AE665))/STDEV('The List'!AE2:AE665)</f>
        <v>-0.736204892243375</v>
      </c>
      <c r="S428" s="77">
        <f>(VLOOKUP($A428,'The List'!$B1:$AH665,31,FALSE)-AVERAGE('The List'!AF2:AF665))/STDEV('The List'!AF2:AF665)</f>
        <v>-0.573894410680002</v>
      </c>
      <c r="T428" s="77">
        <f>(VLOOKUP($A428,'The List'!$B1:$AH665,32,FALSE)-AVERAGE('The List'!AG2:AG665))/STDEV('The List'!AG2:AG665)</f>
        <v>-0.625770655491268</v>
      </c>
      <c r="U428" s="77">
        <f>(VLOOKUP($A428,'The List'!$B1:$AH665,33,FALSE)-AVERAGE('The List'!AH2:AH665))/STDEV('The List'!AH2:AH665)</f>
        <v>-1.23143499114498</v>
      </c>
      <c r="V428" s="77"/>
      <c r="W428" s="79"/>
      <c r="X428" s="77"/>
      <c r="Y428" s="77"/>
      <c r="Z428" s="77"/>
      <c r="AA428" s="77"/>
      <c r="AB428" s="77"/>
      <c r="AC428" s="77"/>
      <c r="AD428" s="77"/>
      <c r="AE428" s="84"/>
    </row>
    <row r="429" ht="21.25" customHeight="1">
      <c r="A429" t="s" s="10">
        <v>467</v>
      </c>
      <c r="B429" t="s" s="86">
        <f>VLOOKUP(A429,'Player Data'!A1:B667,2,FALSE)</f>
        <v>904</v>
      </c>
      <c r="C429" s="74">
        <f>((E429)*'Settings'!$C$12)+(F429*'Settings'!$C$2)+(G429*'Settings'!$C$3)+(H429*'Settings'!$C$4)+(I429*'Settings'!$C$5)+(K429*'Settings'!$C$9)+(N429*'Settings'!$C$6)+(J429*'Settings'!$C$8)+(O429*'Settings'!$C$7)+(P429*'Settings'!$C$14)+(Q429*'Settings'!$C$15)+(R429*'Settings'!$C$16)+(S429*'Settings'!$C$17)+(T429*'Settings'!$C$18)+(U429*'Settings'!$C$19)+(L429*'Settings'!$C$10)+('Settings'!$C$11*M429)</f>
        <v>-1.66456267136238</v>
      </c>
      <c r="D429" s="79">
        <f>IF('Settings'!$E$12="YES",VLOOKUP(A429,'Player Data'!A1:E667,5,FALSE),82)</f>
        <v>75.63500000000001</v>
      </c>
      <c r="E429" s="77">
        <f>(VLOOKUP($A429,'The List'!$B1:$AH665,17,FALSE)-AVERAGE('The List'!R2:R665))/STDEV('The List'!R2:R665)</f>
        <v>1.06016309358255</v>
      </c>
      <c r="F429" s="77">
        <f>(VLOOKUP($A429,'The List'!$B1:$AH665,18,FALSE)-AVERAGE('The List'!S2:S665))/STDEV('The List'!S2:S665)</f>
        <v>-0.8482884271022409</v>
      </c>
      <c r="G429" s="77">
        <f>(VLOOKUP($A429,'The List'!$B1:$AH665,19,FALSE)-AVERAGE('The List'!T2:T665))/STDEV('The List'!T2:T665)</f>
        <v>-0.5027164218108</v>
      </c>
      <c r="H429" s="77">
        <f>(VLOOKUP($A429,'The List'!$B1:$AH665,20,FALSE)-AVERAGE('The List'!U2:U665))/STDEV('The List'!U2:U665)</f>
        <v>-0.697802577244391</v>
      </c>
      <c r="I429" s="77">
        <f>(VLOOKUP($A429,'The List'!$B1:$AH665,21,FALSE)-AVERAGE('The List'!V2:V665))/STDEV('The List'!V2:V665)</f>
        <v>-0.792644237681835</v>
      </c>
      <c r="J429" s="77">
        <f>(VLOOKUP($A429,'The List'!$B1:$AH665,22,FALSE)-AVERAGE('The List'!W2:W665))/STDEV('The List'!W2:W665)</f>
        <v>-0.736588984124436</v>
      </c>
      <c r="K429" s="77">
        <f>(VLOOKUP($A429,'The List'!$B1:$AH665,23,FALSE)-AVERAGE('The List'!X2:X665))/STDEV('The List'!X2:X665)</f>
        <v>-0.806276609194099</v>
      </c>
      <c r="L429" s="77">
        <f>(VLOOKUP($A429,'The List'!$B1:$AH665,24,FALSE)-AVERAGE('The List'!Y2:Y665))/STDEV('The List'!Y2:Y665)</f>
        <v>-0.521628001078265</v>
      </c>
      <c r="M429" s="77">
        <f>(VLOOKUP($A429,'The List'!$B1:$AH665,25,FALSE)-AVERAGE('The List'!Z2:Z665))/STDEV('The List'!Z2:Z665)</f>
        <v>-0.601063775650161</v>
      </c>
      <c r="N429" s="77">
        <f>(VLOOKUP($A429,'The List'!$B1:$AH665,26,FALSE)-AVERAGE('The List'!AA2:AA665))/STDEV('The List'!AA2:AA665)</f>
        <v>1.43251405087524</v>
      </c>
      <c r="O429" s="77">
        <f>(VLOOKUP($A429,'The List'!$B1:$AH665,27,FALSE)-AVERAGE('The List'!AB2:AB665))/STDEV('The List'!AB2:AB665)</f>
        <v>1.1025819883019</v>
      </c>
      <c r="P429" s="77">
        <f>(VLOOKUP($A429,'The List'!$B1:$AH665,28,FALSE)-AVERAGE('The List'!AC2:AC665))/STDEV('The List'!AC2:AC665)</f>
        <v>-0.147151026448648</v>
      </c>
      <c r="Q429" s="77">
        <f>(VLOOKUP($A429,'The List'!$B1:$AH665,29,FALSE)-AVERAGE('The List'!AD2:AD665))/STDEV('The List'!AD2:AD665)</f>
        <v>0.862413537823115</v>
      </c>
      <c r="R429" s="77">
        <f>(VLOOKUP($A429,'The List'!$B1:$AH665,30,FALSE)-AVERAGE('The List'!AE2:AE665))/STDEV('The List'!AE2:AE665)</f>
        <v>-0.791480852044131</v>
      </c>
      <c r="S429" s="77">
        <f>(VLOOKUP($A429,'The List'!$B1:$AH665,31,FALSE)-AVERAGE('The List'!AF2:AF665))/STDEV('The List'!AF2:AF665)</f>
        <v>-0.573894410680004</v>
      </c>
      <c r="T429" s="77">
        <f>(VLOOKUP($A429,'The List'!$B1:$AH665,32,FALSE)-AVERAGE('The List'!AG2:AG665))/STDEV('The List'!AG2:AG665)</f>
        <v>-0.625770787132651</v>
      </c>
      <c r="U429" s="77">
        <f>(VLOOKUP($A429,'The List'!$B1:$AH665,33,FALSE)-AVERAGE('The List'!AH2:AH665))/STDEV('The List'!AH2:AH665)</f>
        <v>-1.23143509451486</v>
      </c>
      <c r="V429" s="77"/>
      <c r="W429" s="89"/>
      <c r="X429" s="79"/>
      <c r="Y429" s="79"/>
      <c r="Z429" s="79"/>
      <c r="AA429" s="79"/>
      <c r="AB429" s="79"/>
      <c r="AC429" s="82"/>
      <c r="AD429" s="83"/>
      <c r="AE429" s="84"/>
    </row>
    <row r="430" ht="21.25" customHeight="1">
      <c r="A430" t="s" s="10">
        <v>734</v>
      </c>
      <c r="B430" t="s" s="86">
        <f>VLOOKUP(A430,'Player Data'!A1:B667,2,FALSE)</f>
        <v>899</v>
      </c>
      <c r="C430" s="74">
        <f>((E430)*'Settings'!$C$12)+(F430*'Settings'!$C$2)+(G430*'Settings'!$C$3)+(H430*'Settings'!$C$4)+(I430*'Settings'!$C$5)+(K430*'Settings'!$C$9)+(N430*'Settings'!$C$6)+(J430*'Settings'!$C$8)+(O430*'Settings'!$C$7)+(P430*'Settings'!$C$14)+(Q430*'Settings'!$C$15)+(R430*'Settings'!$C$16)+(S430*'Settings'!$C$17)+(T430*'Settings'!$C$18)+(U430*'Settings'!$C$19)+(L430*'Settings'!$C$10)+('Settings'!$C$11*M430)</f>
        <v>-2.52670306830592</v>
      </c>
      <c r="D430" s="79">
        <f>IF('Settings'!$E$12="YES",VLOOKUP(A430,'Player Data'!A1:E667,5,FALSE),82)</f>
        <v>65.015</v>
      </c>
      <c r="E430" s="77">
        <f>(VLOOKUP($A430,'The List'!$B1:$AH665,17,FALSE)-AVERAGE('The List'!R2:R665))/STDEV('The List'!R2:R665)</f>
        <v>-0.0590066437900951</v>
      </c>
      <c r="F430" s="77">
        <f>(VLOOKUP($A430,'The List'!$B1:$AH665,18,FALSE)-AVERAGE('The List'!S2:S665))/STDEV('The List'!S2:S665)</f>
        <v>-0.867395929676221</v>
      </c>
      <c r="G430" s="77">
        <f>(VLOOKUP($A430,'The List'!$B1:$AH665,19,FALSE)-AVERAGE('The List'!T2:T665))/STDEV('The List'!T2:T665)</f>
        <v>-0.704020643411698</v>
      </c>
      <c r="H430" s="77">
        <f>(VLOOKUP($A430,'The List'!$B1:$AH665,20,FALSE)-AVERAGE('The List'!U2:U665))/STDEV('The List'!U2:U665)</f>
        <v>-0.8315090859876541</v>
      </c>
      <c r="I430" s="77">
        <f>(VLOOKUP($A430,'The List'!$B1:$AH665,21,FALSE)-AVERAGE('The List'!V2:V665))/STDEV('The List'!V2:V665)</f>
        <v>-1.05148328323155</v>
      </c>
      <c r="J430" s="77">
        <f>(VLOOKUP($A430,'The List'!$B1:$AH665,22,FALSE)-AVERAGE('The List'!W2:W665))/STDEV('The List'!W2:W665)</f>
        <v>-0.567279156057121</v>
      </c>
      <c r="K430" s="77">
        <f>(VLOOKUP($A430,'The List'!$B1:$AH665,23,FALSE)-AVERAGE('The List'!X2:X665))/STDEV('The List'!X2:X665)</f>
        <v>-0.568111825845636</v>
      </c>
      <c r="L430" s="77">
        <f>(VLOOKUP($A430,'The List'!$B1:$AH665,24,FALSE)-AVERAGE('The List'!Y2:Y665))/STDEV('The List'!Y2:Y665)</f>
        <v>-0.561327944335383</v>
      </c>
      <c r="M430" s="77">
        <f>(VLOOKUP($A430,'The List'!$B1:$AH665,25,FALSE)-AVERAGE('The List'!Z2:Z665))/STDEV('The List'!Z2:Z665)</f>
        <v>-0.697805713171063</v>
      </c>
      <c r="N430" s="77">
        <f>(VLOOKUP($A430,'The List'!$B1:$AH665,26,FALSE)-AVERAGE('The List'!AA2:AA665))/STDEV('The List'!AA2:AA665)</f>
        <v>0.607368775201983</v>
      </c>
      <c r="O430" s="77">
        <f>(VLOOKUP($A430,'The List'!$B1:$AH665,27,FALSE)-AVERAGE('The List'!AB2:AB665))/STDEV('The List'!AB2:AB665)</f>
        <v>-0.415156811134822</v>
      </c>
      <c r="P430" s="77">
        <f>(VLOOKUP($A430,'The List'!$B1:$AH665,28,FALSE)-AVERAGE('The List'!AC2:AC665))/STDEV('The List'!AC2:AC665)</f>
        <v>0.0569398386572063</v>
      </c>
      <c r="Q430" s="77">
        <f>(VLOOKUP($A430,'The List'!$B1:$AH665,29,FALSE)-AVERAGE('The List'!AD2:AD665))/STDEV('The List'!AD2:AD665)</f>
        <v>-0.402332497515538</v>
      </c>
      <c r="R430" s="77">
        <f>(VLOOKUP($A430,'The List'!$B1:$AH665,30,FALSE)-AVERAGE('The List'!AE2:AE665))/STDEV('The List'!AE2:AE665)</f>
        <v>-0.809059019969218</v>
      </c>
      <c r="S430" s="77">
        <f>(VLOOKUP($A430,'The List'!$B1:$AH665,31,FALSE)-AVERAGE('The List'!AF2:AF665))/STDEV('The List'!AF2:AF665)</f>
        <v>-0.573894410680004</v>
      </c>
      <c r="T430" s="77">
        <f>(VLOOKUP($A430,'The List'!$B1:$AH665,32,FALSE)-AVERAGE('The List'!AG2:AG665))/STDEV('The List'!AG2:AG665)</f>
        <v>-0.625770787132651</v>
      </c>
      <c r="U430" s="77">
        <f>(VLOOKUP($A430,'The List'!$B1:$AH665,33,FALSE)-AVERAGE('The List'!AH2:AH665))/STDEV('The List'!AH2:AH665)</f>
        <v>-1.23143509451486</v>
      </c>
      <c r="V430" s="77"/>
      <c r="W430" s="79"/>
      <c r="X430" s="77"/>
      <c r="Y430" s="77"/>
      <c r="Z430" s="77"/>
      <c r="AA430" s="77"/>
      <c r="AB430" s="77"/>
      <c r="AC430" s="77"/>
      <c r="AD430" s="77"/>
      <c r="AE430" s="84"/>
    </row>
    <row r="431" ht="21.25" customHeight="1">
      <c r="A431" t="s" s="10">
        <v>635</v>
      </c>
      <c r="B431" t="s" s="86">
        <f>VLOOKUP(A431,'Player Data'!A1:B667,2,FALSE)</f>
        <v>901</v>
      </c>
      <c r="C431" s="74">
        <f>((E431)*'Settings'!$C$12)+(F431*'Settings'!$C$2)+(G431*'Settings'!$C$3)+(H431*'Settings'!$C$4)+(I431*'Settings'!$C$5)+(K431*'Settings'!$C$9)+(N431*'Settings'!$C$6)+(J431*'Settings'!$C$8)+(O431*'Settings'!$C$7)+(P431*'Settings'!$C$14)+(Q431*'Settings'!$C$15)+(R431*'Settings'!$C$16)+(S431*'Settings'!$C$17)+(T431*'Settings'!$C$18)+(U431*'Settings'!$C$19)+(L431*'Settings'!$C$10)+('Settings'!$C$11*M431)</f>
        <v>-3.46716720636106</v>
      </c>
      <c r="D431" s="79">
        <f>IF('Settings'!$E$12="YES",VLOOKUP(A431,'Player Data'!A1:E667,5,FALSE),82)</f>
        <v>65.56999999999999</v>
      </c>
      <c r="E431" s="77">
        <f>(VLOOKUP($A431,'The List'!$B1:$AH665,17,FALSE)-AVERAGE('The List'!R2:R665))/STDEV('The List'!R2:R665)</f>
        <v>-1.54363464263197</v>
      </c>
      <c r="F431" s="77">
        <f>(VLOOKUP($A431,'The List'!$B1:$AH665,18,FALSE)-AVERAGE('The List'!S2:S665))/STDEV('The List'!S2:S665)</f>
        <v>-0.601288147841606</v>
      </c>
      <c r="G431" s="77">
        <f>(VLOOKUP($A431,'The List'!$B1:$AH665,19,FALSE)-AVERAGE('The List'!T2:T665))/STDEV('The List'!T2:T665)</f>
        <v>-0.890698221004632</v>
      </c>
      <c r="H431" s="77">
        <f>(VLOOKUP($A431,'The List'!$B1:$AH665,20,FALSE)-AVERAGE('The List'!U2:U665))/STDEV('The List'!U2:U665)</f>
        <v>-0.826487722238941</v>
      </c>
      <c r="I431" s="77">
        <f>(VLOOKUP($A431,'The List'!$B1:$AH665,21,FALSE)-AVERAGE('The List'!V2:V665))/STDEV('The List'!V2:V665)</f>
        <v>-0.672390518238441</v>
      </c>
      <c r="J431" s="77">
        <f>(VLOOKUP($A431,'The List'!$B1:$AH665,22,FALSE)-AVERAGE('The List'!W2:W665))/STDEV('The List'!W2:W665)</f>
        <v>-0.721552617836244</v>
      </c>
      <c r="K431" s="77">
        <f>(VLOOKUP($A431,'The List'!$B1:$AH665,23,FALSE)-AVERAGE('The List'!X2:X665))/STDEV('The List'!X2:X665)</f>
        <v>-0.808578012676218</v>
      </c>
      <c r="L431" s="77">
        <f>(VLOOKUP($A431,'The List'!$B1:$AH665,24,FALSE)-AVERAGE('The List'!Y2:Y665))/STDEV('The List'!Y2:Y665)</f>
        <v>-0.444616143890831</v>
      </c>
      <c r="M431" s="77">
        <f>(VLOOKUP($A431,'The List'!$B1:$AH665,25,FALSE)-AVERAGE('The List'!Z2:Z665))/STDEV('The List'!Z2:Z665)</f>
        <v>-0.613302401166808</v>
      </c>
      <c r="N431" s="77">
        <f>(VLOOKUP($A431,'The List'!$B1:$AH665,26,FALSE)-AVERAGE('The List'!AA2:AA665))/STDEV('The List'!AA2:AA665)</f>
        <v>-0.996669200101456</v>
      </c>
      <c r="O431" s="77">
        <f>(VLOOKUP($A431,'The List'!$B1:$AH665,27,FALSE)-AVERAGE('The List'!AB2:AB665))/STDEV('The List'!AB2:AB665)</f>
        <v>2.01151348198456</v>
      </c>
      <c r="P431" s="77">
        <f>(VLOOKUP($A431,'The List'!$B1:$AH665,28,FALSE)-AVERAGE('The List'!AC2:AC665))/STDEV('The List'!AC2:AC665)</f>
        <v>0.502456893501295</v>
      </c>
      <c r="Q431" s="77">
        <f>(VLOOKUP($A431,'The List'!$B1:$AH665,29,FALSE)-AVERAGE('The List'!AD2:AD665))/STDEV('The List'!AD2:AD665)</f>
        <v>-0.0800569726574156</v>
      </c>
      <c r="R431" s="77">
        <f>(VLOOKUP($A431,'The List'!$B1:$AH665,30,FALSE)-AVERAGE('The List'!AE2:AE665))/STDEV('The List'!AE2:AE665)</f>
        <v>-0.472434472488354</v>
      </c>
      <c r="S431" s="77">
        <f>(VLOOKUP($A431,'The List'!$B1:$AH665,31,FALSE)-AVERAGE('The List'!AF2:AF665))/STDEV('The List'!AF2:AF665)</f>
        <v>-0.505623575004604</v>
      </c>
      <c r="T431" s="77">
        <f>(VLOOKUP($A431,'The List'!$B1:$AH665,32,FALSE)-AVERAGE('The List'!AG2:AG665))/STDEV('The List'!AG2:AG665)</f>
        <v>-0.564051030147379</v>
      </c>
      <c r="U431" s="77">
        <f>(VLOOKUP($A431,'The List'!$B1:$AH665,33,FALSE)-AVERAGE('The List'!AH2:AH665))/STDEV('The List'!AH2:AH665)</f>
        <v>1.21893557871809</v>
      </c>
      <c r="V431" s="77"/>
      <c r="W431" s="89"/>
      <c r="X431" s="79"/>
      <c r="Y431" s="79"/>
      <c r="Z431" s="79"/>
      <c r="AA431" s="79"/>
      <c r="AB431" s="79"/>
      <c r="AC431" s="82"/>
      <c r="AD431" s="83"/>
      <c r="AE431" s="84"/>
    </row>
    <row r="432" ht="21.25" customHeight="1">
      <c r="A432" t="s" s="10">
        <v>843</v>
      </c>
      <c r="B432" t="s" s="86">
        <f>VLOOKUP(A432,'Player Data'!A1:B667,2,FALSE)</f>
        <v>207</v>
      </c>
      <c r="C432" s="74">
        <f>((E432)*'Settings'!$C$12)+(F432*'Settings'!$C$2)+(G432*'Settings'!$C$3)+(H432*'Settings'!$C$4)+(I432*'Settings'!$C$5)+(K432*'Settings'!$C$9)+(N432*'Settings'!$C$6)+(J432*'Settings'!$C$8)+(O432*'Settings'!$C$7)+(P432*'Settings'!$C$14)+(Q432*'Settings'!$C$15)+(R432*'Settings'!$C$16)+(S432*'Settings'!$C$17)+(T432*'Settings'!$C$18)+(U432*'Settings'!$C$19)+(L432*'Settings'!$C$10)+('Settings'!$C$11*M432)</f>
        <v>-4.00872852055571</v>
      </c>
      <c r="D432" s="79">
        <f>IF('Settings'!$E$12="YES",VLOOKUP(A432,'Player Data'!A1:E667,5,FALSE),82)</f>
        <v>63.825</v>
      </c>
      <c r="E432" s="77">
        <f>(VLOOKUP($A432,'The List'!$B1:$AH665,17,FALSE)-AVERAGE('The List'!R2:R665))/STDEV('The List'!R2:R665)</f>
        <v>-1.52671581558192</v>
      </c>
      <c r="F432" s="77">
        <f>(VLOOKUP($A432,'The List'!$B1:$AH665,18,FALSE)-AVERAGE('The List'!S2:S665))/STDEV('The List'!S2:S665)</f>
        <v>-0.627525353959569</v>
      </c>
      <c r="G432" s="77">
        <f>(VLOOKUP($A432,'The List'!$B1:$AH665,19,FALSE)-AVERAGE('The List'!T2:T665))/STDEV('The List'!T2:T665)</f>
        <v>-0.907770776760216</v>
      </c>
      <c r="H432" s="77">
        <f>(VLOOKUP($A432,'The List'!$B1:$AH665,20,FALSE)-AVERAGE('The List'!U2:U665))/STDEV('The List'!U2:U665)</f>
        <v>-0.8490167966559</v>
      </c>
      <c r="I432" s="77">
        <f>(VLOOKUP($A432,'The List'!$B1:$AH665,21,FALSE)-AVERAGE('The List'!V2:V665))/STDEV('The List'!V2:V665)</f>
        <v>-1.18653194745844</v>
      </c>
      <c r="J432" s="77">
        <f>(VLOOKUP($A432,'The List'!$B1:$AH665,22,FALSE)-AVERAGE('The List'!W2:W665))/STDEV('The List'!W2:W665)</f>
        <v>-0.719898762522417</v>
      </c>
      <c r="K432" s="77">
        <f>(VLOOKUP($A432,'The List'!$B1:$AH665,23,FALSE)-AVERAGE('The List'!X2:X665))/STDEV('The List'!X2:X665)</f>
        <v>-0.8016336467419179</v>
      </c>
      <c r="L432" s="77">
        <f>(VLOOKUP($A432,'The List'!$B1:$AH665,24,FALSE)-AVERAGE('The List'!Y2:Y665))/STDEV('The List'!Y2:Y665)</f>
        <v>-0.5330970721751001</v>
      </c>
      <c r="M432" s="77">
        <f>(VLOOKUP($A432,'The List'!$B1:$AH665,25,FALSE)-AVERAGE('The List'!Z2:Z665))/STDEV('The List'!Z2:Z665)</f>
        <v>-0.705157661956209</v>
      </c>
      <c r="N432" s="77">
        <f>(VLOOKUP($A432,'The List'!$B1:$AH665,26,FALSE)-AVERAGE('The List'!AA2:AA665))/STDEV('The List'!AA2:AA665)</f>
        <v>-0.724174259558389</v>
      </c>
      <c r="O432" s="77">
        <f>(VLOOKUP($A432,'The List'!$B1:$AH665,27,FALSE)-AVERAGE('The List'!AB2:AB665))/STDEV('The List'!AB2:AB665)</f>
        <v>-0.6939821075371519</v>
      </c>
      <c r="P432" s="77">
        <f>(VLOOKUP($A432,'The List'!$B1:$AH665,28,FALSE)-AVERAGE('The List'!AC2:AC665))/STDEV('The List'!AC2:AC665)</f>
        <v>0.238907463922821</v>
      </c>
      <c r="Q432" s="77">
        <f>(VLOOKUP($A432,'The List'!$B1:$AH665,29,FALSE)-AVERAGE('The List'!AD2:AD665))/STDEV('The List'!AD2:AD665)</f>
        <v>-1.37218193946835</v>
      </c>
      <c r="R432" s="77">
        <f>(VLOOKUP($A432,'The List'!$B1:$AH665,30,FALSE)-AVERAGE('The List'!AE2:AE665))/STDEV('The List'!AE2:AE665)</f>
        <v>-0.562885290919932</v>
      </c>
      <c r="S432" s="77">
        <f>(VLOOKUP($A432,'The List'!$B1:$AH665,31,FALSE)-AVERAGE('The List'!AF2:AF665))/STDEV('The List'!AF2:AF665)</f>
        <v>-0.565464407395816</v>
      </c>
      <c r="T432" s="77">
        <f>(VLOOKUP($A432,'The List'!$B1:$AH665,32,FALSE)-AVERAGE('The List'!AG2:AG665))/STDEV('The List'!AG2:AG665)</f>
        <v>-0.61186439445422</v>
      </c>
      <c r="U432" s="77">
        <f>(VLOOKUP($A432,'The List'!$B1:$AH665,33,FALSE)-AVERAGE('The List'!AH2:AH665))/STDEV('The List'!AH2:AH665)</f>
        <v>0.545591903977334</v>
      </c>
      <c r="V432" s="77"/>
      <c r="W432" s="79"/>
      <c r="X432" s="77"/>
      <c r="Y432" s="77"/>
      <c r="Z432" s="77"/>
      <c r="AA432" s="77"/>
      <c r="AB432" s="77"/>
      <c r="AC432" s="77"/>
      <c r="AD432" s="77"/>
      <c r="AE432" s="84"/>
    </row>
    <row r="433" ht="21.25" customHeight="1">
      <c r="A433" t="s" s="10">
        <v>475</v>
      </c>
      <c r="B433" t="s" s="86">
        <f>VLOOKUP(A433,'Player Data'!A1:B667,2,FALSE)</f>
        <v>909</v>
      </c>
      <c r="C433" s="74">
        <f>((E433)*'Settings'!$C$12)+(F433*'Settings'!$C$2)+(G433*'Settings'!$C$3)+(H433*'Settings'!$C$4)+(I433*'Settings'!$C$5)+(K433*'Settings'!$C$9)+(N433*'Settings'!$C$6)+(J433*'Settings'!$C$8)+(O433*'Settings'!$C$7)+(P433*'Settings'!$C$14)+(Q433*'Settings'!$C$15)+(R433*'Settings'!$C$16)+(S433*'Settings'!$C$17)+(T433*'Settings'!$C$18)+(U433*'Settings'!$C$19)+(L433*'Settings'!$C$10)+('Settings'!$C$11*M433)</f>
        <v>-2.15711604005963</v>
      </c>
      <c r="D433" s="79">
        <f>IF('Settings'!$E$12="YES",VLOOKUP(A433,'Player Data'!A1:E667,5,FALSE),82)</f>
        <v>73.375</v>
      </c>
      <c r="E433" s="77">
        <f>(VLOOKUP($A433,'The List'!$B1:$AH665,17,FALSE)-AVERAGE('The List'!R2:R665))/STDEV('The List'!R2:R665)</f>
        <v>0.861178407100039</v>
      </c>
      <c r="F433" s="77">
        <f>(VLOOKUP($A433,'The List'!$B1:$AH665,18,FALSE)-AVERAGE('The List'!S2:S665))/STDEV('The List'!S2:S665)</f>
        <v>-0.9547727372317329</v>
      </c>
      <c r="G433" s="77">
        <f>(VLOOKUP($A433,'The List'!$B1:$AH665,19,FALSE)-AVERAGE('The List'!T2:T665))/STDEV('The List'!T2:T665)</f>
        <v>-0.481052681762507</v>
      </c>
      <c r="H433" s="77">
        <f>(VLOOKUP($A433,'The List'!$B1:$AH665,20,FALSE)-AVERAGE('The List'!U2:U665))/STDEV('The List'!U2:U665)</f>
        <v>-0.73275035712257</v>
      </c>
      <c r="I433" s="77">
        <f>(VLOOKUP($A433,'The List'!$B1:$AH665,21,FALSE)-AVERAGE('The List'!V2:V665))/STDEV('The List'!V2:V665)</f>
        <v>-1.10835272182416</v>
      </c>
      <c r="J433" s="77">
        <f>(VLOOKUP($A433,'The List'!$B1:$AH665,22,FALSE)-AVERAGE('The List'!W2:W665))/STDEV('The List'!W2:W665)</f>
        <v>-0.7410049460442309</v>
      </c>
      <c r="K433" s="77">
        <f>(VLOOKUP($A433,'The List'!$B1:$AH665,23,FALSE)-AVERAGE('The List'!X2:X665))/STDEV('The List'!X2:X665)</f>
        <v>-0.816403985162004</v>
      </c>
      <c r="L433" s="77">
        <f>(VLOOKUP($A433,'The List'!$B1:$AH665,24,FALSE)-AVERAGE('The List'!Y2:Y665))/STDEV('The List'!Y2:Y665)</f>
        <v>-0.530332962083751</v>
      </c>
      <c r="M433" s="77">
        <f>(VLOOKUP($A433,'The List'!$B1:$AH665,25,FALSE)-AVERAGE('The List'!Z2:Z665))/STDEV('The List'!Z2:Z665)</f>
        <v>-0.139665087330867</v>
      </c>
      <c r="N433" s="77">
        <f>(VLOOKUP($A433,'The List'!$B1:$AH665,26,FALSE)-AVERAGE('The List'!AA2:AA665))/STDEV('The List'!AA2:AA665)</f>
        <v>2.58049692334054</v>
      </c>
      <c r="O433" s="77">
        <f>(VLOOKUP($A433,'The List'!$B1:$AH665,27,FALSE)-AVERAGE('The List'!AB2:AB665))/STDEV('The List'!AB2:AB665)</f>
        <v>-0.0345395468808578</v>
      </c>
      <c r="P433" s="77">
        <f>(VLOOKUP($A433,'The List'!$B1:$AH665,28,FALSE)-AVERAGE('The List'!AC2:AC665))/STDEV('The List'!AC2:AC665)</f>
        <v>-1.37703083741977</v>
      </c>
      <c r="Q433" s="77">
        <f>(VLOOKUP($A433,'The List'!$B1:$AH665,29,FALSE)-AVERAGE('The List'!AD2:AD665))/STDEV('The List'!AD2:AD665)</f>
        <v>-0.244143364407819</v>
      </c>
      <c r="R433" s="77">
        <f>(VLOOKUP($A433,'The List'!$B1:$AH665,30,FALSE)-AVERAGE('The List'!AE2:AE665))/STDEV('The List'!AE2:AE665)</f>
        <v>-0.99327481448446</v>
      </c>
      <c r="S433" s="77">
        <f>(VLOOKUP($A433,'The List'!$B1:$AH665,31,FALSE)-AVERAGE('The List'!AF2:AF665))/STDEV('The List'!AF2:AF665)</f>
        <v>-0.573894410680004</v>
      </c>
      <c r="T433" s="77">
        <f>(VLOOKUP($A433,'The List'!$B1:$AH665,32,FALSE)-AVERAGE('The List'!AG2:AG665))/STDEV('The List'!AG2:AG665)</f>
        <v>-0.625770787132651</v>
      </c>
      <c r="U433" s="77">
        <f>(VLOOKUP($A433,'The List'!$B1:$AH665,33,FALSE)-AVERAGE('The List'!AH2:AH665))/STDEV('The List'!AH2:AH665)</f>
        <v>-1.23143509451486</v>
      </c>
      <c r="V433" s="77"/>
      <c r="W433" s="79"/>
      <c r="X433" s="77"/>
      <c r="Y433" s="77"/>
      <c r="Z433" s="77"/>
      <c r="AA433" s="77"/>
      <c r="AB433" s="77"/>
      <c r="AC433" s="77"/>
      <c r="AD433" s="77"/>
      <c r="AE433" s="84"/>
    </row>
    <row r="434" ht="21.25" customHeight="1">
      <c r="A434" t="s" s="10">
        <v>822</v>
      </c>
      <c r="B434" t="s" s="86">
        <f>VLOOKUP(A434,'Player Data'!A1:B667,2,FALSE)</f>
        <v>866</v>
      </c>
      <c r="C434" s="74">
        <f>((E434)*'Settings'!$C$12)+(F434*'Settings'!$C$2)+(G434*'Settings'!$C$3)+(H434*'Settings'!$C$4)+(I434*'Settings'!$C$5)+(K434*'Settings'!$C$9)+(N434*'Settings'!$C$6)+(J434*'Settings'!$C$8)+(O434*'Settings'!$C$7)+(P434*'Settings'!$C$14)+(Q434*'Settings'!$C$15)+(R434*'Settings'!$C$16)+(S434*'Settings'!$C$17)+(T434*'Settings'!$C$18)+(U434*'Settings'!$C$19)+(L434*'Settings'!$C$10)+('Settings'!$C$11*M434)</f>
        <v>-3.14538416954506</v>
      </c>
      <c r="D434" s="79">
        <f>IF('Settings'!$E$12="YES",VLOOKUP(A434,'Player Data'!A1:E667,5,FALSE),82)</f>
        <v>76.49250000000001</v>
      </c>
      <c r="E434" s="77">
        <f>(VLOOKUP($A434,'The List'!$B1:$AH665,17,FALSE)-AVERAGE('The List'!R2:R665))/STDEV('The List'!R2:R665)</f>
        <v>-1.25767741611384</v>
      </c>
      <c r="F434" s="77">
        <f>(VLOOKUP($A434,'The List'!$B1:$AH665,18,FALSE)-AVERAGE('The List'!S2:S665))/STDEV('The List'!S2:S665)</f>
        <v>-0.5699959868210021</v>
      </c>
      <c r="G434" s="77">
        <f>(VLOOKUP($A434,'The List'!$B1:$AH665,19,FALSE)-AVERAGE('The List'!T2:T665))/STDEV('The List'!T2:T665)</f>
        <v>-0.707795686993038</v>
      </c>
      <c r="H434" s="77">
        <f>(VLOOKUP($A434,'The List'!$B1:$AH665,20,FALSE)-AVERAGE('The List'!U2:U665))/STDEV('The List'!U2:U665)</f>
        <v>-0.698671189733527</v>
      </c>
      <c r="I434" s="77">
        <f>(VLOOKUP($A434,'The List'!$B1:$AH665,21,FALSE)-AVERAGE('The List'!V2:V665))/STDEV('The List'!V2:V665)</f>
        <v>-0.670623484218143</v>
      </c>
      <c r="J434" s="77">
        <f>(VLOOKUP($A434,'The List'!$B1:$AH665,22,FALSE)-AVERAGE('The List'!W2:W665))/STDEV('The List'!W2:W665)</f>
        <v>-0.717345538833944</v>
      </c>
      <c r="K434" s="77">
        <f>(VLOOKUP($A434,'The List'!$B1:$AH665,23,FALSE)-AVERAGE('The List'!X2:X665))/STDEV('The List'!X2:X665)</f>
        <v>-0.79650251158691</v>
      </c>
      <c r="L434" s="77">
        <f>(VLOOKUP($A434,'The List'!$B1:$AH665,24,FALSE)-AVERAGE('The List'!Y2:Y665))/STDEV('The List'!Y2:Y665)</f>
        <v>-0.325742460734944</v>
      </c>
      <c r="M434" s="77">
        <f>(VLOOKUP($A434,'The List'!$B1:$AH665,25,FALSE)-AVERAGE('The List'!Z2:Z665))/STDEV('The List'!Z2:Z665)</f>
        <v>-0.561460936450393</v>
      </c>
      <c r="N434" s="77">
        <f>(VLOOKUP($A434,'The List'!$B1:$AH665,26,FALSE)-AVERAGE('The List'!AA2:AA665))/STDEV('The List'!AA2:AA665)</f>
        <v>-0.561820927868002</v>
      </c>
      <c r="O434" s="77">
        <f>(VLOOKUP($A434,'The List'!$B1:$AH665,27,FALSE)-AVERAGE('The List'!AB2:AB665))/STDEV('The List'!AB2:AB665)</f>
        <v>-1.01293136317249</v>
      </c>
      <c r="P434" s="77">
        <f>(VLOOKUP($A434,'The List'!$B1:$AH665,28,FALSE)-AVERAGE('The List'!AC2:AC665))/STDEV('The List'!AC2:AC665)</f>
        <v>0.161354427942032</v>
      </c>
      <c r="Q434" s="77">
        <f>(VLOOKUP($A434,'The List'!$B1:$AH665,29,FALSE)-AVERAGE('The List'!AD2:AD665))/STDEV('The List'!AD2:AD665)</f>
        <v>-1.23450633749345</v>
      </c>
      <c r="R434" s="77">
        <f>(VLOOKUP($A434,'The List'!$B1:$AH665,30,FALSE)-AVERAGE('The List'!AE2:AE665))/STDEV('The List'!AE2:AE665)</f>
        <v>-0.502879096475682</v>
      </c>
      <c r="S434" s="77">
        <f>(VLOOKUP($A434,'The List'!$B1:$AH665,31,FALSE)-AVERAGE('The List'!AF2:AF665))/STDEV('The List'!AF2:AF665)</f>
        <v>-0.529803220559301</v>
      </c>
      <c r="T434" s="77">
        <f>(VLOOKUP($A434,'The List'!$B1:$AH665,32,FALSE)-AVERAGE('The List'!AG2:AG665))/STDEV('The List'!AG2:AG665)</f>
        <v>-0.567005796697518</v>
      </c>
      <c r="U434" s="77">
        <f>(VLOOKUP($A434,'The List'!$B1:$AH665,33,FALSE)-AVERAGE('The List'!AH2:AH665))/STDEV('The List'!AH2:AH665)</f>
        <v>0.7805254666929961</v>
      </c>
      <c r="V434" s="77"/>
      <c r="W434" s="89"/>
      <c r="X434" s="79"/>
      <c r="Y434" s="79"/>
      <c r="Z434" s="79"/>
      <c r="AA434" s="79"/>
      <c r="AB434" s="79"/>
      <c r="AC434" s="82"/>
      <c r="AD434" s="83"/>
      <c r="AE434" s="84"/>
    </row>
    <row r="435" ht="21.25" customHeight="1">
      <c r="A435" t="s" s="10">
        <v>697</v>
      </c>
      <c r="B435" t="s" s="86">
        <f>VLOOKUP(A435,'Player Data'!A1:B667,2,FALSE)</f>
        <v>901</v>
      </c>
      <c r="C435" s="74">
        <f>((E435)*'Settings'!$C$12)+(F435*'Settings'!$C$2)+(G435*'Settings'!$C$3)+(H435*'Settings'!$C$4)+(I435*'Settings'!$C$5)+(K435*'Settings'!$C$9)+(N435*'Settings'!$C$6)+(J435*'Settings'!$C$8)+(O435*'Settings'!$C$7)+(P435*'Settings'!$C$14)+(Q435*'Settings'!$C$15)+(R435*'Settings'!$C$16)+(S435*'Settings'!$C$17)+(T435*'Settings'!$C$18)+(U435*'Settings'!$C$19)+(L435*'Settings'!$C$10)+('Settings'!$C$11*M435)</f>
        <v>-2.45434685361616</v>
      </c>
      <c r="D435" s="79">
        <f>IF('Settings'!$E$12="YES",VLOOKUP(A435,'Player Data'!A1:E667,5,FALSE),82)</f>
        <v>75.2325</v>
      </c>
      <c r="E435" s="77">
        <f>(VLOOKUP($A435,'The List'!$B1:$AH665,17,FALSE)-AVERAGE('The List'!R2:R665))/STDEV('The List'!R2:R665)</f>
        <v>-1.05738092441132</v>
      </c>
      <c r="F435" s="77">
        <f>(VLOOKUP($A435,'The List'!$B1:$AH665,18,FALSE)-AVERAGE('The List'!S2:S665))/STDEV('The List'!S2:S665)</f>
        <v>-0.809318727815431</v>
      </c>
      <c r="G435" s="77">
        <f>(VLOOKUP($A435,'The List'!$B1:$AH665,19,FALSE)-AVERAGE('The List'!T2:T665))/STDEV('The List'!T2:T665)</f>
        <v>-0.572998506851734</v>
      </c>
      <c r="H435" s="77">
        <f>(VLOOKUP($A435,'The List'!$B1:$AH665,20,FALSE)-AVERAGE('The List'!U2:U665))/STDEV('The List'!U2:U665)</f>
        <v>-0.723738123179552</v>
      </c>
      <c r="I435" s="77">
        <f>(VLOOKUP($A435,'The List'!$B1:$AH665,21,FALSE)-AVERAGE('The List'!V2:V665))/STDEV('The List'!V2:V665)</f>
        <v>-0.70174845996776</v>
      </c>
      <c r="J435" s="77">
        <f>(VLOOKUP($A435,'The List'!$B1:$AH665,22,FALSE)-AVERAGE('The List'!W2:W665))/STDEV('The List'!W2:W665)</f>
        <v>-0.722055030561178</v>
      </c>
      <c r="K435" s="77">
        <f>(VLOOKUP($A435,'The List'!$B1:$AH665,23,FALSE)-AVERAGE('The List'!X2:X665))/STDEV('The List'!X2:X665)</f>
        <v>-0.806965485458106</v>
      </c>
      <c r="L435" s="77">
        <f>(VLOOKUP($A435,'The List'!$B1:$AH665,24,FALSE)-AVERAGE('The List'!Y2:Y665))/STDEV('The List'!Y2:Y665)</f>
        <v>1.26877101644527</v>
      </c>
      <c r="M435" s="77">
        <f>(VLOOKUP($A435,'The List'!$B1:$AH665,25,FALSE)-AVERAGE('The List'!Z2:Z665))/STDEV('The List'!Z2:Z665)</f>
        <v>1.93554446615449</v>
      </c>
      <c r="N435" s="77">
        <f>(VLOOKUP($A435,'The List'!$B1:$AH665,26,FALSE)-AVERAGE('The List'!AA2:AA665))/STDEV('The List'!AA2:AA665)</f>
        <v>-0.490548391178048</v>
      </c>
      <c r="O435" s="77">
        <f>(VLOOKUP($A435,'The List'!$B1:$AH665,27,FALSE)-AVERAGE('The List'!AB2:AB665))/STDEV('The List'!AB2:AB665)</f>
        <v>0.0441440881763052</v>
      </c>
      <c r="P435" s="77">
        <f>(VLOOKUP($A435,'The List'!$B1:$AH665,28,FALSE)-AVERAGE('The List'!AC2:AC665))/STDEV('The List'!AC2:AC665)</f>
        <v>0.927232717654922</v>
      </c>
      <c r="Q435" s="77">
        <f>(VLOOKUP($A435,'The List'!$B1:$AH665,29,FALSE)-AVERAGE('The List'!AD2:AD665))/STDEV('The List'!AD2:AD665)</f>
        <v>-0.837501912937027</v>
      </c>
      <c r="R435" s="77">
        <f>(VLOOKUP($A435,'The List'!$B1:$AH665,30,FALSE)-AVERAGE('The List'!AE2:AE665))/STDEV('The List'!AE2:AE665)</f>
        <v>-0.7004661950831</v>
      </c>
      <c r="S435" s="77">
        <f>(VLOOKUP($A435,'The List'!$B1:$AH665,31,FALSE)-AVERAGE('The List'!AF2:AF665))/STDEV('The List'!AF2:AF665)</f>
        <v>1.29482463179996</v>
      </c>
      <c r="T435" s="77">
        <f>(VLOOKUP($A435,'The List'!$B1:$AH665,32,FALSE)-AVERAGE('The List'!AG2:AG665))/STDEV('The List'!AG2:AG665)</f>
        <v>1.15332953975156</v>
      </c>
      <c r="U435" s="77">
        <f>(VLOOKUP($A435,'The List'!$B1:$AH665,33,FALSE)-AVERAGE('The List'!AH2:AH665))/STDEV('The List'!AH2:AH665)</f>
        <v>1.16058448312159</v>
      </c>
      <c r="V435" s="77"/>
      <c r="W435" s="89"/>
      <c r="X435" s="79"/>
      <c r="Y435" s="79"/>
      <c r="Z435" s="79"/>
      <c r="AA435" s="79"/>
      <c r="AB435" s="79"/>
      <c r="AC435" s="82"/>
      <c r="AD435" s="83"/>
      <c r="AE435" s="84"/>
    </row>
    <row r="436" ht="21.25" customHeight="1">
      <c r="A436" t="s" s="10">
        <v>792</v>
      </c>
      <c r="B436" t="s" s="86">
        <f>VLOOKUP(A436,'Player Data'!A1:B667,2,FALSE)</f>
        <v>207</v>
      </c>
      <c r="C436" s="74">
        <f>((E436)*'Settings'!$C$12)+(F436*'Settings'!$C$2)+(G436*'Settings'!$C$3)+(H436*'Settings'!$C$4)+(I436*'Settings'!$C$5)+(K436*'Settings'!$C$9)+(N436*'Settings'!$C$6)+(J436*'Settings'!$C$8)+(O436*'Settings'!$C$7)+(P436*'Settings'!$C$14)+(Q436*'Settings'!$C$15)+(R436*'Settings'!$C$16)+(S436*'Settings'!$C$17)+(T436*'Settings'!$C$18)+(U436*'Settings'!$C$19)+(L436*'Settings'!$C$10)+('Settings'!$C$11*M436)</f>
        <v>-4.1910928386931</v>
      </c>
      <c r="D436" s="79">
        <f>IF('Settings'!$E$12="YES",VLOOKUP(A436,'Player Data'!A1:E667,5,FALSE),82)</f>
        <v>64.655</v>
      </c>
      <c r="E436" s="77">
        <f>(VLOOKUP($A436,'The List'!$B1:$AH665,17,FALSE)-AVERAGE('The List'!R2:R665))/STDEV('The List'!R2:R665)</f>
        <v>-1.60076611984026</v>
      </c>
      <c r="F436" s="77">
        <f>(VLOOKUP($A436,'The List'!$B1:$AH665,18,FALSE)-AVERAGE('The List'!S2:S665))/STDEV('The List'!S2:S665)</f>
        <v>-0.573859093243549</v>
      </c>
      <c r="G436" s="77">
        <f>(VLOOKUP($A436,'The List'!$B1:$AH665,19,FALSE)-AVERAGE('The List'!T2:T665))/STDEV('The List'!T2:T665)</f>
        <v>-0.958347463928183</v>
      </c>
      <c r="H436" s="77">
        <f>(VLOOKUP($A436,'The List'!$B1:$AH665,20,FALSE)-AVERAGE('The List'!U2:U665))/STDEV('The List'!U2:U665)</f>
        <v>-0.856033896761371</v>
      </c>
      <c r="I436" s="77">
        <f>(VLOOKUP($A436,'The List'!$B1:$AH665,21,FALSE)-AVERAGE('The List'!V2:V665))/STDEV('The List'!V2:V665)</f>
        <v>-1.14964679888833</v>
      </c>
      <c r="J436" s="77">
        <f>(VLOOKUP($A436,'The List'!$B1:$AH665,22,FALSE)-AVERAGE('The List'!W2:W665))/STDEV('The List'!W2:W665)</f>
        <v>-0.729146364713547</v>
      </c>
      <c r="K436" s="77">
        <f>(VLOOKUP($A436,'The List'!$B1:$AH665,23,FALSE)-AVERAGE('The List'!X2:X665))/STDEV('The List'!X2:X665)</f>
        <v>-0.814609176839586</v>
      </c>
      <c r="L436" s="77">
        <f>(VLOOKUP($A436,'The List'!$B1:$AH665,24,FALSE)-AVERAGE('The List'!Y2:Y665))/STDEV('The List'!Y2:Y665)</f>
        <v>-0.532820294978868</v>
      </c>
      <c r="M436" s="77">
        <f>(VLOOKUP($A436,'The List'!$B1:$AH665,25,FALSE)-AVERAGE('The List'!Z2:Z665))/STDEV('The List'!Z2:Z665)</f>
        <v>-0.705487651895419</v>
      </c>
      <c r="N436" s="77">
        <f>(VLOOKUP($A436,'The List'!$B1:$AH665,26,FALSE)-AVERAGE('The List'!AA2:AA665))/STDEV('The List'!AA2:AA665)</f>
        <v>-1.06516402552036</v>
      </c>
      <c r="O436" s="77">
        <f>(VLOOKUP($A436,'The List'!$B1:$AH665,27,FALSE)-AVERAGE('The List'!AB2:AB665))/STDEV('The List'!AB2:AB665)</f>
        <v>0.595189528943438</v>
      </c>
      <c r="P436" s="77">
        <f>(VLOOKUP($A436,'The List'!$B1:$AH665,28,FALSE)-AVERAGE('The List'!AC2:AC665))/STDEV('The List'!AC2:AC665)</f>
        <v>0.370533719726908</v>
      </c>
      <c r="Q436" s="77">
        <f>(VLOOKUP($A436,'The List'!$B1:$AH665,29,FALSE)-AVERAGE('The List'!AD2:AD665))/STDEV('The List'!AD2:AD665)</f>
        <v>-0.877049151095076</v>
      </c>
      <c r="R436" s="77">
        <f>(VLOOKUP($A436,'The List'!$B1:$AH665,30,FALSE)-AVERAGE('The List'!AE2:AE665))/STDEV('The List'!AE2:AE665)</f>
        <v>-0.508749281112869</v>
      </c>
      <c r="S436" s="77">
        <f>(VLOOKUP($A436,'The List'!$B1:$AH665,31,FALSE)-AVERAGE('The List'!AF2:AF665))/STDEV('The List'!AF2:AF665)</f>
        <v>0.543823353766608</v>
      </c>
      <c r="T436" s="77">
        <f>(VLOOKUP($A436,'The List'!$B1:$AH665,32,FALSE)-AVERAGE('The List'!AG2:AG665))/STDEV('The List'!AG2:AG665)</f>
        <v>0.982013517979099</v>
      </c>
      <c r="U436" s="77">
        <f>(VLOOKUP($A436,'The List'!$B1:$AH665,33,FALSE)-AVERAGE('The List'!AH2:AH665))/STDEV('The List'!AH2:AH665)</f>
        <v>0.695573599708001</v>
      </c>
      <c r="V436" s="77"/>
      <c r="W436" s="89"/>
      <c r="X436" s="79"/>
      <c r="Y436" s="79"/>
      <c r="Z436" s="79"/>
      <c r="AA436" s="79"/>
      <c r="AB436" s="79"/>
      <c r="AC436" s="82"/>
      <c r="AD436" s="83"/>
      <c r="AE436" s="84"/>
    </row>
    <row r="437" ht="21.25" customHeight="1">
      <c r="A437" t="s" s="10">
        <v>803</v>
      </c>
      <c r="B437" t="s" s="86">
        <f>VLOOKUP(A437,'Player Data'!A1:B667,2,FALSE)</f>
        <v>912</v>
      </c>
      <c r="C437" s="74">
        <f>((E437)*'Settings'!$C$12)+(F437*'Settings'!$C$2)+(G437*'Settings'!$C$3)+(H437*'Settings'!$C$4)+(I437*'Settings'!$C$5)+(K437*'Settings'!$C$9)+(N437*'Settings'!$C$6)+(J437*'Settings'!$C$8)+(O437*'Settings'!$C$7)+(P437*'Settings'!$C$14)+(Q437*'Settings'!$C$15)+(R437*'Settings'!$C$16)+(S437*'Settings'!$C$17)+(T437*'Settings'!$C$18)+(U437*'Settings'!$C$19)+(L437*'Settings'!$C$10)+('Settings'!$C$11*M437)</f>
        <v>-5.27424366310825</v>
      </c>
      <c r="D437" s="79">
        <f>IF('Settings'!$E$12="YES",VLOOKUP(A437,'Player Data'!A1:E667,5,FALSE),82)</f>
        <v>72.55249999999999</v>
      </c>
      <c r="E437" s="77">
        <f>(VLOOKUP($A437,'The List'!$B1:$AH665,17,FALSE)-AVERAGE('The List'!R2:R665))/STDEV('The List'!R2:R665)</f>
        <v>-0.934288940470405</v>
      </c>
      <c r="F437" s="77">
        <f>(VLOOKUP($A437,'The List'!$B1:$AH665,18,FALSE)-AVERAGE('The List'!S2:S665))/STDEV('The List'!S2:S665)</f>
        <v>-0.494476504290246</v>
      </c>
      <c r="G437" s="77">
        <f>(VLOOKUP($A437,'The List'!$B1:$AH665,19,FALSE)-AVERAGE('The List'!T2:T665))/STDEV('The List'!T2:T665)</f>
        <v>-0.861417111058045</v>
      </c>
      <c r="H437" s="77">
        <f>(VLOOKUP($A437,'The List'!$B1:$AH665,20,FALSE)-AVERAGE('The List'!U2:U665))/STDEV('The List'!U2:U665)</f>
        <v>-0.7597515373814649</v>
      </c>
      <c r="I437" s="77">
        <f>(VLOOKUP($A437,'The List'!$B1:$AH665,21,FALSE)-AVERAGE('The List'!V2:V665))/STDEV('The List'!V2:V665)</f>
        <v>-1.09873759149784</v>
      </c>
      <c r="J437" s="77">
        <f>(VLOOKUP($A437,'The List'!$B1:$AH665,22,FALSE)-AVERAGE('The List'!W2:W665))/STDEV('The List'!W2:W665)</f>
        <v>-0.687827915503095</v>
      </c>
      <c r="K437" s="77">
        <f>(VLOOKUP($A437,'The List'!$B1:$AH665,23,FALSE)-AVERAGE('The List'!X2:X665))/STDEV('The List'!X2:X665)</f>
        <v>-0.77855872001341</v>
      </c>
      <c r="L437" s="77">
        <f>(VLOOKUP($A437,'The List'!$B1:$AH665,24,FALSE)-AVERAGE('The List'!Y2:Y665))/STDEV('The List'!Y2:Y665)</f>
        <v>1.938358377596</v>
      </c>
      <c r="M437" s="77">
        <f>(VLOOKUP($A437,'The List'!$B1:$AH665,25,FALSE)-AVERAGE('The List'!Z2:Z665))/STDEV('The List'!Z2:Z665)</f>
        <v>0.89999856366597</v>
      </c>
      <c r="N437" s="77">
        <f>(VLOOKUP($A437,'The List'!$B1:$AH665,26,FALSE)-AVERAGE('The List'!AA2:AA665))/STDEV('The List'!AA2:AA665)</f>
        <v>-0.512189802108034</v>
      </c>
      <c r="O437" s="77">
        <f>(VLOOKUP($A437,'The List'!$B1:$AH665,27,FALSE)-AVERAGE('The List'!AB2:AB665))/STDEV('The List'!AB2:AB665)</f>
        <v>-0.671119392797173</v>
      </c>
      <c r="P437" s="77">
        <f>(VLOOKUP($A437,'The List'!$B1:$AH665,28,FALSE)-AVERAGE('The List'!AC2:AC665))/STDEV('The List'!AC2:AC665)</f>
        <v>-1.52886393414067</v>
      </c>
      <c r="Q437" s="77">
        <f>(VLOOKUP($A437,'The List'!$B1:$AH665,29,FALSE)-AVERAGE('The List'!AD2:AD665))/STDEV('The List'!AD2:AD665)</f>
        <v>-1.6879299580805</v>
      </c>
      <c r="R437" s="77">
        <f>(VLOOKUP($A437,'The List'!$B1:$AH665,30,FALSE)-AVERAGE('The List'!AE2:AE665))/STDEV('The List'!AE2:AE665)</f>
        <v>-0.647300267327906</v>
      </c>
      <c r="S437" s="77">
        <f>(VLOOKUP($A437,'The List'!$B1:$AH665,31,FALSE)-AVERAGE('The List'!AF2:AF665))/STDEV('The List'!AF2:AF665)</f>
        <v>0.775339985368604</v>
      </c>
      <c r="T437" s="77">
        <f>(VLOOKUP($A437,'The List'!$B1:$AH665,32,FALSE)-AVERAGE('The List'!AG2:AG665))/STDEV('The List'!AG2:AG665)</f>
        <v>1.10133351609301</v>
      </c>
      <c r="U437" s="77">
        <f>(VLOOKUP($A437,'The List'!$B1:$AH665,33,FALSE)-AVERAGE('The List'!AH2:AH665))/STDEV('The List'!AH2:AH665)</f>
        <v>0.825803032633838</v>
      </c>
      <c r="V437" s="77"/>
      <c r="W437" s="79"/>
      <c r="X437" s="77"/>
      <c r="Y437" s="77"/>
      <c r="Z437" s="77"/>
      <c r="AA437" s="77"/>
      <c r="AB437" s="77"/>
      <c r="AC437" s="77"/>
      <c r="AD437" s="77"/>
      <c r="AE437" s="84"/>
    </row>
    <row r="438" ht="21.25" customHeight="1">
      <c r="A438" t="s" s="10">
        <v>473</v>
      </c>
      <c r="B438" t="s" s="86">
        <f>VLOOKUP(A438,'Player Data'!A1:B667,2,FALSE)</f>
        <v>911</v>
      </c>
      <c r="C438" s="74">
        <f>((E438)*'Settings'!$C$12)+(F438*'Settings'!$C$2)+(G438*'Settings'!$C$3)+(H438*'Settings'!$C$4)+(I438*'Settings'!$C$5)+(K438*'Settings'!$C$9)+(N438*'Settings'!$C$6)+(J438*'Settings'!$C$8)+(O438*'Settings'!$C$7)+(P438*'Settings'!$C$14)+(Q438*'Settings'!$C$15)+(R438*'Settings'!$C$16)+(S438*'Settings'!$C$17)+(T438*'Settings'!$C$18)+(U438*'Settings'!$C$19)+(L438*'Settings'!$C$10)+('Settings'!$C$11*M438)</f>
        <v>-2.58900970466102</v>
      </c>
      <c r="D438" s="79">
        <f>IF('Settings'!$E$12="YES",VLOOKUP(A438,'Player Data'!A1:E667,5,FALSE),82)</f>
        <v>77.43000000000001</v>
      </c>
      <c r="E438" s="77">
        <f>(VLOOKUP($A438,'The List'!$B1:$AH665,17,FALSE)-AVERAGE('The List'!R2:R665))/STDEV('The List'!R2:R665)</f>
        <v>0.217148065274128</v>
      </c>
      <c r="F438" s="77">
        <f>(VLOOKUP($A438,'The List'!$B1:$AH665,18,FALSE)-AVERAGE('The List'!S2:S665))/STDEV('The List'!S2:S665)</f>
        <v>-1.01431536547306</v>
      </c>
      <c r="G438" s="77">
        <f>(VLOOKUP($A438,'The List'!$B1:$AH665,19,FALSE)-AVERAGE('The List'!T2:T665))/STDEV('The List'!T2:T665)</f>
        <v>-0.388197782235837</v>
      </c>
      <c r="H438" s="77">
        <f>(VLOOKUP($A438,'The List'!$B1:$AH665,20,FALSE)-AVERAGE('The List'!U2:U665))/STDEV('The List'!U2:U665)</f>
        <v>-0.702147198284614</v>
      </c>
      <c r="I438" s="77">
        <f>(VLOOKUP($A438,'The List'!$B1:$AH665,21,FALSE)-AVERAGE('The List'!V2:V665))/STDEV('The List'!V2:V665)</f>
        <v>-0.748971812768764</v>
      </c>
      <c r="J438" s="77">
        <f>(VLOOKUP($A438,'The List'!$B1:$AH665,22,FALSE)-AVERAGE('The List'!W2:W665))/STDEV('The List'!W2:W665)</f>
        <v>-0.74181916758345</v>
      </c>
      <c r="K438" s="77">
        <f>(VLOOKUP($A438,'The List'!$B1:$AH665,23,FALSE)-AVERAGE('The List'!X2:X665))/STDEV('The List'!X2:X665)</f>
        <v>-0.818994127304313</v>
      </c>
      <c r="L438" s="77">
        <f>(VLOOKUP($A438,'The List'!$B1:$AH665,24,FALSE)-AVERAGE('The List'!Y2:Y665))/STDEV('The List'!Y2:Y665)</f>
        <v>-0.5238956129496229</v>
      </c>
      <c r="M438" s="77">
        <f>(VLOOKUP($A438,'The List'!$B1:$AH665,25,FALSE)-AVERAGE('The List'!Z2:Z665))/STDEV('The List'!Z2:Z665)</f>
        <v>-0.604425323393369</v>
      </c>
      <c r="N438" s="77">
        <f>(VLOOKUP($A438,'The List'!$B1:$AH665,26,FALSE)-AVERAGE('The List'!AA2:AA665))/STDEV('The List'!AA2:AA665)</f>
        <v>0.919055367474808</v>
      </c>
      <c r="O438" s="77">
        <f>(VLOOKUP($A438,'The List'!$B1:$AH665,27,FALSE)-AVERAGE('The List'!AB2:AB665))/STDEV('The List'!AB2:AB665)</f>
        <v>1.70776399926056</v>
      </c>
      <c r="P438" s="77">
        <f>(VLOOKUP($A438,'The List'!$B1:$AH665,28,FALSE)-AVERAGE('The List'!AC2:AC665))/STDEV('The List'!AC2:AC665)</f>
        <v>-0.537585984353849</v>
      </c>
      <c r="Q438" s="77">
        <f>(VLOOKUP($A438,'The List'!$B1:$AH665,29,FALSE)-AVERAGE('The List'!AD2:AD665))/STDEV('The List'!AD2:AD665)</f>
        <v>1.11720791318205</v>
      </c>
      <c r="R438" s="77">
        <f>(VLOOKUP($A438,'The List'!$B1:$AH665,30,FALSE)-AVERAGE('The List'!AE2:AE665))/STDEV('The List'!AE2:AE665)</f>
        <v>-0.963940203771679</v>
      </c>
      <c r="S438" s="77">
        <f>(VLOOKUP($A438,'The List'!$B1:$AH665,31,FALSE)-AVERAGE('The List'!AF2:AF665))/STDEV('The List'!AF2:AF665)</f>
        <v>-0.573894410680004</v>
      </c>
      <c r="T438" s="77">
        <f>(VLOOKUP($A438,'The List'!$B1:$AH665,32,FALSE)-AVERAGE('The List'!AG2:AG665))/STDEV('The List'!AG2:AG665)</f>
        <v>-0.625770787132651</v>
      </c>
      <c r="U438" s="77">
        <f>(VLOOKUP($A438,'The List'!$B1:$AH665,33,FALSE)-AVERAGE('The List'!AH2:AH665))/STDEV('The List'!AH2:AH665)</f>
        <v>-1.23143509451486</v>
      </c>
      <c r="V438" s="77"/>
      <c r="W438" s="89"/>
      <c r="X438" s="79"/>
      <c r="Y438" s="79"/>
      <c r="Z438" s="79"/>
      <c r="AA438" s="79"/>
      <c r="AB438" s="79"/>
      <c r="AC438" s="82"/>
      <c r="AD438" s="83"/>
      <c r="AE438" s="84"/>
    </row>
    <row r="439" ht="21.25" customHeight="1">
      <c r="A439" t="s" s="10">
        <v>615</v>
      </c>
      <c r="B439" t="s" s="86">
        <f>VLOOKUP(A439,'Player Data'!A1:B667,2,FALSE)</f>
        <v>165</v>
      </c>
      <c r="C439" s="74">
        <f>((E439)*'Settings'!$C$12)+(F439*'Settings'!$C$2)+(G439*'Settings'!$C$3)+(H439*'Settings'!$C$4)+(I439*'Settings'!$C$5)+(K439*'Settings'!$C$9)+(N439*'Settings'!$C$6)+(J439*'Settings'!$C$8)+(O439*'Settings'!$C$7)+(P439*'Settings'!$C$14)+(Q439*'Settings'!$C$15)+(R439*'Settings'!$C$16)+(S439*'Settings'!$C$17)+(T439*'Settings'!$C$18)+(U439*'Settings'!$C$19)+(L439*'Settings'!$C$10)+('Settings'!$C$11*M439)</f>
        <v>-2.71550626164818</v>
      </c>
      <c r="D439" s="79">
        <f>IF('Settings'!$E$12="YES",VLOOKUP(A439,'Player Data'!A1:E667,5,FALSE),82)</f>
        <v>81.55249999999999</v>
      </c>
      <c r="E439" s="77">
        <f>(VLOOKUP($A439,'The List'!$B1:$AH665,17,FALSE)-AVERAGE('The List'!R2:R665))/STDEV('The List'!R2:R665)</f>
        <v>-0.79343936901833</v>
      </c>
      <c r="F439" s="77">
        <f>(VLOOKUP($A439,'The List'!$B1:$AH665,18,FALSE)-AVERAGE('The List'!S2:S665))/STDEV('The List'!S2:S665)</f>
        <v>-0.491235154675802</v>
      </c>
      <c r="G439" s="77">
        <f>(VLOOKUP($A439,'The List'!$B1:$AH665,19,FALSE)-AVERAGE('The List'!T2:T665))/STDEV('The List'!T2:T665)</f>
        <v>-0.695553142263774</v>
      </c>
      <c r="H439" s="77">
        <f>(VLOOKUP($A439,'The List'!$B1:$AH665,20,FALSE)-AVERAGE('The List'!U2:U665))/STDEV('The List'!U2:U665)</f>
        <v>-0.65526733906859</v>
      </c>
      <c r="I439" s="77">
        <f>(VLOOKUP($A439,'The List'!$B1:$AH665,21,FALSE)-AVERAGE('The List'!V2:V665))/STDEV('The List'!V2:V665)</f>
        <v>-0.692951054063025</v>
      </c>
      <c r="J439" s="77">
        <f>(VLOOKUP($A439,'The List'!$B1:$AH665,22,FALSE)-AVERAGE('The List'!W2:W665))/STDEV('The List'!W2:W665)</f>
        <v>-0.591429625032695</v>
      </c>
      <c r="K439" s="77">
        <f>(VLOOKUP($A439,'The List'!$B1:$AH665,23,FALSE)-AVERAGE('The List'!X2:X665))/STDEV('The List'!X2:X665)</f>
        <v>-0.665803731003014</v>
      </c>
      <c r="L439" s="77">
        <f>(VLOOKUP($A439,'The List'!$B1:$AH665,24,FALSE)-AVERAGE('The List'!Y2:Y665))/STDEV('The List'!Y2:Y665)</f>
        <v>1.6313712145766</v>
      </c>
      <c r="M439" s="77">
        <f>(VLOOKUP($A439,'The List'!$B1:$AH665,25,FALSE)-AVERAGE('The List'!Z2:Z665))/STDEV('The List'!Z2:Z665)</f>
        <v>1.07178706198649</v>
      </c>
      <c r="N439" s="77">
        <f>(VLOOKUP($A439,'The List'!$B1:$AH665,26,FALSE)-AVERAGE('The List'!AA2:AA665))/STDEV('The List'!AA2:AA665)</f>
        <v>-0.279755721897649</v>
      </c>
      <c r="O439" s="77">
        <f>(VLOOKUP($A439,'The List'!$B1:$AH665,27,FALSE)-AVERAGE('The List'!AB2:AB665))/STDEV('The List'!AB2:AB665)</f>
        <v>0.74047157944866</v>
      </c>
      <c r="P439" s="77">
        <f>(VLOOKUP($A439,'The List'!$B1:$AH665,28,FALSE)-AVERAGE('The List'!AC2:AC665))/STDEV('The List'!AC2:AC665)</f>
        <v>0.10979254225508</v>
      </c>
      <c r="Q439" s="77">
        <f>(VLOOKUP($A439,'The List'!$B1:$AH665,29,FALSE)-AVERAGE('The List'!AD2:AD665))/STDEV('The List'!AD2:AD665)</f>
        <v>-0.407687850571165</v>
      </c>
      <c r="R439" s="77">
        <f>(VLOOKUP($A439,'The List'!$B1:$AH665,30,FALSE)-AVERAGE('The List'!AE2:AE665))/STDEV('The List'!AE2:AE665)</f>
        <v>-0.509549798862748</v>
      </c>
      <c r="S439" s="77">
        <f>(VLOOKUP($A439,'The List'!$B1:$AH665,31,FALSE)-AVERAGE('The List'!AF2:AF665))/STDEV('The List'!AF2:AF665)</f>
        <v>2.05312169179042</v>
      </c>
      <c r="T439" s="77">
        <f>(VLOOKUP($A439,'The List'!$B1:$AH665,32,FALSE)-AVERAGE('The List'!AG2:AG665))/STDEV('The List'!AG2:AG665)</f>
        <v>1.79469007609029</v>
      </c>
      <c r="U439" s="77">
        <f>(VLOOKUP($A439,'The List'!$B1:$AH665,33,FALSE)-AVERAGE('The List'!AH2:AH665))/STDEV('The List'!AH2:AH665)</f>
        <v>1.1975429989811</v>
      </c>
      <c r="V439" s="77"/>
      <c r="W439" s="79"/>
      <c r="X439" s="77"/>
      <c r="Y439" s="77"/>
      <c r="Z439" s="77"/>
      <c r="AA439" s="77"/>
      <c r="AB439" s="77"/>
      <c r="AC439" s="77"/>
      <c r="AD439" s="77"/>
      <c r="AE439" s="84"/>
    </row>
    <row r="440" ht="21.25" customHeight="1">
      <c r="A440" t="s" s="10">
        <v>747</v>
      </c>
      <c r="B440" t="s" s="86">
        <f>VLOOKUP(A440,'Player Data'!A1:B667,2,FALSE)</f>
        <v>878</v>
      </c>
      <c r="C440" s="74">
        <f>((E440)*'Settings'!$C$12)+(F440*'Settings'!$C$2)+(G440*'Settings'!$C$3)+(H440*'Settings'!$C$4)+(I440*'Settings'!$C$5)+(K440*'Settings'!$C$9)+(N440*'Settings'!$C$6)+(J440*'Settings'!$C$8)+(O440*'Settings'!$C$7)+(P440*'Settings'!$C$14)+(Q440*'Settings'!$C$15)+(R440*'Settings'!$C$16)+(S440*'Settings'!$C$17)+(T440*'Settings'!$C$18)+(U440*'Settings'!$C$19)+(L440*'Settings'!$C$10)+('Settings'!$C$11*M440)</f>
        <v>-2.70586830467016</v>
      </c>
      <c r="D440" s="79">
        <f>IF('Settings'!$E$12="YES",VLOOKUP(A440,'Player Data'!A1:E667,5,FALSE),82)</f>
        <v>80.1375</v>
      </c>
      <c r="E440" s="77">
        <f>(VLOOKUP($A440,'The List'!$B1:$AH665,17,FALSE)-AVERAGE('The List'!R2:R665))/STDEV('The List'!R2:R665)</f>
        <v>-1.21621627312024</v>
      </c>
      <c r="F440" s="77">
        <f>(VLOOKUP($A440,'The List'!$B1:$AH665,18,FALSE)-AVERAGE('The List'!S2:S665))/STDEV('The List'!S2:S665)</f>
        <v>-0.34009966596049</v>
      </c>
      <c r="G440" s="77">
        <f>(VLOOKUP($A440,'The List'!$B1:$AH665,19,FALSE)-AVERAGE('The List'!T2:T665))/STDEV('The List'!T2:T665)</f>
        <v>-0.835252830348597</v>
      </c>
      <c r="H440" s="77">
        <f>(VLOOKUP($A440,'The List'!$B1:$AH665,20,FALSE)-AVERAGE('The List'!U2:U665))/STDEV('The List'!U2:U665)</f>
        <v>-0.673330436751705</v>
      </c>
      <c r="I440" s="77">
        <f>(VLOOKUP($A440,'The List'!$B1:$AH665,21,FALSE)-AVERAGE('The List'!V2:V665))/STDEV('The List'!V2:V665)</f>
        <v>-0.368857405831573</v>
      </c>
      <c r="J440" s="77">
        <f>(VLOOKUP($A440,'The List'!$B1:$AH665,22,FALSE)-AVERAGE('The List'!W2:W665))/STDEV('The List'!W2:W665)</f>
        <v>-0.694601428916343</v>
      </c>
      <c r="K440" s="77">
        <f>(VLOOKUP($A440,'The List'!$B1:$AH665,23,FALSE)-AVERAGE('The List'!X2:X665))/STDEV('The List'!X2:X665)</f>
        <v>-0.784122477448094</v>
      </c>
      <c r="L440" s="77">
        <f>(VLOOKUP($A440,'The List'!$B1:$AH665,24,FALSE)-AVERAGE('The List'!Y2:Y665))/STDEV('The List'!Y2:Y665)</f>
        <v>0.42791918014899</v>
      </c>
      <c r="M440" s="77">
        <f>(VLOOKUP($A440,'The List'!$B1:$AH665,25,FALSE)-AVERAGE('The List'!Z2:Z665))/STDEV('The List'!Z2:Z665)</f>
        <v>-0.06793443009517609</v>
      </c>
      <c r="N440" s="77">
        <f>(VLOOKUP($A440,'The List'!$B1:$AH665,26,FALSE)-AVERAGE('The List'!AA2:AA665))/STDEV('The List'!AA2:AA665)</f>
        <v>-0.794636749806902</v>
      </c>
      <c r="O440" s="77">
        <f>(VLOOKUP($A440,'The List'!$B1:$AH665,27,FALSE)-AVERAGE('The List'!AB2:AB665))/STDEV('The List'!AB2:AB665)</f>
        <v>-0.10955534724935</v>
      </c>
      <c r="P440" s="77">
        <f>(VLOOKUP($A440,'The List'!$B1:$AH665,28,FALSE)-AVERAGE('The List'!AC2:AC665))/STDEV('The List'!AC2:AC665)</f>
        <v>0.417100824725495</v>
      </c>
      <c r="Q440" s="77">
        <f>(VLOOKUP($A440,'The List'!$B1:$AH665,29,FALSE)-AVERAGE('The List'!AD2:AD665))/STDEV('The List'!AD2:AD665)</f>
        <v>-0.9622931955026039</v>
      </c>
      <c r="R440" s="77">
        <f>(VLOOKUP($A440,'The List'!$B1:$AH665,30,FALSE)-AVERAGE('The List'!AE2:AE665))/STDEV('The List'!AE2:AE665)</f>
        <v>-0.232779512341698</v>
      </c>
      <c r="S440" s="77">
        <f>(VLOOKUP($A440,'The List'!$B1:$AH665,31,FALSE)-AVERAGE('The List'!AF2:AF665))/STDEV('The List'!AF2:AF665)</f>
        <v>-0.533115450166748</v>
      </c>
      <c r="T440" s="77">
        <f>(VLOOKUP($A440,'The List'!$B1:$AH665,32,FALSE)-AVERAGE('The List'!AG2:AG665))/STDEV('The List'!AG2:AG665)</f>
        <v>-0.52768901514185</v>
      </c>
      <c r="U440" s="77">
        <f>(VLOOKUP($A440,'The List'!$B1:$AH665,33,FALSE)-AVERAGE('The List'!AH2:AH665))/STDEV('The List'!AH2:AH665)</f>
        <v>0.158525192387736</v>
      </c>
      <c r="V440" s="77"/>
      <c r="W440" s="89"/>
      <c r="X440" s="79"/>
      <c r="Y440" s="79"/>
      <c r="Z440" s="79"/>
      <c r="AA440" s="79"/>
      <c r="AB440" s="79"/>
      <c r="AC440" s="82"/>
      <c r="AD440" s="83"/>
      <c r="AE440" s="84"/>
    </row>
    <row r="441" ht="21.25" customHeight="1">
      <c r="A441" t="s" s="10">
        <v>378</v>
      </c>
      <c r="B441" t="s" s="86">
        <f>VLOOKUP(A441,'Player Data'!A1:B667,2,FALSE)</f>
        <v>207</v>
      </c>
      <c r="C441" s="74">
        <f>((E441)*'Settings'!$C$12)+(F441*'Settings'!$C$2)+(G441*'Settings'!$C$3)+(H441*'Settings'!$C$4)+(I441*'Settings'!$C$5)+(K441*'Settings'!$C$9)+(N441*'Settings'!$C$6)+(J441*'Settings'!$C$8)+(O441*'Settings'!$C$7)+(P441*'Settings'!$C$14)+(Q441*'Settings'!$C$15)+(R441*'Settings'!$C$16)+(S441*'Settings'!$C$17)+(T441*'Settings'!$C$18)+(U441*'Settings'!$C$19)+(L441*'Settings'!$C$10)+('Settings'!$C$11*M441)</f>
        <v>0.081567329937521</v>
      </c>
      <c r="D441" s="79">
        <f>IF('Settings'!$E$12="YES",VLOOKUP(A441,'Player Data'!A1:E667,5,FALSE),82)</f>
        <v>80.72750000000001</v>
      </c>
      <c r="E441" s="77">
        <f>(VLOOKUP($A441,'The List'!$B1:$AH665,17,FALSE)-AVERAGE('The List'!R2:R665))/STDEV('The List'!R2:R665)</f>
        <v>0.856956062634589</v>
      </c>
      <c r="F441" s="77">
        <f>(VLOOKUP($A441,'The List'!$B1:$AH665,18,FALSE)-AVERAGE('The List'!S2:S665))/STDEV('The List'!S2:S665)</f>
        <v>-0.851835329996706</v>
      </c>
      <c r="G441" s="77">
        <f>(VLOOKUP($A441,'The List'!$B1:$AH665,19,FALSE)-AVERAGE('The List'!T2:T665))/STDEV('The List'!T2:T665)</f>
        <v>-0.461407570547715</v>
      </c>
      <c r="H441" s="77">
        <f>(VLOOKUP($A441,'The List'!$B1:$AH665,20,FALSE)-AVERAGE('The List'!U2:U665))/STDEV('The List'!U2:U665)</f>
        <v>-0.67375969385458</v>
      </c>
      <c r="I441" s="77">
        <f>(VLOOKUP($A441,'The List'!$B1:$AH665,21,FALSE)-AVERAGE('The List'!V2:V665))/STDEV('The List'!V2:V665)</f>
        <v>-0.373795396807926</v>
      </c>
      <c r="J441" s="77">
        <f>(VLOOKUP($A441,'The List'!$B1:$AH665,22,FALSE)-AVERAGE('The List'!W2:W665))/STDEV('The List'!W2:W665)</f>
        <v>-0.73925930668638</v>
      </c>
      <c r="K441" s="77">
        <f>(VLOOKUP($A441,'The List'!$B1:$AH665,23,FALSE)-AVERAGE('The List'!X2:X665))/STDEV('The List'!X2:X665)</f>
        <v>-0.81297604800673</v>
      </c>
      <c r="L441" s="77">
        <f>(VLOOKUP($A441,'The List'!$B1:$AH665,24,FALSE)-AVERAGE('The List'!Y2:Y665))/STDEV('The List'!Y2:Y665)</f>
        <v>-0.529115312433054</v>
      </c>
      <c r="M441" s="77">
        <f>(VLOOKUP($A441,'The List'!$B1:$AH665,25,FALSE)-AVERAGE('The List'!Z2:Z665))/STDEV('The List'!Z2:Z665)</f>
        <v>-0.6222801013613229</v>
      </c>
      <c r="N441" s="77">
        <f>(VLOOKUP($A441,'The List'!$B1:$AH665,26,FALSE)-AVERAGE('The List'!AA2:AA665))/STDEV('The List'!AA2:AA665)</f>
        <v>2.05122274668988</v>
      </c>
      <c r="O441" s="77">
        <f>(VLOOKUP($A441,'The List'!$B1:$AH665,27,FALSE)-AVERAGE('The List'!AB2:AB665))/STDEV('The List'!AB2:AB665)</f>
        <v>1.38477855025577</v>
      </c>
      <c r="P441" s="77">
        <f>(VLOOKUP($A441,'The List'!$B1:$AH665,28,FALSE)-AVERAGE('The List'!AC2:AC665))/STDEV('The List'!AC2:AC665)</f>
        <v>0.530358928606718</v>
      </c>
      <c r="Q441" s="77">
        <f>(VLOOKUP($A441,'The List'!$B1:$AH665,29,FALSE)-AVERAGE('The List'!AD2:AD665))/STDEV('The List'!AD2:AD665)</f>
        <v>0.151769767294004</v>
      </c>
      <c r="R441" s="77">
        <f>(VLOOKUP($A441,'The List'!$B1:$AH665,30,FALSE)-AVERAGE('The List'!AE2:AE665))/STDEV('The List'!AE2:AE665)</f>
        <v>-0.789158686914966</v>
      </c>
      <c r="S441" s="77">
        <f>(VLOOKUP($A441,'The List'!$B1:$AH665,31,FALSE)-AVERAGE('The List'!AF2:AF665))/STDEV('The List'!AF2:AF665)</f>
        <v>-0.573894410680004</v>
      </c>
      <c r="T441" s="77">
        <f>(VLOOKUP($A441,'The List'!$B1:$AH665,32,FALSE)-AVERAGE('The List'!AG2:AG665))/STDEV('The List'!AG2:AG665)</f>
        <v>-0.625770787132651</v>
      </c>
      <c r="U441" s="77">
        <f>(VLOOKUP($A441,'The List'!$B1:$AH665,33,FALSE)-AVERAGE('The List'!AH2:AH665))/STDEV('The List'!AH2:AH665)</f>
        <v>-1.23143509451486</v>
      </c>
      <c r="V441" s="77"/>
      <c r="W441" s="89"/>
      <c r="X441" s="79"/>
      <c r="Y441" s="79"/>
      <c r="Z441" s="79"/>
      <c r="AA441" s="79"/>
      <c r="AB441" s="79"/>
      <c r="AC441" s="82"/>
      <c r="AD441" s="83"/>
      <c r="AE441" s="84"/>
    </row>
    <row r="442" ht="21.25" customHeight="1">
      <c r="A442" t="s" s="10">
        <v>851</v>
      </c>
      <c r="B442" t="s" s="86">
        <f>VLOOKUP(A442,'Player Data'!A1:B667,2,FALSE)</f>
        <v>174</v>
      </c>
      <c r="C442" s="74">
        <f>((E442)*'Settings'!$C$12)+(F442*'Settings'!$C$2)+(G442*'Settings'!$C$3)+(H442*'Settings'!$C$4)+(I442*'Settings'!$C$5)+(K442*'Settings'!$C$9)+(N442*'Settings'!$C$6)+(J442*'Settings'!$C$8)+(O442*'Settings'!$C$7)+(P442*'Settings'!$C$14)+(Q442*'Settings'!$C$15)+(R442*'Settings'!$C$16)+(S442*'Settings'!$C$17)+(T442*'Settings'!$C$18)+(U442*'Settings'!$C$19)+(L442*'Settings'!$C$10)+('Settings'!$C$11*M442)</f>
        <v>-4.94393977099579</v>
      </c>
      <c r="D442" s="79">
        <f>IF('Settings'!$E$12="YES",VLOOKUP(A442,'Player Data'!A1:E667,5,FALSE),82)</f>
        <v>62.11</v>
      </c>
      <c r="E442" s="77">
        <f>(VLOOKUP($A442,'The List'!$B1:$AH665,17,FALSE)-AVERAGE('The List'!R2:R665))/STDEV('The List'!R2:R665)</f>
        <v>-1.48592270530402</v>
      </c>
      <c r="F442" s="77">
        <f>(VLOOKUP($A442,'The List'!$B1:$AH665,18,FALSE)-AVERAGE('The List'!S2:S665))/STDEV('The List'!S2:S665)</f>
        <v>-0.699457065601567</v>
      </c>
      <c r="G442" s="77">
        <f>(VLOOKUP($A442,'The List'!$B1:$AH665,19,FALSE)-AVERAGE('The List'!T2:T665))/STDEV('The List'!T2:T665)</f>
        <v>-0.934007426331103</v>
      </c>
      <c r="H442" s="77">
        <f>(VLOOKUP($A442,'The List'!$B1:$AH665,20,FALSE)-AVERAGE('The List'!U2:U665))/STDEV('The List'!U2:U665)</f>
        <v>-0.898007613406744</v>
      </c>
      <c r="I442" s="77">
        <f>(VLOOKUP($A442,'The List'!$B1:$AH665,21,FALSE)-AVERAGE('The List'!V2:V665))/STDEV('The List'!V2:V665)</f>
        <v>-0.697702512198263</v>
      </c>
      <c r="J442" s="77">
        <f>(VLOOKUP($A442,'The List'!$B1:$AH665,22,FALSE)-AVERAGE('The List'!W2:W665))/STDEV('The List'!W2:W665)</f>
        <v>-0.319198837727787</v>
      </c>
      <c r="K442" s="77">
        <f>(VLOOKUP($A442,'The List'!$B1:$AH665,23,FALSE)-AVERAGE('The List'!X2:X665))/STDEV('The List'!X2:X665)</f>
        <v>-0.555515822279572</v>
      </c>
      <c r="L442" s="77">
        <f>(VLOOKUP($A442,'The List'!$B1:$AH665,24,FALSE)-AVERAGE('The List'!Y2:Y665))/STDEV('The List'!Y2:Y665)</f>
        <v>-0.373569651791342</v>
      </c>
      <c r="M442" s="77">
        <f>(VLOOKUP($A442,'The List'!$B1:$AH665,25,FALSE)-AVERAGE('The List'!Z2:Z665))/STDEV('The List'!Z2:Z665)</f>
        <v>-0.546025161874363</v>
      </c>
      <c r="N442" s="77">
        <f>(VLOOKUP($A442,'The List'!$B1:$AH665,26,FALSE)-AVERAGE('The List'!AA2:AA665))/STDEV('The List'!AA2:AA665)</f>
        <v>-1.12247117870344</v>
      </c>
      <c r="O442" s="77">
        <f>(VLOOKUP($A442,'The List'!$B1:$AH665,27,FALSE)-AVERAGE('The List'!AB2:AB665))/STDEV('The List'!AB2:AB665)</f>
        <v>-1.00868975452511</v>
      </c>
      <c r="P442" s="77">
        <f>(VLOOKUP($A442,'The List'!$B1:$AH665,28,FALSE)-AVERAGE('The List'!AC2:AC665))/STDEV('The List'!AC2:AC665)</f>
        <v>-0.934785765881847</v>
      </c>
      <c r="Q442" s="77">
        <f>(VLOOKUP($A442,'The List'!$B1:$AH665,29,FALSE)-AVERAGE('The List'!AD2:AD665))/STDEV('The List'!AD2:AD665)</f>
        <v>-1.0881158846166</v>
      </c>
      <c r="R442" s="77">
        <f>(VLOOKUP($A442,'The List'!$B1:$AH665,30,FALSE)-AVERAGE('The List'!AE2:AE665))/STDEV('The List'!AE2:AE665)</f>
        <v>-0.6837703706056451</v>
      </c>
      <c r="S442" s="77">
        <f>(VLOOKUP($A442,'The List'!$B1:$AH665,31,FALSE)-AVERAGE('The List'!AF2:AF665))/STDEV('The List'!AF2:AF665)</f>
        <v>-0.535257038248626</v>
      </c>
      <c r="T442" s="77">
        <f>(VLOOKUP($A442,'The List'!$B1:$AH665,32,FALSE)-AVERAGE('The List'!AG2:AG665))/STDEV('The List'!AG2:AG665)</f>
        <v>-0.5062811679195039</v>
      </c>
      <c r="U442" s="77">
        <f>(VLOOKUP($A442,'The List'!$B1:$AH665,33,FALSE)-AVERAGE('The List'!AH2:AH665))/STDEV('The List'!AH2:AH665)</f>
        <v>-0.07135582473758099</v>
      </c>
      <c r="V442" s="77"/>
      <c r="W442" s="89"/>
      <c r="X442" s="79"/>
      <c r="Y442" s="79"/>
      <c r="Z442" s="79"/>
      <c r="AA442" s="79"/>
      <c r="AB442" s="79"/>
      <c r="AC442" s="82"/>
      <c r="AD442" s="83"/>
      <c r="AE442" s="84"/>
    </row>
    <row r="443" ht="21.25" customHeight="1">
      <c r="A443" t="s" s="10">
        <v>401</v>
      </c>
      <c r="B443" t="s" s="86">
        <f>VLOOKUP(A443,'Player Data'!A1:B667,2,FALSE)</f>
        <v>913</v>
      </c>
      <c r="C443" s="74">
        <f>((E443)*'Settings'!$C$12)+(F443*'Settings'!$C$2)+(G443*'Settings'!$C$3)+(H443*'Settings'!$C$4)+(I443*'Settings'!$C$5)+(K443*'Settings'!$C$9)+(N443*'Settings'!$C$6)+(J443*'Settings'!$C$8)+(O443*'Settings'!$C$7)+(P443*'Settings'!$C$14)+(Q443*'Settings'!$C$15)+(R443*'Settings'!$C$16)+(S443*'Settings'!$C$17)+(T443*'Settings'!$C$18)+(U443*'Settings'!$C$19)+(L443*'Settings'!$C$10)+('Settings'!$C$11*M443)</f>
        <v>-3.02080981346413</v>
      </c>
      <c r="D443" s="79">
        <f>IF('Settings'!$E$12="YES",VLOOKUP(A443,'Player Data'!A1:E667,5,FALSE),82)</f>
        <v>78.045</v>
      </c>
      <c r="E443" s="77">
        <f>(VLOOKUP($A443,'The List'!$B1:$AH665,17,FALSE)-AVERAGE('The List'!R2:R665))/STDEV('The List'!R2:R665)</f>
        <v>1.53115178204144</v>
      </c>
      <c r="F443" s="77">
        <f>(VLOOKUP($A443,'The List'!$B1:$AH665,18,FALSE)-AVERAGE('The List'!S2:S665))/STDEV('The List'!S2:S665)</f>
        <v>-0.927718439829272</v>
      </c>
      <c r="G443" s="77">
        <f>(VLOOKUP($A443,'The List'!$B1:$AH665,19,FALSE)-AVERAGE('The List'!T2:T665))/STDEV('The List'!T2:T665)</f>
        <v>-0.458725821144306</v>
      </c>
      <c r="H443" s="77">
        <f>(VLOOKUP($A443,'The List'!$B1:$AH665,20,FALSE)-AVERAGE('The List'!U2:U665))/STDEV('The List'!U2:U665)</f>
        <v>-0.706586657117997</v>
      </c>
      <c r="I443" s="77">
        <f>(VLOOKUP($A443,'The List'!$B1:$AH665,21,FALSE)-AVERAGE('The List'!V2:V665))/STDEV('The List'!V2:V665)</f>
        <v>-0.413837130191039</v>
      </c>
      <c r="J443" s="77">
        <f>(VLOOKUP($A443,'The List'!$B1:$AH665,22,FALSE)-AVERAGE('The List'!W2:W665))/STDEV('The List'!W2:W665)</f>
        <v>-0.715591823329238</v>
      </c>
      <c r="K443" s="77">
        <f>(VLOOKUP($A443,'The List'!$B1:$AH665,23,FALSE)-AVERAGE('The List'!X2:X665))/STDEV('The List'!X2:X665)</f>
        <v>-0.732062846252207</v>
      </c>
      <c r="L443" s="77">
        <f>(VLOOKUP($A443,'The List'!$B1:$AH665,24,FALSE)-AVERAGE('The List'!Y2:Y665))/STDEV('The List'!Y2:Y665)</f>
        <v>-0.533089868728488</v>
      </c>
      <c r="M443" s="77">
        <f>(VLOOKUP($A443,'The List'!$B1:$AH665,25,FALSE)-AVERAGE('The List'!Z2:Z665))/STDEV('The List'!Z2:Z665)</f>
        <v>-0.632183633310177</v>
      </c>
      <c r="N443" s="77">
        <f>(VLOOKUP($A443,'The List'!$B1:$AH665,26,FALSE)-AVERAGE('The List'!AA2:AA665))/STDEV('The List'!AA2:AA665)</f>
        <v>2.47399120075262</v>
      </c>
      <c r="O443" s="77">
        <f>(VLOOKUP($A443,'The List'!$B1:$AH665,27,FALSE)-AVERAGE('The List'!AB2:AB665))/STDEV('The List'!AB2:AB665)</f>
        <v>0.640834499387534</v>
      </c>
      <c r="P443" s="77">
        <f>(VLOOKUP($A443,'The List'!$B1:$AH665,28,FALSE)-AVERAGE('The List'!AC2:AC665))/STDEV('The List'!AC2:AC665)</f>
        <v>-2.96245677679993</v>
      </c>
      <c r="Q443" s="77">
        <f>(VLOOKUP($A443,'The List'!$B1:$AH665,29,FALSE)-AVERAGE('The List'!AD2:AD665))/STDEV('The List'!AD2:AD665)</f>
        <v>-0.0855671498396221</v>
      </c>
      <c r="R443" s="77">
        <f>(VLOOKUP($A443,'The List'!$B1:$AH665,30,FALSE)-AVERAGE('The List'!AE2:AE665))/STDEV('The List'!AE2:AE665)</f>
        <v>-0.996823165943227</v>
      </c>
      <c r="S443" s="77">
        <f>(VLOOKUP($A443,'The List'!$B1:$AH665,31,FALSE)-AVERAGE('The List'!AF2:AF665))/STDEV('The List'!AF2:AF665)</f>
        <v>-0.573894410680004</v>
      </c>
      <c r="T443" s="77">
        <f>(VLOOKUP($A443,'The List'!$B1:$AH665,32,FALSE)-AVERAGE('The List'!AG2:AG665))/STDEV('The List'!AG2:AG665)</f>
        <v>-0.625000746825018</v>
      </c>
      <c r="U443" s="77">
        <f>(VLOOKUP($A443,'The List'!$B1:$AH665,33,FALSE)-AVERAGE('The List'!AH2:AH665))/STDEV('The List'!AH2:AH665)</f>
        <v>-1.23143509451486</v>
      </c>
      <c r="V443" s="77"/>
      <c r="W443" s="79"/>
      <c r="X443" s="77"/>
      <c r="Y443" s="77"/>
      <c r="Z443" s="77"/>
      <c r="AA443" s="77"/>
      <c r="AB443" s="77"/>
      <c r="AC443" s="77"/>
      <c r="AD443" s="77"/>
      <c r="AE443" s="84"/>
    </row>
    <row r="444" ht="21.25" customHeight="1">
      <c r="A444" t="s" s="10">
        <v>636</v>
      </c>
      <c r="B444" t="s" s="86">
        <f>VLOOKUP(A444,'Player Data'!A1:B667,2,FALSE)</f>
        <v>905</v>
      </c>
      <c r="C444" s="74">
        <f>((E444)*'Settings'!$C$12)+(F444*'Settings'!$C$2)+(G444*'Settings'!$C$3)+(H444*'Settings'!$C$4)+(I444*'Settings'!$C$5)+(K444*'Settings'!$C$9)+(N444*'Settings'!$C$6)+(J444*'Settings'!$C$8)+(O444*'Settings'!$C$7)+(P444*'Settings'!$C$14)+(Q444*'Settings'!$C$15)+(R444*'Settings'!$C$16)+(S444*'Settings'!$C$17)+(T444*'Settings'!$C$18)+(U444*'Settings'!$C$19)+(L444*'Settings'!$C$10)+('Settings'!$C$11*M444)</f>
        <v>-0.520870009531635</v>
      </c>
      <c r="D444" s="79">
        <f>IF('Settings'!$E$12="YES",VLOOKUP(A444,'Player Data'!A1:E667,5,FALSE),82)</f>
        <v>78.02</v>
      </c>
      <c r="E444" s="77">
        <f>(VLOOKUP($A444,'The List'!$B1:$AH665,17,FALSE)-AVERAGE('The List'!R2:R665))/STDEV('The List'!R2:R665)</f>
        <v>0.997177545429221</v>
      </c>
      <c r="F444" s="77">
        <f>(VLOOKUP($A444,'The List'!$B1:$AH665,18,FALSE)-AVERAGE('The List'!S2:S665))/STDEV('The List'!S2:S665)</f>
        <v>-1.13214189988155</v>
      </c>
      <c r="G444" s="77">
        <f>(VLOOKUP($A444,'The List'!$B1:$AH665,19,FALSE)-AVERAGE('The List'!T2:T665))/STDEV('The List'!T2:T665)</f>
        <v>-0.322522653937695</v>
      </c>
      <c r="H444" s="77">
        <f>(VLOOKUP($A444,'The List'!$B1:$AH665,20,FALSE)-AVERAGE('The List'!U2:U665))/STDEV('The List'!U2:U665)</f>
        <v>-0.714917011456278</v>
      </c>
      <c r="I444" s="77">
        <f>(VLOOKUP($A444,'The List'!$B1:$AH665,21,FALSE)-AVERAGE('The List'!V2:V665))/STDEV('The List'!V2:V665)</f>
        <v>-1.28491813221722</v>
      </c>
      <c r="J444" s="77">
        <f>(VLOOKUP($A444,'The List'!$B1:$AH665,22,FALSE)-AVERAGE('The List'!W2:W665))/STDEV('The List'!W2:W665)</f>
        <v>-0.741790270243763</v>
      </c>
      <c r="K444" s="77">
        <f>(VLOOKUP($A444,'The List'!$B1:$AH665,23,FALSE)-AVERAGE('The List'!X2:X665))/STDEV('The List'!X2:X665)</f>
        <v>-0.81367718985549</v>
      </c>
      <c r="L444" s="77">
        <f>(VLOOKUP($A444,'The List'!$B1:$AH665,24,FALSE)-AVERAGE('The List'!Y2:Y665))/STDEV('The List'!Y2:Y665)</f>
        <v>-0.54373445676628</v>
      </c>
      <c r="M444" s="77">
        <f>(VLOOKUP($A444,'The List'!$B1:$AH665,25,FALSE)-AVERAGE('The List'!Z2:Z665))/STDEV('The List'!Z2:Z665)</f>
        <v>-0.0837780824117591</v>
      </c>
      <c r="N444" s="77">
        <f>(VLOOKUP($A444,'The List'!$B1:$AH665,26,FALSE)-AVERAGE('The List'!AA2:AA665))/STDEV('The List'!AA2:AA665)</f>
        <v>1.8157944803789</v>
      </c>
      <c r="O444" s="77">
        <f>(VLOOKUP($A444,'The List'!$B1:$AH665,27,FALSE)-AVERAGE('The List'!AB2:AB665))/STDEV('The List'!AB2:AB665)</f>
        <v>-0.714940684553474</v>
      </c>
      <c r="P444" s="77">
        <f>(VLOOKUP($A444,'The List'!$B1:$AH665,28,FALSE)-AVERAGE('The List'!AC2:AC665))/STDEV('The List'!AC2:AC665)</f>
        <v>1.21659538598142</v>
      </c>
      <c r="Q444" s="77">
        <f>(VLOOKUP($A444,'The List'!$B1:$AH665,29,FALSE)-AVERAGE('The List'!AD2:AD665))/STDEV('The List'!AD2:AD665)</f>
        <v>-0.241038772601815</v>
      </c>
      <c r="R444" s="77">
        <f>(VLOOKUP($A444,'The List'!$B1:$AH665,30,FALSE)-AVERAGE('The List'!AE2:AE665))/STDEV('The List'!AE2:AE665)</f>
        <v>-1.10799753516919</v>
      </c>
      <c r="S444" s="77">
        <f>(VLOOKUP($A444,'The List'!$B1:$AH665,31,FALSE)-AVERAGE('The List'!AF2:AF665))/STDEV('The List'!AF2:AF665)</f>
        <v>-0.573894410680004</v>
      </c>
      <c r="T444" s="77">
        <f>(VLOOKUP($A444,'The List'!$B1:$AH665,32,FALSE)-AVERAGE('The List'!AG2:AG665))/STDEV('The List'!AG2:AG665)</f>
        <v>-0.625770787132651</v>
      </c>
      <c r="U444" s="77">
        <f>(VLOOKUP($A444,'The List'!$B1:$AH665,33,FALSE)-AVERAGE('The List'!AH2:AH665))/STDEV('The List'!AH2:AH665)</f>
        <v>-1.23143509451486</v>
      </c>
      <c r="V444" s="77"/>
      <c r="W444" s="89"/>
      <c r="X444" s="79"/>
      <c r="Y444" s="79"/>
      <c r="Z444" s="79"/>
      <c r="AA444" s="79"/>
      <c r="AB444" s="79"/>
      <c r="AC444" s="82"/>
      <c r="AD444" s="83"/>
      <c r="AE444" s="84"/>
    </row>
    <row r="445" ht="21.25" customHeight="1">
      <c r="A445" t="s" s="10">
        <v>604</v>
      </c>
      <c r="B445" t="s" s="86">
        <f>VLOOKUP(A445,'Player Data'!A1:B667,2,FALSE)</f>
        <v>906</v>
      </c>
      <c r="C445" s="74">
        <f>((E445)*'Settings'!$C$12)+(F445*'Settings'!$C$2)+(G445*'Settings'!$C$3)+(H445*'Settings'!$C$4)+(I445*'Settings'!$C$5)+(K445*'Settings'!$C$9)+(N445*'Settings'!$C$6)+(J445*'Settings'!$C$8)+(O445*'Settings'!$C$7)+(P445*'Settings'!$C$14)+(Q445*'Settings'!$C$15)+(R445*'Settings'!$C$16)+(S445*'Settings'!$C$17)+(T445*'Settings'!$C$18)+(U445*'Settings'!$C$19)+(L445*'Settings'!$C$10)+('Settings'!$C$11*M445)</f>
        <v>-1.01499619426119</v>
      </c>
      <c r="D445" s="79">
        <f>IF('Settings'!$E$12="YES",VLOOKUP(A445,'Player Data'!A1:E667,5,FALSE),82)</f>
        <v>72.00749999999999</v>
      </c>
      <c r="E445" s="77">
        <f>(VLOOKUP($A445,'The List'!$B1:$AH665,17,FALSE)-AVERAGE('The List'!R2:R665))/STDEV('The List'!R2:R665)</f>
        <v>0.697660615270733</v>
      </c>
      <c r="F445" s="77">
        <f>(VLOOKUP($A445,'The List'!$B1:$AH665,18,FALSE)-AVERAGE('The List'!S2:S665))/STDEV('The List'!S2:S665)</f>
        <v>-1.08451181198833</v>
      </c>
      <c r="G445" s="77">
        <f>(VLOOKUP($A445,'The List'!$B1:$AH665,19,FALSE)-AVERAGE('The List'!T2:T665))/STDEV('The List'!T2:T665)</f>
        <v>-0.474869674109867</v>
      </c>
      <c r="H445" s="77">
        <f>(VLOOKUP($A445,'The List'!$B1:$AH665,20,FALSE)-AVERAGE('The List'!U2:U665))/STDEV('The List'!U2:U665)</f>
        <v>-0.787882938181539</v>
      </c>
      <c r="I445" s="77">
        <f>(VLOOKUP($A445,'The List'!$B1:$AH665,21,FALSE)-AVERAGE('The List'!V2:V665))/STDEV('The List'!V2:V665)</f>
        <v>-0.7532474462498711</v>
      </c>
      <c r="J445" s="77">
        <f>(VLOOKUP($A445,'The List'!$B1:$AH665,22,FALSE)-AVERAGE('The List'!W2:W665))/STDEV('The List'!W2:W665)</f>
        <v>-0.743148150769645</v>
      </c>
      <c r="K445" s="77">
        <f>(VLOOKUP($A445,'The List'!$B1:$AH665,23,FALSE)-AVERAGE('The List'!X2:X665))/STDEV('The List'!X2:X665)</f>
        <v>-0.819101659667835</v>
      </c>
      <c r="L445" s="77">
        <f>(VLOOKUP($A445,'The List'!$B1:$AH665,24,FALSE)-AVERAGE('The List'!Y2:Y665))/STDEV('The List'!Y2:Y665)</f>
        <v>-0.518607416051229</v>
      </c>
      <c r="M445" s="77">
        <f>(VLOOKUP($A445,'The List'!$B1:$AH665,25,FALSE)-AVERAGE('The List'!Z2:Z665))/STDEV('The List'!Z2:Z665)</f>
        <v>-0.255311049861638</v>
      </c>
      <c r="N445" s="77">
        <f>(VLOOKUP($A445,'The List'!$B1:$AH665,26,FALSE)-AVERAGE('The List'!AA2:AA665))/STDEV('The List'!AA2:AA665)</f>
        <v>1.40482879129153</v>
      </c>
      <c r="O445" s="77">
        <f>(VLOOKUP($A445,'The List'!$B1:$AH665,27,FALSE)-AVERAGE('The List'!AB2:AB665))/STDEV('The List'!AB2:AB665)</f>
        <v>-0.0467077379315654</v>
      </c>
      <c r="P445" s="77">
        <f>(VLOOKUP($A445,'The List'!$B1:$AH665,28,FALSE)-AVERAGE('The List'!AC2:AC665))/STDEV('The List'!AC2:AC665)</f>
        <v>0.711905606463179</v>
      </c>
      <c r="Q445" s="77">
        <f>(VLOOKUP($A445,'The List'!$B1:$AH665,29,FALSE)-AVERAGE('The List'!AD2:AD665))/STDEV('The List'!AD2:AD665)</f>
        <v>0.23590107829631</v>
      </c>
      <c r="R445" s="77">
        <f>(VLOOKUP($A445,'The List'!$B1:$AH665,30,FALSE)-AVERAGE('The List'!AE2:AE665))/STDEV('The List'!AE2:AE665)</f>
        <v>-1.00938386134863</v>
      </c>
      <c r="S445" s="77">
        <f>(VLOOKUP($A445,'The List'!$B1:$AH665,31,FALSE)-AVERAGE('The List'!AF2:AF665))/STDEV('The List'!AF2:AF665)</f>
        <v>-0.573894410680004</v>
      </c>
      <c r="T445" s="77">
        <f>(VLOOKUP($A445,'The List'!$B1:$AH665,32,FALSE)-AVERAGE('The List'!AG2:AG665))/STDEV('The List'!AG2:AG665)</f>
        <v>-0.625770787132651</v>
      </c>
      <c r="U445" s="77">
        <f>(VLOOKUP($A445,'The List'!$B1:$AH665,33,FALSE)-AVERAGE('The List'!AH2:AH665))/STDEV('The List'!AH2:AH665)</f>
        <v>-1.23143509451486</v>
      </c>
      <c r="V445" s="77"/>
      <c r="W445" s="89"/>
      <c r="X445" s="79"/>
      <c r="Y445" s="79"/>
      <c r="Z445" s="79"/>
      <c r="AA445" s="79"/>
      <c r="AB445" s="79"/>
      <c r="AC445" s="82"/>
      <c r="AD445" s="83"/>
      <c r="AE445" s="84"/>
    </row>
    <row r="446" ht="21.25" customHeight="1">
      <c r="A446" t="s" s="10">
        <v>775</v>
      </c>
      <c r="B446" t="s" s="86">
        <f>VLOOKUP(A446,'Player Data'!A1:B667,2,FALSE)</f>
        <v>275</v>
      </c>
      <c r="C446" s="74">
        <f>((E446)*'Settings'!$C$12)+(F446*'Settings'!$C$2)+(G446*'Settings'!$C$3)+(H446*'Settings'!$C$4)+(I446*'Settings'!$C$5)+(K446*'Settings'!$C$9)+(N446*'Settings'!$C$6)+(J446*'Settings'!$C$8)+(O446*'Settings'!$C$7)+(P446*'Settings'!$C$14)+(Q446*'Settings'!$C$15)+(R446*'Settings'!$C$16)+(S446*'Settings'!$C$17)+(T446*'Settings'!$C$18)+(U446*'Settings'!$C$19)+(L446*'Settings'!$C$10)+('Settings'!$C$11*M446)</f>
        <v>-3.22393110650916</v>
      </c>
      <c r="D446" s="79">
        <f>IF('Settings'!$E$12="YES",VLOOKUP(A446,'Player Data'!A1:E667,5,FALSE),82)</f>
        <v>78.7675</v>
      </c>
      <c r="E446" s="77">
        <f>(VLOOKUP($A446,'The List'!$B1:$AH665,17,FALSE)-AVERAGE('The List'!R2:R665))/STDEV('The List'!R2:R665)</f>
        <v>-1.02876190514787</v>
      </c>
      <c r="F446" s="77">
        <f>(VLOOKUP($A446,'The List'!$B1:$AH665,18,FALSE)-AVERAGE('The List'!S2:S665))/STDEV('The List'!S2:S665)</f>
        <v>-0.528558648056579</v>
      </c>
      <c r="G446" s="77">
        <f>(VLOOKUP($A446,'The List'!$B1:$AH665,19,FALSE)-AVERAGE('The List'!T2:T665))/STDEV('The List'!T2:T665)</f>
        <v>-0.758042025430863</v>
      </c>
      <c r="H446" s="77">
        <f>(VLOOKUP($A446,'The List'!$B1:$AH665,20,FALSE)-AVERAGE('The List'!U2:U665))/STDEV('The List'!U2:U665)</f>
        <v>-0.7110417510170161</v>
      </c>
      <c r="I446" s="77">
        <f>(VLOOKUP($A446,'The List'!$B1:$AH665,21,FALSE)-AVERAGE('The List'!V2:V665))/STDEV('The List'!V2:V665)</f>
        <v>-0.442380460739764</v>
      </c>
      <c r="J446" s="77">
        <f>(VLOOKUP($A446,'The List'!$B1:$AH665,22,FALSE)-AVERAGE('The List'!W2:W665))/STDEV('The List'!W2:W665)</f>
        <v>-0.521821776424253</v>
      </c>
      <c r="K446" s="77">
        <f>(VLOOKUP($A446,'The List'!$B1:$AH665,23,FALSE)-AVERAGE('The List'!X2:X665))/STDEV('The List'!X2:X665)</f>
        <v>-0.611205957931401</v>
      </c>
      <c r="L446" s="77">
        <f>(VLOOKUP($A446,'The List'!$B1:$AH665,24,FALSE)-AVERAGE('The List'!Y2:Y665))/STDEV('The List'!Y2:Y665)</f>
        <v>0.372054047121607</v>
      </c>
      <c r="M446" s="77">
        <f>(VLOOKUP($A446,'The List'!$B1:$AH665,25,FALSE)-AVERAGE('The List'!Z2:Z665))/STDEV('The List'!Z2:Z665)</f>
        <v>0.475778842539887</v>
      </c>
      <c r="N446" s="77">
        <f>(VLOOKUP($A446,'The List'!$B1:$AH665,26,FALSE)-AVERAGE('The List'!AA2:AA665))/STDEV('The List'!AA2:AA665)</f>
        <v>-0.406636111908568</v>
      </c>
      <c r="O446" s="77">
        <f>(VLOOKUP($A446,'The List'!$B1:$AH665,27,FALSE)-AVERAGE('The List'!AB2:AB665))/STDEV('The List'!AB2:AB665)</f>
        <v>-0.96153156170457</v>
      </c>
      <c r="P446" s="77">
        <f>(VLOOKUP($A446,'The List'!$B1:$AH665,28,FALSE)-AVERAGE('The List'!AC2:AC665))/STDEV('The List'!AC2:AC665)</f>
        <v>-0.477107902441982</v>
      </c>
      <c r="Q446" s="77">
        <f>(VLOOKUP($A446,'The List'!$B1:$AH665,29,FALSE)-AVERAGE('The List'!AD2:AD665))/STDEV('The List'!AD2:AD665)</f>
        <v>-1.42042829860476</v>
      </c>
      <c r="R446" s="77">
        <f>(VLOOKUP($A446,'The List'!$B1:$AH665,30,FALSE)-AVERAGE('The List'!AE2:AE665))/STDEV('The List'!AE2:AE665)</f>
        <v>-0.42213459788559</v>
      </c>
      <c r="S446" s="77">
        <f>(VLOOKUP($A446,'The List'!$B1:$AH665,31,FALSE)-AVERAGE('The List'!AF2:AF665))/STDEV('The List'!AF2:AF665)</f>
        <v>1.02962672684794</v>
      </c>
      <c r="T446" s="77">
        <f>(VLOOKUP($A446,'The List'!$B1:$AH665,32,FALSE)-AVERAGE('The List'!AG2:AG665))/STDEV('The List'!AG2:AG665)</f>
        <v>1.1020333972539</v>
      </c>
      <c r="U446" s="77">
        <f>(VLOOKUP($A446,'The List'!$B1:$AH665,33,FALSE)-AVERAGE('The List'!AH2:AH665))/STDEV('The List'!AH2:AH665)</f>
        <v>1.02042087037401</v>
      </c>
      <c r="V446" s="77"/>
      <c r="W446" s="89"/>
      <c r="X446" s="79"/>
      <c r="Y446" s="79"/>
      <c r="Z446" s="79"/>
      <c r="AA446" s="79"/>
      <c r="AB446" s="79"/>
      <c r="AC446" s="82"/>
      <c r="AD446" s="83"/>
      <c r="AE446" s="84"/>
    </row>
    <row r="447" ht="21.25" customHeight="1">
      <c r="A447" t="s" s="10">
        <v>665</v>
      </c>
      <c r="B447" t="s" s="86">
        <f>VLOOKUP(A447,'Player Data'!A1:B667,2,FALSE)</f>
        <v>909</v>
      </c>
      <c r="C447" s="74">
        <f>((E447)*'Settings'!$C$12)+(F447*'Settings'!$C$2)+(G447*'Settings'!$C$3)+(H447*'Settings'!$C$4)+(I447*'Settings'!$C$5)+(K447*'Settings'!$C$9)+(N447*'Settings'!$C$6)+(J447*'Settings'!$C$8)+(O447*'Settings'!$C$7)+(P447*'Settings'!$C$14)+(Q447*'Settings'!$C$15)+(R447*'Settings'!$C$16)+(S447*'Settings'!$C$17)+(T447*'Settings'!$C$18)+(U447*'Settings'!$C$19)+(L447*'Settings'!$C$10)+('Settings'!$C$11*M447)</f>
        <v>-4.22292052800677</v>
      </c>
      <c r="D447" s="79">
        <f>IF('Settings'!$E$12="YES",VLOOKUP(A447,'Player Data'!A1:E667,5,FALSE),82)</f>
        <v>78.2325</v>
      </c>
      <c r="E447" s="77">
        <f>(VLOOKUP($A447,'The List'!$B1:$AH665,17,FALSE)-AVERAGE('The List'!R2:R665))/STDEV('The List'!R2:R665)</f>
        <v>-1.20741486631945</v>
      </c>
      <c r="F447" s="77">
        <f>(VLOOKUP($A447,'The List'!$B1:$AH665,18,FALSE)-AVERAGE('The List'!S2:S665))/STDEV('The List'!S2:S665)</f>
        <v>-0.257743231837691</v>
      </c>
      <c r="G447" s="77">
        <f>(VLOOKUP($A447,'The List'!$B1:$AH665,19,FALSE)-AVERAGE('The List'!T2:T665))/STDEV('The List'!T2:T665)</f>
        <v>-0.966916384668513</v>
      </c>
      <c r="H447" s="77">
        <f>(VLOOKUP($A447,'The List'!$B1:$AH665,20,FALSE)-AVERAGE('The List'!U2:U665))/STDEV('The List'!U2:U665)</f>
        <v>-0.717665993153358</v>
      </c>
      <c r="I447" s="77">
        <f>(VLOOKUP($A447,'The List'!$B1:$AH665,21,FALSE)-AVERAGE('The List'!V2:V665))/STDEV('The List'!V2:V665)</f>
        <v>-0.24980213029624</v>
      </c>
      <c r="J447" s="77">
        <f>(VLOOKUP($A447,'The List'!$B1:$AH665,22,FALSE)-AVERAGE('The List'!W2:W665))/STDEV('The List'!W2:W665)</f>
        <v>-0.311924179508713</v>
      </c>
      <c r="K447" s="77">
        <f>(VLOOKUP($A447,'The List'!$B1:$AH665,23,FALSE)-AVERAGE('The List'!X2:X665))/STDEV('The List'!X2:X665)</f>
        <v>-0.494289918170637</v>
      </c>
      <c r="L447" s="77">
        <f>(VLOOKUP($A447,'The List'!$B1:$AH665,24,FALSE)-AVERAGE('The List'!Y2:Y665))/STDEV('The List'!Y2:Y665)</f>
        <v>-0.512319875834334</v>
      </c>
      <c r="M447" s="77">
        <f>(VLOOKUP($A447,'The List'!$B1:$AH665,25,FALSE)-AVERAGE('The List'!Z2:Z665))/STDEV('The List'!Z2:Z665)</f>
        <v>-0.704565726408665</v>
      </c>
      <c r="N447" s="77">
        <f>(VLOOKUP($A447,'The List'!$B1:$AH665,26,FALSE)-AVERAGE('The List'!AA2:AA665))/STDEV('The List'!AA2:AA665)</f>
        <v>-0.7519973593659099</v>
      </c>
      <c r="O447" s="77">
        <f>(VLOOKUP($A447,'The List'!$B1:$AH665,27,FALSE)-AVERAGE('The List'!AB2:AB665))/STDEV('The List'!AB2:AB665)</f>
        <v>0.808576488098543</v>
      </c>
      <c r="P447" s="77">
        <f>(VLOOKUP($A447,'The List'!$B1:$AH665,28,FALSE)-AVERAGE('The List'!AC2:AC665))/STDEV('The List'!AC2:AC665)</f>
        <v>-1.50217150366778</v>
      </c>
      <c r="Q447" s="77">
        <f>(VLOOKUP($A447,'The List'!$B1:$AH665,29,FALSE)-AVERAGE('The List'!AD2:AD665))/STDEV('The List'!AD2:AD665)</f>
        <v>1.19426562700302</v>
      </c>
      <c r="R447" s="77">
        <f>(VLOOKUP($A447,'The List'!$B1:$AH665,30,FALSE)-AVERAGE('The List'!AE2:AE665))/STDEV('The List'!AE2:AE665)</f>
        <v>-0.474731323767032</v>
      </c>
      <c r="S447" s="77">
        <f>(VLOOKUP($A447,'The List'!$B1:$AH665,31,FALSE)-AVERAGE('The List'!AF2:AF665))/STDEV('The List'!AF2:AF665)</f>
        <v>-0.510992474334933</v>
      </c>
      <c r="T447" s="77">
        <f>(VLOOKUP($A447,'The List'!$B1:$AH665,32,FALSE)-AVERAGE('The List'!AG2:AG665))/STDEV('The List'!AG2:AG665)</f>
        <v>-0.54861893599297</v>
      </c>
      <c r="U447" s="77">
        <f>(VLOOKUP($A447,'The List'!$B1:$AH665,33,FALSE)-AVERAGE('The List'!AH2:AH665))/STDEV('The List'!AH2:AH665)</f>
        <v>0.873879837634403</v>
      </c>
      <c r="V447" s="77"/>
      <c r="W447" s="79"/>
      <c r="X447" s="77"/>
      <c r="Y447" s="77"/>
      <c r="Z447" s="77"/>
      <c r="AA447" s="77"/>
      <c r="AB447" s="77"/>
      <c r="AC447" s="77"/>
      <c r="AD447" s="77"/>
      <c r="AE447" s="84"/>
    </row>
    <row r="448" ht="21.25" customHeight="1">
      <c r="A448" t="s" s="10">
        <v>513</v>
      </c>
      <c r="B448" t="s" s="86">
        <f>VLOOKUP(A448,'Player Data'!A1:B667,2,FALSE)</f>
        <v>259</v>
      </c>
      <c r="C448" s="74">
        <f>((E448)*'Settings'!$C$12)+(F448*'Settings'!$C$2)+(G448*'Settings'!$C$3)+(H448*'Settings'!$C$4)+(I448*'Settings'!$C$5)+(K448*'Settings'!$C$9)+(N448*'Settings'!$C$6)+(J448*'Settings'!$C$8)+(O448*'Settings'!$C$7)+(P448*'Settings'!$C$14)+(Q448*'Settings'!$C$15)+(R448*'Settings'!$C$16)+(S448*'Settings'!$C$17)+(T448*'Settings'!$C$18)+(U448*'Settings'!$C$19)+(L448*'Settings'!$C$10)+('Settings'!$C$11*M448)</f>
        <v>-0.851648282278616</v>
      </c>
      <c r="D448" s="79">
        <f>IF('Settings'!$E$12="YES",VLOOKUP(A448,'Player Data'!A1:E667,5,FALSE),82)</f>
        <v>78.65000000000001</v>
      </c>
      <c r="E448" s="77">
        <f>(VLOOKUP($A448,'The List'!$B1:$AH665,17,FALSE)-AVERAGE('The List'!R2:R665))/STDEV('The List'!R2:R665)</f>
        <v>0.447688145986197</v>
      </c>
      <c r="F448" s="77">
        <f>(VLOOKUP($A448,'The List'!$B1:$AH665,18,FALSE)-AVERAGE('The List'!S2:S665))/STDEV('The List'!S2:S665)</f>
        <v>-0.833751595405343</v>
      </c>
      <c r="G448" s="77">
        <f>(VLOOKUP($A448,'The List'!$B1:$AH665,19,FALSE)-AVERAGE('The List'!T2:T665))/STDEV('The List'!T2:T665)</f>
        <v>-0.541117737550822</v>
      </c>
      <c r="H448" s="77">
        <f>(VLOOKUP($A448,'The List'!$B1:$AH665,20,FALSE)-AVERAGE('The List'!U2:U665))/STDEV('The List'!U2:U665)</f>
        <v>-0.715044272555189</v>
      </c>
      <c r="I448" s="77">
        <f>(VLOOKUP($A448,'The List'!$B1:$AH665,21,FALSE)-AVERAGE('The List'!V2:V665))/STDEV('The List'!V2:V665)</f>
        <v>-0.554508088655121</v>
      </c>
      <c r="J448" s="77">
        <f>(VLOOKUP($A448,'The List'!$B1:$AH665,22,FALSE)-AVERAGE('The List'!W2:W665))/STDEV('The List'!W2:W665)</f>
        <v>-0.744381881323001</v>
      </c>
      <c r="K448" s="77">
        <f>(VLOOKUP($A448,'The List'!$B1:$AH665,23,FALSE)-AVERAGE('The List'!X2:X665))/STDEV('The List'!X2:X665)</f>
        <v>-0.825233879093066</v>
      </c>
      <c r="L448" s="77">
        <f>(VLOOKUP($A448,'The List'!$B1:$AH665,24,FALSE)-AVERAGE('The List'!Y2:Y665))/STDEV('The List'!Y2:Y665)</f>
        <v>-0.53222452462737</v>
      </c>
      <c r="M448" s="77">
        <f>(VLOOKUP($A448,'The List'!$B1:$AH665,25,FALSE)-AVERAGE('The List'!Z2:Z665))/STDEV('The List'!Z2:Z665)</f>
        <v>-0.08497783804804231</v>
      </c>
      <c r="N448" s="77">
        <f>(VLOOKUP($A448,'The List'!$B1:$AH665,26,FALSE)-AVERAGE('The List'!AA2:AA665))/STDEV('The List'!AA2:AA665)</f>
        <v>1.89817915709647</v>
      </c>
      <c r="O448" s="77">
        <f>(VLOOKUP($A448,'The List'!$B1:$AH665,27,FALSE)-AVERAGE('The List'!AB2:AB665))/STDEV('The List'!AB2:AB665)</f>
        <v>-0.0995509228161618</v>
      </c>
      <c r="P448" s="77">
        <f>(VLOOKUP($A448,'The List'!$B1:$AH665,28,FALSE)-AVERAGE('The List'!AC2:AC665))/STDEV('The List'!AC2:AC665)</f>
        <v>0.00478386132926637</v>
      </c>
      <c r="Q448" s="77">
        <f>(VLOOKUP($A448,'The List'!$B1:$AH665,29,FALSE)-AVERAGE('The List'!AD2:AD665))/STDEV('The List'!AD2:AD665)</f>
        <v>-0.204580230125778</v>
      </c>
      <c r="R448" s="77">
        <f>(VLOOKUP($A448,'The List'!$B1:$AH665,30,FALSE)-AVERAGE('The List'!AE2:AE665))/STDEV('The List'!AE2:AE665)</f>
        <v>-0.799513233202276</v>
      </c>
      <c r="S448" s="77">
        <f>(VLOOKUP($A448,'The List'!$B1:$AH665,31,FALSE)-AVERAGE('The List'!AF2:AF665))/STDEV('The List'!AF2:AF665)</f>
        <v>-0.573894410680004</v>
      </c>
      <c r="T448" s="77">
        <f>(VLOOKUP($A448,'The List'!$B1:$AH665,32,FALSE)-AVERAGE('The List'!AG2:AG665))/STDEV('The List'!AG2:AG665)</f>
        <v>-0.625770787132651</v>
      </c>
      <c r="U448" s="77">
        <f>(VLOOKUP($A448,'The List'!$B1:$AH665,33,FALSE)-AVERAGE('The List'!AH2:AH665))/STDEV('The List'!AH2:AH665)</f>
        <v>-1.23143509451486</v>
      </c>
      <c r="V448" s="77"/>
      <c r="W448" s="89"/>
      <c r="X448" s="79"/>
      <c r="Y448" s="79"/>
      <c r="Z448" s="79"/>
      <c r="AA448" s="79"/>
      <c r="AB448" s="79"/>
      <c r="AC448" s="82"/>
      <c r="AD448" s="83"/>
      <c r="AE448" s="84"/>
    </row>
    <row r="449" ht="21.25" customHeight="1">
      <c r="A449" t="s" s="10">
        <v>809</v>
      </c>
      <c r="B449" t="s" s="86">
        <f>VLOOKUP(A449,'Player Data'!A1:B667,2,FALSE)</f>
        <v>132</v>
      </c>
      <c r="C449" s="74">
        <f>((E449)*'Settings'!$C$12)+(F449*'Settings'!$C$2)+(G449*'Settings'!$C$3)+(H449*'Settings'!$C$4)+(I449*'Settings'!$C$5)+(K449*'Settings'!$C$9)+(N449*'Settings'!$C$6)+(J449*'Settings'!$C$8)+(O449*'Settings'!$C$7)+(P449*'Settings'!$C$14)+(Q449*'Settings'!$C$15)+(R449*'Settings'!$C$16)+(S449*'Settings'!$C$17)+(T449*'Settings'!$C$18)+(U449*'Settings'!$C$19)+(L449*'Settings'!$C$10)+('Settings'!$C$11*M449)</f>
        <v>-2.73895855179168</v>
      </c>
      <c r="D449" s="79">
        <f>IF('Settings'!$E$12="YES",VLOOKUP(A449,'Player Data'!A1:E667,5,FALSE),82)</f>
        <v>69.06</v>
      </c>
      <c r="E449" s="77">
        <f>(VLOOKUP($A449,'The List'!$B1:$AH665,17,FALSE)-AVERAGE('The List'!R2:R665))/STDEV('The List'!R2:R665)</f>
        <v>-1.54339108604014</v>
      </c>
      <c r="F449" s="77">
        <f>(VLOOKUP($A449,'The List'!$B1:$AH665,18,FALSE)-AVERAGE('The List'!S2:S665))/STDEV('The List'!S2:S665)</f>
        <v>-0.622323620547905</v>
      </c>
      <c r="G449" s="77">
        <f>(VLOOKUP($A449,'The List'!$B1:$AH665,19,FALSE)-AVERAGE('The List'!T2:T665))/STDEV('The List'!T2:T665)</f>
        <v>-0.881562206879151</v>
      </c>
      <c r="H449" s="77">
        <f>(VLOOKUP($A449,'The List'!$B1:$AH665,20,FALSE)-AVERAGE('The List'!U2:U665))/STDEV('The List'!U2:U665)</f>
        <v>-0.830375366007465</v>
      </c>
      <c r="I449" s="77">
        <f>(VLOOKUP($A449,'The List'!$B1:$AH665,21,FALSE)-AVERAGE('The List'!V2:V665))/STDEV('The List'!V2:V665)</f>
        <v>-1.08253758523998</v>
      </c>
      <c r="J449" s="77">
        <f>(VLOOKUP($A449,'The List'!$B1:$AH665,22,FALSE)-AVERAGE('The List'!W2:W665))/STDEV('The List'!W2:W665)</f>
        <v>-0.727214251896745</v>
      </c>
      <c r="K449" s="77">
        <f>(VLOOKUP($A449,'The List'!$B1:$AH665,23,FALSE)-AVERAGE('The List'!X2:X665))/STDEV('The List'!X2:X665)</f>
        <v>-0.815852339499847</v>
      </c>
      <c r="L449" s="77">
        <f>(VLOOKUP($A449,'The List'!$B1:$AH665,24,FALSE)-AVERAGE('The List'!Y2:Y665))/STDEV('The List'!Y2:Y665)</f>
        <v>-0.368059612240177</v>
      </c>
      <c r="M449" s="77">
        <f>(VLOOKUP($A449,'The List'!$B1:$AH665,25,FALSE)-AVERAGE('The List'!Z2:Z665))/STDEV('The List'!Z2:Z665)</f>
        <v>-0.536864965572026</v>
      </c>
      <c r="N449" s="77">
        <f>(VLOOKUP($A449,'The List'!$B1:$AH665,26,FALSE)-AVERAGE('The List'!AA2:AA665))/STDEV('The List'!AA2:AA665)</f>
        <v>-0.466379058408956</v>
      </c>
      <c r="O449" s="77">
        <f>(VLOOKUP($A449,'The List'!$B1:$AH665,27,FALSE)-AVERAGE('The List'!AB2:AB665))/STDEV('The List'!AB2:AB665)</f>
        <v>-0.34304049051385</v>
      </c>
      <c r="P449" s="77">
        <f>(VLOOKUP($A449,'The List'!$B1:$AH665,28,FALSE)-AVERAGE('The List'!AC2:AC665))/STDEV('The List'!AC2:AC665)</f>
        <v>1.12969625878416</v>
      </c>
      <c r="Q449" s="77">
        <f>(VLOOKUP($A449,'The List'!$B1:$AH665,29,FALSE)-AVERAGE('The List'!AD2:AD665))/STDEV('The List'!AD2:AD665)</f>
        <v>-0.63424549876319</v>
      </c>
      <c r="R449" s="77">
        <f>(VLOOKUP($A449,'The List'!$B1:$AH665,30,FALSE)-AVERAGE('The List'!AE2:AE665))/STDEV('The List'!AE2:AE665)</f>
        <v>-0.5447520816442381</v>
      </c>
      <c r="S449" s="77">
        <f>(VLOOKUP($A449,'The List'!$B1:$AH665,31,FALSE)-AVERAGE('The List'!AF2:AF665))/STDEV('The List'!AF2:AF665)</f>
        <v>0.020055332430559</v>
      </c>
      <c r="T449" s="77">
        <f>(VLOOKUP($A449,'The List'!$B1:$AH665,32,FALSE)-AVERAGE('The List'!AG2:AG665))/STDEV('The List'!AG2:AG665)</f>
        <v>0.146201205162972</v>
      </c>
      <c r="U449" s="77">
        <f>(VLOOKUP($A449,'The List'!$B1:$AH665,33,FALSE)-AVERAGE('The List'!AH2:AH665))/STDEV('The List'!AH2:AH665)</f>
        <v>0.808686456526684</v>
      </c>
      <c r="V449" s="77"/>
      <c r="W449" s="89"/>
      <c r="X449" s="79"/>
      <c r="Y449" s="79"/>
      <c r="Z449" s="79"/>
      <c r="AA449" s="79"/>
      <c r="AB449" s="79"/>
      <c r="AC449" s="82"/>
      <c r="AD449" s="83"/>
      <c r="AE449" s="84"/>
    </row>
    <row r="450" ht="21.25" customHeight="1">
      <c r="A450" t="s" s="10">
        <v>758</v>
      </c>
      <c r="B450" t="s" s="86">
        <f>VLOOKUP(A450,'Player Data'!A1:B667,2,FALSE)</f>
        <v>129</v>
      </c>
      <c r="C450" s="74">
        <f>((E450)*'Settings'!$C$12)+(F450*'Settings'!$C$2)+(G450*'Settings'!$C$3)+(H450*'Settings'!$C$4)+(I450*'Settings'!$C$5)+(K450*'Settings'!$C$9)+(N450*'Settings'!$C$6)+(J450*'Settings'!$C$8)+(O450*'Settings'!$C$7)+(P450*'Settings'!$C$14)+(Q450*'Settings'!$C$15)+(R450*'Settings'!$C$16)+(S450*'Settings'!$C$17)+(T450*'Settings'!$C$18)+(U450*'Settings'!$C$19)+(L450*'Settings'!$C$10)+('Settings'!$C$11*M450)</f>
        <v>-3.57618259100623</v>
      </c>
      <c r="D450" s="79">
        <f>IF('Settings'!$E$12="YES",VLOOKUP(A450,'Player Data'!A1:E667,5,FALSE),82)</f>
        <v>64.63500000000001</v>
      </c>
      <c r="E450" s="77">
        <f>(VLOOKUP($A450,'The List'!$B1:$AH665,17,FALSE)-AVERAGE('The List'!R2:R665))/STDEV('The List'!R2:R665)</f>
        <v>-1.31127070598462</v>
      </c>
      <c r="F450" s="77">
        <f>(VLOOKUP($A450,'The List'!$B1:$AH665,18,FALSE)-AVERAGE('The List'!S2:S665))/STDEV('The List'!S2:S665)</f>
        <v>-0.588828168223978</v>
      </c>
      <c r="G450" s="77">
        <f>(VLOOKUP($A450,'The List'!$B1:$AH665,19,FALSE)-AVERAGE('The List'!T2:T665))/STDEV('The List'!T2:T665)</f>
        <v>-0.994221600110058</v>
      </c>
      <c r="H450" s="77">
        <f>(VLOOKUP($A450,'The List'!$B1:$AH665,20,FALSE)-AVERAGE('The List'!U2:U665))/STDEV('The List'!U2:U665)</f>
        <v>-0.885117908581191</v>
      </c>
      <c r="I450" s="77">
        <f>(VLOOKUP($A450,'The List'!$B1:$AH665,21,FALSE)-AVERAGE('The List'!V2:V665))/STDEV('The List'!V2:V665)</f>
        <v>-0.832040119383528</v>
      </c>
      <c r="J450" s="77">
        <f>(VLOOKUP($A450,'The List'!$B1:$AH665,22,FALSE)-AVERAGE('The List'!W2:W665))/STDEV('The List'!W2:W665)</f>
        <v>-0.659299103324645</v>
      </c>
      <c r="K450" s="77">
        <f>(VLOOKUP($A450,'The List'!$B1:$AH665,23,FALSE)-AVERAGE('The List'!X2:X665))/STDEV('The List'!X2:X665)</f>
        <v>-0.763146165805985</v>
      </c>
      <c r="L450" s="77">
        <f>(VLOOKUP($A450,'The List'!$B1:$AH665,24,FALSE)-AVERAGE('The List'!Y2:Y665))/STDEV('The List'!Y2:Y665)</f>
        <v>-0.580182913902084</v>
      </c>
      <c r="M450" s="77">
        <f>(VLOOKUP($A450,'The List'!$B1:$AH665,25,FALSE)-AVERAGE('The List'!Z2:Z665))/STDEV('The List'!Z2:Z665)</f>
        <v>-0.754036664989997</v>
      </c>
      <c r="N450" s="77">
        <f>(VLOOKUP($A450,'The List'!$B1:$AH665,26,FALSE)-AVERAGE('The List'!AA2:AA665))/STDEV('The List'!AA2:AA665)</f>
        <v>-0.999822766458166</v>
      </c>
      <c r="O450" s="77">
        <f>(VLOOKUP($A450,'The List'!$B1:$AH665,27,FALSE)-AVERAGE('The List'!AB2:AB665))/STDEV('The List'!AB2:AB665)</f>
        <v>0.838409825617249</v>
      </c>
      <c r="P450" s="77">
        <f>(VLOOKUP($A450,'The List'!$B1:$AH665,28,FALSE)-AVERAGE('The List'!AC2:AC665))/STDEV('The List'!AC2:AC665)</f>
        <v>0.60187622897549</v>
      </c>
      <c r="Q450" s="77">
        <f>(VLOOKUP($A450,'The List'!$B1:$AH665,29,FALSE)-AVERAGE('The List'!AD2:AD665))/STDEV('The List'!AD2:AD665)</f>
        <v>-0.849256687848419</v>
      </c>
      <c r="R450" s="77">
        <f>(VLOOKUP($A450,'The List'!$B1:$AH665,30,FALSE)-AVERAGE('The List'!AE2:AE665))/STDEV('The List'!AE2:AE665)</f>
        <v>-0.503220425798283</v>
      </c>
      <c r="S450" s="77">
        <f>(VLOOKUP($A450,'The List'!$B1:$AH665,31,FALSE)-AVERAGE('The List'!AF2:AF665))/STDEV('The List'!AF2:AF665)</f>
        <v>-0.526722026099244</v>
      </c>
      <c r="T450" s="77">
        <f>(VLOOKUP($A450,'The List'!$B1:$AH665,32,FALSE)-AVERAGE('The List'!AG2:AG665))/STDEV('The List'!AG2:AG665)</f>
        <v>-0.556021738191692</v>
      </c>
      <c r="U450" s="77">
        <f>(VLOOKUP($A450,'The List'!$B1:$AH665,33,FALSE)-AVERAGE('The List'!AH2:AH665))/STDEV('The List'!AH2:AH665)</f>
        <v>0.665142878243579</v>
      </c>
      <c r="V450" s="77"/>
      <c r="W450" s="89"/>
      <c r="X450" s="79"/>
      <c r="Y450" s="79"/>
      <c r="Z450" s="79"/>
      <c r="AA450" s="79"/>
      <c r="AB450" s="79"/>
      <c r="AC450" s="82"/>
      <c r="AD450" s="83"/>
      <c r="AE450" s="84"/>
    </row>
    <row r="451" ht="21.25" customHeight="1">
      <c r="A451" t="s" s="10">
        <v>762</v>
      </c>
      <c r="B451" t="s" s="86">
        <f>VLOOKUP(A451,'Player Data'!A1:B667,2,FALSE)</f>
        <v>907</v>
      </c>
      <c r="C451" s="74">
        <f>((E451)*'Settings'!$C$12)+(F451*'Settings'!$C$2)+(G451*'Settings'!$C$3)+(H451*'Settings'!$C$4)+(I451*'Settings'!$C$5)+(K451*'Settings'!$C$9)+(N451*'Settings'!$C$6)+(J451*'Settings'!$C$8)+(O451*'Settings'!$C$7)+(P451*'Settings'!$C$14)+(Q451*'Settings'!$C$15)+(R451*'Settings'!$C$16)+(S451*'Settings'!$C$17)+(T451*'Settings'!$C$18)+(U451*'Settings'!$C$19)+(L451*'Settings'!$C$10)+('Settings'!$C$11*M451)</f>
        <v>-4.805116978008</v>
      </c>
      <c r="D451" s="79">
        <f>IF('Settings'!$E$12="YES",VLOOKUP(A451,'Player Data'!A1:E667,5,FALSE),82)</f>
        <v>75.715</v>
      </c>
      <c r="E451" s="77">
        <f>(VLOOKUP($A451,'The List'!$B1:$AH665,17,FALSE)-AVERAGE('The List'!R2:R665))/STDEV('The List'!R2:R665)</f>
        <v>-1.21794805353275</v>
      </c>
      <c r="F451" s="77">
        <f>(VLOOKUP($A451,'The List'!$B1:$AH665,18,FALSE)-AVERAGE('The List'!S2:S665))/STDEV('The List'!S2:S665)</f>
        <v>-0.729374386092456</v>
      </c>
      <c r="G451" s="77">
        <f>(VLOOKUP($A451,'The List'!$B1:$AH665,19,FALSE)-AVERAGE('The List'!T2:T665))/STDEV('The List'!T2:T665)</f>
        <v>-0.681719815628579</v>
      </c>
      <c r="H451" s="77">
        <f>(VLOOKUP($A451,'The List'!$B1:$AH665,20,FALSE)-AVERAGE('The List'!U2:U665))/STDEV('The List'!U2:U665)</f>
        <v>-0.754921665751437</v>
      </c>
      <c r="I451" s="77">
        <f>(VLOOKUP($A451,'The List'!$B1:$AH665,21,FALSE)-AVERAGE('The List'!V2:V665))/STDEV('The List'!V2:V665)</f>
        <v>-1.04899028785142</v>
      </c>
      <c r="J451" s="77">
        <f>(VLOOKUP($A451,'The List'!$B1:$AH665,22,FALSE)-AVERAGE('The List'!W2:W665))/STDEV('The List'!W2:W665)</f>
        <v>-0.501110432983504</v>
      </c>
      <c r="K451" s="77">
        <f>(VLOOKUP($A451,'The List'!$B1:$AH665,23,FALSE)-AVERAGE('The List'!X2:X665))/STDEV('The List'!X2:X665)</f>
        <v>-0.625053603069866</v>
      </c>
      <c r="L451" s="77">
        <f>(VLOOKUP($A451,'The List'!$B1:$AH665,24,FALSE)-AVERAGE('The List'!Y2:Y665))/STDEV('The List'!Y2:Y665)</f>
        <v>0.335758411018932</v>
      </c>
      <c r="M451" s="77">
        <f>(VLOOKUP($A451,'The List'!$B1:$AH665,25,FALSE)-AVERAGE('The List'!Z2:Z665))/STDEV('The List'!Z2:Z665)</f>
        <v>0.865203269779537</v>
      </c>
      <c r="N451" s="77">
        <f>(VLOOKUP($A451,'The List'!$B1:$AH665,26,FALSE)-AVERAGE('The List'!AA2:AA665))/STDEV('The List'!AA2:AA665)</f>
        <v>-0.5044410658727611</v>
      </c>
      <c r="O451" s="77">
        <f>(VLOOKUP($A451,'The List'!$B1:$AH665,27,FALSE)-AVERAGE('The List'!AB2:AB665))/STDEV('The List'!AB2:AB665)</f>
        <v>-0.09359760938685099</v>
      </c>
      <c r="P451" s="77">
        <f>(VLOOKUP($A451,'The List'!$B1:$AH665,28,FALSE)-AVERAGE('The List'!AC2:AC665))/STDEV('The List'!AC2:AC665)</f>
        <v>-1.21553781949292</v>
      </c>
      <c r="Q451" s="77">
        <f>(VLOOKUP($A451,'The List'!$B1:$AH665,29,FALSE)-AVERAGE('The List'!AD2:AD665))/STDEV('The List'!AD2:AD665)</f>
        <v>-0.38728144658896</v>
      </c>
      <c r="R451" s="77">
        <f>(VLOOKUP($A451,'The List'!$B1:$AH665,30,FALSE)-AVERAGE('The List'!AE2:AE665))/STDEV('The List'!AE2:AE665)</f>
        <v>-0.808173528547622</v>
      </c>
      <c r="S451" s="77">
        <f>(VLOOKUP($A451,'The List'!$B1:$AH665,31,FALSE)-AVERAGE('The List'!AF2:AF665))/STDEV('The List'!AF2:AF665)</f>
        <v>0.364578828498105</v>
      </c>
      <c r="T451" s="77">
        <f>(VLOOKUP($A451,'The List'!$B1:$AH665,32,FALSE)-AVERAGE('The List'!AG2:AG665))/STDEV('The List'!AG2:AG665)</f>
        <v>0.747165319845691</v>
      </c>
      <c r="U451" s="77">
        <f>(VLOOKUP($A451,'The List'!$B1:$AH665,33,FALSE)-AVERAGE('The List'!AH2:AH665))/STDEV('The List'!AH2:AH665)</f>
        <v>0.676892538223549</v>
      </c>
      <c r="V451" s="77"/>
      <c r="W451" s="89"/>
      <c r="X451" s="79"/>
      <c r="Y451" s="79"/>
      <c r="Z451" s="79"/>
      <c r="AA451" s="79"/>
      <c r="AB451" s="79"/>
      <c r="AC451" s="82"/>
      <c r="AD451" s="83"/>
      <c r="AE451" s="84"/>
    </row>
    <row r="452" ht="21.25" customHeight="1">
      <c r="A452" t="s" s="10">
        <v>598</v>
      </c>
      <c r="B452" t="s" s="86">
        <f>VLOOKUP(A452,'Player Data'!A1:B667,2,FALSE)</f>
        <v>165</v>
      </c>
      <c r="C452" s="74">
        <f>((E452)*'Settings'!$C$12)+(F452*'Settings'!$C$2)+(G452*'Settings'!$C$3)+(H452*'Settings'!$C$4)+(I452*'Settings'!$C$5)+(K452*'Settings'!$C$9)+(N452*'Settings'!$C$6)+(J452*'Settings'!$C$8)+(O452*'Settings'!$C$7)+(P452*'Settings'!$C$14)+(Q452*'Settings'!$C$15)+(R452*'Settings'!$C$16)+(S452*'Settings'!$C$17)+(T452*'Settings'!$C$18)+(U452*'Settings'!$C$19)+(L452*'Settings'!$C$10)+('Settings'!$C$11*M452)</f>
        <v>-1.07226405589479</v>
      </c>
      <c r="D452" s="79">
        <f>IF('Settings'!$E$12="YES",VLOOKUP(A452,'Player Data'!A1:E667,5,FALSE),82)</f>
        <v>75.4025</v>
      </c>
      <c r="E452" s="77">
        <f>(VLOOKUP($A452,'The List'!$B1:$AH665,17,FALSE)-AVERAGE('The List'!R2:R665))/STDEV('The List'!R2:R665)</f>
        <v>0.402157157914083</v>
      </c>
      <c r="F452" s="77">
        <f>(VLOOKUP($A452,'The List'!$B1:$AH665,18,FALSE)-AVERAGE('The List'!S2:S665))/STDEV('The List'!S2:S665)</f>
        <v>-0.9679019929491069</v>
      </c>
      <c r="G452" s="77">
        <f>(VLOOKUP($A452,'The List'!$B1:$AH665,19,FALSE)-AVERAGE('The List'!T2:T665))/STDEV('The List'!T2:T665)</f>
        <v>-0.516424100034955</v>
      </c>
      <c r="H452" s="77">
        <f>(VLOOKUP($A452,'The List'!$B1:$AH665,20,FALSE)-AVERAGE('The List'!U2:U665))/STDEV('The List'!U2:U665)</f>
        <v>-0.760685867545066</v>
      </c>
      <c r="I452" s="77">
        <f>(VLOOKUP($A452,'The List'!$B1:$AH665,21,FALSE)-AVERAGE('The List'!V2:V665))/STDEV('The List'!V2:V665)</f>
        <v>-0.564228481534503</v>
      </c>
      <c r="J452" s="77">
        <f>(VLOOKUP($A452,'The List'!$B1:$AH665,22,FALSE)-AVERAGE('The List'!W2:W665))/STDEV('The List'!W2:W665)</f>
        <v>-0.74085868534768</v>
      </c>
      <c r="K452" s="77">
        <f>(VLOOKUP($A452,'The List'!$B1:$AH665,23,FALSE)-AVERAGE('The List'!X2:X665))/STDEV('The List'!X2:X665)</f>
        <v>-0.812701526784659</v>
      </c>
      <c r="L452" s="77">
        <f>(VLOOKUP($A452,'The List'!$B1:$AH665,24,FALSE)-AVERAGE('The List'!Y2:Y665))/STDEV('The List'!Y2:Y665)</f>
        <v>-0.538514698090483</v>
      </c>
      <c r="M452" s="77">
        <f>(VLOOKUP($A452,'The List'!$B1:$AH665,25,FALSE)-AVERAGE('The List'!Z2:Z665))/STDEV('The List'!Z2:Z665)</f>
        <v>-0.629618767028481</v>
      </c>
      <c r="N452" s="77">
        <f>(VLOOKUP($A452,'The List'!$B1:$AH665,26,FALSE)-AVERAGE('The List'!AA2:AA665))/STDEV('The List'!AA2:AA665)</f>
        <v>1.36693225982798</v>
      </c>
      <c r="O452" s="77">
        <f>(VLOOKUP($A452,'The List'!$B1:$AH665,27,FALSE)-AVERAGE('The List'!AB2:AB665))/STDEV('The List'!AB2:AB665)</f>
        <v>-0.115972838594546</v>
      </c>
      <c r="P452" s="77">
        <f>(VLOOKUP($A452,'The List'!$B1:$AH665,28,FALSE)-AVERAGE('The List'!AC2:AC665))/STDEV('The List'!AC2:AC665)</f>
        <v>0.422059785580457</v>
      </c>
      <c r="Q452" s="77">
        <f>(VLOOKUP($A452,'The List'!$B1:$AH665,29,FALSE)-AVERAGE('The List'!AD2:AD665))/STDEV('The List'!AD2:AD665)</f>
        <v>0.218085009451916</v>
      </c>
      <c r="R452" s="77">
        <f>(VLOOKUP($A452,'The List'!$B1:$AH665,30,FALSE)-AVERAGE('The List'!AE2:AE665))/STDEV('The List'!AE2:AE665)</f>
        <v>-0.942763307397135</v>
      </c>
      <c r="S452" s="77">
        <f>(VLOOKUP($A452,'The List'!$B1:$AH665,31,FALSE)-AVERAGE('The List'!AF2:AF665))/STDEV('The List'!AF2:AF665)</f>
        <v>-0.573894410680004</v>
      </c>
      <c r="T452" s="77">
        <f>(VLOOKUP($A452,'The List'!$B1:$AH665,32,FALSE)-AVERAGE('The List'!AG2:AG665))/STDEV('The List'!AG2:AG665)</f>
        <v>-0.625770787132651</v>
      </c>
      <c r="U452" s="77">
        <f>(VLOOKUP($A452,'The List'!$B1:$AH665,33,FALSE)-AVERAGE('The List'!AH2:AH665))/STDEV('The List'!AH2:AH665)</f>
        <v>-1.23143509451486</v>
      </c>
      <c r="V452" s="77"/>
      <c r="W452" s="89"/>
      <c r="X452" s="79"/>
      <c r="Y452" s="79"/>
      <c r="Z452" s="79"/>
      <c r="AA452" s="79"/>
      <c r="AB452" s="79"/>
      <c r="AC452" s="82"/>
      <c r="AD452" s="83"/>
      <c r="AE452" s="84"/>
    </row>
    <row r="453" ht="21.25" customHeight="1">
      <c r="A453" t="s" s="10">
        <v>670</v>
      </c>
      <c r="B453" t="s" s="86">
        <f>VLOOKUP(A453,'Player Data'!A1:B667,2,FALSE)</f>
        <v>907</v>
      </c>
      <c r="C453" s="74">
        <f>((E453)*'Settings'!$C$12)+(F453*'Settings'!$C$2)+(G453*'Settings'!$C$3)+(H453*'Settings'!$C$4)+(I453*'Settings'!$C$5)+(K453*'Settings'!$C$9)+(N453*'Settings'!$C$6)+(J453*'Settings'!$C$8)+(O453*'Settings'!$C$7)+(P453*'Settings'!$C$14)+(Q453*'Settings'!$C$15)+(R453*'Settings'!$C$16)+(S453*'Settings'!$C$17)+(T453*'Settings'!$C$18)+(U453*'Settings'!$C$19)+(L453*'Settings'!$C$10)+('Settings'!$C$11*M453)</f>
        <v>-3.28084569341141</v>
      </c>
      <c r="D453" s="79">
        <f>IF('Settings'!$E$12="YES",VLOOKUP(A453,'Player Data'!A1:E667,5,FALSE),82)</f>
        <v>80.78</v>
      </c>
      <c r="E453" s="77">
        <f>(VLOOKUP($A453,'The List'!$B1:$AH665,17,FALSE)-AVERAGE('The List'!R2:R665))/STDEV('The List'!R2:R665)</f>
        <v>1.01593928535531</v>
      </c>
      <c r="F453" s="77">
        <f>(VLOOKUP($A453,'The List'!$B1:$AH665,18,FALSE)-AVERAGE('The List'!S2:S665))/STDEV('The List'!S2:S665)</f>
        <v>-1.07712931526884</v>
      </c>
      <c r="G453" s="77">
        <f>(VLOOKUP($A453,'The List'!$B1:$AH665,19,FALSE)-AVERAGE('The List'!T2:T665))/STDEV('The List'!T2:T665)</f>
        <v>-0.33603515136036</v>
      </c>
      <c r="H453" s="77">
        <f>(VLOOKUP($A453,'The List'!$B1:$AH665,20,FALSE)-AVERAGE('The List'!U2:U665))/STDEV('The List'!U2:U665)</f>
        <v>-0.698303197473477</v>
      </c>
      <c r="I453" s="77">
        <f>(VLOOKUP($A453,'The List'!$B1:$AH665,21,FALSE)-AVERAGE('The List'!V2:V665))/STDEV('The List'!V2:V665)</f>
        <v>-1.00388702155009</v>
      </c>
      <c r="J453" s="77">
        <f>(VLOOKUP($A453,'The List'!$B1:$AH665,22,FALSE)-AVERAGE('The List'!W2:W665))/STDEV('The List'!W2:W665)</f>
        <v>-0.743974915155414</v>
      </c>
      <c r="K453" s="77">
        <f>(VLOOKUP($A453,'The List'!$B1:$AH665,23,FALSE)-AVERAGE('The List'!X2:X665))/STDEV('The List'!X2:X665)</f>
        <v>-0.812395502651816</v>
      </c>
      <c r="L453" s="77">
        <f>(VLOOKUP($A453,'The List'!$B1:$AH665,24,FALSE)-AVERAGE('The List'!Y2:Y665))/STDEV('The List'!Y2:Y665)</f>
        <v>0.368732158099547</v>
      </c>
      <c r="M453" s="77">
        <f>(VLOOKUP($A453,'The List'!$B1:$AH665,25,FALSE)-AVERAGE('The List'!Z2:Z665))/STDEV('The List'!Z2:Z665)</f>
        <v>0.663539710413192</v>
      </c>
      <c r="N453" s="77">
        <f>(VLOOKUP($A453,'The List'!$B1:$AH665,26,FALSE)-AVERAGE('The List'!AA2:AA665))/STDEV('The List'!AA2:AA665)</f>
        <v>1.19539525105217</v>
      </c>
      <c r="O453" s="77">
        <f>(VLOOKUP($A453,'The List'!$B1:$AH665,27,FALSE)-AVERAGE('The List'!AB2:AB665))/STDEV('The List'!AB2:AB665)</f>
        <v>-0.711898602500618</v>
      </c>
      <c r="P453" s="77">
        <f>(VLOOKUP($A453,'The List'!$B1:$AH665,28,FALSE)-AVERAGE('The List'!AC2:AC665))/STDEV('The List'!AC2:AC665)</f>
        <v>-1.24679395363247</v>
      </c>
      <c r="Q453" s="77">
        <f>(VLOOKUP($A453,'The List'!$B1:$AH665,29,FALSE)-AVERAGE('The List'!AD2:AD665))/STDEV('The List'!AD2:AD665)</f>
        <v>-0.763044182586499</v>
      </c>
      <c r="R453" s="77">
        <f>(VLOOKUP($A453,'The List'!$B1:$AH665,30,FALSE)-AVERAGE('The List'!AE2:AE665))/STDEV('The List'!AE2:AE665)</f>
        <v>-1.0769085671318</v>
      </c>
      <c r="S453" s="77">
        <f>(VLOOKUP($A453,'The List'!$B1:$AH665,31,FALSE)-AVERAGE('The List'!AF2:AF665))/STDEV('The List'!AF2:AF665)</f>
        <v>-0.573894410680004</v>
      </c>
      <c r="T453" s="77">
        <f>(VLOOKUP($A453,'The List'!$B1:$AH665,32,FALSE)-AVERAGE('The List'!AG2:AG665))/STDEV('The List'!AG2:AG665)</f>
        <v>-0.625770787132651</v>
      </c>
      <c r="U453" s="77">
        <f>(VLOOKUP($A453,'The List'!$B1:$AH665,33,FALSE)-AVERAGE('The List'!AH2:AH665))/STDEV('The List'!AH2:AH665)</f>
        <v>-1.23143509451486</v>
      </c>
      <c r="V453" s="77"/>
      <c r="W453" s="79"/>
      <c r="X453" s="77"/>
      <c r="Y453" s="77"/>
      <c r="Z453" s="77"/>
      <c r="AA453" s="77"/>
      <c r="AB453" s="77"/>
      <c r="AC453" s="77"/>
      <c r="AD453" s="77"/>
      <c r="AE453" s="84"/>
    </row>
    <row r="454" ht="21.25" customHeight="1">
      <c r="A454" t="s" s="10">
        <v>589</v>
      </c>
      <c r="B454" t="s" s="86">
        <f>VLOOKUP(A454,'Player Data'!A1:B667,2,FALSE)</f>
        <v>911</v>
      </c>
      <c r="C454" s="74">
        <f>((E454)*'Settings'!$C$12)+(F454*'Settings'!$C$2)+(G454*'Settings'!$C$3)+(H454*'Settings'!$C$4)+(I454*'Settings'!$C$5)+(K454*'Settings'!$C$9)+(N454*'Settings'!$C$6)+(J454*'Settings'!$C$8)+(O454*'Settings'!$C$7)+(P454*'Settings'!$C$14)+(Q454*'Settings'!$C$15)+(R454*'Settings'!$C$16)+(S454*'Settings'!$C$17)+(T454*'Settings'!$C$18)+(U454*'Settings'!$C$19)+(L454*'Settings'!$C$10)+('Settings'!$C$11*M454)</f>
        <v>-3.89492510834503</v>
      </c>
      <c r="D454" s="79">
        <f>IF('Settings'!$E$12="YES",VLOOKUP(A454,'Player Data'!A1:E667,5,FALSE),82)</f>
        <v>76.58</v>
      </c>
      <c r="E454" s="77">
        <f>(VLOOKUP($A454,'The List'!$B1:$AH665,17,FALSE)-AVERAGE('The List'!R2:R665))/STDEV('The List'!R2:R665)</f>
        <v>-1.51565884106275</v>
      </c>
      <c r="F454" s="77">
        <f>(VLOOKUP($A454,'The List'!$B1:$AH665,18,FALSE)-AVERAGE('The List'!S2:S665))/STDEV('The List'!S2:S665)</f>
        <v>-0.326674785359631</v>
      </c>
      <c r="G454" s="77">
        <f>(VLOOKUP($A454,'The List'!$B1:$AH665,19,FALSE)-AVERAGE('The List'!T2:T665))/STDEV('The List'!T2:T665)</f>
        <v>-0.969047244049218</v>
      </c>
      <c r="H454" s="77">
        <f>(VLOOKUP($A454,'The List'!$B1:$AH665,20,FALSE)-AVERAGE('The List'!U2:U665))/STDEV('The List'!U2:U665)</f>
        <v>-0.7503220442984549</v>
      </c>
      <c r="I454" s="77">
        <f>(VLOOKUP($A454,'The List'!$B1:$AH665,21,FALSE)-AVERAGE('The List'!V2:V665))/STDEV('The List'!V2:V665)</f>
        <v>-0.546753982409158</v>
      </c>
      <c r="J454" s="77">
        <f>(VLOOKUP($A454,'The List'!$B1:$AH665,22,FALSE)-AVERAGE('The List'!W2:W665))/STDEV('The List'!W2:W665)</f>
        <v>-0.726916639344667</v>
      </c>
      <c r="K454" s="77">
        <f>(VLOOKUP($A454,'The List'!$B1:$AH665,23,FALSE)-AVERAGE('The List'!X2:X665))/STDEV('The List'!X2:X665)</f>
        <v>-0.812561418212539</v>
      </c>
      <c r="L454" s="77">
        <f>(VLOOKUP($A454,'The List'!$B1:$AH665,24,FALSE)-AVERAGE('The List'!Y2:Y665))/STDEV('The List'!Y2:Y665)</f>
        <v>-0.270195914790299</v>
      </c>
      <c r="M454" s="77">
        <f>(VLOOKUP($A454,'The List'!$B1:$AH665,25,FALSE)-AVERAGE('The List'!Z2:Z665))/STDEV('The List'!Z2:Z665)</f>
        <v>-0.434300298142445</v>
      </c>
      <c r="N454" s="77">
        <f>(VLOOKUP($A454,'The List'!$B1:$AH665,26,FALSE)-AVERAGE('The List'!AA2:AA665))/STDEV('The List'!AA2:AA665)</f>
        <v>-0.871027372345529</v>
      </c>
      <c r="O454" s="77">
        <f>(VLOOKUP($A454,'The List'!$B1:$AH665,27,FALSE)-AVERAGE('The List'!AB2:AB665))/STDEV('The List'!AB2:AB665)</f>
        <v>2.06307637957926</v>
      </c>
      <c r="P454" s="77">
        <f>(VLOOKUP($A454,'The List'!$B1:$AH665,28,FALSE)-AVERAGE('The List'!AC2:AC665))/STDEV('The List'!AC2:AC665)</f>
        <v>-0.368860305968952</v>
      </c>
      <c r="Q454" s="77">
        <f>(VLOOKUP($A454,'The List'!$B1:$AH665,29,FALSE)-AVERAGE('The List'!AD2:AD665))/STDEV('The List'!AD2:AD665)</f>
        <v>-0.593203220963897</v>
      </c>
      <c r="R454" s="77">
        <f>(VLOOKUP($A454,'The List'!$B1:$AH665,30,FALSE)-AVERAGE('The List'!AE2:AE665))/STDEV('The List'!AE2:AE665)</f>
        <v>-0.293723183395167</v>
      </c>
      <c r="S454" s="77">
        <f>(VLOOKUP($A454,'The List'!$B1:$AH665,31,FALSE)-AVERAGE('The List'!AF2:AF665))/STDEV('The List'!AF2:AF665)</f>
        <v>-0.385377186931963</v>
      </c>
      <c r="T454" s="77">
        <f>(VLOOKUP($A454,'The List'!$B1:$AH665,32,FALSE)-AVERAGE('The List'!AG2:AG665))/STDEV('The List'!AG2:AG665)</f>
        <v>-0.400802347326968</v>
      </c>
      <c r="U454" s="77">
        <f>(VLOOKUP($A454,'The List'!$B1:$AH665,33,FALSE)-AVERAGE('The List'!AH2:AH665))/STDEV('The List'!AH2:AH665)</f>
        <v>0.904833876081189</v>
      </c>
      <c r="V454" s="77"/>
      <c r="W454" s="89"/>
      <c r="X454" s="79"/>
      <c r="Y454" s="79"/>
      <c r="Z454" s="79"/>
      <c r="AA454" s="79"/>
      <c r="AB454" s="79"/>
      <c r="AC454" s="82"/>
      <c r="AD454" s="83"/>
      <c r="AE454" s="84"/>
    </row>
    <row r="455" ht="21.25" customHeight="1">
      <c r="A455" t="s" s="10">
        <v>801</v>
      </c>
      <c r="B455" t="s" s="86">
        <f>VLOOKUP(A455,'Player Data'!A1:B667,2,FALSE)</f>
        <v>902</v>
      </c>
      <c r="C455" s="74">
        <f>((E455)*'Settings'!$C$12)+(F455*'Settings'!$C$2)+(G455*'Settings'!$C$3)+(H455*'Settings'!$C$4)+(I455*'Settings'!$C$5)+(K455*'Settings'!$C$9)+(N455*'Settings'!$C$6)+(J455*'Settings'!$C$8)+(O455*'Settings'!$C$7)+(P455*'Settings'!$C$14)+(Q455*'Settings'!$C$15)+(R455*'Settings'!$C$16)+(S455*'Settings'!$C$17)+(T455*'Settings'!$C$18)+(U455*'Settings'!$C$19)+(L455*'Settings'!$C$10)+('Settings'!$C$11*M455)</f>
        <v>-2.28149073420493</v>
      </c>
      <c r="D455" s="79">
        <f>IF('Settings'!$E$12="YES",VLOOKUP(A455,'Player Data'!A1:E667,5,FALSE),82)</f>
        <v>69.2225</v>
      </c>
      <c r="E455" s="77">
        <f>(VLOOKUP($A455,'The List'!$B1:$AH665,17,FALSE)-AVERAGE('The List'!R2:R665))/STDEV('The List'!R2:R665)</f>
        <v>-0.524317180379818</v>
      </c>
      <c r="F455" s="77">
        <f>(VLOOKUP($A455,'The List'!$B1:$AH665,18,FALSE)-AVERAGE('The List'!S2:S665))/STDEV('The List'!S2:S665)</f>
        <v>-0.9723723111645129</v>
      </c>
      <c r="G455" s="77">
        <f>(VLOOKUP($A455,'The List'!$B1:$AH665,19,FALSE)-AVERAGE('The List'!T2:T665))/STDEV('The List'!T2:T665)</f>
        <v>-0.637686449319431</v>
      </c>
      <c r="H455" s="77">
        <f>(VLOOKUP($A455,'The List'!$B1:$AH665,20,FALSE)-AVERAGE('The List'!U2:U665))/STDEV('The List'!U2:U665)</f>
        <v>-0.838028576924109</v>
      </c>
      <c r="I455" s="77">
        <f>(VLOOKUP($A455,'The List'!$B1:$AH665,21,FALSE)-AVERAGE('The List'!V2:V665))/STDEV('The List'!V2:V665)</f>
        <v>-0.7809894567029489</v>
      </c>
      <c r="J455" s="77">
        <f>(VLOOKUP($A455,'The List'!$B1:$AH665,22,FALSE)-AVERAGE('The List'!W2:W665))/STDEV('The List'!W2:W665)</f>
        <v>-0.703525250344094</v>
      </c>
      <c r="K455" s="77">
        <f>(VLOOKUP($A455,'The List'!$B1:$AH665,23,FALSE)-AVERAGE('The List'!X2:X665))/STDEV('The List'!X2:X665)</f>
        <v>-0.753802410415167</v>
      </c>
      <c r="L455" s="77">
        <f>(VLOOKUP($A455,'The List'!$B1:$AH665,24,FALSE)-AVERAGE('The List'!Y2:Y665))/STDEV('The List'!Y2:Y665)</f>
        <v>-0.579396529407606</v>
      </c>
      <c r="M455" s="77">
        <f>(VLOOKUP($A455,'The List'!$B1:$AH665,25,FALSE)-AVERAGE('The List'!Z2:Z665))/STDEV('The List'!Z2:Z665)</f>
        <v>-0.751709620901532</v>
      </c>
      <c r="N455" s="77">
        <f>(VLOOKUP($A455,'The List'!$B1:$AH665,26,FALSE)-AVERAGE('The List'!AA2:AA665))/STDEV('The List'!AA2:AA665)</f>
        <v>-0.0386550847372002</v>
      </c>
      <c r="O455" s="77">
        <f>(VLOOKUP($A455,'The List'!$B1:$AH665,27,FALSE)-AVERAGE('The List'!AB2:AB665))/STDEV('The List'!AB2:AB665)</f>
        <v>-0.550650080222304</v>
      </c>
      <c r="P455" s="77">
        <f>(VLOOKUP($A455,'The List'!$B1:$AH665,28,FALSE)-AVERAGE('The List'!AC2:AC665))/STDEV('The List'!AC2:AC665)</f>
        <v>0.902014978134327</v>
      </c>
      <c r="Q455" s="77">
        <f>(VLOOKUP($A455,'The List'!$B1:$AH665,29,FALSE)-AVERAGE('The List'!AD2:AD665))/STDEV('The List'!AD2:AD665)</f>
        <v>-0.932953788073636</v>
      </c>
      <c r="R455" s="77">
        <f>(VLOOKUP($A455,'The List'!$B1:$AH665,30,FALSE)-AVERAGE('The List'!AE2:AE665))/STDEV('The List'!AE2:AE665)</f>
        <v>-0.904354810818527</v>
      </c>
      <c r="S455" s="77">
        <f>(VLOOKUP($A455,'The List'!$B1:$AH665,31,FALSE)-AVERAGE('The List'!AF2:AF665))/STDEV('The List'!AF2:AF665)</f>
        <v>-0.573894410680004</v>
      </c>
      <c r="T455" s="77">
        <f>(VLOOKUP($A455,'The List'!$B1:$AH665,32,FALSE)-AVERAGE('The List'!AG2:AG665))/STDEV('The List'!AG2:AG665)</f>
        <v>-0.625770787132651</v>
      </c>
      <c r="U455" s="77">
        <f>(VLOOKUP($A455,'The List'!$B1:$AH665,33,FALSE)-AVERAGE('The List'!AH2:AH665))/STDEV('The List'!AH2:AH665)</f>
        <v>-1.23143509451486</v>
      </c>
      <c r="V455" s="77"/>
      <c r="W455" s="79"/>
      <c r="X455" s="79"/>
      <c r="Y455" s="79"/>
      <c r="Z455" s="79"/>
      <c r="AA455" s="79"/>
      <c r="AB455" s="79"/>
      <c r="AC455" s="82"/>
      <c r="AD455" s="83"/>
      <c r="AE455" s="84"/>
    </row>
    <row r="456" ht="21.25" customHeight="1">
      <c r="A456" t="s" s="10">
        <v>727</v>
      </c>
      <c r="B456" t="s" s="86">
        <f>VLOOKUP(A456,'Player Data'!A1:B667,2,FALSE)</f>
        <v>908</v>
      </c>
      <c r="C456" s="74">
        <f>((E456)*'Settings'!$C$12)+(F456*'Settings'!$C$2)+(G456*'Settings'!$C$3)+(H456*'Settings'!$C$4)+(I456*'Settings'!$C$5)+(K456*'Settings'!$C$9)+(N456*'Settings'!$C$6)+(J456*'Settings'!$C$8)+(O456*'Settings'!$C$7)+(P456*'Settings'!$C$14)+(Q456*'Settings'!$C$15)+(R456*'Settings'!$C$16)+(S456*'Settings'!$C$17)+(T456*'Settings'!$C$18)+(U456*'Settings'!$C$19)+(L456*'Settings'!$C$10)+('Settings'!$C$11*M456)</f>
        <v>-2.2488722726906</v>
      </c>
      <c r="D456" s="79">
        <f>IF('Settings'!$E$12="YES",VLOOKUP(A456,'Player Data'!A1:E667,5,FALSE),82)</f>
        <v>71.69499999999999</v>
      </c>
      <c r="E456" s="77">
        <f>(VLOOKUP($A456,'The List'!$B1:$AH665,17,FALSE)-AVERAGE('The List'!R2:R665))/STDEV('The List'!R2:R665)</f>
        <v>0.166300639945344</v>
      </c>
      <c r="F456" s="77">
        <f>(VLOOKUP($A456,'The List'!$B1:$AH665,18,FALSE)-AVERAGE('The List'!S2:S665))/STDEV('The List'!S2:S665)</f>
        <v>-1.06655065113608</v>
      </c>
      <c r="G456" s="77">
        <f>(VLOOKUP($A456,'The List'!$B1:$AH665,19,FALSE)-AVERAGE('The List'!T2:T665))/STDEV('The List'!T2:T665)</f>
        <v>-0.530722449386002</v>
      </c>
      <c r="H456" s="77">
        <f>(VLOOKUP($A456,'The List'!$B1:$AH665,20,FALSE)-AVERAGE('The List'!U2:U665))/STDEV('The List'!U2:U665)</f>
        <v>-0.814406450754383</v>
      </c>
      <c r="I456" s="77">
        <f>(VLOOKUP($A456,'The List'!$B1:$AH665,21,FALSE)-AVERAGE('The List'!V2:V665))/STDEV('The List'!V2:V665)</f>
        <v>-0.98993567554483</v>
      </c>
      <c r="J456" s="77">
        <f>(VLOOKUP($A456,'The List'!$B1:$AH665,22,FALSE)-AVERAGE('The List'!W2:W665))/STDEV('The List'!W2:W665)</f>
        <v>-0.70847685489305</v>
      </c>
      <c r="K456" s="77">
        <f>(VLOOKUP($A456,'The List'!$B1:$AH665,23,FALSE)-AVERAGE('The List'!X2:X665))/STDEV('The List'!X2:X665)</f>
        <v>-0.629392949218226</v>
      </c>
      <c r="L456" s="77">
        <f>(VLOOKUP($A456,'The List'!$B1:$AH665,24,FALSE)-AVERAGE('The List'!Y2:Y665))/STDEV('The List'!Y2:Y665)</f>
        <v>-0.545633409489643</v>
      </c>
      <c r="M456" s="77">
        <f>(VLOOKUP($A456,'The List'!$B1:$AH665,25,FALSE)-AVERAGE('The List'!Z2:Z665))/STDEV('The List'!Z2:Z665)</f>
        <v>-0.651659077773597</v>
      </c>
      <c r="N456" s="77">
        <f>(VLOOKUP($A456,'The List'!$B1:$AH665,26,FALSE)-AVERAGE('The List'!AA2:AA665))/STDEV('The List'!AA2:AA665)</f>
        <v>0.638438333623137</v>
      </c>
      <c r="O456" s="77">
        <f>(VLOOKUP($A456,'The List'!$B1:$AH665,27,FALSE)-AVERAGE('The List'!AB2:AB665))/STDEV('The List'!AB2:AB665)</f>
        <v>-0.405863343071528</v>
      </c>
      <c r="P456" s="77">
        <f>(VLOOKUP($A456,'The List'!$B1:$AH665,28,FALSE)-AVERAGE('The List'!AC2:AC665))/STDEV('The List'!AC2:AC665)</f>
        <v>0.329291118971403</v>
      </c>
      <c r="Q456" s="77">
        <f>(VLOOKUP($A456,'The List'!$B1:$AH665,29,FALSE)-AVERAGE('The List'!AD2:AD665))/STDEV('The List'!AD2:AD665)</f>
        <v>-0.312660172230019</v>
      </c>
      <c r="R456" s="77">
        <f>(VLOOKUP($A456,'The List'!$B1:$AH665,30,FALSE)-AVERAGE('The List'!AE2:AE665))/STDEV('The List'!AE2:AE665)</f>
        <v>-1.02430506111502</v>
      </c>
      <c r="S456" s="77">
        <f>(VLOOKUP($A456,'The List'!$B1:$AH665,31,FALSE)-AVERAGE('The List'!AF2:AF665))/STDEV('The List'!AF2:AF665)</f>
        <v>-0.573894410680004</v>
      </c>
      <c r="T456" s="77">
        <f>(VLOOKUP($A456,'The List'!$B1:$AH665,32,FALSE)-AVERAGE('The List'!AG2:AG665))/STDEV('The List'!AG2:AG665)</f>
        <v>-0.625770787132651</v>
      </c>
      <c r="U456" s="77">
        <f>(VLOOKUP($A456,'The List'!$B1:$AH665,33,FALSE)-AVERAGE('The List'!AH2:AH665))/STDEV('The List'!AH2:AH665)</f>
        <v>-1.23143509451486</v>
      </c>
      <c r="V456" s="77"/>
      <c r="W456" s="79"/>
      <c r="X456" s="77"/>
      <c r="Y456" s="77"/>
      <c r="Z456" s="77"/>
      <c r="AA456" s="77"/>
      <c r="AB456" s="77"/>
      <c r="AC456" s="77"/>
      <c r="AD456" s="77"/>
      <c r="AE456" s="84"/>
    </row>
    <row r="457" ht="21.25" customHeight="1">
      <c r="A457" t="s" s="10">
        <v>695</v>
      </c>
      <c r="B457" t="s" s="86">
        <f>VLOOKUP(A457,'Player Data'!A1:B667,2,FALSE)</f>
        <v>342</v>
      </c>
      <c r="C457" s="74">
        <f>((E457)*'Settings'!$C$12)+(F457*'Settings'!$C$2)+(G457*'Settings'!$C$3)+(H457*'Settings'!$C$4)+(I457*'Settings'!$C$5)+(K457*'Settings'!$C$9)+(N457*'Settings'!$C$6)+(J457*'Settings'!$C$8)+(O457*'Settings'!$C$7)+(P457*'Settings'!$C$14)+(Q457*'Settings'!$C$15)+(R457*'Settings'!$C$16)+(S457*'Settings'!$C$17)+(T457*'Settings'!$C$18)+(U457*'Settings'!$C$19)+(L457*'Settings'!$C$10)+('Settings'!$C$11*M457)</f>
        <v>-2.23495561670533</v>
      </c>
      <c r="D457" s="79">
        <f>IF('Settings'!$E$12="YES",VLOOKUP(A457,'Player Data'!A1:E667,5,FALSE),82)</f>
        <v>73.105</v>
      </c>
      <c r="E457" s="77">
        <f>(VLOOKUP($A457,'The List'!$B1:$AH665,17,FALSE)-AVERAGE('The List'!R2:R665))/STDEV('The List'!R2:R665)</f>
        <v>0.0777279965299853</v>
      </c>
      <c r="F457" s="77">
        <f>(VLOOKUP($A457,'The List'!$B1:$AH665,18,FALSE)-AVERAGE('The List'!S2:S665))/STDEV('The List'!S2:S665)</f>
        <v>-0.723992084773015</v>
      </c>
      <c r="G457" s="77">
        <f>(VLOOKUP($A457,'The List'!$B1:$AH665,19,FALSE)-AVERAGE('The List'!T2:T665))/STDEV('The List'!T2:T665)</f>
        <v>-0.765334536282665</v>
      </c>
      <c r="H457" s="77">
        <f>(VLOOKUP($A457,'The List'!$B1:$AH665,20,FALSE)-AVERAGE('The List'!U2:U665))/STDEV('The List'!U2:U665)</f>
        <v>-0.804404596984669</v>
      </c>
      <c r="I457" s="77">
        <f>(VLOOKUP($A457,'The List'!$B1:$AH665,21,FALSE)-AVERAGE('The List'!V2:V665))/STDEV('The List'!V2:V665)</f>
        <v>-0.588417960026923</v>
      </c>
      <c r="J457" s="77">
        <f>(VLOOKUP($A457,'The List'!$B1:$AH665,22,FALSE)-AVERAGE('The List'!W2:W665))/STDEV('The List'!W2:W665)</f>
        <v>-0.739831187432486</v>
      </c>
      <c r="K457" s="77">
        <f>(VLOOKUP($A457,'The List'!$B1:$AH665,23,FALSE)-AVERAGE('The List'!X2:X665))/STDEV('The List'!X2:X665)</f>
        <v>-0.814324575599556</v>
      </c>
      <c r="L457" s="77">
        <f>(VLOOKUP($A457,'The List'!$B1:$AH665,24,FALSE)-AVERAGE('The List'!Y2:Y665))/STDEV('The List'!Y2:Y665)</f>
        <v>0.17571447925042</v>
      </c>
      <c r="M457" s="77">
        <f>(VLOOKUP($A457,'The List'!$B1:$AH665,25,FALSE)-AVERAGE('The List'!Z2:Z665))/STDEV('The List'!Z2:Z665)</f>
        <v>0.288002076678339</v>
      </c>
      <c r="N457" s="77">
        <f>(VLOOKUP($A457,'The List'!$B1:$AH665,26,FALSE)-AVERAGE('The List'!AA2:AA665))/STDEV('The List'!AA2:AA665)</f>
        <v>0.436604209343704</v>
      </c>
      <c r="O457" s="77">
        <f>(VLOOKUP($A457,'The List'!$B1:$AH665,27,FALSE)-AVERAGE('The List'!AB2:AB665))/STDEV('The List'!AB2:AB665)</f>
        <v>-0.229770341638448</v>
      </c>
      <c r="P457" s="77">
        <f>(VLOOKUP($A457,'The List'!$B1:$AH665,28,FALSE)-AVERAGE('The List'!AC2:AC665))/STDEV('The List'!AC2:AC665)</f>
        <v>0.22050933063313</v>
      </c>
      <c r="Q457" s="77">
        <f>(VLOOKUP($A457,'The List'!$B1:$AH665,29,FALSE)-AVERAGE('The List'!AD2:AD665))/STDEV('The List'!AD2:AD665)</f>
        <v>-0.0151468147894731</v>
      </c>
      <c r="R457" s="77">
        <f>(VLOOKUP($A457,'The List'!$B1:$AH665,30,FALSE)-AVERAGE('The List'!AE2:AE665))/STDEV('The List'!AE2:AE665)</f>
        <v>-0.597111701728401</v>
      </c>
      <c r="S457" s="77">
        <f>(VLOOKUP($A457,'The List'!$B1:$AH665,31,FALSE)-AVERAGE('The List'!AF2:AF665))/STDEV('The List'!AF2:AF665)</f>
        <v>-0.573894410680004</v>
      </c>
      <c r="T457" s="77">
        <f>(VLOOKUP($A457,'The List'!$B1:$AH665,32,FALSE)-AVERAGE('The List'!AG2:AG665))/STDEV('The List'!AG2:AG665)</f>
        <v>-0.625770787132651</v>
      </c>
      <c r="U457" s="77">
        <f>(VLOOKUP($A457,'The List'!$B1:$AH665,33,FALSE)-AVERAGE('The List'!AH2:AH665))/STDEV('The List'!AH2:AH665)</f>
        <v>-1.23143509451486</v>
      </c>
      <c r="V457" s="77"/>
      <c r="W457" s="79"/>
      <c r="X457" s="77"/>
      <c r="Y457" s="77"/>
      <c r="Z457" s="77"/>
      <c r="AA457" s="77"/>
      <c r="AB457" s="77"/>
      <c r="AC457" s="77"/>
      <c r="AD457" s="77"/>
      <c r="AE457" s="84"/>
    </row>
    <row r="458" ht="21.25" customHeight="1">
      <c r="A458" t="s" s="10">
        <v>694</v>
      </c>
      <c r="B458" t="s" s="86">
        <f>VLOOKUP(A458,'Player Data'!A1:B667,2,FALSE)</f>
        <v>871</v>
      </c>
      <c r="C458" s="74">
        <f>((E458)*'Settings'!$C$12)+(F458*'Settings'!$C$2)+(G458*'Settings'!$C$3)+(H458*'Settings'!$C$4)+(I458*'Settings'!$C$5)+(K458*'Settings'!$C$9)+(N458*'Settings'!$C$6)+(J458*'Settings'!$C$8)+(O458*'Settings'!$C$7)+(P458*'Settings'!$C$14)+(Q458*'Settings'!$C$15)+(R458*'Settings'!$C$16)+(S458*'Settings'!$C$17)+(T458*'Settings'!$C$18)+(U458*'Settings'!$C$19)+(L458*'Settings'!$C$10)+('Settings'!$C$11*M458)</f>
        <v>-2.22672412496655</v>
      </c>
      <c r="D458" s="79">
        <f>IF('Settings'!$E$12="YES",VLOOKUP(A458,'Player Data'!A1:E667,5,FALSE),82)</f>
        <v>76.965</v>
      </c>
      <c r="E458" s="77">
        <f>(VLOOKUP($A458,'The List'!$B1:$AH665,17,FALSE)-AVERAGE('The List'!R2:R665))/STDEV('The List'!R2:R665)</f>
        <v>-0.0548417697808728</v>
      </c>
      <c r="F458" s="77">
        <f>(VLOOKUP($A458,'The List'!$B1:$AH665,18,FALSE)-AVERAGE('The List'!S2:S665))/STDEV('The List'!S2:S665)</f>
        <v>-1.06359765112593</v>
      </c>
      <c r="G458" s="77">
        <f>(VLOOKUP($A458,'The List'!$B1:$AH665,19,FALSE)-AVERAGE('The List'!T2:T665))/STDEV('The List'!T2:T665)</f>
        <v>-0.455848123247333</v>
      </c>
      <c r="H458" s="77">
        <f>(VLOOKUP($A458,'The List'!$B1:$AH665,20,FALSE)-AVERAGE('The List'!U2:U665))/STDEV('The List'!U2:U665)</f>
        <v>-0.766563005308151</v>
      </c>
      <c r="I458" s="77">
        <f>(VLOOKUP($A458,'The List'!$B1:$AH665,21,FALSE)-AVERAGE('The List'!V2:V665))/STDEV('The List'!V2:V665)</f>
        <v>-0.813711778025616</v>
      </c>
      <c r="J458" s="77">
        <f>(VLOOKUP($A458,'The List'!$B1:$AH665,22,FALSE)-AVERAGE('The List'!W2:W665))/STDEV('The List'!W2:W665)</f>
        <v>-0.73639437253684</v>
      </c>
      <c r="K458" s="77">
        <f>(VLOOKUP($A458,'The List'!$B1:$AH665,23,FALSE)-AVERAGE('The List'!X2:X665))/STDEV('The List'!X2:X665)</f>
        <v>-0.765882188100926</v>
      </c>
      <c r="L458" s="77">
        <f>(VLOOKUP($A458,'The List'!$B1:$AH665,24,FALSE)-AVERAGE('The List'!Y2:Y665))/STDEV('The List'!Y2:Y665)</f>
        <v>-0.557972152348681</v>
      </c>
      <c r="M458" s="77">
        <f>(VLOOKUP($A458,'The List'!$B1:$AH665,25,FALSE)-AVERAGE('The List'!Z2:Z665))/STDEV('The List'!Z2:Z665)</f>
        <v>-0.443568919947233</v>
      </c>
      <c r="N458" s="77">
        <f>(VLOOKUP($A458,'The List'!$B1:$AH665,26,FALSE)-AVERAGE('The List'!AA2:AA665))/STDEV('The List'!AA2:AA665)</f>
        <v>0.976707275200184</v>
      </c>
      <c r="O458" s="77">
        <f>(VLOOKUP($A458,'The List'!$B1:$AH665,27,FALSE)-AVERAGE('The List'!AB2:AB665))/STDEV('The List'!AB2:AB665)</f>
        <v>-0.597047871559691</v>
      </c>
      <c r="P458" s="77">
        <f>(VLOOKUP($A458,'The List'!$B1:$AH665,28,FALSE)-AVERAGE('The List'!AC2:AC665))/STDEV('The List'!AC2:AC665)</f>
        <v>-0.104391659666931</v>
      </c>
      <c r="Q458" s="77">
        <f>(VLOOKUP($A458,'The List'!$B1:$AH665,29,FALSE)-AVERAGE('The List'!AD2:AD665))/STDEV('The List'!AD2:AD665)</f>
        <v>0.0538336910391428</v>
      </c>
      <c r="R458" s="77">
        <f>(VLOOKUP($A458,'The List'!$B1:$AH665,30,FALSE)-AVERAGE('The List'!AE2:AE665))/STDEV('The List'!AE2:AE665)</f>
        <v>-1.01619470317108</v>
      </c>
      <c r="S458" s="77">
        <f>(VLOOKUP($A458,'The List'!$B1:$AH665,31,FALSE)-AVERAGE('The List'!AF2:AF665))/STDEV('The List'!AF2:AF665)</f>
        <v>-0.573894410680004</v>
      </c>
      <c r="T458" s="77">
        <f>(VLOOKUP($A458,'The List'!$B1:$AH665,32,FALSE)-AVERAGE('The List'!AG2:AG665))/STDEV('The List'!AG2:AG665)</f>
        <v>-0.625770787132651</v>
      </c>
      <c r="U458" s="77">
        <f>(VLOOKUP($A458,'The List'!$B1:$AH665,33,FALSE)-AVERAGE('The List'!AH2:AH665))/STDEV('The List'!AH2:AH665)</f>
        <v>-1.23143509451486</v>
      </c>
      <c r="V458" s="77"/>
      <c r="W458" s="79"/>
      <c r="X458" s="77"/>
      <c r="Y458" s="77"/>
      <c r="Z458" s="77"/>
      <c r="AA458" s="77"/>
      <c r="AB458" s="77"/>
      <c r="AC458" s="77"/>
      <c r="AD458" s="77"/>
      <c r="AE458" s="84"/>
    </row>
    <row r="459" ht="21.25" customHeight="1">
      <c r="A459" t="s" s="10">
        <v>394</v>
      </c>
      <c r="B459" t="s" s="86">
        <f>VLOOKUP(A459,'Player Data'!A1:B667,2,FALSE)</f>
        <v>866</v>
      </c>
      <c r="C459" s="74">
        <f>((E459)*'Settings'!$C$12)+(F459*'Settings'!$C$2)+(G459*'Settings'!$C$3)+(H459*'Settings'!$C$4)+(I459*'Settings'!$C$5)+(K459*'Settings'!$C$9)+(N459*'Settings'!$C$6)+(J459*'Settings'!$C$8)+(O459*'Settings'!$C$7)+(P459*'Settings'!$C$14)+(Q459*'Settings'!$C$15)+(R459*'Settings'!$C$16)+(S459*'Settings'!$C$17)+(T459*'Settings'!$C$18)+(U459*'Settings'!$C$19)+(L459*'Settings'!$C$10)+('Settings'!$C$11*M459)</f>
        <v>-1.75275468718809</v>
      </c>
      <c r="D459" s="79">
        <f>IF('Settings'!$E$12="YES",VLOOKUP(A459,'Player Data'!A1:E667,5,FALSE),82)</f>
        <v>75.3725</v>
      </c>
      <c r="E459" s="77">
        <f>(VLOOKUP($A459,'The List'!$B1:$AH665,17,FALSE)-AVERAGE('The List'!R2:R665))/STDEV('The List'!R2:R665)</f>
        <v>1.07323205515496</v>
      </c>
      <c r="F459" s="77">
        <f>(VLOOKUP($A459,'The List'!$B1:$AH665,18,FALSE)-AVERAGE('The List'!S2:S665))/STDEV('The List'!S2:S665)</f>
        <v>-1.05720034198683</v>
      </c>
      <c r="G459" s="77">
        <f>(VLOOKUP($A459,'The List'!$B1:$AH665,19,FALSE)-AVERAGE('The List'!T2:T665))/STDEV('The List'!T2:T665)</f>
        <v>-0.499530044306237</v>
      </c>
      <c r="H459" s="77">
        <f>(VLOOKUP($A459,'The List'!$B1:$AH665,20,FALSE)-AVERAGE('The List'!U2:U665))/STDEV('The List'!U2:U665)</f>
        <v>-0.790784053345537</v>
      </c>
      <c r="I459" s="77">
        <f>(VLOOKUP($A459,'The List'!$B1:$AH665,21,FALSE)-AVERAGE('The List'!V2:V665))/STDEV('The List'!V2:V665)</f>
        <v>-0.7982201321549151</v>
      </c>
      <c r="J459" s="77">
        <f>(VLOOKUP($A459,'The List'!$B1:$AH665,22,FALSE)-AVERAGE('The List'!W2:W665))/STDEV('The List'!W2:W665)</f>
        <v>-0.740665623701789</v>
      </c>
      <c r="K459" s="77">
        <f>(VLOOKUP($A459,'The List'!$B1:$AH665,23,FALSE)-AVERAGE('The List'!X2:X665))/STDEV('The List'!X2:X665)</f>
        <v>-0.816172210283866</v>
      </c>
      <c r="L459" s="77">
        <f>(VLOOKUP($A459,'The List'!$B1:$AH665,24,FALSE)-AVERAGE('The List'!Y2:Y665))/STDEV('The List'!Y2:Y665)</f>
        <v>-0.529349057578692</v>
      </c>
      <c r="M459" s="77">
        <f>(VLOOKUP($A459,'The List'!$B1:$AH665,25,FALSE)-AVERAGE('The List'!Z2:Z665))/STDEV('The List'!Z2:Z665)</f>
        <v>-0.331844116565984</v>
      </c>
      <c r="N459" s="77">
        <f>(VLOOKUP($A459,'The List'!$B1:$AH665,26,FALSE)-AVERAGE('The List'!AA2:AA665))/STDEV('The List'!AA2:AA665)</f>
        <v>1.39747579699446</v>
      </c>
      <c r="O459" s="77">
        <f>(VLOOKUP($A459,'The List'!$B1:$AH665,27,FALSE)-AVERAGE('The List'!AB2:AB665))/STDEV('The List'!AB2:AB665)</f>
        <v>2.38537552189098</v>
      </c>
      <c r="P459" s="77">
        <f>(VLOOKUP($A459,'The List'!$B1:$AH665,28,FALSE)-AVERAGE('The List'!AC2:AC665))/STDEV('The List'!AC2:AC665)</f>
        <v>0.0208922445493008</v>
      </c>
      <c r="Q459" s="77">
        <f>(VLOOKUP($A459,'The List'!$B1:$AH665,29,FALSE)-AVERAGE('The List'!AD2:AD665))/STDEV('The List'!AD2:AD665)</f>
        <v>1.43240318209589</v>
      </c>
      <c r="R459" s="77">
        <f>(VLOOKUP($A459,'The List'!$B1:$AH665,30,FALSE)-AVERAGE('The List'!AE2:AE665))/STDEV('The List'!AE2:AE665)</f>
        <v>-0.995607303198915</v>
      </c>
      <c r="S459" s="77">
        <f>(VLOOKUP($A459,'The List'!$B1:$AH665,31,FALSE)-AVERAGE('The List'!AF2:AF665))/STDEV('The List'!AF2:AF665)</f>
        <v>-0.573894410680004</v>
      </c>
      <c r="T459" s="77">
        <f>(VLOOKUP($A459,'The List'!$B1:$AH665,32,FALSE)-AVERAGE('The List'!AG2:AG665))/STDEV('The List'!AG2:AG665)</f>
        <v>-0.625770787132651</v>
      </c>
      <c r="U459" s="77">
        <f>(VLOOKUP($A459,'The List'!$B1:$AH665,33,FALSE)-AVERAGE('The List'!AH2:AH665))/STDEV('The List'!AH2:AH665)</f>
        <v>-1.23143509451486</v>
      </c>
      <c r="V459" s="77"/>
      <c r="W459" s="79"/>
      <c r="X459" s="79"/>
      <c r="Y459" s="79"/>
      <c r="Z459" s="79"/>
      <c r="AA459" s="79"/>
      <c r="AB459" s="79"/>
      <c r="AC459" s="82"/>
      <c r="AD459" s="83"/>
      <c r="AE459" s="84"/>
    </row>
    <row r="460" ht="21.25" customHeight="1">
      <c r="A460" t="s" s="10">
        <v>703</v>
      </c>
      <c r="B460" t="s" s="86">
        <f>VLOOKUP(A460,'Player Data'!A1:B667,2,FALSE)</f>
        <v>259</v>
      </c>
      <c r="C460" s="74">
        <f>((E460)*'Settings'!$C$12)+(F460*'Settings'!$C$2)+(G460*'Settings'!$C$3)+(H460*'Settings'!$C$4)+(I460*'Settings'!$C$5)+(K460*'Settings'!$C$9)+(N460*'Settings'!$C$6)+(J460*'Settings'!$C$8)+(O460*'Settings'!$C$7)+(P460*'Settings'!$C$14)+(Q460*'Settings'!$C$15)+(R460*'Settings'!$C$16)+(S460*'Settings'!$C$17)+(T460*'Settings'!$C$18)+(U460*'Settings'!$C$19)+(L460*'Settings'!$C$10)+('Settings'!$C$11*M460)</f>
        <v>-2.64229725979266</v>
      </c>
      <c r="D460" s="79">
        <f>IF('Settings'!$E$12="YES",VLOOKUP(A460,'Player Data'!A1:E667,5,FALSE),82)</f>
        <v>81.30500000000001</v>
      </c>
      <c r="E460" s="77">
        <f>(VLOOKUP($A460,'The List'!$B1:$AH665,17,FALSE)-AVERAGE('The List'!R2:R665))/STDEV('The List'!R2:R665)</f>
        <v>-0.584074408402934</v>
      </c>
      <c r="F460" s="77">
        <f>(VLOOKUP($A460,'The List'!$B1:$AH665,18,FALSE)-AVERAGE('The List'!S2:S665))/STDEV('The List'!S2:S665)</f>
        <v>-0.467566583660457</v>
      </c>
      <c r="G460" s="77">
        <f>(VLOOKUP($A460,'The List'!$B1:$AH665,19,FALSE)-AVERAGE('The List'!T2:T665))/STDEV('The List'!T2:T665)</f>
        <v>-0.8250651056245329</v>
      </c>
      <c r="H460" s="77">
        <f>(VLOOKUP($A460,'The List'!$B1:$AH665,20,FALSE)-AVERAGE('The List'!U2:U665))/STDEV('The List'!U2:U665)</f>
        <v>-0.724943059945102</v>
      </c>
      <c r="I460" s="77">
        <f>(VLOOKUP($A460,'The List'!$B1:$AH665,21,FALSE)-AVERAGE('The List'!V2:V665))/STDEV('The List'!V2:V665)</f>
        <v>-0.0660400468509517</v>
      </c>
      <c r="J460" s="77">
        <f>(VLOOKUP($A460,'The List'!$B1:$AH665,22,FALSE)-AVERAGE('The List'!W2:W665))/STDEV('The List'!W2:W665)</f>
        <v>-0.527689741256632</v>
      </c>
      <c r="K460" s="77">
        <f>(VLOOKUP($A460,'The List'!$B1:$AH665,23,FALSE)-AVERAGE('The List'!X2:X665))/STDEV('The List'!X2:X665)</f>
        <v>-0.690128554846293</v>
      </c>
      <c r="L460" s="77">
        <f>(VLOOKUP($A460,'The List'!$B1:$AH665,24,FALSE)-AVERAGE('The List'!Y2:Y665))/STDEV('The List'!Y2:Y665)</f>
        <v>0.7983993419708491</v>
      </c>
      <c r="M460" s="77">
        <f>(VLOOKUP($A460,'The List'!$B1:$AH665,25,FALSE)-AVERAGE('The List'!Z2:Z665))/STDEV('The List'!Z2:Z665)</f>
        <v>0.690712421163892</v>
      </c>
      <c r="N460" s="77">
        <f>(VLOOKUP($A460,'The List'!$B1:$AH665,26,FALSE)-AVERAGE('The List'!AA2:AA665))/STDEV('The List'!AA2:AA665)</f>
        <v>-0.359987714392858</v>
      </c>
      <c r="O460" s="77">
        <f>(VLOOKUP($A460,'The List'!$B1:$AH665,27,FALSE)-AVERAGE('The List'!AB2:AB665))/STDEV('The List'!AB2:AB665)</f>
        <v>-0.495226440621506</v>
      </c>
      <c r="P460" s="77">
        <f>(VLOOKUP($A460,'The List'!$B1:$AH665,28,FALSE)-AVERAGE('The List'!AC2:AC665))/STDEV('The List'!AC2:AC665)</f>
        <v>-0.233509254417565</v>
      </c>
      <c r="Q460" s="77">
        <f>(VLOOKUP($A460,'The List'!$B1:$AH665,29,FALSE)-AVERAGE('The List'!AD2:AD665))/STDEV('The List'!AD2:AD665)</f>
        <v>0.252741963878608</v>
      </c>
      <c r="R460" s="77">
        <f>(VLOOKUP($A460,'The List'!$B1:$AH665,30,FALSE)-AVERAGE('The List'!AE2:AE665))/STDEV('The List'!AE2:AE665)</f>
        <v>-0.451079420704096</v>
      </c>
      <c r="S460" s="77">
        <f>(VLOOKUP($A460,'The List'!$B1:$AH665,31,FALSE)-AVERAGE('The List'!AF2:AF665))/STDEV('The List'!AF2:AF665)</f>
        <v>1.68770489118663</v>
      </c>
      <c r="T460" s="77">
        <f>(VLOOKUP($A460,'The List'!$B1:$AH665,32,FALSE)-AVERAGE('The List'!AG2:AG665))/STDEV('The List'!AG2:AG665)</f>
        <v>1.58538201090367</v>
      </c>
      <c r="U460" s="77">
        <f>(VLOOKUP($A460,'The List'!$B1:$AH665,33,FALSE)-AVERAGE('The List'!AH2:AH665))/STDEV('The List'!AH2:AH665)</f>
        <v>1.13052618428337</v>
      </c>
      <c r="V460" s="77"/>
      <c r="W460" s="89"/>
      <c r="X460" s="79"/>
      <c r="Y460" s="79"/>
      <c r="Z460" s="79"/>
      <c r="AA460" s="79"/>
      <c r="AB460" s="79"/>
      <c r="AC460" s="82"/>
      <c r="AD460" s="83"/>
      <c r="AE460" s="84"/>
    </row>
    <row r="461" ht="21.25" customHeight="1">
      <c r="A461" t="s" s="10">
        <v>789</v>
      </c>
      <c r="B461" t="s" s="86">
        <f>VLOOKUP(A461,'Player Data'!A1:B667,2,FALSE)</f>
        <v>342</v>
      </c>
      <c r="C461" s="74">
        <f>((E461)*'Settings'!$C$12)+(F461*'Settings'!$C$2)+(G461*'Settings'!$C$3)+(H461*'Settings'!$C$4)+(I461*'Settings'!$C$5)+(K461*'Settings'!$C$9)+(N461*'Settings'!$C$6)+(J461*'Settings'!$C$8)+(O461*'Settings'!$C$7)+(P461*'Settings'!$C$14)+(Q461*'Settings'!$C$15)+(R461*'Settings'!$C$16)+(S461*'Settings'!$C$17)+(T461*'Settings'!$C$18)+(U461*'Settings'!$C$19)+(L461*'Settings'!$C$10)+('Settings'!$C$11*M461)</f>
        <v>-2.600450349748</v>
      </c>
      <c r="D461" s="79">
        <f>IF('Settings'!$E$12="YES",VLOOKUP(A461,'Player Data'!A1:E667,5,FALSE),82)</f>
        <v>80.1575</v>
      </c>
      <c r="E461" s="77">
        <f>(VLOOKUP($A461,'The List'!$B1:$AH665,17,FALSE)-AVERAGE('The List'!R2:R665))/STDEV('The List'!R2:R665)</f>
        <v>-1.14736324437821</v>
      </c>
      <c r="F461" s="77">
        <f>(VLOOKUP($A461,'The List'!$B1:$AH665,18,FALSE)-AVERAGE('The List'!S2:S665))/STDEV('The List'!S2:S665)</f>
        <v>-0.663742712893887</v>
      </c>
      <c r="G461" s="77">
        <f>(VLOOKUP($A461,'The List'!$B1:$AH665,19,FALSE)-AVERAGE('The List'!T2:T665))/STDEV('The List'!T2:T665)</f>
        <v>-0.704643432985732</v>
      </c>
      <c r="H461" s="77">
        <f>(VLOOKUP($A461,'The List'!$B1:$AH665,20,FALSE)-AVERAGE('The List'!U2:U665))/STDEV('The List'!U2:U665)</f>
        <v>-0.739325805889401</v>
      </c>
      <c r="I461" s="77">
        <f>(VLOOKUP($A461,'The List'!$B1:$AH665,21,FALSE)-AVERAGE('The List'!V2:V665))/STDEV('The List'!V2:V665)</f>
        <v>-0.875188346545231</v>
      </c>
      <c r="J461" s="77">
        <f>(VLOOKUP($A461,'The List'!$B1:$AH665,22,FALSE)-AVERAGE('The List'!W2:W665))/STDEV('The List'!W2:W665)</f>
        <v>-0.731265003033484</v>
      </c>
      <c r="K461" s="77">
        <f>(VLOOKUP($A461,'The List'!$B1:$AH665,23,FALSE)-AVERAGE('The List'!X2:X665))/STDEV('The List'!X2:X665)</f>
        <v>-0.8160696688771391</v>
      </c>
      <c r="L461" s="77">
        <f>(VLOOKUP($A461,'The List'!$B1:$AH665,24,FALSE)-AVERAGE('The List'!Y2:Y665))/STDEV('The List'!Y2:Y665)</f>
        <v>-0.434077314844173</v>
      </c>
      <c r="M461" s="77">
        <f>(VLOOKUP($A461,'The List'!$B1:$AH665,25,FALSE)-AVERAGE('The List'!Z2:Z665))/STDEV('The List'!Z2:Z665)</f>
        <v>0.250615016118662</v>
      </c>
      <c r="N461" s="77">
        <f>(VLOOKUP($A461,'The List'!$B1:$AH665,26,FALSE)-AVERAGE('The List'!AA2:AA665))/STDEV('The List'!AA2:AA665)</f>
        <v>-0.819883938610826</v>
      </c>
      <c r="O461" s="77">
        <f>(VLOOKUP($A461,'The List'!$B1:$AH665,27,FALSE)-AVERAGE('The List'!AB2:AB665))/STDEV('The List'!AB2:AB665)</f>
        <v>-0.0360124318039446</v>
      </c>
      <c r="P461" s="77">
        <f>(VLOOKUP($A461,'The List'!$B1:$AH665,28,FALSE)-AVERAGE('The List'!AC2:AC665))/STDEV('The List'!AC2:AC665)</f>
        <v>1.27907775016482</v>
      </c>
      <c r="Q461" s="77">
        <f>(VLOOKUP($A461,'The List'!$B1:$AH665,29,FALSE)-AVERAGE('The List'!AD2:AD665))/STDEV('The List'!AD2:AD665)</f>
        <v>-1.25798645686691</v>
      </c>
      <c r="R461" s="77">
        <f>(VLOOKUP($A461,'The List'!$B1:$AH665,30,FALSE)-AVERAGE('The List'!AE2:AE665))/STDEV('The List'!AE2:AE665)</f>
        <v>-0.530098435925547</v>
      </c>
      <c r="S461" s="77">
        <f>(VLOOKUP($A461,'The List'!$B1:$AH665,31,FALSE)-AVERAGE('The List'!AF2:AF665))/STDEV('The List'!AF2:AF665)</f>
        <v>-0.534637789586515</v>
      </c>
      <c r="T461" s="77">
        <f>(VLOOKUP($A461,'The List'!$B1:$AH665,32,FALSE)-AVERAGE('The List'!AG2:AG665))/STDEV('The List'!AG2:AG665)</f>
        <v>-0.567389524974945</v>
      </c>
      <c r="U461" s="77">
        <f>(VLOOKUP($A461,'The List'!$B1:$AH665,33,FALSE)-AVERAGE('The List'!AH2:AH665))/STDEV('The List'!AH2:AH665)</f>
        <v>0.6587704441947581</v>
      </c>
      <c r="V461" s="77"/>
      <c r="W461" s="89"/>
      <c r="X461" s="79"/>
      <c r="Y461" s="79"/>
      <c r="Z461" s="79"/>
      <c r="AA461" s="79"/>
      <c r="AB461" s="79"/>
      <c r="AC461" s="82"/>
      <c r="AD461" s="83"/>
      <c r="AE461" s="84"/>
    </row>
    <row r="462" ht="21.25" customHeight="1">
      <c r="A462" t="s" s="10">
        <v>765</v>
      </c>
      <c r="B462" t="s" s="86">
        <f>VLOOKUP(A462,'Player Data'!A1:B667,2,FALSE)</f>
        <v>132</v>
      </c>
      <c r="C462" s="74">
        <f>((E462)*'Settings'!$C$12)+(F462*'Settings'!$C$2)+(G462*'Settings'!$C$3)+(H462*'Settings'!$C$4)+(I462*'Settings'!$C$5)+(K462*'Settings'!$C$9)+(N462*'Settings'!$C$6)+(J462*'Settings'!$C$8)+(O462*'Settings'!$C$7)+(P462*'Settings'!$C$14)+(Q462*'Settings'!$C$15)+(R462*'Settings'!$C$16)+(S462*'Settings'!$C$17)+(T462*'Settings'!$C$18)+(U462*'Settings'!$C$19)+(L462*'Settings'!$C$10)+('Settings'!$C$11*M462)</f>
        <v>-3.04495394038125</v>
      </c>
      <c r="D462" s="79">
        <f>IF('Settings'!$E$12="YES",VLOOKUP(A462,'Player Data'!A1:E667,5,FALSE),82)</f>
        <v>81.31999999999999</v>
      </c>
      <c r="E462" s="77">
        <f>(VLOOKUP($A462,'The List'!$B1:$AH665,17,FALSE)-AVERAGE('The List'!R2:R665))/STDEV('The List'!R2:R665)</f>
        <v>-0.952780523598958</v>
      </c>
      <c r="F462" s="77">
        <f>(VLOOKUP($A462,'The List'!$B1:$AH665,18,FALSE)-AVERAGE('The List'!S2:S665))/STDEV('The List'!S2:S665)</f>
        <v>-0.610434565945815</v>
      </c>
      <c r="G462" s="77">
        <f>(VLOOKUP($A462,'The List'!$B1:$AH665,19,FALSE)-AVERAGE('The List'!T2:T665))/STDEV('The List'!T2:T665)</f>
        <v>-0.724003727189558</v>
      </c>
      <c r="H462" s="77">
        <f>(VLOOKUP($A462,'The List'!$B1:$AH665,20,FALSE)-AVERAGE('The List'!U2:U665))/STDEV('The List'!U2:U665)</f>
        <v>-0.727118550455286</v>
      </c>
      <c r="I462" s="77">
        <f>(VLOOKUP($A462,'The List'!$B1:$AH665,21,FALSE)-AVERAGE('The List'!V2:V665))/STDEV('The List'!V2:V665)</f>
        <v>-0.783800870605102</v>
      </c>
      <c r="J462" s="77">
        <f>(VLOOKUP($A462,'The List'!$B1:$AH665,22,FALSE)-AVERAGE('The List'!W2:W665))/STDEV('The List'!W2:W665)</f>
        <v>-0.729035211003205</v>
      </c>
      <c r="K462" s="77">
        <f>(VLOOKUP($A462,'The List'!$B1:$AH665,23,FALSE)-AVERAGE('The List'!X2:X665))/STDEV('The List'!X2:X665)</f>
        <v>-0.814020449523688</v>
      </c>
      <c r="L462" s="77">
        <f>(VLOOKUP($A462,'The List'!$B1:$AH665,24,FALSE)-AVERAGE('The List'!Y2:Y665))/STDEV('The List'!Y2:Y665)</f>
        <v>0.0674004163262592</v>
      </c>
      <c r="M462" s="77">
        <f>(VLOOKUP($A462,'The List'!$B1:$AH665,25,FALSE)-AVERAGE('The List'!Z2:Z665))/STDEV('The List'!Z2:Z665)</f>
        <v>0.602475151687434</v>
      </c>
      <c r="N462" s="77">
        <f>(VLOOKUP($A462,'The List'!$B1:$AH665,26,FALSE)-AVERAGE('The List'!AA2:AA665))/STDEV('The List'!AA2:AA665)</f>
        <v>-0.823271527633368</v>
      </c>
      <c r="O462" s="77">
        <f>(VLOOKUP($A462,'The List'!$B1:$AH665,27,FALSE)-AVERAGE('The List'!AB2:AB665))/STDEV('The List'!AB2:AB665)</f>
        <v>-0.169507117368173</v>
      </c>
      <c r="P462" s="77">
        <f>(VLOOKUP($A462,'The List'!$B1:$AH665,28,FALSE)-AVERAGE('The List'!AC2:AC665))/STDEV('The List'!AC2:AC665)</f>
        <v>0.710577200516278</v>
      </c>
      <c r="Q462" s="77">
        <f>(VLOOKUP($A462,'The List'!$B1:$AH665,29,FALSE)-AVERAGE('The List'!AD2:AD665))/STDEV('The List'!AD2:AD665)</f>
        <v>-1.12074484272342</v>
      </c>
      <c r="R462" s="77">
        <f>(VLOOKUP($A462,'The List'!$B1:$AH665,30,FALSE)-AVERAGE('The List'!AE2:AE665))/STDEV('The List'!AE2:AE665)</f>
        <v>-0.532543520988959</v>
      </c>
      <c r="S462" s="77">
        <f>(VLOOKUP($A462,'The List'!$B1:$AH665,31,FALSE)-AVERAGE('The List'!AF2:AF665))/STDEV('The List'!AF2:AF665)</f>
        <v>1.84440411201959</v>
      </c>
      <c r="T462" s="77">
        <f>(VLOOKUP($A462,'The List'!$B1:$AH665,32,FALSE)-AVERAGE('The List'!AG2:AG665))/STDEV('The List'!AG2:AG665)</f>
        <v>1.78379983063179</v>
      </c>
      <c r="U462" s="77">
        <f>(VLOOKUP($A462,'The List'!$B1:$AH665,33,FALSE)-AVERAGE('The List'!AH2:AH665))/STDEV('The List'!AH2:AH665)</f>
        <v>1.10908938583148</v>
      </c>
      <c r="V462" s="77"/>
      <c r="W462" s="89"/>
      <c r="X462" s="79"/>
      <c r="Y462" s="79"/>
      <c r="Z462" s="79"/>
      <c r="AA462" s="79"/>
      <c r="AB462" s="79"/>
      <c r="AC462" s="82"/>
      <c r="AD462" s="83"/>
      <c r="AE462" s="84"/>
    </row>
    <row r="463" ht="21.25" customHeight="1">
      <c r="A463" t="s" s="10">
        <v>788</v>
      </c>
      <c r="B463" t="s" s="86">
        <f>VLOOKUP(A463,'Player Data'!A1:B667,2,FALSE)</f>
        <v>914</v>
      </c>
      <c r="C463" s="74">
        <f>((E463)*'Settings'!$C$12)+(F463*'Settings'!$C$2)+(G463*'Settings'!$C$3)+(H463*'Settings'!$C$4)+(I463*'Settings'!$C$5)+(K463*'Settings'!$C$9)+(N463*'Settings'!$C$6)+(J463*'Settings'!$C$8)+(O463*'Settings'!$C$7)+(P463*'Settings'!$C$14)+(Q463*'Settings'!$C$15)+(R463*'Settings'!$C$16)+(S463*'Settings'!$C$17)+(T463*'Settings'!$C$18)+(U463*'Settings'!$C$19)+(L463*'Settings'!$C$10)+('Settings'!$C$11*M463)</f>
        <v>-4.82824423061225</v>
      </c>
      <c r="D463" s="79">
        <f>IF('Settings'!$E$12="YES",VLOOKUP(A463,'Player Data'!A1:E667,5,FALSE),82)</f>
        <v>65.845</v>
      </c>
      <c r="E463" s="77">
        <f>(VLOOKUP($A463,'The List'!$B1:$AH665,17,FALSE)-AVERAGE('The List'!R2:R665))/STDEV('The List'!R2:R665)</f>
        <v>-0.0631718566446061</v>
      </c>
      <c r="F463" s="77">
        <f>(VLOOKUP($A463,'The List'!$B1:$AH665,18,FALSE)-AVERAGE('The List'!S2:S665))/STDEV('The List'!S2:S665)</f>
        <v>-1.08500246851054</v>
      </c>
      <c r="G463" s="77">
        <f>(VLOOKUP($A463,'The List'!$B1:$AH665,19,FALSE)-AVERAGE('The List'!T2:T665))/STDEV('The List'!T2:T665)</f>
        <v>-0.6600736131813451</v>
      </c>
      <c r="H463" s="77">
        <f>(VLOOKUP($A463,'The List'!$B1:$AH665,20,FALSE)-AVERAGE('The List'!U2:U665))/STDEV('The List'!U2:U665)</f>
        <v>-0.903128024725258</v>
      </c>
      <c r="I463" s="77">
        <f>(VLOOKUP($A463,'The List'!$B1:$AH665,21,FALSE)-AVERAGE('The List'!V2:V665))/STDEV('The List'!V2:V665)</f>
        <v>-1.04770722617175</v>
      </c>
      <c r="J463" s="77">
        <f>(VLOOKUP($A463,'The List'!$B1:$AH665,22,FALSE)-AVERAGE('The List'!W2:W665))/STDEV('The List'!W2:W665)</f>
        <v>-0.744643501779395</v>
      </c>
      <c r="K463" s="77">
        <f>(VLOOKUP($A463,'The List'!$B1:$AH665,23,FALSE)-AVERAGE('The List'!X2:X665))/STDEV('The List'!X2:X665)</f>
        <v>-0.8260189889528941</v>
      </c>
      <c r="L463" s="77">
        <f>(VLOOKUP($A463,'The List'!$B1:$AH665,24,FALSE)-AVERAGE('The List'!Y2:Y665))/STDEV('The List'!Y2:Y665)</f>
        <v>-0.565026271150074</v>
      </c>
      <c r="M463" s="77">
        <f>(VLOOKUP($A463,'The List'!$B1:$AH665,25,FALSE)-AVERAGE('The List'!Z2:Z665))/STDEV('The List'!Z2:Z665)</f>
        <v>-0.710344515208568</v>
      </c>
      <c r="N463" s="77">
        <f>(VLOOKUP($A463,'The List'!$B1:$AH665,26,FALSE)-AVERAGE('The List'!AA2:AA665))/STDEV('The List'!AA2:AA665)</f>
        <v>0.428096046311772</v>
      </c>
      <c r="O463" s="77">
        <f>(VLOOKUP($A463,'The List'!$B1:$AH665,27,FALSE)-AVERAGE('The List'!AB2:AB665))/STDEV('The List'!AB2:AB665)</f>
        <v>-0.526942148424034</v>
      </c>
      <c r="P463" s="77">
        <f>(VLOOKUP($A463,'The List'!$B1:$AH665,28,FALSE)-AVERAGE('The List'!AC2:AC665))/STDEV('The List'!AC2:AC665)</f>
        <v>-1.63753798010749</v>
      </c>
      <c r="Q463" s="77">
        <f>(VLOOKUP($A463,'The List'!$B1:$AH665,29,FALSE)-AVERAGE('The List'!AD2:AD665))/STDEV('The List'!AD2:AD665)</f>
        <v>-0.0715959116057006</v>
      </c>
      <c r="R463" s="77">
        <f>(VLOOKUP($A463,'The List'!$B1:$AH665,30,FALSE)-AVERAGE('The List'!AE2:AE665))/STDEV('The List'!AE2:AE665)</f>
        <v>-1.09863552419586</v>
      </c>
      <c r="S463" s="77">
        <f>(VLOOKUP($A463,'The List'!$B1:$AH665,31,FALSE)-AVERAGE('The List'!AF2:AF665))/STDEV('The List'!AF2:AF665)</f>
        <v>-0.573894410680004</v>
      </c>
      <c r="T463" s="77">
        <f>(VLOOKUP($A463,'The List'!$B1:$AH665,32,FALSE)-AVERAGE('The List'!AG2:AG665))/STDEV('The List'!AG2:AG665)</f>
        <v>-0.625770787132651</v>
      </c>
      <c r="U463" s="77">
        <f>(VLOOKUP($A463,'The List'!$B1:$AH665,33,FALSE)-AVERAGE('The List'!AH2:AH665))/STDEV('The List'!AH2:AH665)</f>
        <v>-1.23143509451486</v>
      </c>
      <c r="V463" s="77"/>
      <c r="W463" s="89"/>
      <c r="X463" s="79"/>
      <c r="Y463" s="79"/>
      <c r="Z463" s="79"/>
      <c r="AA463" s="79"/>
      <c r="AB463" s="79"/>
      <c r="AC463" s="82"/>
      <c r="AD463" s="83"/>
      <c r="AE463" s="84"/>
    </row>
    <row r="464" ht="21.25" customHeight="1">
      <c r="A464" t="s" s="10">
        <v>772</v>
      </c>
      <c r="B464" t="s" s="86">
        <f>VLOOKUP(A464,'Player Data'!A1:B667,2,FALSE)</f>
        <v>912</v>
      </c>
      <c r="C464" s="74">
        <f>((E464)*'Settings'!$C$12)+(F464*'Settings'!$C$2)+(G464*'Settings'!$C$3)+(H464*'Settings'!$C$4)+(I464*'Settings'!$C$5)+(K464*'Settings'!$C$9)+(N464*'Settings'!$C$6)+(J464*'Settings'!$C$8)+(O464*'Settings'!$C$7)+(P464*'Settings'!$C$14)+(Q464*'Settings'!$C$15)+(R464*'Settings'!$C$16)+(S464*'Settings'!$C$17)+(T464*'Settings'!$C$18)+(U464*'Settings'!$C$19)+(L464*'Settings'!$C$10)+('Settings'!$C$11*M464)</f>
        <v>-5.21545753758702</v>
      </c>
      <c r="D464" s="79">
        <f>IF('Settings'!$E$12="YES",VLOOKUP(A464,'Player Data'!A1:E667,5,FALSE),82)</f>
        <v>71.095</v>
      </c>
      <c r="E464" s="77">
        <f>(VLOOKUP($A464,'The List'!$B1:$AH665,17,FALSE)-AVERAGE('The List'!R2:R665))/STDEV('The List'!R2:R665)</f>
        <v>-1.45333181578807</v>
      </c>
      <c r="F464" s="77">
        <f>(VLOOKUP($A464,'The List'!$B1:$AH665,18,FALSE)-AVERAGE('The List'!S2:S665))/STDEV('The List'!S2:S665)</f>
        <v>-0.410127476744757</v>
      </c>
      <c r="G464" s="77">
        <f>(VLOOKUP($A464,'The List'!$B1:$AH665,19,FALSE)-AVERAGE('The List'!T2:T665))/STDEV('The List'!T2:T665)</f>
        <v>-1.05929308394348</v>
      </c>
      <c r="H464" s="77">
        <f>(VLOOKUP($A464,'The List'!$B1:$AH665,20,FALSE)-AVERAGE('The List'!U2:U665))/STDEV('The List'!U2:U665)</f>
        <v>-0.8443030002855469</v>
      </c>
      <c r="I464" s="77">
        <f>(VLOOKUP($A464,'The List'!$B1:$AH665,21,FALSE)-AVERAGE('The List'!V2:V665))/STDEV('The List'!V2:V665)</f>
        <v>-0.818052613158836</v>
      </c>
      <c r="J464" s="77">
        <f>(VLOOKUP($A464,'The List'!$B1:$AH665,22,FALSE)-AVERAGE('The List'!W2:W665))/STDEV('The List'!W2:W665)</f>
        <v>-0.716730268047535</v>
      </c>
      <c r="K464" s="77">
        <f>(VLOOKUP($A464,'The List'!$B1:$AH665,23,FALSE)-AVERAGE('The List'!X2:X665))/STDEV('The List'!X2:X665)</f>
        <v>-0.803660827849191</v>
      </c>
      <c r="L464" s="77">
        <f>(VLOOKUP($A464,'The List'!$B1:$AH665,24,FALSE)-AVERAGE('The List'!Y2:Y665))/STDEV('The List'!Y2:Y665)</f>
        <v>2.39614216666897</v>
      </c>
      <c r="M464" s="77">
        <f>(VLOOKUP($A464,'The List'!$B1:$AH665,25,FALSE)-AVERAGE('The List'!Z2:Z665))/STDEV('The List'!Z2:Z665)</f>
        <v>1.25966959662358</v>
      </c>
      <c r="N464" s="77">
        <f>(VLOOKUP($A464,'The List'!$B1:$AH665,26,FALSE)-AVERAGE('The List'!AA2:AA665))/STDEV('The List'!AA2:AA665)</f>
        <v>-0.340150050188763</v>
      </c>
      <c r="O464" s="77">
        <f>(VLOOKUP($A464,'The List'!$B1:$AH665,27,FALSE)-AVERAGE('The List'!AB2:AB665))/STDEV('The List'!AB2:AB665)</f>
        <v>-0.393829158811612</v>
      </c>
      <c r="P464" s="77">
        <f>(VLOOKUP($A464,'The List'!$B1:$AH665,28,FALSE)-AVERAGE('The List'!AC2:AC665))/STDEV('The List'!AC2:AC665)</f>
        <v>-1.78417348570199</v>
      </c>
      <c r="Q464" s="77">
        <f>(VLOOKUP($A464,'The List'!$B1:$AH665,29,FALSE)-AVERAGE('The List'!AD2:AD665))/STDEV('The List'!AD2:AD665)</f>
        <v>-1.15721347121435</v>
      </c>
      <c r="R464" s="77">
        <f>(VLOOKUP($A464,'The List'!$B1:$AH665,30,FALSE)-AVERAGE('The List'!AE2:AE665))/STDEV('The List'!AE2:AE665)</f>
        <v>-0.584193815951474</v>
      </c>
      <c r="S464" s="77">
        <f>(VLOOKUP($A464,'The List'!$B1:$AH665,31,FALSE)-AVERAGE('The List'!AF2:AF665))/STDEV('The List'!AF2:AF665)</f>
        <v>-0.5114541492792321</v>
      </c>
      <c r="T464" s="77">
        <f>(VLOOKUP($A464,'The List'!$B1:$AH665,32,FALSE)-AVERAGE('The List'!AG2:AG665))/STDEV('The List'!AG2:AG665)</f>
        <v>-0.51942546374197</v>
      </c>
      <c r="U464" s="77">
        <f>(VLOOKUP($A464,'The List'!$B1:$AH665,33,FALSE)-AVERAGE('The List'!AH2:AH665))/STDEV('The List'!AH2:AH665)</f>
        <v>0.511216202958494</v>
      </c>
      <c r="V464" s="77"/>
      <c r="W464" s="79"/>
      <c r="X464" s="77"/>
      <c r="Y464" s="77"/>
      <c r="Z464" s="77"/>
      <c r="AA464" s="77"/>
      <c r="AB464" s="77"/>
      <c r="AC464" s="77"/>
      <c r="AD464" s="77"/>
      <c r="AE464" s="84"/>
    </row>
    <row r="465" ht="21.25" customHeight="1">
      <c r="A465" t="s" s="10">
        <v>657</v>
      </c>
      <c r="B465" t="s" s="86">
        <f>VLOOKUP(A465,'Player Data'!A1:B667,2,FALSE)</f>
        <v>165</v>
      </c>
      <c r="C465" s="74">
        <f>((E465)*'Settings'!$C$12)+(F465*'Settings'!$C$2)+(G465*'Settings'!$C$3)+(H465*'Settings'!$C$4)+(I465*'Settings'!$C$5)+(K465*'Settings'!$C$9)+(N465*'Settings'!$C$6)+(J465*'Settings'!$C$8)+(O465*'Settings'!$C$7)+(P465*'Settings'!$C$14)+(Q465*'Settings'!$C$15)+(R465*'Settings'!$C$16)+(S465*'Settings'!$C$17)+(T465*'Settings'!$C$18)+(U465*'Settings'!$C$19)+(L465*'Settings'!$C$10)+('Settings'!$C$11*M465)</f>
        <v>-3.22224598696551</v>
      </c>
      <c r="D465" s="79">
        <f>IF('Settings'!$E$12="YES",VLOOKUP(A465,'Player Data'!A1:E667,5,FALSE),82)</f>
        <v>69.925</v>
      </c>
      <c r="E465" s="77">
        <f>(VLOOKUP($A465,'The List'!$B1:$AH665,17,FALSE)-AVERAGE('The List'!R2:R665))/STDEV('The List'!R2:R665)</f>
        <v>-1.28788747264171</v>
      </c>
      <c r="F465" s="77">
        <f>(VLOOKUP($A465,'The List'!$B1:$AH665,18,FALSE)-AVERAGE('The List'!S2:S665))/STDEV('The List'!S2:S665)</f>
        <v>-0.446373296718431</v>
      </c>
      <c r="G465" s="77">
        <f>(VLOOKUP($A465,'The List'!$B1:$AH665,19,FALSE)-AVERAGE('The List'!T2:T665))/STDEV('The List'!T2:T665)</f>
        <v>-1.05540774225361</v>
      </c>
      <c r="H465" s="77">
        <f>(VLOOKUP($A465,'The List'!$B1:$AH665,20,FALSE)-AVERAGE('The List'!U2:U665))/STDEV('The List'!U2:U665)</f>
        <v>-0.858365432710857</v>
      </c>
      <c r="I465" s="77">
        <f>(VLOOKUP($A465,'The List'!$B1:$AH665,21,FALSE)-AVERAGE('The List'!V2:V665))/STDEV('The List'!V2:V665)</f>
        <v>-0.767026099833337</v>
      </c>
      <c r="J465" s="77">
        <f>(VLOOKUP($A465,'The List'!$B1:$AH665,22,FALSE)-AVERAGE('The List'!W2:W665))/STDEV('The List'!W2:W665)</f>
        <v>-0.7288693807760031</v>
      </c>
      <c r="K465" s="77">
        <f>(VLOOKUP($A465,'The List'!$B1:$AH665,23,FALSE)-AVERAGE('The List'!X2:X665))/STDEV('The List'!X2:X665)</f>
        <v>-0.812518106375861</v>
      </c>
      <c r="L465" s="77">
        <f>(VLOOKUP($A465,'The List'!$B1:$AH665,24,FALSE)-AVERAGE('The List'!Y2:Y665))/STDEV('The List'!Y2:Y665)</f>
        <v>-0.0122553655539588</v>
      </c>
      <c r="M465" s="77">
        <f>(VLOOKUP($A465,'The List'!$B1:$AH665,25,FALSE)-AVERAGE('The List'!Z2:Z665))/STDEV('The List'!Z2:Z665)</f>
        <v>0.0316433874443599</v>
      </c>
      <c r="N465" s="77">
        <f>(VLOOKUP($A465,'The List'!$B1:$AH665,26,FALSE)-AVERAGE('The List'!AA2:AA665))/STDEV('The List'!AA2:AA665)</f>
        <v>-0.387523311068948</v>
      </c>
      <c r="O465" s="77">
        <f>(VLOOKUP($A465,'The List'!$B1:$AH665,27,FALSE)-AVERAGE('The List'!AB2:AB665))/STDEV('The List'!AB2:AB665)</f>
        <v>0.965091722612428</v>
      </c>
      <c r="P465" s="77">
        <f>(VLOOKUP($A465,'The List'!$B1:$AH665,28,FALSE)-AVERAGE('The List'!AC2:AC665))/STDEV('The List'!AC2:AC665)</f>
        <v>0.246602569284673</v>
      </c>
      <c r="Q465" s="77">
        <f>(VLOOKUP($A465,'The List'!$B1:$AH665,29,FALSE)-AVERAGE('The List'!AD2:AD665))/STDEV('The List'!AD2:AD665)</f>
        <v>1.70666489626104</v>
      </c>
      <c r="R465" s="77">
        <f>(VLOOKUP($A465,'The List'!$B1:$AH665,30,FALSE)-AVERAGE('The List'!AE2:AE665))/STDEV('The List'!AE2:AE665)</f>
        <v>-0.468777583712463</v>
      </c>
      <c r="S465" s="77">
        <f>(VLOOKUP($A465,'The List'!$B1:$AH665,31,FALSE)-AVERAGE('The List'!AF2:AF665))/STDEV('The List'!AF2:AF665)</f>
        <v>1.02744224735599</v>
      </c>
      <c r="T465" s="77">
        <f>(VLOOKUP($A465,'The List'!$B1:$AH665,32,FALSE)-AVERAGE('The List'!AG2:AG665))/STDEV('The List'!AG2:AG665)</f>
        <v>0.7889488199487</v>
      </c>
      <c r="U465" s="77">
        <f>(VLOOKUP($A465,'The List'!$B1:$AH665,33,FALSE)-AVERAGE('The List'!AH2:AH665))/STDEV('The List'!AH2:AH665)</f>
        <v>1.24483622066817</v>
      </c>
      <c r="V465" s="77"/>
      <c r="W465" s="89"/>
      <c r="X465" s="79"/>
      <c r="Y465" s="79"/>
      <c r="Z465" s="79"/>
      <c r="AA465" s="79"/>
      <c r="AB465" s="79"/>
      <c r="AC465" s="82"/>
      <c r="AD465" s="83"/>
      <c r="AE465" s="84"/>
    </row>
    <row r="466" ht="21.25" customHeight="1">
      <c r="A466" t="s" s="10">
        <v>736</v>
      </c>
      <c r="B466" t="s" s="86">
        <f>VLOOKUP(A466,'Player Data'!A1:B667,2,FALSE)</f>
        <v>905</v>
      </c>
      <c r="C466" s="74">
        <f>((E466)*'Settings'!$C$12)+(F466*'Settings'!$C$2)+(G466*'Settings'!$C$3)+(H466*'Settings'!$C$4)+(I466*'Settings'!$C$5)+(K466*'Settings'!$C$9)+(N466*'Settings'!$C$6)+(J466*'Settings'!$C$8)+(O466*'Settings'!$C$7)+(P466*'Settings'!$C$14)+(Q466*'Settings'!$C$15)+(R466*'Settings'!$C$16)+(S466*'Settings'!$C$17)+(T466*'Settings'!$C$18)+(U466*'Settings'!$C$19)+(L466*'Settings'!$C$10)+('Settings'!$C$11*M466)</f>
        <v>-3.97434249869778</v>
      </c>
      <c r="D466" s="79">
        <f>IF('Settings'!$E$12="YES",VLOOKUP(A466,'Player Data'!A1:E667,5,FALSE),82)</f>
        <v>79.54000000000001</v>
      </c>
      <c r="E466" s="77">
        <f>(VLOOKUP($A466,'The List'!$B1:$AH665,17,FALSE)-AVERAGE('The List'!R2:R665))/STDEV('The List'!R2:R665)</f>
        <v>0.49570287621522</v>
      </c>
      <c r="F466" s="77">
        <f>(VLOOKUP($A466,'The List'!$B1:$AH665,18,FALSE)-AVERAGE('The List'!S2:S665))/STDEV('The List'!S2:S665)</f>
        <v>-0.8142236814111981</v>
      </c>
      <c r="G466" s="77">
        <f>(VLOOKUP($A466,'The List'!$B1:$AH665,19,FALSE)-AVERAGE('The List'!T2:T665))/STDEV('The List'!T2:T665)</f>
        <v>-0.612281513464017</v>
      </c>
      <c r="H466" s="77">
        <f>(VLOOKUP($A466,'The List'!$B1:$AH665,20,FALSE)-AVERAGE('The List'!U2:U665))/STDEV('The List'!U2:U665)</f>
        <v>-0.750364613655591</v>
      </c>
      <c r="I466" s="77">
        <f>(VLOOKUP($A466,'The List'!$B1:$AH665,21,FALSE)-AVERAGE('The List'!V2:V665))/STDEV('The List'!V2:V665)</f>
        <v>-0.620406929144614</v>
      </c>
      <c r="J466" s="77">
        <f>(VLOOKUP($A466,'The List'!$B1:$AH665,22,FALSE)-AVERAGE('The List'!W2:W665))/STDEV('The List'!W2:W665)</f>
        <v>-0.642319245287379</v>
      </c>
      <c r="K466" s="77">
        <f>(VLOOKUP($A466,'The List'!$B1:$AH665,23,FALSE)-AVERAGE('The List'!X2:X665))/STDEV('The List'!X2:X665)</f>
        <v>0.0361530957016107</v>
      </c>
      <c r="L466" s="77">
        <f>(VLOOKUP($A466,'The List'!$B1:$AH665,24,FALSE)-AVERAGE('The List'!Y2:Y665))/STDEV('The List'!Y2:Y665)</f>
        <v>-0.562514930846741</v>
      </c>
      <c r="M466" s="77">
        <f>(VLOOKUP($A466,'The List'!$B1:$AH665,25,FALSE)-AVERAGE('The List'!Z2:Z665))/STDEV('The List'!Z2:Z665)</f>
        <v>-0.701093920454016</v>
      </c>
      <c r="N466" s="77">
        <f>(VLOOKUP($A466,'The List'!$B1:$AH665,26,FALSE)-AVERAGE('The List'!AA2:AA665))/STDEV('The List'!AA2:AA665)</f>
        <v>0.5689953537621451</v>
      </c>
      <c r="O466" s="77">
        <f>(VLOOKUP($A466,'The List'!$B1:$AH665,27,FALSE)-AVERAGE('The List'!AB2:AB665))/STDEV('The List'!AB2:AB665)</f>
        <v>-0.888130364295254</v>
      </c>
      <c r="P466" s="77">
        <f>(VLOOKUP($A466,'The List'!$B1:$AH665,28,FALSE)-AVERAGE('The List'!AC2:AC665))/STDEV('The List'!AC2:AC665)</f>
        <v>-2.53257882414171</v>
      </c>
      <c r="Q466" s="77">
        <f>(VLOOKUP($A466,'The List'!$B1:$AH665,29,FALSE)-AVERAGE('The List'!AD2:AD665))/STDEV('The List'!AD2:AD665)</f>
        <v>-0.505954574255307</v>
      </c>
      <c r="R466" s="77">
        <f>(VLOOKUP($A466,'The List'!$B1:$AH665,30,FALSE)-AVERAGE('The List'!AE2:AE665))/STDEV('The List'!AE2:AE665)</f>
        <v>-0.844278057105401</v>
      </c>
      <c r="S466" s="77">
        <f>(VLOOKUP($A466,'The List'!$B1:$AH665,31,FALSE)-AVERAGE('The List'!AF2:AF665))/STDEV('The List'!AF2:AF665)</f>
        <v>-0.573894410680004</v>
      </c>
      <c r="T466" s="77">
        <f>(VLOOKUP($A466,'The List'!$B1:$AH665,32,FALSE)-AVERAGE('The List'!AG2:AG665))/STDEV('The List'!AG2:AG665)</f>
        <v>-0.625770787132651</v>
      </c>
      <c r="U466" s="77">
        <f>(VLOOKUP($A466,'The List'!$B1:$AH665,33,FALSE)-AVERAGE('The List'!AH2:AH665))/STDEV('The List'!AH2:AH665)</f>
        <v>-1.23143509451486</v>
      </c>
      <c r="V466" s="77"/>
      <c r="W466" s="79"/>
      <c r="X466" s="79"/>
      <c r="Y466" s="79"/>
      <c r="Z466" s="79"/>
      <c r="AA466" s="79"/>
      <c r="AB466" s="79"/>
      <c r="AC466" s="82"/>
      <c r="AD466" s="83"/>
      <c r="AE466" s="84"/>
    </row>
    <row r="467" ht="21.25" customHeight="1">
      <c r="A467" t="s" s="10">
        <v>671</v>
      </c>
      <c r="B467" t="s" s="86">
        <f>VLOOKUP(A467,'Player Data'!A1:B667,2,FALSE)</f>
        <v>913</v>
      </c>
      <c r="C467" s="74">
        <f>((E467)*'Settings'!$C$12)+(F467*'Settings'!$C$2)+(G467*'Settings'!$C$3)+(H467*'Settings'!$C$4)+(I467*'Settings'!$C$5)+(K467*'Settings'!$C$9)+(N467*'Settings'!$C$6)+(J467*'Settings'!$C$8)+(O467*'Settings'!$C$7)+(P467*'Settings'!$C$14)+(Q467*'Settings'!$C$15)+(R467*'Settings'!$C$16)+(S467*'Settings'!$C$17)+(T467*'Settings'!$C$18)+(U467*'Settings'!$C$19)+(L467*'Settings'!$C$10)+('Settings'!$C$11*M467)</f>
        <v>-3.4166555835855</v>
      </c>
      <c r="D467" s="79">
        <f>IF('Settings'!$E$12="YES",VLOOKUP(A467,'Player Data'!A1:E667,5,FALSE),82)</f>
        <v>70.1125</v>
      </c>
      <c r="E467" s="77">
        <f>(VLOOKUP($A467,'The List'!$B1:$AH665,17,FALSE)-AVERAGE('The List'!R2:R665))/STDEV('The List'!R2:R665)</f>
        <v>-1.72563226973873</v>
      </c>
      <c r="F467" s="77">
        <f>(VLOOKUP($A467,'The List'!$B1:$AH665,18,FALSE)-AVERAGE('The List'!S2:S665))/STDEV('The List'!S2:S665)</f>
        <v>-0.357518994556357</v>
      </c>
      <c r="G467" s="77">
        <f>(VLOOKUP($A467,'The List'!$B1:$AH665,19,FALSE)-AVERAGE('The List'!T2:T665))/STDEV('The List'!T2:T665)</f>
        <v>-1.11912340330202</v>
      </c>
      <c r="H467" s="77">
        <f>(VLOOKUP($A467,'The List'!$B1:$AH665,20,FALSE)-AVERAGE('The List'!U2:U665))/STDEV('The List'!U2:U665)</f>
        <v>-0.8575479369167049</v>
      </c>
      <c r="I467" s="77">
        <f>(VLOOKUP($A467,'The List'!$B1:$AH665,21,FALSE)-AVERAGE('The List'!V2:V665))/STDEV('The List'!V2:V665)</f>
        <v>-0.329415800673223</v>
      </c>
      <c r="J467" s="77">
        <f>(VLOOKUP($A467,'The List'!$B1:$AH665,22,FALSE)-AVERAGE('The List'!W2:W665))/STDEV('The List'!W2:W665)</f>
        <v>-0.7110359182600759</v>
      </c>
      <c r="K467" s="77">
        <f>(VLOOKUP($A467,'The List'!$B1:$AH665,23,FALSE)-AVERAGE('The List'!X2:X665))/STDEV('The List'!X2:X665)</f>
        <v>-0.808392639595274</v>
      </c>
      <c r="L467" s="77">
        <f>(VLOOKUP($A467,'The List'!$B1:$AH665,24,FALSE)-AVERAGE('The List'!Y2:Y665))/STDEV('The List'!Y2:Y665)</f>
        <v>-0.4637075806567</v>
      </c>
      <c r="M467" s="77">
        <f>(VLOOKUP($A467,'The List'!$B1:$AH665,25,FALSE)-AVERAGE('The List'!Z2:Z665))/STDEV('The List'!Z2:Z665)</f>
        <v>-0.673734942264862</v>
      </c>
      <c r="N467" s="77">
        <f>(VLOOKUP($A467,'The List'!$B1:$AH665,26,FALSE)-AVERAGE('The List'!AA2:AA665))/STDEV('The List'!AA2:AA665)</f>
        <v>-0.997490178941015</v>
      </c>
      <c r="O467" s="77">
        <f>(VLOOKUP($A467,'The List'!$B1:$AH665,27,FALSE)-AVERAGE('The List'!AB2:AB665))/STDEV('The List'!AB2:AB665)</f>
        <v>1.36108779764604</v>
      </c>
      <c r="P467" s="77">
        <f>(VLOOKUP($A467,'The List'!$B1:$AH665,28,FALSE)-AVERAGE('The List'!AC2:AC665))/STDEV('The List'!AC2:AC665)</f>
        <v>0.195285433482387</v>
      </c>
      <c r="Q467" s="77">
        <f>(VLOOKUP($A467,'The List'!$B1:$AH665,29,FALSE)-AVERAGE('The List'!AD2:AD665))/STDEV('The List'!AD2:AD665)</f>
        <v>-0.8598349550743341</v>
      </c>
      <c r="R467" s="77">
        <f>(VLOOKUP($A467,'The List'!$B1:$AH665,30,FALSE)-AVERAGE('The List'!AE2:AE665))/STDEV('The List'!AE2:AE665)</f>
        <v>-0.605905737393431</v>
      </c>
      <c r="S467" s="77">
        <f>(VLOOKUP($A467,'The List'!$B1:$AH665,31,FALSE)-AVERAGE('The List'!AF2:AF665))/STDEV('The List'!AF2:AF665)</f>
        <v>-0.551358188550398</v>
      </c>
      <c r="T467" s="77">
        <f>(VLOOKUP($A467,'The List'!$B1:$AH665,32,FALSE)-AVERAGE('The List'!AG2:AG665))/STDEV('The List'!AG2:AG665)</f>
        <v>-0.574191921373994</v>
      </c>
      <c r="U467" s="77">
        <f>(VLOOKUP($A467,'The List'!$B1:$AH665,33,FALSE)-AVERAGE('The List'!AH2:AH665))/STDEV('The List'!AH2:AH665)</f>
        <v>0.206826929494296</v>
      </c>
      <c r="V467" s="77"/>
      <c r="W467" s="79"/>
      <c r="X467" s="77"/>
      <c r="Y467" s="77"/>
      <c r="Z467" s="77"/>
      <c r="AA467" s="77"/>
      <c r="AB467" s="77"/>
      <c r="AC467" s="77"/>
      <c r="AD467" s="77"/>
      <c r="AE467" s="84"/>
    </row>
    <row r="468" ht="21.25" customHeight="1">
      <c r="A468" t="s" s="10">
        <v>509</v>
      </c>
      <c r="B468" t="s" s="86">
        <f>VLOOKUP(A468,'Player Data'!A1:B667,2,FALSE)</f>
        <v>878</v>
      </c>
      <c r="C468" s="74">
        <f>((E468)*'Settings'!$C$12)+(F468*'Settings'!$C$2)+(G468*'Settings'!$C$3)+(H468*'Settings'!$C$4)+(I468*'Settings'!$C$5)+(K468*'Settings'!$C$9)+(N468*'Settings'!$C$6)+(J468*'Settings'!$C$8)+(O468*'Settings'!$C$7)+(P468*'Settings'!$C$14)+(Q468*'Settings'!$C$15)+(R468*'Settings'!$C$16)+(S468*'Settings'!$C$17)+(T468*'Settings'!$C$18)+(U468*'Settings'!$C$19)+(L468*'Settings'!$C$10)+('Settings'!$C$11*M468)</f>
        <v>-2.68396187610233</v>
      </c>
      <c r="D468" s="79">
        <f>IF('Settings'!$E$12="YES",VLOOKUP(A468,'Player Data'!A1:E667,5,FALSE),82)</f>
        <v>80.265</v>
      </c>
      <c r="E468" s="77">
        <f>(VLOOKUP($A468,'The List'!$B1:$AH665,17,FALSE)-AVERAGE('The List'!R2:R665))/STDEV('The List'!R2:R665)</f>
        <v>-1.60100937714672</v>
      </c>
      <c r="F468" s="77">
        <f>(VLOOKUP($A468,'The List'!$B1:$AH665,18,FALSE)-AVERAGE('The List'!S2:S665))/STDEV('The List'!S2:S665)</f>
        <v>-0.230919043058423</v>
      </c>
      <c r="G468" s="77">
        <f>(VLOOKUP($A468,'The List'!$B1:$AH665,19,FALSE)-AVERAGE('The List'!T2:T665))/STDEV('The List'!T2:T665)</f>
        <v>-1.03628075538531</v>
      </c>
      <c r="H468" s="77">
        <f>(VLOOKUP($A468,'The List'!$B1:$AH665,20,FALSE)-AVERAGE('The List'!U2:U665))/STDEV('The List'!U2:U665)</f>
        <v>-0.7485522987400191</v>
      </c>
      <c r="I468" s="77">
        <f>(VLOOKUP($A468,'The List'!$B1:$AH665,21,FALSE)-AVERAGE('The List'!V2:V665))/STDEV('The List'!V2:V665)</f>
        <v>-0.359626516129579</v>
      </c>
      <c r="J468" s="77">
        <f>(VLOOKUP($A468,'The List'!$B1:$AH665,22,FALSE)-AVERAGE('The List'!W2:W665))/STDEV('The List'!W2:W665)</f>
        <v>-0.6550950971963549</v>
      </c>
      <c r="K468" s="77">
        <f>(VLOOKUP($A468,'The List'!$B1:$AH665,23,FALSE)-AVERAGE('The List'!X2:X665))/STDEV('The List'!X2:X665)</f>
        <v>-0.753494174553456</v>
      </c>
      <c r="L468" s="77">
        <f>(VLOOKUP($A468,'The List'!$B1:$AH665,24,FALSE)-AVERAGE('The List'!Y2:Y665))/STDEV('The List'!Y2:Y665)</f>
        <v>-0.579660496402622</v>
      </c>
      <c r="M468" s="77">
        <f>(VLOOKUP($A468,'The List'!$B1:$AH665,25,FALSE)-AVERAGE('The List'!Z2:Z665))/STDEV('The List'!Z2:Z665)</f>
        <v>-0.753493766575549</v>
      </c>
      <c r="N468" s="77">
        <f>(VLOOKUP($A468,'The List'!$B1:$AH665,26,FALSE)-AVERAGE('The List'!AA2:AA665))/STDEV('The List'!AA2:AA665)</f>
        <v>-0.890969260566241</v>
      </c>
      <c r="O468" s="77">
        <f>(VLOOKUP($A468,'The List'!$B1:$AH665,27,FALSE)-AVERAGE('The List'!AB2:AB665))/STDEV('The List'!AB2:AB665)</f>
        <v>2.70813371185979</v>
      </c>
      <c r="P468" s="77">
        <f>(VLOOKUP($A468,'The List'!$B1:$AH665,28,FALSE)-AVERAGE('The List'!AC2:AC665))/STDEV('The List'!AC2:AC665)</f>
        <v>0.587327873590676</v>
      </c>
      <c r="Q468" s="77">
        <f>(VLOOKUP($A468,'The List'!$B1:$AH665,29,FALSE)-AVERAGE('The List'!AD2:AD665))/STDEV('The List'!AD2:AD665)</f>
        <v>0.480744846360739</v>
      </c>
      <c r="R468" s="77">
        <f>(VLOOKUP($A468,'The List'!$B1:$AH665,30,FALSE)-AVERAGE('The List'!AE2:AE665))/STDEV('The List'!AE2:AE665)</f>
        <v>-0.118228646634435</v>
      </c>
      <c r="S468" s="77">
        <f>(VLOOKUP($A468,'The List'!$B1:$AH665,31,FALSE)-AVERAGE('The List'!AF2:AF665))/STDEV('The List'!AF2:AF665)</f>
        <v>-0.564328473469224</v>
      </c>
      <c r="T468" s="77">
        <f>(VLOOKUP($A468,'The List'!$B1:$AH665,32,FALSE)-AVERAGE('The List'!AG2:AG665))/STDEV('The List'!AG2:AG665)</f>
        <v>-0.583768311247994</v>
      </c>
      <c r="U468" s="77">
        <f>(VLOOKUP($A468,'The List'!$B1:$AH665,33,FALSE)-AVERAGE('The List'!AH2:AH665))/STDEV('The List'!AH2:AH665)</f>
        <v>-0.347471490375298</v>
      </c>
      <c r="V468" s="77"/>
      <c r="W468" s="79"/>
      <c r="X468" s="79"/>
      <c r="Y468" s="79"/>
      <c r="Z468" s="79"/>
      <c r="AA468" s="79"/>
      <c r="AB468" s="79"/>
      <c r="AC468" s="82"/>
      <c r="AD468" s="83"/>
      <c r="AE468" s="84"/>
    </row>
    <row r="469" ht="21.25" customHeight="1">
      <c r="A469" t="s" s="10">
        <v>611</v>
      </c>
      <c r="B469" t="s" s="86">
        <f>VLOOKUP(A469,'Player Data'!A1:B667,2,FALSE)</f>
        <v>904</v>
      </c>
      <c r="C469" s="74">
        <f>((E469)*'Settings'!$C$12)+(F469*'Settings'!$C$2)+(G469*'Settings'!$C$3)+(H469*'Settings'!$C$4)+(I469*'Settings'!$C$5)+(K469*'Settings'!$C$9)+(N469*'Settings'!$C$6)+(J469*'Settings'!$C$8)+(O469*'Settings'!$C$7)+(P469*'Settings'!$C$14)+(Q469*'Settings'!$C$15)+(R469*'Settings'!$C$16)+(S469*'Settings'!$C$17)+(T469*'Settings'!$C$18)+(U469*'Settings'!$C$19)+(L469*'Settings'!$C$10)+('Settings'!$C$11*M469)</f>
        <v>-2.52045920972221</v>
      </c>
      <c r="D469" s="79">
        <f>IF('Settings'!$E$12="YES",VLOOKUP(A469,'Player Data'!A1:E667,5,FALSE),82)</f>
        <v>80.0325</v>
      </c>
      <c r="E469" s="77">
        <f>(VLOOKUP($A469,'The List'!$B1:$AH665,17,FALSE)-AVERAGE('The List'!R2:R665))/STDEV('The List'!R2:R665)</f>
        <v>0.649424190002523</v>
      </c>
      <c r="F469" s="77">
        <f>(VLOOKUP($A469,'The List'!$B1:$AH665,18,FALSE)-AVERAGE('The List'!S2:S665))/STDEV('The List'!S2:S665)</f>
        <v>-1.03212234780787</v>
      </c>
      <c r="G469" s="77">
        <f>(VLOOKUP($A469,'The List'!$B1:$AH665,19,FALSE)-AVERAGE('The List'!T2:T665))/STDEV('The List'!T2:T665)</f>
        <v>-0.456480070751353</v>
      </c>
      <c r="H469" s="77">
        <f>(VLOOKUP($A469,'The List'!$B1:$AH665,20,FALSE)-AVERAGE('The List'!U2:U665))/STDEV('The List'!U2:U665)</f>
        <v>-0.752648458742041</v>
      </c>
      <c r="I469" s="77">
        <f>(VLOOKUP($A469,'The List'!$B1:$AH665,21,FALSE)-AVERAGE('The List'!V2:V665))/STDEV('The List'!V2:V665)</f>
        <v>-0.886784904155159</v>
      </c>
      <c r="J469" s="77">
        <f>(VLOOKUP($A469,'The List'!$B1:$AH665,22,FALSE)-AVERAGE('The List'!W2:W665))/STDEV('The List'!W2:W665)</f>
        <v>-0.740342416380912</v>
      </c>
      <c r="K469" s="77">
        <f>(VLOOKUP($A469,'The List'!$B1:$AH665,23,FALSE)-AVERAGE('The List'!X2:X665))/STDEV('The List'!X2:X665)</f>
        <v>-0.814122084061669</v>
      </c>
      <c r="L469" s="77">
        <f>(VLOOKUP($A469,'The List'!$B1:$AH665,24,FALSE)-AVERAGE('The List'!Y2:Y665))/STDEV('The List'!Y2:Y665)</f>
        <v>-0.540931416381108</v>
      </c>
      <c r="M469" s="77">
        <f>(VLOOKUP($A469,'The List'!$B1:$AH665,25,FALSE)-AVERAGE('The List'!Z2:Z665))/STDEV('The List'!Z2:Z665)</f>
        <v>-0.398605756819679</v>
      </c>
      <c r="N469" s="77">
        <f>(VLOOKUP($A469,'The List'!$B1:$AH665,26,FALSE)-AVERAGE('The List'!AA2:AA665))/STDEV('The List'!AA2:AA665)</f>
        <v>1.35904239133832</v>
      </c>
      <c r="O469" s="77">
        <f>(VLOOKUP($A469,'The List'!$B1:$AH665,27,FALSE)-AVERAGE('The List'!AB2:AB665))/STDEV('The List'!AB2:AB665)</f>
        <v>-0.0747317073858615</v>
      </c>
      <c r="P469" s="77">
        <f>(VLOOKUP($A469,'The List'!$B1:$AH665,28,FALSE)-AVERAGE('The List'!AC2:AC665))/STDEV('The List'!AC2:AC665)</f>
        <v>-0.689992194284482</v>
      </c>
      <c r="Q469" s="77">
        <f>(VLOOKUP($A469,'The List'!$B1:$AH665,29,FALSE)-AVERAGE('The List'!AD2:AD665))/STDEV('The List'!AD2:AD665)</f>
        <v>-0.957364357680529</v>
      </c>
      <c r="R469" s="77">
        <f>(VLOOKUP($A469,'The List'!$B1:$AH665,30,FALSE)-AVERAGE('The List'!AE2:AE665))/STDEV('The List'!AE2:AE665)</f>
        <v>-0.974688208954921</v>
      </c>
      <c r="S469" s="77">
        <f>(VLOOKUP($A469,'The List'!$B1:$AH665,31,FALSE)-AVERAGE('The List'!AF2:AF665))/STDEV('The List'!AF2:AF665)</f>
        <v>-0.573894410680004</v>
      </c>
      <c r="T469" s="77">
        <f>(VLOOKUP($A469,'The List'!$B1:$AH665,32,FALSE)-AVERAGE('The List'!AG2:AG665))/STDEV('The List'!AG2:AG665)</f>
        <v>-0.625770787132651</v>
      </c>
      <c r="U469" s="77">
        <f>(VLOOKUP($A469,'The List'!$B1:$AH665,33,FALSE)-AVERAGE('The List'!AH2:AH665))/STDEV('The List'!AH2:AH665)</f>
        <v>-1.23143509451486</v>
      </c>
      <c r="V469" s="77"/>
      <c r="W469" s="89"/>
      <c r="X469" s="79"/>
      <c r="Y469" s="79"/>
      <c r="Z469" s="79"/>
      <c r="AA469" s="79"/>
      <c r="AB469" s="79"/>
      <c r="AC469" s="82"/>
      <c r="AD469" s="83"/>
      <c r="AE469" s="84"/>
    </row>
    <row r="470" ht="21.25" customHeight="1">
      <c r="A470" t="s" s="10">
        <v>793</v>
      </c>
      <c r="B470" t="s" s="86">
        <f>VLOOKUP(A470,'Player Data'!A1:B667,2,FALSE)</f>
        <v>207</v>
      </c>
      <c r="C470" s="74">
        <f>((E470)*'Settings'!$C$12)+(F470*'Settings'!$C$2)+(G470*'Settings'!$C$3)+(H470*'Settings'!$C$4)+(I470*'Settings'!$C$5)+(K470*'Settings'!$C$9)+(N470*'Settings'!$C$6)+(J470*'Settings'!$C$8)+(O470*'Settings'!$C$7)+(P470*'Settings'!$C$14)+(Q470*'Settings'!$C$15)+(R470*'Settings'!$C$16)+(S470*'Settings'!$C$17)+(T470*'Settings'!$C$18)+(U470*'Settings'!$C$19)+(L470*'Settings'!$C$10)+('Settings'!$C$11*M470)</f>
        <v>-2.66803532478164</v>
      </c>
      <c r="D470" s="79">
        <f>IF('Settings'!$E$12="YES",VLOOKUP(A470,'Player Data'!A1:E667,5,FALSE),82)</f>
        <v>67.2025</v>
      </c>
      <c r="E470" s="77">
        <f>(VLOOKUP($A470,'The List'!$B1:$AH665,17,FALSE)-AVERAGE('The List'!R2:R665))/STDEV('The List'!R2:R665)</f>
        <v>-0.376635057458149</v>
      </c>
      <c r="F470" s="77">
        <f>(VLOOKUP($A470,'The List'!$B1:$AH665,18,FALSE)-AVERAGE('The List'!S2:S665))/STDEV('The List'!S2:S665)</f>
        <v>-1.00569116220427</v>
      </c>
      <c r="G470" s="77">
        <f>(VLOOKUP($A470,'The List'!$B1:$AH665,19,FALSE)-AVERAGE('The List'!T2:T665))/STDEV('The List'!T2:T665)</f>
        <v>-0.710545866796051</v>
      </c>
      <c r="H470" s="77">
        <f>(VLOOKUP($A470,'The List'!$B1:$AH665,20,FALSE)-AVERAGE('The List'!U2:U665))/STDEV('The List'!U2:U665)</f>
        <v>-0.898423373494415</v>
      </c>
      <c r="I470" s="77">
        <f>(VLOOKUP($A470,'The List'!$B1:$AH665,21,FALSE)-AVERAGE('The List'!V2:V665))/STDEV('The List'!V2:V665)</f>
        <v>-0.421971410400134</v>
      </c>
      <c r="J470" s="77">
        <f>(VLOOKUP($A470,'The List'!$B1:$AH665,22,FALSE)-AVERAGE('The List'!W2:W665))/STDEV('The List'!W2:W665)</f>
        <v>-0.708642714062846</v>
      </c>
      <c r="K470" s="77">
        <f>(VLOOKUP($A470,'The List'!$B1:$AH665,23,FALSE)-AVERAGE('The List'!X2:X665))/STDEV('The List'!X2:X665)</f>
        <v>-0.452307499195274</v>
      </c>
      <c r="L470" s="77">
        <f>(VLOOKUP($A470,'The List'!$B1:$AH665,24,FALSE)-AVERAGE('The List'!Y2:Y665))/STDEV('The List'!Y2:Y665)</f>
        <v>-0.460519820146364</v>
      </c>
      <c r="M470" s="77">
        <f>(VLOOKUP($A470,'The List'!$B1:$AH665,25,FALSE)-AVERAGE('The List'!Z2:Z665))/STDEV('The List'!Z2:Z665)</f>
        <v>-0.667518310378858</v>
      </c>
      <c r="N470" s="77">
        <f>(VLOOKUP($A470,'The List'!$B1:$AH665,26,FALSE)-AVERAGE('The List'!AA2:AA665))/STDEV('The List'!AA2:AA665)</f>
        <v>-0.0500978724988684</v>
      </c>
      <c r="O470" s="77">
        <f>(VLOOKUP($A470,'The List'!$B1:$AH665,27,FALSE)-AVERAGE('The List'!AB2:AB665))/STDEV('The List'!AB2:AB665)</f>
        <v>-0.55588071296931</v>
      </c>
      <c r="P470" s="77">
        <f>(VLOOKUP($A470,'The List'!$B1:$AH665,28,FALSE)-AVERAGE('The List'!AC2:AC665))/STDEV('The List'!AC2:AC665)</f>
        <v>-0.0274215136870418</v>
      </c>
      <c r="Q470" s="77">
        <f>(VLOOKUP($A470,'The List'!$B1:$AH665,29,FALSE)-AVERAGE('The List'!AD2:AD665))/STDEV('The List'!AD2:AD665)</f>
        <v>-0.281651782370023</v>
      </c>
      <c r="R470" s="77">
        <f>(VLOOKUP($A470,'The List'!$B1:$AH665,30,FALSE)-AVERAGE('The List'!AE2:AE665))/STDEV('The List'!AE2:AE665)</f>
        <v>-0.944361243048644</v>
      </c>
      <c r="S470" s="77">
        <f>(VLOOKUP($A470,'The List'!$B1:$AH665,31,FALSE)-AVERAGE('The List'!AF2:AF665))/STDEV('The List'!AF2:AF665)</f>
        <v>-0.573894410680004</v>
      </c>
      <c r="T470" s="77">
        <f>(VLOOKUP($A470,'The List'!$B1:$AH665,32,FALSE)-AVERAGE('The List'!AG2:AG665))/STDEV('The List'!AG2:AG665)</f>
        <v>-0.625770787132651</v>
      </c>
      <c r="U470" s="77">
        <f>(VLOOKUP($A470,'The List'!$B1:$AH665,33,FALSE)-AVERAGE('The List'!AH2:AH665))/STDEV('The List'!AH2:AH665)</f>
        <v>-1.23143509451486</v>
      </c>
      <c r="V470" s="77"/>
      <c r="W470" s="79"/>
      <c r="X470" s="77"/>
      <c r="Y470" s="77"/>
      <c r="Z470" s="77"/>
      <c r="AA470" s="77"/>
      <c r="AB470" s="77"/>
      <c r="AC470" s="77"/>
      <c r="AD470" s="77"/>
      <c r="AE470" s="84"/>
    </row>
    <row r="471" ht="21.25" customHeight="1">
      <c r="A471" t="s" s="10">
        <v>738</v>
      </c>
      <c r="B471" t="s" s="86">
        <f>VLOOKUP(A471,'Player Data'!A1:B667,2,FALSE)</f>
        <v>913</v>
      </c>
      <c r="C471" s="74">
        <f>((E471)*'Settings'!$C$12)+(F471*'Settings'!$C$2)+(G471*'Settings'!$C$3)+(H471*'Settings'!$C$4)+(I471*'Settings'!$C$5)+(K471*'Settings'!$C$9)+(N471*'Settings'!$C$6)+(J471*'Settings'!$C$8)+(O471*'Settings'!$C$7)+(P471*'Settings'!$C$14)+(Q471*'Settings'!$C$15)+(R471*'Settings'!$C$16)+(S471*'Settings'!$C$17)+(T471*'Settings'!$C$18)+(U471*'Settings'!$C$19)+(L471*'Settings'!$C$10)+('Settings'!$C$11*M471)</f>
        <v>-5.84019433012656</v>
      </c>
      <c r="D471" s="79">
        <f>IF('Settings'!$E$12="YES",VLOOKUP(A471,'Player Data'!A1:E667,5,FALSE),82)</f>
        <v>76.75749999999999</v>
      </c>
      <c r="E471" s="77">
        <f>(VLOOKUP($A471,'The List'!$B1:$AH665,17,FALSE)-AVERAGE('The List'!R2:R665))/STDEV('The List'!R2:R665)</f>
        <v>-1.12523066069733</v>
      </c>
      <c r="F471" s="77">
        <f>(VLOOKUP($A471,'The List'!$B1:$AH665,18,FALSE)-AVERAGE('The List'!S2:S665))/STDEV('The List'!S2:S665)</f>
        <v>-0.502070044601712</v>
      </c>
      <c r="G471" s="77">
        <f>(VLOOKUP($A471,'The List'!$B1:$AH665,19,FALSE)-AVERAGE('The List'!T2:T665))/STDEV('The List'!T2:T665)</f>
        <v>-0.908699505616741</v>
      </c>
      <c r="H471" s="77">
        <f>(VLOOKUP($A471,'The List'!$B1:$AH665,20,FALSE)-AVERAGE('The List'!U2:U665))/STDEV('The List'!U2:U665)</f>
        <v>-0.792568188023794</v>
      </c>
      <c r="I471" s="77">
        <f>(VLOOKUP($A471,'The List'!$B1:$AH665,21,FALSE)-AVERAGE('The List'!V2:V665))/STDEV('The List'!V2:V665)</f>
        <v>-0.725273609080454</v>
      </c>
      <c r="J471" s="77">
        <f>(VLOOKUP($A471,'The List'!$B1:$AH665,22,FALSE)-AVERAGE('The List'!W2:W665))/STDEV('The List'!W2:W665)</f>
        <v>-0.702397273043703</v>
      </c>
      <c r="K471" s="77">
        <f>(VLOOKUP($A471,'The List'!$B1:$AH665,23,FALSE)-AVERAGE('The List'!X2:X665))/STDEV('The List'!X2:X665)</f>
        <v>-0.791887758193809</v>
      </c>
      <c r="L471" s="77">
        <f>(VLOOKUP($A471,'The List'!$B1:$AH665,24,FALSE)-AVERAGE('The List'!Y2:Y665))/STDEV('The List'!Y2:Y665)</f>
        <v>0.693166475998293</v>
      </c>
      <c r="M471" s="77">
        <f>(VLOOKUP($A471,'The List'!$B1:$AH665,25,FALSE)-AVERAGE('The List'!Z2:Z665))/STDEV('The List'!Z2:Z665)</f>
        <v>0.0909317224931991</v>
      </c>
      <c r="N471" s="77">
        <f>(VLOOKUP($A471,'The List'!$B1:$AH665,26,FALSE)-AVERAGE('The List'!AA2:AA665))/STDEV('The List'!AA2:AA665)</f>
        <v>-0.594540168295952</v>
      </c>
      <c r="O471" s="77">
        <f>(VLOOKUP($A471,'The List'!$B1:$AH665,27,FALSE)-AVERAGE('The List'!AB2:AB665))/STDEV('The List'!AB2:AB665)</f>
        <v>-0.183524891473464</v>
      </c>
      <c r="P471" s="77">
        <f>(VLOOKUP($A471,'The List'!$B1:$AH665,28,FALSE)-AVERAGE('The List'!AC2:AC665))/STDEV('The List'!AC2:AC665)</f>
        <v>-2.31772324433789</v>
      </c>
      <c r="Q471" s="77">
        <f>(VLOOKUP($A471,'The List'!$B1:$AH665,29,FALSE)-AVERAGE('The List'!AD2:AD665))/STDEV('The List'!AD2:AD665)</f>
        <v>-1.01230042498913</v>
      </c>
      <c r="R471" s="77">
        <f>(VLOOKUP($A471,'The List'!$B1:$AH665,30,FALSE)-AVERAGE('The List'!AE2:AE665))/STDEV('The List'!AE2:AE665)</f>
        <v>-0.705007069824329</v>
      </c>
      <c r="S471" s="77">
        <f>(VLOOKUP($A471,'The List'!$B1:$AH665,31,FALSE)-AVERAGE('The List'!AF2:AF665))/STDEV('The List'!AF2:AF665)</f>
        <v>1.70628003777709</v>
      </c>
      <c r="T471" s="77">
        <f>(VLOOKUP($A471,'The List'!$B1:$AH665,32,FALSE)-AVERAGE('The List'!AG2:AG665))/STDEV('The List'!AG2:AG665)</f>
        <v>1.22077839600331</v>
      </c>
      <c r="U471" s="77">
        <f>(VLOOKUP($A471,'The List'!$B1:$AH665,33,FALSE)-AVERAGE('The List'!AH2:AH665))/STDEV('The List'!AH2:AH665)</f>
        <v>1.34216186640292</v>
      </c>
      <c r="V471" s="77"/>
      <c r="W471" s="89"/>
      <c r="X471" s="79"/>
      <c r="Y471" s="79"/>
      <c r="Z471" s="79"/>
      <c r="AA471" s="79"/>
      <c r="AB471" s="79"/>
      <c r="AC471" s="82"/>
      <c r="AD471" s="83"/>
      <c r="AE471" s="84"/>
    </row>
    <row r="472" ht="21.25" customHeight="1">
      <c r="A472" t="s" s="10">
        <v>845</v>
      </c>
      <c r="B472" t="s" s="86">
        <f>VLOOKUP(A472,'Player Data'!A1:B667,2,FALSE)</f>
        <v>165</v>
      </c>
      <c r="C472" s="74">
        <f>((E472)*'Settings'!$C$12)+(F472*'Settings'!$C$2)+(G472*'Settings'!$C$3)+(H472*'Settings'!$C$4)+(I472*'Settings'!$C$5)+(K472*'Settings'!$C$9)+(N472*'Settings'!$C$6)+(J472*'Settings'!$C$8)+(O472*'Settings'!$C$7)+(P472*'Settings'!$C$14)+(Q472*'Settings'!$C$15)+(R472*'Settings'!$C$16)+(S472*'Settings'!$C$17)+(T472*'Settings'!$C$18)+(U472*'Settings'!$C$19)+(L472*'Settings'!$C$10)+('Settings'!$C$11*M472)</f>
        <v>-3.78027168767332</v>
      </c>
      <c r="D472" s="79">
        <f>IF('Settings'!$E$12="YES",VLOOKUP(A472,'Player Data'!A1:E667,5,FALSE),82)</f>
        <v>62.455</v>
      </c>
      <c r="E472" s="77">
        <f>(VLOOKUP($A472,'The List'!$B1:$AH665,17,FALSE)-AVERAGE('The List'!R2:R665))/STDEV('The List'!R2:R665)</f>
        <v>-1.29232017516785</v>
      </c>
      <c r="F472" s="77">
        <f>(VLOOKUP($A472,'The List'!$B1:$AH665,18,FALSE)-AVERAGE('The List'!S2:S665))/STDEV('The List'!S2:S665)</f>
        <v>-0.594908565461702</v>
      </c>
      <c r="G472" s="77">
        <f>(VLOOKUP($A472,'The List'!$B1:$AH665,19,FALSE)-AVERAGE('The List'!T2:T665))/STDEV('The List'!T2:T665)</f>
        <v>-1.09749827339576</v>
      </c>
      <c r="H472" s="77">
        <f>(VLOOKUP($A472,'The List'!$B1:$AH665,20,FALSE)-AVERAGE('The List'!U2:U665))/STDEV('The List'!U2:U665)</f>
        <v>-0.952022359313197</v>
      </c>
      <c r="I472" s="77">
        <f>(VLOOKUP($A472,'The List'!$B1:$AH665,21,FALSE)-AVERAGE('The List'!V2:V665))/STDEV('The List'!V2:V665)</f>
        <v>-0.906532248697676</v>
      </c>
      <c r="J472" s="77">
        <f>(VLOOKUP($A472,'The List'!$B1:$AH665,22,FALSE)-AVERAGE('The List'!W2:W665))/STDEV('The List'!W2:W665)</f>
        <v>-0.685622518852815</v>
      </c>
      <c r="K472" s="77">
        <f>(VLOOKUP($A472,'The List'!$B1:$AH665,23,FALSE)-AVERAGE('The List'!X2:X665))/STDEV('The List'!X2:X665)</f>
        <v>-0.757843921097793</v>
      </c>
      <c r="L472" s="77">
        <f>(VLOOKUP($A472,'The List'!$B1:$AH665,24,FALSE)-AVERAGE('The List'!Y2:Y665))/STDEV('The List'!Y2:Y665)</f>
        <v>1.19377575800934</v>
      </c>
      <c r="M472" s="77">
        <f>(VLOOKUP($A472,'The List'!$B1:$AH665,25,FALSE)-AVERAGE('The List'!Z2:Z665))/STDEV('The List'!Z2:Z665)</f>
        <v>0.423323348435661</v>
      </c>
      <c r="N472" s="77">
        <f>(VLOOKUP($A472,'The List'!$B1:$AH665,26,FALSE)-AVERAGE('The List'!AA2:AA665))/STDEV('The List'!AA2:AA665)</f>
        <v>-0.877216109271417</v>
      </c>
      <c r="O472" s="77">
        <f>(VLOOKUP($A472,'The List'!$B1:$AH665,27,FALSE)-AVERAGE('The List'!AB2:AB665))/STDEV('The List'!AB2:AB665)</f>
        <v>-0.901860438786223</v>
      </c>
      <c r="P472" s="77">
        <f>(VLOOKUP($A472,'The List'!$B1:$AH665,28,FALSE)-AVERAGE('The List'!AC2:AC665))/STDEV('The List'!AC2:AC665)</f>
        <v>0.453727430251032</v>
      </c>
      <c r="Q472" s="77">
        <f>(VLOOKUP($A472,'The List'!$B1:$AH665,29,FALSE)-AVERAGE('The List'!AD2:AD665))/STDEV('The List'!AD2:AD665)</f>
        <v>-1.02110645766405</v>
      </c>
      <c r="R472" s="77">
        <f>(VLOOKUP($A472,'The List'!$B1:$AH665,30,FALSE)-AVERAGE('The List'!AE2:AE665))/STDEV('The List'!AE2:AE665)</f>
        <v>-0.603772258706983</v>
      </c>
      <c r="S472" s="77">
        <f>(VLOOKUP($A472,'The List'!$B1:$AH665,31,FALSE)-AVERAGE('The List'!AF2:AF665))/STDEV('The List'!AF2:AF665)</f>
        <v>0.312597242279126</v>
      </c>
      <c r="T472" s="77">
        <f>(VLOOKUP($A472,'The List'!$B1:$AH665,32,FALSE)-AVERAGE('The List'!AG2:AG665))/STDEV('The List'!AG2:AG665)</f>
        <v>0.225009328157882</v>
      </c>
      <c r="U472" s="77">
        <f>(VLOOKUP($A472,'The List'!$B1:$AH665,33,FALSE)-AVERAGE('The List'!AH2:AH665))/STDEV('The List'!AH2:AH665)</f>
        <v>1.15151324421643</v>
      </c>
      <c r="V472" s="77"/>
      <c r="W472" s="89"/>
      <c r="X472" s="79"/>
      <c r="Y472" s="79"/>
      <c r="Z472" s="79"/>
      <c r="AA472" s="79"/>
      <c r="AB472" s="79"/>
      <c r="AC472" s="82"/>
      <c r="AD472" s="83"/>
      <c r="AE472" s="84"/>
    </row>
    <row r="473" ht="21.25" customHeight="1">
      <c r="A473" t="s" s="10">
        <v>497</v>
      </c>
      <c r="B473" t="s" s="86">
        <f>VLOOKUP(A473,'Player Data'!A1:B667,2,FALSE)</f>
        <v>901</v>
      </c>
      <c r="C473" s="74">
        <f>((E473)*'Settings'!$C$12)+(F473*'Settings'!$C$2)+(G473*'Settings'!$C$3)+(H473*'Settings'!$C$4)+(I473*'Settings'!$C$5)+(K473*'Settings'!$C$9)+(N473*'Settings'!$C$6)+(J473*'Settings'!$C$8)+(O473*'Settings'!$C$7)+(P473*'Settings'!$C$14)+(Q473*'Settings'!$C$15)+(R473*'Settings'!$C$16)+(S473*'Settings'!$C$17)+(T473*'Settings'!$C$18)+(U473*'Settings'!$C$19)+(L473*'Settings'!$C$10)+('Settings'!$C$11*M473)</f>
        <v>-1.36345212110824</v>
      </c>
      <c r="D473" s="79">
        <f>IF('Settings'!$E$12="YES",VLOOKUP(A473,'Player Data'!A1:E667,5,FALSE),82)</f>
        <v>80.5925</v>
      </c>
      <c r="E473" s="77">
        <f>(VLOOKUP($A473,'The List'!$B1:$AH665,17,FALSE)-AVERAGE('The List'!R2:R665))/STDEV('The List'!R2:R665)</f>
        <v>0.701264148787898</v>
      </c>
      <c r="F473" s="77">
        <f>(VLOOKUP($A473,'The List'!$B1:$AH665,18,FALSE)-AVERAGE('The List'!S2:S665))/STDEV('The List'!S2:S665)</f>
        <v>-1.09439256646103</v>
      </c>
      <c r="G473" s="77">
        <f>(VLOOKUP($A473,'The List'!$B1:$AH665,19,FALSE)-AVERAGE('The List'!T2:T665))/STDEV('The List'!T2:T665)</f>
        <v>-0.412362245375952</v>
      </c>
      <c r="H473" s="77">
        <f>(VLOOKUP($A473,'The List'!$B1:$AH665,20,FALSE)-AVERAGE('The List'!U2:U665))/STDEV('The List'!U2:U665)</f>
        <v>-0.753553582840753</v>
      </c>
      <c r="I473" s="77">
        <f>(VLOOKUP($A473,'The List'!$B1:$AH665,21,FALSE)-AVERAGE('The List'!V2:V665))/STDEV('The List'!V2:V665)</f>
        <v>-0.632452970559034</v>
      </c>
      <c r="J473" s="77">
        <f>(VLOOKUP($A473,'The List'!$B1:$AH665,22,FALSE)-AVERAGE('The List'!W2:W665))/STDEV('The List'!W2:W665)</f>
        <v>-0.740175020872331</v>
      </c>
      <c r="K473" s="77">
        <f>(VLOOKUP($A473,'The List'!$B1:$AH665,23,FALSE)-AVERAGE('The List'!X2:X665))/STDEV('The List'!X2:X665)</f>
        <v>-0.808680998313647</v>
      </c>
      <c r="L473" s="77">
        <f>(VLOOKUP($A473,'The List'!$B1:$AH665,24,FALSE)-AVERAGE('The List'!Y2:Y665))/STDEV('The List'!Y2:Y665)</f>
        <v>0.549571670061859</v>
      </c>
      <c r="M473" s="77">
        <f>(VLOOKUP($A473,'The List'!$B1:$AH665,25,FALSE)-AVERAGE('The List'!Z2:Z665))/STDEV('The List'!Z2:Z665)</f>
        <v>0.375215661040384</v>
      </c>
      <c r="N473" s="77">
        <f>(VLOOKUP($A473,'The List'!$B1:$AH665,26,FALSE)-AVERAGE('The List'!AA2:AA665))/STDEV('The List'!AA2:AA665)</f>
        <v>1.75052816809358</v>
      </c>
      <c r="O473" s="77">
        <f>(VLOOKUP($A473,'The List'!$B1:$AH665,27,FALSE)-AVERAGE('The List'!AB2:AB665))/STDEV('The List'!AB2:AB665)</f>
        <v>0.406875394295428</v>
      </c>
      <c r="P473" s="77">
        <f>(VLOOKUP($A473,'The List'!$B1:$AH665,28,FALSE)-AVERAGE('The List'!AC2:AC665))/STDEV('The List'!AC2:AC665)</f>
        <v>-0.166091508492161</v>
      </c>
      <c r="Q473" s="77">
        <f>(VLOOKUP($A473,'The List'!$B1:$AH665,29,FALSE)-AVERAGE('The List'!AD2:AD665))/STDEV('The List'!AD2:AD665)</f>
        <v>1.9352412688746</v>
      </c>
      <c r="R473" s="77">
        <f>(VLOOKUP($A473,'The List'!$B1:$AH665,30,FALSE)-AVERAGE('The List'!AE2:AE665))/STDEV('The List'!AE2:AE665)</f>
        <v>-1.01294851619777</v>
      </c>
      <c r="S473" s="77">
        <f>(VLOOKUP($A473,'The List'!$B1:$AH665,31,FALSE)-AVERAGE('The List'!AF2:AF665))/STDEV('The List'!AF2:AF665)</f>
        <v>-0.573894410680004</v>
      </c>
      <c r="T473" s="77">
        <f>(VLOOKUP($A473,'The List'!$B1:$AH665,32,FALSE)-AVERAGE('The List'!AG2:AG665))/STDEV('The List'!AG2:AG665)</f>
        <v>-0.625770787132651</v>
      </c>
      <c r="U473" s="77">
        <f>(VLOOKUP($A473,'The List'!$B1:$AH665,33,FALSE)-AVERAGE('The List'!AH2:AH665))/STDEV('The List'!AH2:AH665)</f>
        <v>-1.23143509451486</v>
      </c>
      <c r="V473" s="77"/>
      <c r="W473" s="89"/>
      <c r="X473" s="79"/>
      <c r="Y473" s="79"/>
      <c r="Z473" s="79"/>
      <c r="AA473" s="79"/>
      <c r="AB473" s="79"/>
      <c r="AC473" s="82"/>
      <c r="AD473" s="83"/>
      <c r="AE473" s="84"/>
    </row>
    <row r="474" ht="21.25" customHeight="1">
      <c r="A474" t="s" s="10">
        <v>549</v>
      </c>
      <c r="B474" t="s" s="86">
        <f>VLOOKUP(A474,'Player Data'!A1:B667,2,FALSE)</f>
        <v>149</v>
      </c>
      <c r="C474" s="74">
        <f>((E474)*'Settings'!$C$12)+(F474*'Settings'!$C$2)+(G474*'Settings'!$C$3)+(H474*'Settings'!$C$4)+(I474*'Settings'!$C$5)+(K474*'Settings'!$C$9)+(N474*'Settings'!$C$6)+(J474*'Settings'!$C$8)+(O474*'Settings'!$C$7)+(P474*'Settings'!$C$14)+(Q474*'Settings'!$C$15)+(R474*'Settings'!$C$16)+(S474*'Settings'!$C$17)+(T474*'Settings'!$C$18)+(U474*'Settings'!$C$19)+(L474*'Settings'!$C$10)+('Settings'!$C$11*M474)</f>
        <v>-2.29266437604027</v>
      </c>
      <c r="D474" s="79">
        <f>IF('Settings'!$E$12="YES",VLOOKUP(A474,'Player Data'!A1:E667,5,FALSE),82)</f>
        <v>78.7025</v>
      </c>
      <c r="E474" s="77">
        <f>(VLOOKUP($A474,'The List'!$B1:$AH665,17,FALSE)-AVERAGE('The List'!R2:R665))/STDEV('The List'!R2:R665)</f>
        <v>0.405948102626687</v>
      </c>
      <c r="F474" s="77">
        <f>(VLOOKUP($A474,'The List'!$B1:$AH665,18,FALSE)-AVERAGE('The List'!S2:S665))/STDEV('The List'!S2:S665)</f>
        <v>-1.03607088094954</v>
      </c>
      <c r="G474" s="77">
        <f>(VLOOKUP($A474,'The List'!$B1:$AH665,19,FALSE)-AVERAGE('The List'!T2:T665))/STDEV('The List'!T2:T665)</f>
        <v>-0.49043016355214</v>
      </c>
      <c r="H474" s="77">
        <f>(VLOOKUP($A474,'The List'!$B1:$AH665,20,FALSE)-AVERAGE('The List'!U2:U665))/STDEV('The List'!U2:U665)</f>
        <v>-0.775528171322756</v>
      </c>
      <c r="I474" s="77">
        <f>(VLOOKUP($A474,'The List'!$B1:$AH665,21,FALSE)-AVERAGE('The List'!V2:V665))/STDEV('The List'!V2:V665)</f>
        <v>-0.834855119274597</v>
      </c>
      <c r="J474" s="77">
        <f>(VLOOKUP($A474,'The List'!$B1:$AH665,22,FALSE)-AVERAGE('The List'!W2:W665))/STDEV('The List'!W2:W665)</f>
        <v>-0.741119053831865</v>
      </c>
      <c r="K474" s="77">
        <f>(VLOOKUP($A474,'The List'!$B1:$AH665,23,FALSE)-AVERAGE('The List'!X2:X665))/STDEV('The List'!X2:X665)</f>
        <v>-0.816276055430151</v>
      </c>
      <c r="L474" s="77">
        <f>(VLOOKUP($A474,'The List'!$B1:$AH665,24,FALSE)-AVERAGE('The List'!Y2:Y665))/STDEV('The List'!Y2:Y665)</f>
        <v>-0.5433671442542281</v>
      </c>
      <c r="M474" s="77">
        <f>(VLOOKUP($A474,'The List'!$B1:$AH665,25,FALSE)-AVERAGE('The List'!Z2:Z665))/STDEV('The List'!Z2:Z665)</f>
        <v>-0.252910401942812</v>
      </c>
      <c r="N474" s="77">
        <f>(VLOOKUP($A474,'The List'!$B1:$AH665,26,FALSE)-AVERAGE('The List'!AA2:AA665))/STDEV('The List'!AA2:AA665)</f>
        <v>0.962819884547234</v>
      </c>
      <c r="O474" s="77">
        <f>(VLOOKUP($A474,'The List'!$B1:$AH665,27,FALSE)-AVERAGE('The List'!AB2:AB665))/STDEV('The List'!AB2:AB665)</f>
        <v>0.96162870784198</v>
      </c>
      <c r="P474" s="77">
        <f>(VLOOKUP($A474,'The List'!$B1:$AH665,28,FALSE)-AVERAGE('The List'!AC2:AC665))/STDEV('The List'!AC2:AC665)</f>
        <v>-0.07785204138108071</v>
      </c>
      <c r="Q474" s="77">
        <f>(VLOOKUP($A474,'The List'!$B1:$AH665,29,FALSE)-AVERAGE('The List'!AD2:AD665))/STDEV('The List'!AD2:AD665)</f>
        <v>0.608560075752272</v>
      </c>
      <c r="R474" s="77">
        <f>(VLOOKUP($A474,'The List'!$B1:$AH665,30,FALSE)-AVERAGE('The List'!AE2:AE665))/STDEV('The List'!AE2:AE665)</f>
        <v>-0.949806765597411</v>
      </c>
      <c r="S474" s="77">
        <f>(VLOOKUP($A474,'The List'!$B1:$AH665,31,FALSE)-AVERAGE('The List'!AF2:AF665))/STDEV('The List'!AF2:AF665)</f>
        <v>-0.573894410680004</v>
      </c>
      <c r="T474" s="77">
        <f>(VLOOKUP($A474,'The List'!$B1:$AH665,32,FALSE)-AVERAGE('The List'!AG2:AG665))/STDEV('The List'!AG2:AG665)</f>
        <v>-0.625770787132651</v>
      </c>
      <c r="U474" s="77">
        <f>(VLOOKUP($A474,'The List'!$B1:$AH665,33,FALSE)-AVERAGE('The List'!AH2:AH665))/STDEV('The List'!AH2:AH665)</f>
        <v>-1.23143509451486</v>
      </c>
      <c r="V474" s="77"/>
      <c r="W474" s="89"/>
      <c r="X474" s="79"/>
      <c r="Y474" s="79"/>
      <c r="Z474" s="79"/>
      <c r="AA474" s="79"/>
      <c r="AB474" s="79"/>
      <c r="AC474" s="82"/>
      <c r="AD474" s="83"/>
      <c r="AE474" s="84"/>
    </row>
    <row r="475" ht="21.25" customHeight="1">
      <c r="A475" t="s" s="10">
        <v>491</v>
      </c>
      <c r="B475" t="s" s="86">
        <f>VLOOKUP(A475,'Player Data'!A1:B667,2,FALSE)</f>
        <v>267</v>
      </c>
      <c r="C475" s="74">
        <f>((E475)*'Settings'!$C$12)+(F475*'Settings'!$C$2)+(G475*'Settings'!$C$3)+(H475*'Settings'!$C$4)+(I475*'Settings'!$C$5)+(K475*'Settings'!$C$9)+(N475*'Settings'!$C$6)+(J475*'Settings'!$C$8)+(O475*'Settings'!$C$7)+(P475*'Settings'!$C$14)+(Q475*'Settings'!$C$15)+(R475*'Settings'!$C$16)+(S475*'Settings'!$C$17)+(T475*'Settings'!$C$18)+(U475*'Settings'!$C$19)+(L475*'Settings'!$C$10)+('Settings'!$C$11*M475)</f>
        <v>-0.91081087981646</v>
      </c>
      <c r="D475" s="79">
        <f>IF('Settings'!$E$12="YES",VLOOKUP(A475,'Player Data'!A1:E667,5,FALSE),82)</f>
        <v>77.4225</v>
      </c>
      <c r="E475" s="77">
        <f>(VLOOKUP($A475,'The List'!$B1:$AH665,17,FALSE)-AVERAGE('The List'!R2:R665))/STDEV('The List'!R2:R665)</f>
        <v>1.00393190546644</v>
      </c>
      <c r="F475" s="77">
        <f>(VLOOKUP($A475,'The List'!$B1:$AH665,18,FALSE)-AVERAGE('The List'!S2:S665))/STDEV('The List'!S2:S665)</f>
        <v>-1.00177930546065</v>
      </c>
      <c r="G475" s="77">
        <f>(VLOOKUP($A475,'The List'!$B1:$AH665,19,FALSE)-AVERAGE('The List'!T2:T665))/STDEV('The List'!T2:T665)</f>
        <v>-0.5438000101403661</v>
      </c>
      <c r="H475" s="77">
        <f>(VLOOKUP($A475,'The List'!$B1:$AH665,20,FALSE)-AVERAGE('The List'!U2:U665))/STDEV('The List'!U2:U665)</f>
        <v>-0.793086695870737</v>
      </c>
      <c r="I475" s="77">
        <f>(VLOOKUP($A475,'The List'!$B1:$AH665,21,FALSE)-AVERAGE('The List'!V2:V665))/STDEV('The List'!V2:V665)</f>
        <v>-0.680891317229434</v>
      </c>
      <c r="J475" s="77">
        <f>(VLOOKUP($A475,'The List'!$B1:$AH665,22,FALSE)-AVERAGE('The List'!W2:W665))/STDEV('The List'!W2:W665)</f>
        <v>-0.737521332184825</v>
      </c>
      <c r="K475" s="77">
        <f>(VLOOKUP($A475,'The List'!$B1:$AH665,23,FALSE)-AVERAGE('The List'!X2:X665))/STDEV('The List'!X2:X665)</f>
        <v>-0.8204715155612941</v>
      </c>
      <c r="L475" s="77">
        <f>(VLOOKUP($A475,'The List'!$B1:$AH665,24,FALSE)-AVERAGE('The List'!Y2:Y665))/STDEV('The List'!Y2:Y665)</f>
        <v>-0.527017007956295</v>
      </c>
      <c r="M475" s="77">
        <f>(VLOOKUP($A475,'The List'!$B1:$AH665,25,FALSE)-AVERAGE('The List'!Z2:Z665))/STDEV('The List'!Z2:Z665)</f>
        <v>-0.320447439269315</v>
      </c>
      <c r="N475" s="77">
        <f>(VLOOKUP($A475,'The List'!$B1:$AH665,26,FALSE)-AVERAGE('The List'!AA2:AA665))/STDEV('The List'!AA2:AA665)</f>
        <v>1.51495019630603</v>
      </c>
      <c r="O475" s="77">
        <f>(VLOOKUP($A475,'The List'!$B1:$AH665,27,FALSE)-AVERAGE('The List'!AB2:AB665))/STDEV('The List'!AB2:AB665)</f>
        <v>0.893983252666107</v>
      </c>
      <c r="P475" s="77">
        <f>(VLOOKUP($A475,'The List'!$B1:$AH665,28,FALSE)-AVERAGE('The List'!AC2:AC665))/STDEV('The List'!AC2:AC665)</f>
        <v>0.621181072269254</v>
      </c>
      <c r="Q475" s="77">
        <f>(VLOOKUP($A475,'The List'!$B1:$AH665,29,FALSE)-AVERAGE('The List'!AD2:AD665))/STDEV('The List'!AD2:AD665)</f>
        <v>-0.617284909971005</v>
      </c>
      <c r="R475" s="77">
        <f>(VLOOKUP($A475,'The List'!$B1:$AH665,30,FALSE)-AVERAGE('The List'!AE2:AE665))/STDEV('The List'!AE2:AE665)</f>
        <v>-0.895598035918667</v>
      </c>
      <c r="S475" s="77">
        <f>(VLOOKUP($A475,'The List'!$B1:$AH665,31,FALSE)-AVERAGE('The List'!AF2:AF665))/STDEV('The List'!AF2:AF665)</f>
        <v>-0.573894410680004</v>
      </c>
      <c r="T475" s="77">
        <f>(VLOOKUP($A475,'The List'!$B1:$AH665,32,FALSE)-AVERAGE('The List'!AG2:AG665))/STDEV('The List'!AG2:AG665)</f>
        <v>-0.625770787132651</v>
      </c>
      <c r="U475" s="77">
        <f>(VLOOKUP($A475,'The List'!$B1:$AH665,33,FALSE)-AVERAGE('The List'!AH2:AH665))/STDEV('The List'!AH2:AH665)</f>
        <v>-1.23143509451486</v>
      </c>
      <c r="V475" s="77"/>
      <c r="W475" s="79"/>
      <c r="X475" s="77"/>
      <c r="Y475" s="77"/>
      <c r="Z475" s="77"/>
      <c r="AA475" s="77"/>
      <c r="AB475" s="77"/>
      <c r="AC475" s="77"/>
      <c r="AD475" s="77"/>
      <c r="AE475" s="84"/>
    </row>
    <row r="476" ht="21.25" customHeight="1">
      <c r="A476" t="s" s="10">
        <v>555</v>
      </c>
      <c r="B476" t="s" s="86">
        <f>VLOOKUP(A476,'Player Data'!A1:B667,2,FALSE)</f>
        <v>901</v>
      </c>
      <c r="C476" s="74">
        <f>((E476)*'Settings'!$C$12)+(F476*'Settings'!$C$2)+(G476*'Settings'!$C$3)+(H476*'Settings'!$C$4)+(I476*'Settings'!$C$5)+(K476*'Settings'!$C$9)+(N476*'Settings'!$C$6)+(J476*'Settings'!$C$8)+(O476*'Settings'!$C$7)+(P476*'Settings'!$C$14)+(Q476*'Settings'!$C$15)+(R476*'Settings'!$C$16)+(S476*'Settings'!$C$17)+(T476*'Settings'!$C$18)+(U476*'Settings'!$C$19)+(L476*'Settings'!$C$10)+('Settings'!$C$11*M476)</f>
        <v>-1.04111366279373</v>
      </c>
      <c r="D476" s="79">
        <f>IF('Settings'!$E$12="YES",VLOOKUP(A476,'Player Data'!A1:E667,5,FALSE),82)</f>
        <v>72.22499999999999</v>
      </c>
      <c r="E476" s="77">
        <f>(VLOOKUP($A476,'The List'!$B1:$AH665,17,FALSE)-AVERAGE('The List'!R2:R665))/STDEV('The List'!R2:R665)</f>
        <v>0.6821955877027031</v>
      </c>
      <c r="F476" s="77">
        <f>(VLOOKUP($A476,'The List'!$B1:$AH665,18,FALSE)-AVERAGE('The List'!S2:S665))/STDEV('The List'!S2:S665)</f>
        <v>-0.807469981529007</v>
      </c>
      <c r="G476" s="77">
        <f>(VLOOKUP($A476,'The List'!$B1:$AH665,19,FALSE)-AVERAGE('The List'!T2:T665))/STDEV('The List'!T2:T665)</f>
        <v>-0.780187923944219</v>
      </c>
      <c r="H476" s="77">
        <f>(VLOOKUP($A476,'The List'!$B1:$AH665,20,FALSE)-AVERAGE('The List'!U2:U665))/STDEV('The List'!U2:U665)</f>
        <v>-0.851574057999013</v>
      </c>
      <c r="I476" s="77">
        <f>(VLOOKUP($A476,'The List'!$B1:$AH665,21,FALSE)-AVERAGE('The List'!V2:V665))/STDEV('The List'!V2:V665)</f>
        <v>-0.819104038181486</v>
      </c>
      <c r="J476" s="77">
        <f>(VLOOKUP($A476,'The List'!$B1:$AH665,22,FALSE)-AVERAGE('The List'!W2:W665))/STDEV('The List'!W2:W665)</f>
        <v>-0.6812321187168739</v>
      </c>
      <c r="K476" s="77">
        <f>(VLOOKUP($A476,'The List'!$B1:$AH665,23,FALSE)-AVERAGE('The List'!X2:X665))/STDEV('The List'!X2:X665)</f>
        <v>-0.733800167196005</v>
      </c>
      <c r="L476" s="77">
        <f>(VLOOKUP($A476,'The List'!$B1:$AH665,24,FALSE)-AVERAGE('The List'!Y2:Y665))/STDEV('The List'!Y2:Y665)</f>
        <v>-0.209592814665883</v>
      </c>
      <c r="M476" s="77">
        <f>(VLOOKUP($A476,'The List'!$B1:$AH665,25,FALSE)-AVERAGE('The List'!Z2:Z665))/STDEV('The List'!Z2:Z665)</f>
        <v>-0.207555752913702</v>
      </c>
      <c r="N476" s="77">
        <f>(VLOOKUP($A476,'The List'!$B1:$AH665,26,FALSE)-AVERAGE('The List'!AA2:AA665))/STDEV('The List'!AA2:AA665)</f>
        <v>1.18004360534145</v>
      </c>
      <c r="O476" s="77">
        <f>(VLOOKUP($A476,'The List'!$B1:$AH665,27,FALSE)-AVERAGE('The List'!AB2:AB665))/STDEV('The List'!AB2:AB665)</f>
        <v>0.74543728990807</v>
      </c>
      <c r="P476" s="77">
        <f>(VLOOKUP($A476,'The List'!$B1:$AH665,28,FALSE)-AVERAGE('The List'!AC2:AC665))/STDEV('The List'!AC2:AC665)</f>
        <v>0.919404842715538</v>
      </c>
      <c r="Q476" s="77">
        <f>(VLOOKUP($A476,'The List'!$B1:$AH665,29,FALSE)-AVERAGE('The List'!AD2:AD665))/STDEV('The List'!AD2:AD665)</f>
        <v>0.930084862191896</v>
      </c>
      <c r="R476" s="77">
        <f>(VLOOKUP($A476,'The List'!$B1:$AH665,30,FALSE)-AVERAGE('The List'!AE2:AE665))/STDEV('The List'!AE2:AE665)</f>
        <v>-0.698439700707188</v>
      </c>
      <c r="S476" s="77">
        <f>(VLOOKUP($A476,'The List'!$B1:$AH665,31,FALSE)-AVERAGE('The List'!AF2:AF665))/STDEV('The List'!AF2:AF665)</f>
        <v>-0.573894410680004</v>
      </c>
      <c r="T476" s="77">
        <f>(VLOOKUP($A476,'The List'!$B1:$AH665,32,FALSE)-AVERAGE('The List'!AG2:AG665))/STDEV('The List'!AG2:AG665)</f>
        <v>-0.625770787132651</v>
      </c>
      <c r="U476" s="77">
        <f>(VLOOKUP($A476,'The List'!$B1:$AH665,33,FALSE)-AVERAGE('The List'!AH2:AH665))/STDEV('The List'!AH2:AH665)</f>
        <v>-1.23143509451486</v>
      </c>
      <c r="V476" s="77"/>
      <c r="W476" s="89"/>
      <c r="X476" s="79"/>
      <c r="Y476" s="79"/>
      <c r="Z476" s="79"/>
      <c r="AA476" s="79"/>
      <c r="AB476" s="79"/>
      <c r="AC476" s="82"/>
      <c r="AD476" s="83"/>
      <c r="AE476" s="84"/>
    </row>
    <row r="477" ht="21.25" customHeight="1">
      <c r="A477" t="s" s="10">
        <v>812</v>
      </c>
      <c r="B477" t="s" s="86">
        <f>VLOOKUP(A477,'Player Data'!A1:B667,2,FALSE)</f>
        <v>903</v>
      </c>
      <c r="C477" s="74">
        <f>((E477)*'Settings'!$C$12)+(F477*'Settings'!$C$2)+(G477*'Settings'!$C$3)+(H477*'Settings'!$C$4)+(I477*'Settings'!$C$5)+(K477*'Settings'!$C$9)+(N477*'Settings'!$C$6)+(J477*'Settings'!$C$8)+(O477*'Settings'!$C$7)+(P477*'Settings'!$C$14)+(Q477*'Settings'!$C$15)+(R477*'Settings'!$C$16)+(S477*'Settings'!$C$17)+(T477*'Settings'!$C$18)+(U477*'Settings'!$C$19)+(L477*'Settings'!$C$10)+('Settings'!$C$11*M477)</f>
        <v>-3.44334273060933</v>
      </c>
      <c r="D477" s="79">
        <f>IF('Settings'!$E$12="YES",VLOOKUP(A477,'Player Data'!A1:E667,5,FALSE),82)</f>
        <v>58.79</v>
      </c>
      <c r="E477" s="77">
        <f>(VLOOKUP($A477,'The List'!$B1:$AH665,17,FALSE)-AVERAGE('The List'!R2:R665))/STDEV('The List'!R2:R665)</f>
        <v>-0.475739675264783</v>
      </c>
      <c r="F477" s="77">
        <f>(VLOOKUP($A477,'The List'!$B1:$AH665,18,FALSE)-AVERAGE('The List'!S2:S665))/STDEV('The List'!S2:S665)</f>
        <v>-1.11331465647469</v>
      </c>
      <c r="G477" s="77">
        <f>(VLOOKUP($A477,'The List'!$B1:$AH665,19,FALSE)-AVERAGE('The List'!T2:T665))/STDEV('The List'!T2:T665)</f>
        <v>-0.7965113860998</v>
      </c>
      <c r="H477" s="77">
        <f>(VLOOKUP($A477,'The List'!$B1:$AH665,20,FALSE)-AVERAGE('The List'!U2:U665))/STDEV('The List'!U2:U665)</f>
        <v>-1.00073278856229</v>
      </c>
      <c r="I477" s="77">
        <f>(VLOOKUP($A477,'The List'!$B1:$AH665,21,FALSE)-AVERAGE('The List'!V2:V665))/STDEV('The List'!V2:V665)</f>
        <v>-1.14745888723277</v>
      </c>
      <c r="J477" s="77">
        <f>(VLOOKUP($A477,'The List'!$B1:$AH665,22,FALSE)-AVERAGE('The List'!W2:W665))/STDEV('The List'!W2:W665)</f>
        <v>-0.735632081762053</v>
      </c>
      <c r="K477" s="77">
        <f>(VLOOKUP($A477,'The List'!$B1:$AH665,23,FALSE)-AVERAGE('The List'!X2:X665))/STDEV('The List'!X2:X665)</f>
        <v>-0.79318428593785</v>
      </c>
      <c r="L477" s="77">
        <f>(VLOOKUP($A477,'The List'!$B1:$AH665,24,FALSE)-AVERAGE('The List'!Y2:Y665))/STDEV('The List'!Y2:Y665)</f>
        <v>-0.558393698718424</v>
      </c>
      <c r="M477" s="77">
        <f>(VLOOKUP($A477,'The List'!$B1:$AH665,25,FALSE)-AVERAGE('The List'!Z2:Z665))/STDEV('The List'!Z2:Z665)</f>
        <v>-0.690451304729765</v>
      </c>
      <c r="N477" s="77">
        <f>(VLOOKUP($A477,'The List'!$B1:$AH665,26,FALSE)-AVERAGE('The List'!AA2:AA665))/STDEV('The List'!AA2:AA665)</f>
        <v>0.00573638800127006</v>
      </c>
      <c r="O477" s="77">
        <f>(VLOOKUP($A477,'The List'!$B1:$AH665,27,FALSE)-AVERAGE('The List'!AB2:AB665))/STDEV('The List'!AB2:AB665)</f>
        <v>-0.147286713362458</v>
      </c>
      <c r="P477" s="77">
        <f>(VLOOKUP($A477,'The List'!$B1:$AH665,28,FALSE)-AVERAGE('The List'!AC2:AC665))/STDEV('The List'!AC2:AC665)</f>
        <v>0.401390097134514</v>
      </c>
      <c r="Q477" s="77">
        <f>(VLOOKUP($A477,'The List'!$B1:$AH665,29,FALSE)-AVERAGE('The List'!AD2:AD665))/STDEV('The List'!AD2:AD665)</f>
        <v>-1.06595177511657</v>
      </c>
      <c r="R477" s="77">
        <f>(VLOOKUP($A477,'The List'!$B1:$AH665,30,FALSE)-AVERAGE('The List'!AE2:AE665))/STDEV('The List'!AE2:AE665)</f>
        <v>-1.0600726979106</v>
      </c>
      <c r="S477" s="77">
        <f>(VLOOKUP($A477,'The List'!$B1:$AH665,31,FALSE)-AVERAGE('The List'!AF2:AF665))/STDEV('The List'!AF2:AF665)</f>
        <v>-0.573894410680004</v>
      </c>
      <c r="T477" s="77">
        <f>(VLOOKUP($A477,'The List'!$B1:$AH665,32,FALSE)-AVERAGE('The List'!AG2:AG665))/STDEV('The List'!AG2:AG665)</f>
        <v>-0.625770787132651</v>
      </c>
      <c r="U477" s="77">
        <f>(VLOOKUP($A477,'The List'!$B1:$AH665,33,FALSE)-AVERAGE('The List'!AH2:AH665))/STDEV('The List'!AH2:AH665)</f>
        <v>-1.23143509451486</v>
      </c>
      <c r="V477" s="77"/>
      <c r="W477" s="89"/>
      <c r="X477" s="79"/>
      <c r="Y477" s="79"/>
      <c r="Z477" s="79"/>
      <c r="AA477" s="79"/>
      <c r="AB477" s="79"/>
      <c r="AC477" s="82"/>
      <c r="AD477" s="83"/>
      <c r="AE477" s="84"/>
    </row>
    <row r="478" ht="21.25" customHeight="1">
      <c r="A478" t="s" s="10">
        <v>424</v>
      </c>
      <c r="B478" t="s" s="86">
        <f>VLOOKUP(A478,'Player Data'!A1:B667,2,FALSE)</f>
        <v>909</v>
      </c>
      <c r="C478" s="74">
        <f>((E478)*'Settings'!$C$12)+(F478*'Settings'!$C$2)+(G478*'Settings'!$C$3)+(H478*'Settings'!$C$4)+(I478*'Settings'!$C$5)+(K478*'Settings'!$C$9)+(N478*'Settings'!$C$6)+(J478*'Settings'!$C$8)+(O478*'Settings'!$C$7)+(P478*'Settings'!$C$14)+(Q478*'Settings'!$C$15)+(R478*'Settings'!$C$16)+(S478*'Settings'!$C$17)+(T478*'Settings'!$C$18)+(U478*'Settings'!$C$19)+(L478*'Settings'!$C$10)+('Settings'!$C$11*M478)</f>
        <v>-5.06332324302699</v>
      </c>
      <c r="D478" s="79">
        <f>IF('Settings'!$E$12="YES",VLOOKUP(A478,'Player Data'!A1:E667,5,FALSE),82)</f>
        <v>72.59</v>
      </c>
      <c r="E478" s="77">
        <f>(VLOOKUP($A478,'The List'!$B1:$AH665,17,FALSE)-AVERAGE('The List'!R2:R665))/STDEV('The List'!R2:R665)</f>
        <v>-1.90725537244864</v>
      </c>
      <c r="F478" s="77">
        <f>(VLOOKUP($A478,'The List'!$B1:$AH665,18,FALSE)-AVERAGE('The List'!S2:S665))/STDEV('The List'!S2:S665)</f>
        <v>-0.668228561120185</v>
      </c>
      <c r="G478" s="77">
        <f>(VLOOKUP($A478,'The List'!$B1:$AH665,19,FALSE)-AVERAGE('The List'!T2:T665))/STDEV('The List'!T2:T665)</f>
        <v>-0.892688071703533</v>
      </c>
      <c r="H478" s="77">
        <f>(VLOOKUP($A478,'The List'!$B1:$AH665,20,FALSE)-AVERAGE('The List'!U2:U665))/STDEV('The List'!U2:U665)</f>
        <v>-0.85815113117688</v>
      </c>
      <c r="I478" s="77">
        <f>(VLOOKUP($A478,'The List'!$B1:$AH665,21,FALSE)-AVERAGE('The List'!V2:V665))/STDEV('The List'!V2:V665)</f>
        <v>-0.994285313386399</v>
      </c>
      <c r="J478" s="77">
        <f>(VLOOKUP($A478,'The List'!$B1:$AH665,22,FALSE)-AVERAGE('The List'!W2:W665))/STDEV('The List'!W2:W665)</f>
        <v>-0.736496568532894</v>
      </c>
      <c r="K478" s="77">
        <f>(VLOOKUP($A478,'The List'!$B1:$AH665,23,FALSE)-AVERAGE('The List'!X2:X665))/STDEV('The List'!X2:X665)</f>
        <v>-0.819310103710684</v>
      </c>
      <c r="L478" s="77">
        <f>(VLOOKUP($A478,'The List'!$B1:$AH665,24,FALSE)-AVERAGE('The List'!Y2:Y665))/STDEV('The List'!Y2:Y665)</f>
        <v>-0.510515474430937</v>
      </c>
      <c r="M478" s="77">
        <f>(VLOOKUP($A478,'The List'!$B1:$AH665,25,FALSE)-AVERAGE('The List'!Z2:Z665))/STDEV('The List'!Z2:Z665)</f>
        <v>-0.6823909201889971</v>
      </c>
      <c r="N478" s="77">
        <f>(VLOOKUP($A478,'The List'!$B1:$AH665,26,FALSE)-AVERAGE('The List'!AA2:AA665))/STDEV('The List'!AA2:AA665)</f>
        <v>-0.667503373544909</v>
      </c>
      <c r="O478" s="77">
        <f>(VLOOKUP($A478,'The List'!$B1:$AH665,27,FALSE)-AVERAGE('The List'!AB2:AB665))/STDEV('The List'!AB2:AB665)</f>
        <v>4.14779753429107</v>
      </c>
      <c r="P478" s="77">
        <f>(VLOOKUP($A478,'The List'!$B1:$AH665,28,FALSE)-AVERAGE('The List'!AC2:AC665))/STDEV('The List'!AC2:AC665)</f>
        <v>-1.02130781956128</v>
      </c>
      <c r="Q478" s="77">
        <f>(VLOOKUP($A478,'The List'!$B1:$AH665,29,FALSE)-AVERAGE('The List'!AD2:AD665))/STDEV('The List'!AD2:AD665)</f>
        <v>2.46399963569606</v>
      </c>
      <c r="R478" s="77">
        <f>(VLOOKUP($A478,'The List'!$B1:$AH665,30,FALSE)-AVERAGE('The List'!AE2:AE665))/STDEV('The List'!AE2:AE665)</f>
        <v>-0.780105047385961</v>
      </c>
      <c r="S478" s="77">
        <f>(VLOOKUP($A478,'The List'!$B1:$AH665,31,FALSE)-AVERAGE('The List'!AF2:AF665))/STDEV('The List'!AF2:AF665)</f>
        <v>-0.52801618194614</v>
      </c>
      <c r="T478" s="77">
        <f>(VLOOKUP($A478,'The List'!$B1:$AH665,32,FALSE)-AVERAGE('The List'!AG2:AG665))/STDEV('The List'!AG2:AG665)</f>
        <v>-0.563636183938547</v>
      </c>
      <c r="U478" s="77">
        <f>(VLOOKUP($A478,'The List'!$B1:$AH665,33,FALSE)-AVERAGE('The List'!AH2:AH665))/STDEV('The List'!AH2:AH665)</f>
        <v>0.762609294622964</v>
      </c>
      <c r="V478" s="77"/>
      <c r="W478" s="89"/>
      <c r="X478" s="79"/>
      <c r="Y478" s="79"/>
      <c r="Z478" s="79"/>
      <c r="AA478" s="79"/>
      <c r="AB478" s="79"/>
      <c r="AC478" s="82"/>
      <c r="AD478" s="83"/>
      <c r="AE478" s="84"/>
    </row>
    <row r="479" ht="21.25" customHeight="1">
      <c r="A479" t="s" s="10">
        <v>678</v>
      </c>
      <c r="B479" t="s" s="86">
        <f>VLOOKUP(A479,'Player Data'!A1:B667,2,FALSE)</f>
        <v>913</v>
      </c>
      <c r="C479" s="74">
        <f>((E479)*'Settings'!$C$12)+(F479*'Settings'!$C$2)+(G479*'Settings'!$C$3)+(H479*'Settings'!$C$4)+(I479*'Settings'!$C$5)+(K479*'Settings'!$C$9)+(N479*'Settings'!$C$6)+(J479*'Settings'!$C$8)+(O479*'Settings'!$C$7)+(P479*'Settings'!$C$14)+(Q479*'Settings'!$C$15)+(R479*'Settings'!$C$16)+(S479*'Settings'!$C$17)+(T479*'Settings'!$C$18)+(U479*'Settings'!$C$19)+(L479*'Settings'!$C$10)+('Settings'!$C$11*M479)</f>
        <v>-5.91286664726037</v>
      </c>
      <c r="D479" s="79">
        <f>IF('Settings'!$E$12="YES",VLOOKUP(A479,'Player Data'!A1:E667,5,FALSE),82)</f>
        <v>74.13</v>
      </c>
      <c r="E479" s="77">
        <f>(VLOOKUP($A479,'The List'!$B1:$AH665,17,FALSE)-AVERAGE('The List'!R2:R665))/STDEV('The List'!R2:R665)</f>
        <v>-1.13370116834839</v>
      </c>
      <c r="F479" s="77">
        <f>(VLOOKUP($A479,'The List'!$B1:$AH665,18,FALSE)-AVERAGE('The List'!S2:S665))/STDEV('The List'!S2:S665)</f>
        <v>-0.405365813053475</v>
      </c>
      <c r="G479" s="77">
        <f>(VLOOKUP($A479,'The List'!$B1:$AH665,19,FALSE)-AVERAGE('The List'!T2:T665))/STDEV('The List'!T2:T665)</f>
        <v>-1.05827344980916</v>
      </c>
      <c r="H479" s="77">
        <f>(VLOOKUP($A479,'The List'!$B1:$AH665,20,FALSE)-AVERAGE('The List'!U2:U665))/STDEV('The List'!U2:U665)</f>
        <v>-0.8415053476683</v>
      </c>
      <c r="I479" s="77">
        <f>(VLOOKUP($A479,'The List'!$B1:$AH665,21,FALSE)-AVERAGE('The List'!V2:V665))/STDEV('The List'!V2:V665)</f>
        <v>-0.756702546561098</v>
      </c>
      <c r="J479" s="77">
        <f>(VLOOKUP($A479,'The List'!$B1:$AH665,22,FALSE)-AVERAGE('The List'!W2:W665))/STDEV('The List'!W2:W665)</f>
        <v>-0.455826631191851</v>
      </c>
      <c r="K479" s="77">
        <f>(VLOOKUP($A479,'The List'!$B1:$AH665,23,FALSE)-AVERAGE('The List'!X2:X665))/STDEV('The List'!X2:X665)</f>
        <v>-0.555318523632862</v>
      </c>
      <c r="L479" s="77">
        <f>(VLOOKUP($A479,'The List'!$B1:$AH665,24,FALSE)-AVERAGE('The List'!Y2:Y665))/STDEV('The List'!Y2:Y665)</f>
        <v>-0.478935387389911</v>
      </c>
      <c r="M479" s="77">
        <f>(VLOOKUP($A479,'The List'!$B1:$AH665,25,FALSE)-AVERAGE('The List'!Z2:Z665))/STDEV('The List'!Z2:Z665)</f>
        <v>-0.649747828739161</v>
      </c>
      <c r="N479" s="77">
        <f>(VLOOKUP($A479,'The List'!$B1:$AH665,26,FALSE)-AVERAGE('The List'!AA2:AA665))/STDEV('The List'!AA2:AA665)</f>
        <v>-0.520256445251801</v>
      </c>
      <c r="O479" s="77">
        <f>(VLOOKUP($A479,'The List'!$B1:$AH665,27,FALSE)-AVERAGE('The List'!AB2:AB665))/STDEV('The List'!AB2:AB665)</f>
        <v>0.784108677255336</v>
      </c>
      <c r="P479" s="77">
        <f>(VLOOKUP($A479,'The List'!$B1:$AH665,28,FALSE)-AVERAGE('The List'!AC2:AC665))/STDEV('The List'!AC2:AC665)</f>
        <v>-2.61694986895197</v>
      </c>
      <c r="Q479" s="77">
        <f>(VLOOKUP($A479,'The List'!$B1:$AH665,29,FALSE)-AVERAGE('The List'!AD2:AD665))/STDEV('The List'!AD2:AD665)</f>
        <v>1.92441872644376</v>
      </c>
      <c r="R479" s="77">
        <f>(VLOOKUP($A479,'The List'!$B1:$AH665,30,FALSE)-AVERAGE('The List'!AE2:AE665))/STDEV('The List'!AE2:AE665)</f>
        <v>-0.638708567010759</v>
      </c>
      <c r="S479" s="77">
        <f>(VLOOKUP($A479,'The List'!$B1:$AH665,31,FALSE)-AVERAGE('The List'!AF2:AF665))/STDEV('The List'!AF2:AF665)</f>
        <v>0.08661406843518089</v>
      </c>
      <c r="T479" s="77">
        <f>(VLOOKUP($A479,'The List'!$B1:$AH665,32,FALSE)-AVERAGE('The List'!AG2:AG665))/STDEV('The List'!AG2:AG665)</f>
        <v>0.255486025512019</v>
      </c>
      <c r="U479" s="77">
        <f>(VLOOKUP($A479,'The List'!$B1:$AH665,33,FALSE)-AVERAGE('The List'!AH2:AH665))/STDEV('The List'!AH2:AH665)</f>
        <v>0.779347443193072</v>
      </c>
      <c r="V479" s="77"/>
      <c r="W479" s="89"/>
      <c r="X479" s="79"/>
      <c r="Y479" s="79"/>
      <c r="Z479" s="79"/>
      <c r="AA479" s="79"/>
      <c r="AB479" s="79"/>
      <c r="AC479" s="82"/>
      <c r="AD479" s="83"/>
      <c r="AE479" s="84"/>
    </row>
    <row r="480" ht="21.25" customHeight="1">
      <c r="A480" t="s" s="10">
        <v>462</v>
      </c>
      <c r="B480" t="s" s="86">
        <f>VLOOKUP(A480,'Player Data'!A1:B667,2,FALSE)</f>
        <v>154</v>
      </c>
      <c r="C480" s="74">
        <f>((E480)*'Settings'!$C$12)+(F480*'Settings'!$C$2)+(G480*'Settings'!$C$3)+(H480*'Settings'!$C$4)+(I480*'Settings'!$C$5)+(K480*'Settings'!$C$9)+(N480*'Settings'!$C$6)+(J480*'Settings'!$C$8)+(O480*'Settings'!$C$7)+(P480*'Settings'!$C$14)+(Q480*'Settings'!$C$15)+(R480*'Settings'!$C$16)+(S480*'Settings'!$C$17)+(T480*'Settings'!$C$18)+(U480*'Settings'!$C$19)+(L480*'Settings'!$C$10)+('Settings'!$C$11*M480)</f>
        <v>-3.54517567586017</v>
      </c>
      <c r="D480" s="79">
        <f>IF('Settings'!$E$12="YES",VLOOKUP(A480,'Player Data'!A1:E667,5,FALSE),82)</f>
        <v>77.9525</v>
      </c>
      <c r="E480" s="77">
        <f>(VLOOKUP($A480,'The List'!$B1:$AH665,17,FALSE)-AVERAGE('The List'!R2:R665))/STDEV('The List'!R2:R665)</f>
        <v>-0.939745307331784</v>
      </c>
      <c r="F480" s="77">
        <f>(VLOOKUP($A480,'The List'!$B1:$AH665,18,FALSE)-AVERAGE('The List'!S2:S665))/STDEV('The List'!S2:S665)</f>
        <v>-0.707632020011252</v>
      </c>
      <c r="G480" s="77">
        <f>(VLOOKUP($A480,'The List'!$B1:$AH665,19,FALSE)-AVERAGE('The List'!T2:T665))/STDEV('The List'!T2:T665)</f>
        <v>-0.773347205923879</v>
      </c>
      <c r="H480" s="77">
        <f>(VLOOKUP($A480,'The List'!$B1:$AH665,20,FALSE)-AVERAGE('The List'!U2:U665))/STDEV('The List'!U2:U665)</f>
        <v>-0.80194448827864</v>
      </c>
      <c r="I480" s="77">
        <f>(VLOOKUP($A480,'The List'!$B1:$AH665,21,FALSE)-AVERAGE('The List'!V2:V665))/STDEV('The List'!V2:V665)</f>
        <v>-0.724573351412326</v>
      </c>
      <c r="J480" s="77">
        <f>(VLOOKUP($A480,'The List'!$B1:$AH665,22,FALSE)-AVERAGE('The List'!W2:W665))/STDEV('The List'!W2:W665)</f>
        <v>-0.735769561684078</v>
      </c>
      <c r="K480" s="77">
        <f>(VLOOKUP($A480,'The List'!$B1:$AH665,23,FALSE)-AVERAGE('The List'!X2:X665))/STDEV('The List'!X2:X665)</f>
        <v>-0.820286028758595</v>
      </c>
      <c r="L480" s="77">
        <f>(VLOOKUP($A480,'The List'!$B1:$AH665,24,FALSE)-AVERAGE('The List'!Y2:Y665))/STDEV('The List'!Y2:Y665)</f>
        <v>-0.361766886769759</v>
      </c>
      <c r="M480" s="77">
        <f>(VLOOKUP($A480,'The List'!$B1:$AH665,25,FALSE)-AVERAGE('The List'!Z2:Z665))/STDEV('The List'!Z2:Z665)</f>
        <v>0.309541407180441</v>
      </c>
      <c r="N480" s="77">
        <f>(VLOOKUP($A480,'The List'!$B1:$AH665,26,FALSE)-AVERAGE('The List'!AA2:AA665))/STDEV('The List'!AA2:AA665)</f>
        <v>0.263798612916512</v>
      </c>
      <c r="O480" s="77">
        <f>(VLOOKUP($A480,'The List'!$B1:$AH665,27,FALSE)-AVERAGE('The List'!AB2:AB665))/STDEV('The List'!AB2:AB665)</f>
        <v>2.24862766658629</v>
      </c>
      <c r="P480" s="77">
        <f>(VLOOKUP($A480,'The List'!$B1:$AH665,28,FALSE)-AVERAGE('The List'!AC2:AC665))/STDEV('The List'!AC2:AC665)</f>
        <v>-0.783135682670634</v>
      </c>
      <c r="Q480" s="77">
        <f>(VLOOKUP($A480,'The List'!$B1:$AH665,29,FALSE)-AVERAGE('The List'!AD2:AD665))/STDEV('The List'!AD2:AD665)</f>
        <v>-0.449734502865581</v>
      </c>
      <c r="R480" s="77">
        <f>(VLOOKUP($A480,'The List'!$B1:$AH665,30,FALSE)-AVERAGE('The List'!AE2:AE665))/STDEV('The List'!AE2:AE665)</f>
        <v>-0.706771603280102</v>
      </c>
      <c r="S480" s="77">
        <f>(VLOOKUP($A480,'The List'!$B1:$AH665,31,FALSE)-AVERAGE('The List'!AF2:AF665))/STDEV('The List'!AF2:AF665)</f>
        <v>-0.469819014613823</v>
      </c>
      <c r="T480" s="77">
        <f>(VLOOKUP($A480,'The List'!$B1:$AH665,32,FALSE)-AVERAGE('The List'!AG2:AG665))/STDEV('The List'!AG2:AG665)</f>
        <v>-0.499531738452738</v>
      </c>
      <c r="U480" s="77">
        <f>(VLOOKUP($A480,'The List'!$B1:$AH665,33,FALSE)-AVERAGE('The List'!AH2:AH665))/STDEV('The List'!AH2:AH665)</f>
        <v>0.8864418878761851</v>
      </c>
      <c r="V480" s="77"/>
      <c r="W480" s="79"/>
      <c r="X480" s="77"/>
      <c r="Y480" s="77"/>
      <c r="Z480" s="77"/>
      <c r="AA480" s="77"/>
      <c r="AB480" s="77"/>
      <c r="AC480" s="77"/>
      <c r="AD480" s="77"/>
      <c r="AE480" s="84"/>
    </row>
    <row r="481" ht="21.25" customHeight="1">
      <c r="A481" t="s" s="10">
        <v>563</v>
      </c>
      <c r="B481" t="s" s="86">
        <f>VLOOKUP(A481,'Player Data'!A1:B667,2,FALSE)</f>
        <v>207</v>
      </c>
      <c r="C481" s="74">
        <f>((E481)*'Settings'!$C$12)+(F481*'Settings'!$C$2)+(G481*'Settings'!$C$3)+(H481*'Settings'!$C$4)+(I481*'Settings'!$C$5)+(K481*'Settings'!$C$9)+(N481*'Settings'!$C$6)+(J481*'Settings'!$C$8)+(O481*'Settings'!$C$7)+(P481*'Settings'!$C$14)+(Q481*'Settings'!$C$15)+(R481*'Settings'!$C$16)+(S481*'Settings'!$C$17)+(T481*'Settings'!$C$18)+(U481*'Settings'!$C$19)+(L481*'Settings'!$C$10)+('Settings'!$C$11*M481)</f>
        <v>-2.88186595251262</v>
      </c>
      <c r="D481" s="79">
        <f>IF('Settings'!$E$12="YES",VLOOKUP(A481,'Player Data'!A1:E667,5,FALSE),82)</f>
        <v>78.96250000000001</v>
      </c>
      <c r="E481" s="77">
        <f>(VLOOKUP($A481,'The List'!$B1:$AH665,17,FALSE)-AVERAGE('The List'!R2:R665))/STDEV('The List'!R2:R665)</f>
        <v>-0.912824677924772</v>
      </c>
      <c r="F481" s="77">
        <f>(VLOOKUP($A481,'The List'!$B1:$AH665,18,FALSE)-AVERAGE('The List'!S2:S665))/STDEV('The List'!S2:S665)</f>
        <v>-0.587495732832799</v>
      </c>
      <c r="G481" s="77">
        <f>(VLOOKUP($A481,'The List'!$B1:$AH665,19,FALSE)-AVERAGE('The List'!T2:T665))/STDEV('The List'!T2:T665)</f>
        <v>-0.848034532337208</v>
      </c>
      <c r="H481" s="77">
        <f>(VLOOKUP($A481,'The List'!$B1:$AH665,20,FALSE)-AVERAGE('The List'!U2:U665))/STDEV('The List'!U2:U665)</f>
        <v>-0.793721864450101</v>
      </c>
      <c r="I481" s="77">
        <f>(VLOOKUP($A481,'The List'!$B1:$AH665,21,FALSE)-AVERAGE('The List'!V2:V665))/STDEV('The List'!V2:V665)</f>
        <v>-0.697873628099534</v>
      </c>
      <c r="J481" s="77">
        <f>(VLOOKUP($A481,'The List'!$B1:$AH665,22,FALSE)-AVERAGE('The List'!W2:W665))/STDEV('The List'!W2:W665)</f>
        <v>-0.707445898534292</v>
      </c>
      <c r="K481" s="77">
        <f>(VLOOKUP($A481,'The List'!$B1:$AH665,23,FALSE)-AVERAGE('The List'!X2:X665))/STDEV('The List'!X2:X665)</f>
        <v>-0.782186535429119</v>
      </c>
      <c r="L481" s="77">
        <f>(VLOOKUP($A481,'The List'!$B1:$AH665,24,FALSE)-AVERAGE('The List'!Y2:Y665))/STDEV('The List'!Y2:Y665)</f>
        <v>0.760342699684314</v>
      </c>
      <c r="M481" s="77">
        <f>(VLOOKUP($A481,'The List'!$B1:$AH665,25,FALSE)-AVERAGE('The List'!Z2:Z665))/STDEV('The List'!Z2:Z665)</f>
        <v>0.5080879652145101</v>
      </c>
      <c r="N481" s="77">
        <f>(VLOOKUP($A481,'The List'!$B1:$AH665,26,FALSE)-AVERAGE('The List'!AA2:AA665))/STDEV('The List'!AA2:AA665)</f>
        <v>0.0408019252894748</v>
      </c>
      <c r="O481" s="77">
        <f>(VLOOKUP($A481,'The List'!$B1:$AH665,27,FALSE)-AVERAGE('The List'!AB2:AB665))/STDEV('The List'!AB2:AB665)</f>
        <v>1.10212183390624</v>
      </c>
      <c r="P481" s="77">
        <f>(VLOOKUP($A481,'The List'!$B1:$AH665,28,FALSE)-AVERAGE('The List'!AC2:AC665))/STDEV('The List'!AC2:AC665)</f>
        <v>-0.00707744910343121</v>
      </c>
      <c r="Q481" s="77">
        <f>(VLOOKUP($A481,'The List'!$B1:$AH665,29,FALSE)-AVERAGE('The List'!AD2:AD665))/STDEV('The List'!AD2:AD665)</f>
        <v>0.118022412723327</v>
      </c>
      <c r="R481" s="77">
        <f>(VLOOKUP($A481,'The List'!$B1:$AH665,30,FALSE)-AVERAGE('The List'!AE2:AE665))/STDEV('The List'!AE2:AE665)</f>
        <v>-0.522505284320276</v>
      </c>
      <c r="S481" s="77">
        <f>(VLOOKUP($A481,'The List'!$B1:$AH665,31,FALSE)-AVERAGE('The List'!AF2:AF665))/STDEV('The List'!AF2:AF665)</f>
        <v>1.44506204857841</v>
      </c>
      <c r="T481" s="77">
        <f>(VLOOKUP($A481,'The List'!$B1:$AH665,32,FALSE)-AVERAGE('The List'!AG2:AG665))/STDEV('The List'!AG2:AG665)</f>
        <v>1.21142530190917</v>
      </c>
      <c r="U481" s="77">
        <f>(VLOOKUP($A481,'The List'!$B1:$AH665,33,FALSE)-AVERAGE('The List'!AH2:AH665))/STDEV('The List'!AH2:AH665)</f>
        <v>1.21157271698706</v>
      </c>
      <c r="V481" s="77"/>
      <c r="W481" s="89"/>
      <c r="X481" s="79"/>
      <c r="Y481" s="79"/>
      <c r="Z481" s="79"/>
      <c r="AA481" s="79"/>
      <c r="AB481" s="79"/>
      <c r="AC481" s="82"/>
      <c r="AD481" s="83"/>
      <c r="AE481" s="84"/>
    </row>
    <row r="482" ht="21.25" customHeight="1">
      <c r="A482" t="s" s="10">
        <v>690</v>
      </c>
      <c r="B482" t="s" s="86">
        <f>VLOOKUP(A482,'Player Data'!A1:B667,2,FALSE)</f>
        <v>154</v>
      </c>
      <c r="C482" s="74">
        <f>((E482)*'Settings'!$C$12)+(F482*'Settings'!$C$2)+(G482*'Settings'!$C$3)+(H482*'Settings'!$C$4)+(I482*'Settings'!$C$5)+(K482*'Settings'!$C$9)+(N482*'Settings'!$C$6)+(J482*'Settings'!$C$8)+(O482*'Settings'!$C$7)+(P482*'Settings'!$C$14)+(Q482*'Settings'!$C$15)+(R482*'Settings'!$C$16)+(S482*'Settings'!$C$17)+(T482*'Settings'!$C$18)+(U482*'Settings'!$C$19)+(L482*'Settings'!$C$10)+('Settings'!$C$11*M482)</f>
        <v>-2.99897415718331</v>
      </c>
      <c r="D482" s="79">
        <f>IF('Settings'!$E$12="YES",VLOOKUP(A482,'Player Data'!A1:E667,5,FALSE),82)</f>
        <v>75.38500000000001</v>
      </c>
      <c r="E482" s="77">
        <f>(VLOOKUP($A482,'The List'!$B1:$AH665,17,FALSE)-AVERAGE('The List'!R2:R665))/STDEV('The List'!R2:R665)</f>
        <v>0.237610454535948</v>
      </c>
      <c r="F482" s="77">
        <f>(VLOOKUP($A482,'The List'!$B1:$AH665,18,FALSE)-AVERAGE('The List'!S2:S665))/STDEV('The List'!S2:S665)</f>
        <v>-1.00389994150155</v>
      </c>
      <c r="G482" s="77">
        <f>(VLOOKUP($A482,'The List'!$B1:$AH665,19,FALSE)-AVERAGE('The List'!T2:T665))/STDEV('The List'!T2:T665)</f>
        <v>-0.607490481282224</v>
      </c>
      <c r="H482" s="77">
        <f>(VLOOKUP($A482,'The List'!$B1:$AH665,20,FALSE)-AVERAGE('The List'!U2:U665))/STDEV('The List'!U2:U665)</f>
        <v>-0.833605989527423</v>
      </c>
      <c r="I482" s="77">
        <f>(VLOOKUP($A482,'The List'!$B1:$AH665,21,FALSE)-AVERAGE('The List'!V2:V665))/STDEV('The List'!V2:V665)</f>
        <v>-0.832290471432659</v>
      </c>
      <c r="J482" s="77">
        <f>(VLOOKUP($A482,'The List'!$B1:$AH665,22,FALSE)-AVERAGE('The List'!W2:W665))/STDEV('The List'!W2:W665)</f>
        <v>-0.739756348759439</v>
      </c>
      <c r="K482" s="77">
        <f>(VLOOKUP($A482,'The List'!$B1:$AH665,23,FALSE)-AVERAGE('The List'!X2:X665))/STDEV('The List'!X2:X665)</f>
        <v>-0.799636002145786</v>
      </c>
      <c r="L482" s="77">
        <f>(VLOOKUP($A482,'The List'!$B1:$AH665,24,FALSE)-AVERAGE('The List'!Y2:Y665))/STDEV('The List'!Y2:Y665)</f>
        <v>-0.557003562055716</v>
      </c>
      <c r="M482" s="77">
        <f>(VLOOKUP($A482,'The List'!$B1:$AH665,25,FALSE)-AVERAGE('The List'!Z2:Z665))/STDEV('The List'!Z2:Z665)</f>
        <v>-0.42623524426896</v>
      </c>
      <c r="N482" s="77">
        <f>(VLOOKUP($A482,'The List'!$B1:$AH665,26,FALSE)-AVERAGE('The List'!AA2:AA665))/STDEV('The List'!AA2:AA665)</f>
        <v>0.658170155171859</v>
      </c>
      <c r="O482" s="77">
        <f>(VLOOKUP($A482,'The List'!$B1:$AH665,27,FALSE)-AVERAGE('The List'!AB2:AB665))/STDEV('The List'!AB2:AB665)</f>
        <v>-0.037232062445998</v>
      </c>
      <c r="P482" s="77">
        <f>(VLOOKUP($A482,'The List'!$B1:$AH665,28,FALSE)-AVERAGE('The List'!AC2:AC665))/STDEV('The List'!AC2:AC665)</f>
        <v>-0.413827415992949</v>
      </c>
      <c r="Q482" s="77">
        <f>(VLOOKUP($A482,'The List'!$B1:$AH665,29,FALSE)-AVERAGE('The List'!AD2:AD665))/STDEV('The List'!AD2:AD665)</f>
        <v>-0.55113453893089</v>
      </c>
      <c r="R482" s="77">
        <f>(VLOOKUP($A482,'The List'!$B1:$AH665,30,FALSE)-AVERAGE('The List'!AE2:AE665))/STDEV('The List'!AE2:AE665)</f>
        <v>-0.975770247901</v>
      </c>
      <c r="S482" s="77">
        <f>(VLOOKUP($A482,'The List'!$B1:$AH665,31,FALSE)-AVERAGE('The List'!AF2:AF665))/STDEV('The List'!AF2:AF665)</f>
        <v>-0.573894410680004</v>
      </c>
      <c r="T482" s="77">
        <f>(VLOOKUP($A482,'The List'!$B1:$AH665,32,FALSE)-AVERAGE('The List'!AG2:AG665))/STDEV('The List'!AG2:AG665)</f>
        <v>-0.625770787132651</v>
      </c>
      <c r="U482" s="77">
        <f>(VLOOKUP($A482,'The List'!$B1:$AH665,33,FALSE)-AVERAGE('The List'!AH2:AH665))/STDEV('The List'!AH2:AH665)</f>
        <v>-1.23143509451486</v>
      </c>
      <c r="V482" s="77"/>
      <c r="W482" s="89"/>
      <c r="X482" s="79"/>
      <c r="Y482" s="79"/>
      <c r="Z482" s="79"/>
      <c r="AA482" s="79"/>
      <c r="AB482" s="79"/>
      <c r="AC482" s="82"/>
      <c r="AD482" s="83"/>
      <c r="AE482" s="84"/>
    </row>
    <row r="483" ht="21.25" customHeight="1">
      <c r="A483" t="s" s="10">
        <v>751</v>
      </c>
      <c r="B483" t="s" s="86">
        <f>VLOOKUP(A483,'Player Data'!A1:B667,2,FALSE)</f>
        <v>914</v>
      </c>
      <c r="C483" s="74">
        <f>((E483)*'Settings'!$C$12)+(F483*'Settings'!$C$2)+(G483*'Settings'!$C$3)+(H483*'Settings'!$C$4)+(I483*'Settings'!$C$5)+(K483*'Settings'!$C$9)+(N483*'Settings'!$C$6)+(J483*'Settings'!$C$8)+(O483*'Settings'!$C$7)+(P483*'Settings'!$C$14)+(Q483*'Settings'!$C$15)+(R483*'Settings'!$C$16)+(S483*'Settings'!$C$17)+(T483*'Settings'!$C$18)+(U483*'Settings'!$C$19)+(L483*'Settings'!$C$10)+('Settings'!$C$11*M483)</f>
        <v>-3.69016113219921</v>
      </c>
      <c r="D483" s="79">
        <f>IF('Settings'!$E$12="YES",VLOOKUP(A483,'Player Data'!A1:E667,5,FALSE),82)</f>
        <v>72.8775</v>
      </c>
      <c r="E483" s="77">
        <f>(VLOOKUP($A483,'The List'!$B1:$AH665,17,FALSE)-AVERAGE('The List'!R2:R665))/STDEV('The List'!R2:R665)</f>
        <v>-0.0330456110943401</v>
      </c>
      <c r="F483" s="77">
        <f>(VLOOKUP($A483,'The List'!$B1:$AH665,18,FALSE)-AVERAGE('The List'!S2:S665))/STDEV('The List'!S2:S665)</f>
        <v>-0.931003422779615</v>
      </c>
      <c r="G483" s="77">
        <f>(VLOOKUP($A483,'The List'!$B1:$AH665,19,FALSE)-AVERAGE('The List'!T2:T665))/STDEV('The List'!T2:T665)</f>
        <v>-0.7053399764142519</v>
      </c>
      <c r="H483" s="77">
        <f>(VLOOKUP($A483,'The List'!$B1:$AH665,20,FALSE)-AVERAGE('The List'!U2:U665))/STDEV('The List'!U2:U665)</f>
        <v>-0.861241095088185</v>
      </c>
      <c r="I483" s="77">
        <f>(VLOOKUP($A483,'The List'!$B1:$AH665,21,FALSE)-AVERAGE('The List'!V2:V665))/STDEV('The List'!V2:V665)</f>
        <v>-1.12915543869154</v>
      </c>
      <c r="J483" s="77">
        <f>(VLOOKUP($A483,'The List'!$B1:$AH665,22,FALSE)-AVERAGE('The List'!W2:W665))/STDEV('The List'!W2:W665)</f>
        <v>-0.739526737849204</v>
      </c>
      <c r="K483" s="77">
        <f>(VLOOKUP($A483,'The List'!$B1:$AH665,23,FALSE)-AVERAGE('The List'!X2:X665))/STDEV('The List'!X2:X665)</f>
        <v>-0.808508224024183</v>
      </c>
      <c r="L483" s="77">
        <f>(VLOOKUP($A483,'The List'!$B1:$AH665,24,FALSE)-AVERAGE('The List'!Y2:Y665))/STDEV('The List'!Y2:Y665)</f>
        <v>-0.5453447779866401</v>
      </c>
      <c r="M483" s="77">
        <f>(VLOOKUP($A483,'The List'!$B1:$AH665,25,FALSE)-AVERAGE('The List'!Z2:Z665))/STDEV('The List'!Z2:Z665)</f>
        <v>-0.650279006247518</v>
      </c>
      <c r="N483" s="77">
        <f>(VLOOKUP($A483,'The List'!$B1:$AH665,26,FALSE)-AVERAGE('The List'!AA2:AA665))/STDEV('The List'!AA2:AA665)</f>
        <v>0.825023096326101</v>
      </c>
      <c r="O483" s="77">
        <f>(VLOOKUP($A483,'The List'!$B1:$AH665,27,FALSE)-AVERAGE('The List'!AB2:AB665))/STDEV('The List'!AB2:AB665)</f>
        <v>-0.678926692762395</v>
      </c>
      <c r="P483" s="77">
        <f>(VLOOKUP($A483,'The List'!$B1:$AH665,28,FALSE)-AVERAGE('The List'!AC2:AC665))/STDEV('The List'!AC2:AC665)</f>
        <v>-0.941177166615718</v>
      </c>
      <c r="Q483" s="77">
        <f>(VLOOKUP($A483,'The List'!$B1:$AH665,29,FALSE)-AVERAGE('The List'!AD2:AD665))/STDEV('The List'!AD2:AD665)</f>
        <v>-0.214306901361159</v>
      </c>
      <c r="R483" s="77">
        <f>(VLOOKUP($A483,'The List'!$B1:$AH665,30,FALSE)-AVERAGE('The List'!AE2:AE665))/STDEV('The List'!AE2:AE665)</f>
        <v>-0.989326122873106</v>
      </c>
      <c r="S483" s="77">
        <f>(VLOOKUP($A483,'The List'!$B1:$AH665,31,FALSE)-AVERAGE('The List'!AF2:AF665))/STDEV('The List'!AF2:AF665)</f>
        <v>-0.573894410680004</v>
      </c>
      <c r="T483" s="77">
        <f>(VLOOKUP($A483,'The List'!$B1:$AH665,32,FALSE)-AVERAGE('The List'!AG2:AG665))/STDEV('The List'!AG2:AG665)</f>
        <v>-0.625770787132651</v>
      </c>
      <c r="U483" s="77">
        <f>(VLOOKUP($A483,'The List'!$B1:$AH665,33,FALSE)-AVERAGE('The List'!AH2:AH665))/STDEV('The List'!AH2:AH665)</f>
        <v>-1.23143509451486</v>
      </c>
      <c r="V483" s="77"/>
      <c r="W483" s="89"/>
      <c r="X483" s="79"/>
      <c r="Y483" s="79"/>
      <c r="Z483" s="79"/>
      <c r="AA483" s="79"/>
      <c r="AB483" s="79"/>
      <c r="AC483" s="82"/>
      <c r="AD483" s="83"/>
      <c r="AE483" s="84"/>
    </row>
    <row r="484" ht="21.25" customHeight="1">
      <c r="A484" t="s" s="10">
        <v>701</v>
      </c>
      <c r="B484" t="s" s="86">
        <f>VLOOKUP(A484,'Player Data'!A1:B667,2,FALSE)</f>
        <v>132</v>
      </c>
      <c r="C484" s="74">
        <f>((E484)*'Settings'!$C$12)+(F484*'Settings'!$C$2)+(G484*'Settings'!$C$3)+(H484*'Settings'!$C$4)+(I484*'Settings'!$C$5)+(K484*'Settings'!$C$9)+(N484*'Settings'!$C$6)+(J484*'Settings'!$C$8)+(O484*'Settings'!$C$7)+(P484*'Settings'!$C$14)+(Q484*'Settings'!$C$15)+(R484*'Settings'!$C$16)+(S484*'Settings'!$C$17)+(T484*'Settings'!$C$18)+(U484*'Settings'!$C$19)+(L484*'Settings'!$C$10)+('Settings'!$C$11*M484)</f>
        <v>-3.98102088999546</v>
      </c>
      <c r="D484" s="79">
        <f>IF('Settings'!$E$12="YES",VLOOKUP(A484,'Player Data'!A1:E667,5,FALSE),82)</f>
        <v>75.77249999999999</v>
      </c>
      <c r="E484" s="77">
        <f>(VLOOKUP($A484,'The List'!$B1:$AH665,17,FALSE)-AVERAGE('The List'!R2:R665))/STDEV('The List'!R2:R665)</f>
        <v>-1.57963135343316</v>
      </c>
      <c r="F484" s="77">
        <f>(VLOOKUP($A484,'The List'!$B1:$AH665,18,FALSE)-AVERAGE('The List'!S2:S665))/STDEV('The List'!S2:S665)</f>
        <v>-0.5085298340016851</v>
      </c>
      <c r="G484" s="77">
        <f>(VLOOKUP($A484,'The List'!$B1:$AH665,19,FALSE)-AVERAGE('The List'!T2:T665))/STDEV('The List'!T2:T665)</f>
        <v>-0.96727332805052</v>
      </c>
      <c r="H484" s="77">
        <f>(VLOOKUP($A484,'The List'!$B1:$AH665,20,FALSE)-AVERAGE('The List'!U2:U665))/STDEV('The List'!U2:U665)</f>
        <v>-0.831882106591464</v>
      </c>
      <c r="I484" s="77">
        <f>(VLOOKUP($A484,'The List'!$B1:$AH665,21,FALSE)-AVERAGE('The List'!V2:V665))/STDEV('The List'!V2:V665)</f>
        <v>-0.862937997117421</v>
      </c>
      <c r="J484" s="77">
        <f>(VLOOKUP($A484,'The List'!$B1:$AH665,22,FALSE)-AVERAGE('The List'!W2:W665))/STDEV('The List'!W2:W665)</f>
        <v>-0.728395183140457</v>
      </c>
      <c r="K484" s="77">
        <f>(VLOOKUP($A484,'The List'!$B1:$AH665,23,FALSE)-AVERAGE('The List'!X2:X665))/STDEV('The List'!X2:X665)</f>
        <v>-0.812036487872464</v>
      </c>
      <c r="L484" s="77">
        <f>(VLOOKUP($A484,'The List'!$B1:$AH665,24,FALSE)-AVERAGE('The List'!Y2:Y665))/STDEV('The List'!Y2:Y665)</f>
        <v>1.97674968931853</v>
      </c>
      <c r="M484" s="77">
        <f>(VLOOKUP($A484,'The List'!$B1:$AH665,25,FALSE)-AVERAGE('The List'!Z2:Z665))/STDEV('The List'!Z2:Z665)</f>
        <v>1.23306616402398</v>
      </c>
      <c r="N484" s="77">
        <f>(VLOOKUP($A484,'The List'!$B1:$AH665,26,FALSE)-AVERAGE('The List'!AA2:AA665))/STDEV('The List'!AA2:AA665)</f>
        <v>-0.600578368422638</v>
      </c>
      <c r="O484" s="77">
        <f>(VLOOKUP($A484,'The List'!$B1:$AH665,27,FALSE)-AVERAGE('The List'!AB2:AB665))/STDEV('The List'!AB2:AB665)</f>
        <v>0.583625791626152</v>
      </c>
      <c r="P484" s="77">
        <f>(VLOOKUP($A484,'The List'!$B1:$AH665,28,FALSE)-AVERAGE('The List'!AC2:AC665))/STDEV('The List'!AC2:AC665)</f>
        <v>-0.229664874530731</v>
      </c>
      <c r="Q484" s="77">
        <f>(VLOOKUP($A484,'The List'!$B1:$AH665,29,FALSE)-AVERAGE('The List'!AD2:AD665))/STDEV('The List'!AD2:AD665)</f>
        <v>-0.426326727176897</v>
      </c>
      <c r="R484" s="77">
        <f>(VLOOKUP($A484,'The List'!$B1:$AH665,30,FALSE)-AVERAGE('The List'!AE2:AE665))/STDEV('The List'!AE2:AE665)</f>
        <v>-0.427900204708698</v>
      </c>
      <c r="S484" s="77">
        <f>(VLOOKUP($A484,'The List'!$B1:$AH665,31,FALSE)-AVERAGE('The List'!AF2:AF665))/STDEV('The List'!AF2:AF665)</f>
        <v>0.325623895191734</v>
      </c>
      <c r="T484" s="77">
        <f>(VLOOKUP($A484,'The List'!$B1:$AH665,32,FALSE)-AVERAGE('The List'!AG2:AG665))/STDEV('The List'!AG2:AG665)</f>
        <v>0.510846111108593</v>
      </c>
      <c r="U484" s="77">
        <f>(VLOOKUP($A484,'The List'!$B1:$AH665,33,FALSE)-AVERAGE('The List'!AH2:AH665))/STDEV('The List'!AH2:AH665)</f>
        <v>0.840369806672722</v>
      </c>
      <c r="V484" s="77"/>
      <c r="W484" s="89"/>
      <c r="X484" s="79"/>
      <c r="Y484" s="79"/>
      <c r="Z484" s="79"/>
      <c r="AA484" s="79"/>
      <c r="AB484" s="79"/>
      <c r="AC484" s="82"/>
      <c r="AD484" s="83"/>
      <c r="AE484" s="84"/>
    </row>
    <row r="485" ht="21.25" customHeight="1">
      <c r="A485" t="s" s="10">
        <v>562</v>
      </c>
      <c r="B485" t="s" s="86">
        <f>VLOOKUP(A485,'Player Data'!A1:B667,2,FALSE)</f>
        <v>900</v>
      </c>
      <c r="C485" s="74">
        <f>((E485)*'Settings'!$C$12)+(F485*'Settings'!$C$2)+(G485*'Settings'!$C$3)+(H485*'Settings'!$C$4)+(I485*'Settings'!$C$5)+(K485*'Settings'!$C$9)+(N485*'Settings'!$C$6)+(J485*'Settings'!$C$8)+(O485*'Settings'!$C$7)+(P485*'Settings'!$C$14)+(Q485*'Settings'!$C$15)+(R485*'Settings'!$C$16)+(S485*'Settings'!$C$17)+(T485*'Settings'!$C$18)+(U485*'Settings'!$C$19)+(L485*'Settings'!$C$10)+('Settings'!$C$11*M485)</f>
        <v>-2.94111534359583</v>
      </c>
      <c r="D485" s="79">
        <f>IF('Settings'!$E$12="YES",VLOOKUP(A485,'Player Data'!A1:E667,5,FALSE),82)</f>
        <v>74.34</v>
      </c>
      <c r="E485" s="77">
        <f>(VLOOKUP($A485,'The List'!$B1:$AH665,17,FALSE)-AVERAGE('The List'!R2:R665))/STDEV('The List'!R2:R665)</f>
        <v>-1.3852829290907</v>
      </c>
      <c r="F485" s="77">
        <f>(VLOOKUP($A485,'The List'!$B1:$AH665,18,FALSE)-AVERAGE('The List'!S2:S665))/STDEV('The List'!S2:S665)</f>
        <v>-0.708547503736244</v>
      </c>
      <c r="G485" s="77">
        <f>(VLOOKUP($A485,'The List'!$B1:$AH665,19,FALSE)-AVERAGE('The List'!T2:T665))/STDEV('The List'!T2:T665)</f>
        <v>-0.846287722270371</v>
      </c>
      <c r="H485" s="77">
        <f>(VLOOKUP($A485,'The List'!$B1:$AH665,20,FALSE)-AVERAGE('The List'!U2:U665))/STDEV('The List'!U2:U665)</f>
        <v>-0.84766078110693</v>
      </c>
      <c r="I485" s="77">
        <f>(VLOOKUP($A485,'The List'!$B1:$AH665,21,FALSE)-AVERAGE('The List'!V2:V665))/STDEV('The List'!V2:V665)</f>
        <v>-0.892447849337905</v>
      </c>
      <c r="J485" s="77">
        <f>(VLOOKUP($A485,'The List'!$B1:$AH665,22,FALSE)-AVERAGE('The List'!W2:W665))/STDEV('The List'!W2:W665)</f>
        <v>-0.728679039482043</v>
      </c>
      <c r="K485" s="77">
        <f>(VLOOKUP($A485,'The List'!$B1:$AH665,23,FALSE)-AVERAGE('The List'!X2:X665))/STDEV('The List'!X2:X665)</f>
        <v>-0.813743312366048</v>
      </c>
      <c r="L485" s="77">
        <f>(VLOOKUP($A485,'The List'!$B1:$AH665,24,FALSE)-AVERAGE('The List'!Y2:Y665))/STDEV('The List'!Y2:Y665)</f>
        <v>0.427332510641334</v>
      </c>
      <c r="M485" s="77">
        <f>(VLOOKUP($A485,'The List'!$B1:$AH665,25,FALSE)-AVERAGE('The List'!Z2:Z665))/STDEV('The List'!Z2:Z665)</f>
        <v>0.139633492021178</v>
      </c>
      <c r="N485" s="77">
        <f>(VLOOKUP($A485,'The List'!$B1:$AH665,26,FALSE)-AVERAGE('The List'!AA2:AA665))/STDEV('The List'!AA2:AA665)</f>
        <v>-0.09236626794010031</v>
      </c>
      <c r="O485" s="77">
        <f>(VLOOKUP($A485,'The List'!$B1:$AH665,27,FALSE)-AVERAGE('The List'!AB2:AB665))/STDEV('The List'!AB2:AB665)</f>
        <v>1.69748892967797</v>
      </c>
      <c r="P485" s="77">
        <f>(VLOOKUP($A485,'The List'!$B1:$AH665,28,FALSE)-AVERAGE('The List'!AC2:AC665))/STDEV('The List'!AC2:AC665)</f>
        <v>0.412277312054835</v>
      </c>
      <c r="Q485" s="77">
        <f>(VLOOKUP($A485,'The List'!$B1:$AH665,29,FALSE)-AVERAGE('The List'!AD2:AD665))/STDEV('The List'!AD2:AD665)</f>
        <v>-0.404258474399379</v>
      </c>
      <c r="R485" s="77">
        <f>(VLOOKUP($A485,'The List'!$B1:$AH665,30,FALSE)-AVERAGE('The List'!AE2:AE665))/STDEV('The List'!AE2:AE665)</f>
        <v>-0.669815991721899</v>
      </c>
      <c r="S485" s="77">
        <f>(VLOOKUP($A485,'The List'!$B1:$AH665,31,FALSE)-AVERAGE('The List'!AF2:AF665))/STDEV('The List'!AF2:AF665)</f>
        <v>0.281324564474272</v>
      </c>
      <c r="T485" s="77">
        <f>(VLOOKUP($A485,'The List'!$B1:$AH665,32,FALSE)-AVERAGE('The List'!AG2:AG665))/STDEV('The List'!AG2:AG665)</f>
        <v>0.303489659020</v>
      </c>
      <c r="U485" s="77">
        <f>(VLOOKUP($A485,'The List'!$B1:$AH665,33,FALSE)-AVERAGE('The List'!AH2:AH665))/STDEV('The List'!AH2:AH665)</f>
        <v>1.01092246628751</v>
      </c>
      <c r="V485" s="77"/>
      <c r="W485" s="89"/>
      <c r="X485" s="79"/>
      <c r="Y485" s="79"/>
      <c r="Z485" s="79"/>
      <c r="AA485" s="79"/>
      <c r="AB485" s="79"/>
      <c r="AC485" s="82"/>
      <c r="AD485" s="83"/>
      <c r="AE485" s="84"/>
    </row>
    <row r="486" ht="21.25" customHeight="1">
      <c r="A486" t="s" s="10">
        <v>813</v>
      </c>
      <c r="B486" t="s" s="86">
        <f>VLOOKUP(A486,'Player Data'!A1:B667,2,FALSE)</f>
        <v>913</v>
      </c>
      <c r="C486" s="74">
        <f>((E486)*'Settings'!$C$12)+(F486*'Settings'!$C$2)+(G486*'Settings'!$C$3)+(H486*'Settings'!$C$4)+(I486*'Settings'!$C$5)+(K486*'Settings'!$C$9)+(N486*'Settings'!$C$6)+(J486*'Settings'!$C$8)+(O486*'Settings'!$C$7)+(P486*'Settings'!$C$14)+(Q486*'Settings'!$C$15)+(R486*'Settings'!$C$16)+(S486*'Settings'!$C$17)+(T486*'Settings'!$C$18)+(U486*'Settings'!$C$19)+(L486*'Settings'!$C$10)+('Settings'!$C$11*M486)</f>
        <v>-3.82052508270579</v>
      </c>
      <c r="D486" s="79">
        <f>IF('Settings'!$E$12="YES",VLOOKUP(A486,'Player Data'!A1:E667,5,FALSE),82)</f>
        <v>70.93000000000001</v>
      </c>
      <c r="E486" s="77">
        <f>(VLOOKUP($A486,'The List'!$B1:$AH665,17,FALSE)-AVERAGE('The List'!R2:R665))/STDEV('The List'!R2:R665)</f>
        <v>-1.78821903268524</v>
      </c>
      <c r="F486" s="77">
        <f>(VLOOKUP($A486,'The List'!$B1:$AH665,18,FALSE)-AVERAGE('The List'!S2:S665))/STDEV('The List'!S2:S665)</f>
        <v>-0.766681953833718</v>
      </c>
      <c r="G486" s="77">
        <f>(VLOOKUP($A486,'The List'!$B1:$AH665,19,FALSE)-AVERAGE('The List'!T2:T665))/STDEV('The List'!T2:T665)</f>
        <v>-0.86350347728093</v>
      </c>
      <c r="H486" s="77">
        <f>(VLOOKUP($A486,'The List'!$B1:$AH665,20,FALSE)-AVERAGE('The List'!U2:U665))/STDEV('The List'!U2:U665)</f>
        <v>-0.884777603899448</v>
      </c>
      <c r="I486" s="77">
        <f>(VLOOKUP($A486,'The List'!$B1:$AH665,21,FALSE)-AVERAGE('The List'!V2:V665))/STDEV('The List'!V2:V665)</f>
        <v>-1.01018596673344</v>
      </c>
      <c r="J486" s="77">
        <f>(VLOOKUP($A486,'The List'!$B1:$AH665,22,FALSE)-AVERAGE('The List'!W2:W665))/STDEV('The List'!W2:W665)</f>
        <v>-0.726473292131227</v>
      </c>
      <c r="K486" s="77">
        <f>(VLOOKUP($A486,'The List'!$B1:$AH665,23,FALSE)-AVERAGE('The List'!X2:X665))/STDEV('The List'!X2:X665)</f>
        <v>-0.812536426495942</v>
      </c>
      <c r="L486" s="77">
        <f>(VLOOKUP($A486,'The List'!$B1:$AH665,24,FALSE)-AVERAGE('The List'!Y2:Y665))/STDEV('The List'!Y2:Y665)</f>
        <v>-0.5015059965370851</v>
      </c>
      <c r="M486" s="77">
        <f>(VLOOKUP($A486,'The List'!$B1:$AH665,25,FALSE)-AVERAGE('The List'!Z2:Z665))/STDEV('The List'!Z2:Z665)</f>
        <v>-0.322188493040004</v>
      </c>
      <c r="N486" s="77">
        <f>(VLOOKUP($A486,'The List'!$B1:$AH665,26,FALSE)-AVERAGE('The List'!AA2:AA665))/STDEV('The List'!AA2:AA665)</f>
        <v>-0.954072848045451</v>
      </c>
      <c r="O486" s="77">
        <f>(VLOOKUP($A486,'The List'!$B1:$AH665,27,FALSE)-AVERAGE('The List'!AB2:AB665))/STDEV('The List'!AB2:AB665)</f>
        <v>0.0381761324582924</v>
      </c>
      <c r="P486" s="77">
        <f>(VLOOKUP($A486,'The List'!$B1:$AH665,28,FALSE)-AVERAGE('The List'!AC2:AC665))/STDEV('The List'!AC2:AC665)</f>
        <v>0.586455589683695</v>
      </c>
      <c r="Q486" s="77">
        <f>(VLOOKUP($A486,'The List'!$B1:$AH665,29,FALSE)-AVERAGE('The List'!AD2:AD665))/STDEV('The List'!AD2:AD665)</f>
        <v>-0.310448634652159</v>
      </c>
      <c r="R486" s="77">
        <f>(VLOOKUP($A486,'The List'!$B1:$AH665,30,FALSE)-AVERAGE('The List'!AE2:AE665))/STDEV('The List'!AE2:AE665)</f>
        <v>-0.8864197456488661</v>
      </c>
      <c r="S486" s="77">
        <f>(VLOOKUP($A486,'The List'!$B1:$AH665,31,FALSE)-AVERAGE('The List'!AF2:AF665))/STDEV('The List'!AF2:AF665)</f>
        <v>0.00305913521438543</v>
      </c>
      <c r="T486" s="77">
        <f>(VLOOKUP($A486,'The List'!$B1:$AH665,32,FALSE)-AVERAGE('The List'!AG2:AG665))/STDEV('The List'!AG2:AG665)</f>
        <v>0.0549795202383013</v>
      </c>
      <c r="U486" s="77">
        <f>(VLOOKUP($A486,'The List'!$B1:$AH665,33,FALSE)-AVERAGE('The List'!AH2:AH665))/STDEV('The List'!AH2:AH665)</f>
        <v>0.917643206916963</v>
      </c>
      <c r="V486" s="77"/>
      <c r="W486" s="89"/>
      <c r="X486" s="79"/>
      <c r="Y486" s="79"/>
      <c r="Z486" s="79"/>
      <c r="AA486" s="79"/>
      <c r="AB486" s="79"/>
      <c r="AC486" s="82"/>
      <c r="AD486" s="83"/>
      <c r="AE486" s="84"/>
    </row>
    <row r="487" ht="21.25" customHeight="1">
      <c r="A487" t="s" s="10">
        <v>460</v>
      </c>
      <c r="B487" t="s" s="86">
        <f>VLOOKUP(A487,'Player Data'!A1:B667,2,FALSE)</f>
        <v>903</v>
      </c>
      <c r="C487" s="74">
        <f>((E487)*'Settings'!$C$12)+(F487*'Settings'!$C$2)+(G487*'Settings'!$C$3)+(H487*'Settings'!$C$4)+(I487*'Settings'!$C$5)+(K487*'Settings'!$C$9)+(N487*'Settings'!$C$6)+(J487*'Settings'!$C$8)+(O487*'Settings'!$C$7)+(P487*'Settings'!$C$14)+(Q487*'Settings'!$C$15)+(R487*'Settings'!$C$16)+(S487*'Settings'!$C$17)+(T487*'Settings'!$C$18)+(U487*'Settings'!$C$19)+(L487*'Settings'!$C$10)+('Settings'!$C$11*M487)</f>
        <v>-3.76797961990791</v>
      </c>
      <c r="D487" s="79">
        <f>IF('Settings'!$E$12="YES",VLOOKUP(A487,'Player Data'!A1:E667,5,FALSE),82)</f>
        <v>79.89749999999999</v>
      </c>
      <c r="E487" s="77">
        <f>(VLOOKUP($A487,'The List'!$B1:$AH665,17,FALSE)-AVERAGE('The List'!R2:R665))/STDEV('The List'!R2:R665)</f>
        <v>-1.64520225948837</v>
      </c>
      <c r="F487" s="77">
        <f>(VLOOKUP($A487,'The List'!$B1:$AH665,18,FALSE)-AVERAGE('The List'!S2:S665))/STDEV('The List'!S2:S665)</f>
        <v>-0.57786609423767</v>
      </c>
      <c r="G487" s="77">
        <f>(VLOOKUP($A487,'The List'!$B1:$AH665,19,FALSE)-AVERAGE('The List'!T2:T665))/STDEV('The List'!T2:T665)</f>
        <v>-0.852322477446619</v>
      </c>
      <c r="H487" s="77">
        <f>(VLOOKUP($A487,'The List'!$B1:$AH665,20,FALSE)-AVERAGE('The List'!U2:U665))/STDEV('The List'!U2:U665)</f>
        <v>-0.792007790991165</v>
      </c>
      <c r="I487" s="77">
        <f>(VLOOKUP($A487,'The List'!$B1:$AH665,21,FALSE)-AVERAGE('The List'!V2:V665))/STDEV('The List'!V2:V665)</f>
        <v>-0.962368390659601</v>
      </c>
      <c r="J487" s="77">
        <f>(VLOOKUP($A487,'The List'!$B1:$AH665,22,FALSE)-AVERAGE('The List'!W2:W665))/STDEV('The List'!W2:W665)</f>
        <v>-0.728102019509164</v>
      </c>
      <c r="K487" s="77">
        <f>(VLOOKUP($A487,'The List'!$B1:$AH665,23,FALSE)-AVERAGE('The List'!X2:X665))/STDEV('The List'!X2:X665)</f>
        <v>-0.815502030763721</v>
      </c>
      <c r="L487" s="77">
        <f>(VLOOKUP($A487,'The List'!$B1:$AH665,24,FALSE)-AVERAGE('The List'!Y2:Y665))/STDEV('The List'!Y2:Y665)</f>
        <v>0.558860844066007</v>
      </c>
      <c r="M487" s="77">
        <f>(VLOOKUP($A487,'The List'!$B1:$AH665,25,FALSE)-AVERAGE('The List'!Z2:Z665))/STDEV('The List'!Z2:Z665)</f>
        <v>0.462646968652541</v>
      </c>
      <c r="N487" s="77">
        <f>(VLOOKUP($A487,'The List'!$B1:$AH665,26,FALSE)-AVERAGE('The List'!AA2:AA665))/STDEV('The List'!AA2:AA665)</f>
        <v>-0.645022305297265</v>
      </c>
      <c r="O487" s="77">
        <f>(VLOOKUP($A487,'The List'!$B1:$AH665,27,FALSE)-AVERAGE('The List'!AB2:AB665))/STDEV('The List'!AB2:AB665)</f>
        <v>3.39503003280404</v>
      </c>
      <c r="P487" s="77">
        <f>(VLOOKUP($A487,'The List'!$B1:$AH665,28,FALSE)-AVERAGE('The List'!AC2:AC665))/STDEV('The List'!AC2:AC665)</f>
        <v>0.0851016784969628</v>
      </c>
      <c r="Q487" s="77">
        <f>(VLOOKUP($A487,'The List'!$B1:$AH665,29,FALSE)-AVERAGE('The List'!AD2:AD665))/STDEV('The List'!AD2:AD665)</f>
        <v>1.06145983794855</v>
      </c>
      <c r="R487" s="77">
        <f>(VLOOKUP($A487,'The List'!$B1:$AH665,30,FALSE)-AVERAGE('The List'!AE2:AE665))/STDEV('The List'!AE2:AE665)</f>
        <v>-0.537319773486168</v>
      </c>
      <c r="S487" s="77">
        <f>(VLOOKUP($A487,'The List'!$B1:$AH665,31,FALSE)-AVERAGE('The List'!AF2:AF665))/STDEV('The List'!AF2:AF665)</f>
        <v>-0.499103365090353</v>
      </c>
      <c r="T487" s="77">
        <f>(VLOOKUP($A487,'The List'!$B1:$AH665,32,FALSE)-AVERAGE('The List'!AG2:AG665))/STDEV('The List'!AG2:AG665)</f>
        <v>-0.489799634942414</v>
      </c>
      <c r="U487" s="77">
        <f>(VLOOKUP($A487,'The List'!$B1:$AH665,33,FALSE)-AVERAGE('The List'!AH2:AH665))/STDEV('The List'!AH2:AH665)</f>
        <v>0.44175545064546</v>
      </c>
      <c r="V487" s="77"/>
      <c r="W487" s="89"/>
      <c r="X487" s="79"/>
      <c r="Y487" s="79"/>
      <c r="Z487" s="79"/>
      <c r="AA487" s="79"/>
      <c r="AB487" s="79"/>
      <c r="AC487" s="82"/>
      <c r="AD487" s="83"/>
      <c r="AE487" s="84"/>
    </row>
    <row r="488" ht="21.25" customHeight="1">
      <c r="A488" t="s" s="10">
        <v>833</v>
      </c>
      <c r="B488" t="s" s="86">
        <f>VLOOKUP(A488,'Player Data'!A1:B667,2,FALSE)</f>
        <v>905</v>
      </c>
      <c r="C488" s="74">
        <f>((E488)*'Settings'!$C$12)+(F488*'Settings'!$C$2)+(G488*'Settings'!$C$3)+(H488*'Settings'!$C$4)+(I488*'Settings'!$C$5)+(K488*'Settings'!$C$9)+(N488*'Settings'!$C$6)+(J488*'Settings'!$C$8)+(O488*'Settings'!$C$7)+(P488*'Settings'!$C$14)+(Q488*'Settings'!$C$15)+(R488*'Settings'!$C$16)+(S488*'Settings'!$C$17)+(T488*'Settings'!$C$18)+(U488*'Settings'!$C$19)+(L488*'Settings'!$C$10)+('Settings'!$C$11*M488)</f>
        <v>-5.15841077890975</v>
      </c>
      <c r="D488" s="79">
        <f>IF('Settings'!$E$12="YES",VLOOKUP(A488,'Player Data'!A1:E667,5,FALSE),82)</f>
        <v>61.28</v>
      </c>
      <c r="E488" s="77">
        <f>(VLOOKUP($A488,'The List'!$B1:$AH665,17,FALSE)-AVERAGE('The List'!R2:R665))/STDEV('The List'!R2:R665)</f>
        <v>-0.236804192755461</v>
      </c>
      <c r="F488" s="77">
        <f>(VLOOKUP($A488,'The List'!$B1:$AH665,18,FALSE)-AVERAGE('The List'!S2:S665))/STDEV('The List'!S2:S665)</f>
        <v>-1.18483705826411</v>
      </c>
      <c r="G488" s="77">
        <f>(VLOOKUP($A488,'The List'!$B1:$AH665,19,FALSE)-AVERAGE('The List'!T2:T665))/STDEV('The List'!T2:T665)</f>
        <v>-0.731622171193097</v>
      </c>
      <c r="H488" s="77">
        <f>(VLOOKUP($A488,'The List'!$B1:$AH665,20,FALSE)-AVERAGE('The List'!U2:U665))/STDEV('The List'!U2:U665)</f>
        <v>-0.992943268853008</v>
      </c>
      <c r="I488" s="77">
        <f>(VLOOKUP($A488,'The List'!$B1:$AH665,21,FALSE)-AVERAGE('The List'!V2:V665))/STDEV('The List'!V2:V665)</f>
        <v>-1.37678320941571</v>
      </c>
      <c r="J488" s="77">
        <f>(VLOOKUP($A488,'The List'!$B1:$AH665,22,FALSE)-AVERAGE('The List'!W2:W665))/STDEV('The List'!W2:W665)</f>
        <v>-0.739457457767093</v>
      </c>
      <c r="K488" s="77">
        <f>(VLOOKUP($A488,'The List'!$B1:$AH665,23,FALSE)-AVERAGE('The List'!X2:X665))/STDEV('The List'!X2:X665)</f>
        <v>-0.81451802705875</v>
      </c>
      <c r="L488" s="77">
        <f>(VLOOKUP($A488,'The List'!$B1:$AH665,24,FALSE)-AVERAGE('The List'!Y2:Y665))/STDEV('The List'!Y2:Y665)</f>
        <v>-0.554943312471187</v>
      </c>
      <c r="M488" s="77">
        <f>(VLOOKUP($A488,'The List'!$B1:$AH665,25,FALSE)-AVERAGE('The List'!Z2:Z665))/STDEV('The List'!Z2:Z665)</f>
        <v>-0.683866205466808</v>
      </c>
      <c r="N488" s="77">
        <f>(VLOOKUP($A488,'The List'!$B1:$AH665,26,FALSE)-AVERAGE('The List'!AA2:AA665))/STDEV('The List'!AA2:AA665)</f>
        <v>0.165549806986397</v>
      </c>
      <c r="O488" s="77">
        <f>(VLOOKUP($A488,'The List'!$B1:$AH665,27,FALSE)-AVERAGE('The List'!AB2:AB665))/STDEV('The List'!AB2:AB665)</f>
        <v>-0.653450549257773</v>
      </c>
      <c r="P488" s="77">
        <f>(VLOOKUP($A488,'The List'!$B1:$AH665,28,FALSE)-AVERAGE('The List'!AC2:AC665))/STDEV('The List'!AC2:AC665)</f>
        <v>-1.21620011996448</v>
      </c>
      <c r="Q488" s="77">
        <f>(VLOOKUP($A488,'The List'!$B1:$AH665,29,FALSE)-AVERAGE('The List'!AD2:AD665))/STDEV('The List'!AD2:AD665)</f>
        <v>-0.237355511419543</v>
      </c>
      <c r="R488" s="77">
        <f>(VLOOKUP($A488,'The List'!$B1:$AH665,30,FALSE)-AVERAGE('The List'!AE2:AE665))/STDEV('The List'!AE2:AE665)</f>
        <v>-1.15170921590268</v>
      </c>
      <c r="S488" s="77">
        <f>(VLOOKUP($A488,'The List'!$B1:$AH665,31,FALSE)-AVERAGE('The List'!AF2:AF665))/STDEV('The List'!AF2:AF665)</f>
        <v>-0.573894410680004</v>
      </c>
      <c r="T488" s="77">
        <f>(VLOOKUP($A488,'The List'!$B1:$AH665,32,FALSE)-AVERAGE('The List'!AG2:AG665))/STDEV('The List'!AG2:AG665)</f>
        <v>-0.625770787132651</v>
      </c>
      <c r="U488" s="77">
        <f>(VLOOKUP($A488,'The List'!$B1:$AH665,33,FALSE)-AVERAGE('The List'!AH2:AH665))/STDEV('The List'!AH2:AH665)</f>
        <v>-1.23143509451486</v>
      </c>
      <c r="V488" s="77"/>
      <c r="W488" s="89"/>
      <c r="X488" s="79"/>
      <c r="Y488" s="79"/>
      <c r="Z488" s="79"/>
      <c r="AA488" s="79"/>
      <c r="AB488" s="79"/>
      <c r="AC488" s="82"/>
      <c r="AD488" s="83"/>
      <c r="AE488" s="84"/>
    </row>
    <row r="489" ht="21.25" customHeight="1">
      <c r="A489" t="s" s="10">
        <v>827</v>
      </c>
      <c r="B489" t="s" s="86">
        <f>VLOOKUP(A489,'Player Data'!A1:B667,2,FALSE)</f>
        <v>129</v>
      </c>
      <c r="C489" s="74">
        <f>((E489)*'Settings'!$C$12)+(F489*'Settings'!$C$2)+(G489*'Settings'!$C$3)+(H489*'Settings'!$C$4)+(I489*'Settings'!$C$5)+(K489*'Settings'!$C$9)+(N489*'Settings'!$C$6)+(J489*'Settings'!$C$8)+(O489*'Settings'!$C$7)+(P489*'Settings'!$C$14)+(Q489*'Settings'!$C$15)+(R489*'Settings'!$C$16)+(S489*'Settings'!$C$17)+(T489*'Settings'!$C$18)+(U489*'Settings'!$C$19)+(L489*'Settings'!$C$10)+('Settings'!$C$11*M489)</f>
        <v>-3.79998114822126</v>
      </c>
      <c r="D489" s="79">
        <f>IF('Settings'!$E$12="YES",VLOOKUP(A489,'Player Data'!A1:E667,5,FALSE),82)</f>
        <v>76.9225</v>
      </c>
      <c r="E489" s="77">
        <f>(VLOOKUP($A489,'The List'!$B1:$AH665,17,FALSE)-AVERAGE('The List'!R2:R665))/STDEV('The List'!R2:R665)</f>
        <v>-1.54755667540423</v>
      </c>
      <c r="F489" s="77">
        <f>(VLOOKUP($A489,'The List'!$B1:$AH665,18,FALSE)-AVERAGE('The List'!S2:S665))/STDEV('The List'!S2:S665)</f>
        <v>-0.483563643294272</v>
      </c>
      <c r="G489" s="77">
        <f>(VLOOKUP($A489,'The List'!$B1:$AH665,19,FALSE)-AVERAGE('The List'!T2:T665))/STDEV('The List'!T2:T665)</f>
        <v>-0.980381339303052</v>
      </c>
      <c r="H489" s="77">
        <f>(VLOOKUP($A489,'The List'!$B1:$AH665,20,FALSE)-AVERAGE('The List'!U2:U665))/STDEV('The List'!U2:U665)</f>
        <v>-0.828674598203214</v>
      </c>
      <c r="I489" s="77">
        <f>(VLOOKUP($A489,'The List'!$B1:$AH665,21,FALSE)-AVERAGE('The List'!V2:V665))/STDEV('The List'!V2:V665)</f>
        <v>-0.612669515973558</v>
      </c>
      <c r="J489" s="77">
        <f>(VLOOKUP($A489,'The List'!$B1:$AH665,22,FALSE)-AVERAGE('The List'!W2:W665))/STDEV('The List'!W2:W665)</f>
        <v>-0.534550722408733</v>
      </c>
      <c r="K489" s="77">
        <f>(VLOOKUP($A489,'The List'!$B1:$AH665,23,FALSE)-AVERAGE('The List'!X2:X665))/STDEV('The List'!X2:X665)</f>
        <v>-0.691781939743132</v>
      </c>
      <c r="L489" s="77">
        <f>(VLOOKUP($A489,'The List'!$B1:$AH665,24,FALSE)-AVERAGE('The List'!Y2:Y665))/STDEV('The List'!Y2:Y665)</f>
        <v>-0.580182913902084</v>
      </c>
      <c r="M489" s="77">
        <f>(VLOOKUP($A489,'The List'!$B1:$AH665,25,FALSE)-AVERAGE('The List'!Z2:Z665))/STDEV('The List'!Z2:Z665)</f>
        <v>-0.754036664989997</v>
      </c>
      <c r="N489" s="77">
        <f>(VLOOKUP($A489,'The List'!$B1:$AH665,26,FALSE)-AVERAGE('The List'!AA2:AA665))/STDEV('The List'!AA2:AA665)</f>
        <v>-0.931283308227163</v>
      </c>
      <c r="O489" s="77">
        <f>(VLOOKUP($A489,'The List'!$B1:$AH665,27,FALSE)-AVERAGE('The List'!AB2:AB665))/STDEV('The List'!AB2:AB665)</f>
        <v>-0.501141381399819</v>
      </c>
      <c r="P489" s="77">
        <f>(VLOOKUP($A489,'The List'!$B1:$AH665,28,FALSE)-AVERAGE('The List'!AC2:AC665))/STDEV('The List'!AC2:AC665)</f>
        <v>-0.100301401680078</v>
      </c>
      <c r="Q489" s="77">
        <f>(VLOOKUP($A489,'The List'!$B1:$AH665,29,FALSE)-AVERAGE('The List'!AD2:AD665))/STDEV('The List'!AD2:AD665)</f>
        <v>1.08836143191135</v>
      </c>
      <c r="R489" s="77">
        <f>(VLOOKUP($A489,'The List'!$B1:$AH665,30,FALSE)-AVERAGE('The List'!AE2:AE665))/STDEV('The List'!AE2:AE665)</f>
        <v>-0.394118209856383</v>
      </c>
      <c r="S489" s="77">
        <f>(VLOOKUP($A489,'The List'!$B1:$AH665,31,FALSE)-AVERAGE('The List'!AF2:AF665))/STDEV('The List'!AF2:AF665)</f>
        <v>-0.572887951472718</v>
      </c>
      <c r="T489" s="77">
        <f>(VLOOKUP($A489,'The List'!$B1:$AH665,32,FALSE)-AVERAGE('The List'!AG2:AG665))/STDEV('The List'!AG2:AG665)</f>
        <v>-0.619774777684303</v>
      </c>
      <c r="U489" s="77">
        <f>(VLOOKUP($A489,'The List'!$B1:$AH665,33,FALSE)-AVERAGE('The List'!AH2:AH665))/STDEV('The List'!AH2:AH665)</f>
        <v>-0.544717420738114</v>
      </c>
      <c r="V489" s="77"/>
      <c r="W489" s="89"/>
      <c r="X489" s="79"/>
      <c r="Y489" s="79"/>
      <c r="Z489" s="79"/>
      <c r="AA489" s="79"/>
      <c r="AB489" s="79"/>
      <c r="AC489" s="82"/>
      <c r="AD489" s="83"/>
      <c r="AE489" s="84"/>
    </row>
    <row r="490" ht="21.25" customHeight="1">
      <c r="A490" t="s" s="10">
        <v>645</v>
      </c>
      <c r="B490" t="s" s="86">
        <f>VLOOKUP(A490,'Player Data'!A1:B667,2,FALSE)</f>
        <v>912</v>
      </c>
      <c r="C490" s="74">
        <f>((E490)*'Settings'!$C$12)+(F490*'Settings'!$C$2)+(G490*'Settings'!$C$3)+(H490*'Settings'!$C$4)+(I490*'Settings'!$C$5)+(K490*'Settings'!$C$9)+(N490*'Settings'!$C$6)+(J490*'Settings'!$C$8)+(O490*'Settings'!$C$7)+(P490*'Settings'!$C$14)+(Q490*'Settings'!$C$15)+(R490*'Settings'!$C$16)+(S490*'Settings'!$C$17)+(T490*'Settings'!$C$18)+(U490*'Settings'!$C$19)+(L490*'Settings'!$C$10)+('Settings'!$C$11*M490)</f>
        <v>-3.86507771359023</v>
      </c>
      <c r="D490" s="79">
        <f>IF('Settings'!$E$12="YES",VLOOKUP(A490,'Player Data'!A1:E667,5,FALSE),82)</f>
        <v>77.465</v>
      </c>
      <c r="E490" s="77">
        <f>(VLOOKUP($A490,'The List'!$B1:$AH665,17,FALSE)-AVERAGE('The List'!R2:R665))/STDEV('The List'!R2:R665)</f>
        <v>0.434157415210862</v>
      </c>
      <c r="F490" s="77">
        <f>(VLOOKUP($A490,'The List'!$B1:$AH665,18,FALSE)-AVERAGE('The List'!S2:S665))/STDEV('The List'!S2:S665)</f>
        <v>-1.04641769410474</v>
      </c>
      <c r="G490" s="77">
        <f>(VLOOKUP($A490,'The List'!$B1:$AH665,19,FALSE)-AVERAGE('The List'!T2:T665))/STDEV('The List'!T2:T665)</f>
        <v>-0.559555628264055</v>
      </c>
      <c r="H490" s="77">
        <f>(VLOOKUP($A490,'The List'!$B1:$AH665,20,FALSE)-AVERAGE('The List'!U2:U665))/STDEV('The List'!U2:U665)</f>
        <v>-0.823162090105914</v>
      </c>
      <c r="I490" s="77">
        <f>(VLOOKUP($A490,'The List'!$B1:$AH665,21,FALSE)-AVERAGE('The List'!V2:V665))/STDEV('The List'!V2:V665)</f>
        <v>-1.11940747350316</v>
      </c>
      <c r="J490" s="77">
        <f>(VLOOKUP($A490,'The List'!$B1:$AH665,22,FALSE)-AVERAGE('The List'!W2:W665))/STDEV('The List'!W2:W665)</f>
        <v>-0.725332691010629</v>
      </c>
      <c r="K490" s="77">
        <f>(VLOOKUP($A490,'The List'!$B1:$AH665,23,FALSE)-AVERAGE('The List'!X2:X665))/STDEV('The List'!X2:X665)</f>
        <v>-0.734582193098584</v>
      </c>
      <c r="L490" s="77">
        <f>(VLOOKUP($A490,'The List'!$B1:$AH665,24,FALSE)-AVERAGE('The List'!Y2:Y665))/STDEV('The List'!Y2:Y665)</f>
        <v>-0.497532906773352</v>
      </c>
      <c r="M490" s="77">
        <f>(VLOOKUP($A490,'The List'!$B1:$AH665,25,FALSE)-AVERAGE('The List'!Z2:Z665))/STDEV('The List'!Z2:Z665)</f>
        <v>-0.541725285934071</v>
      </c>
      <c r="N490" s="77">
        <f>(VLOOKUP($A490,'The List'!$B1:$AH665,26,FALSE)-AVERAGE('The List'!AA2:AA665))/STDEV('The List'!AA2:AA665)</f>
        <v>1.54735070291729</v>
      </c>
      <c r="O490" s="77">
        <f>(VLOOKUP($A490,'The List'!$B1:$AH665,27,FALSE)-AVERAGE('The List'!AB2:AB665))/STDEV('The List'!AB2:AB665)</f>
        <v>-0.395895415961565</v>
      </c>
      <c r="P490" s="77">
        <f>(VLOOKUP($A490,'The List'!$B1:$AH665,28,FALSE)-AVERAGE('The List'!AC2:AC665))/STDEV('The List'!AC2:AC665)</f>
        <v>-1.95246542753698</v>
      </c>
      <c r="Q490" s="77">
        <f>(VLOOKUP($A490,'The List'!$B1:$AH665,29,FALSE)-AVERAGE('The List'!AD2:AD665))/STDEV('The List'!AD2:AD665)</f>
        <v>-0.319680025662924</v>
      </c>
      <c r="R490" s="77">
        <f>(VLOOKUP($A490,'The List'!$B1:$AH665,30,FALSE)-AVERAGE('The List'!AE2:AE665))/STDEV('The List'!AE2:AE665)</f>
        <v>-1.06023982183429</v>
      </c>
      <c r="S490" s="77">
        <f>(VLOOKUP($A490,'The List'!$B1:$AH665,31,FALSE)-AVERAGE('The List'!AF2:AF665))/STDEV('The List'!AF2:AF665)</f>
        <v>-0.573894410680004</v>
      </c>
      <c r="T490" s="77">
        <f>(VLOOKUP($A490,'The List'!$B1:$AH665,32,FALSE)-AVERAGE('The List'!AG2:AG665))/STDEV('The List'!AG2:AG665)</f>
        <v>-0.625770787132651</v>
      </c>
      <c r="U490" s="77">
        <f>(VLOOKUP($A490,'The List'!$B1:$AH665,33,FALSE)-AVERAGE('The List'!AH2:AH665))/STDEV('The List'!AH2:AH665)</f>
        <v>-1.23143509451486</v>
      </c>
      <c r="V490" s="77"/>
      <c r="W490" s="89"/>
      <c r="X490" s="79"/>
      <c r="Y490" s="79"/>
      <c r="Z490" s="79"/>
      <c r="AA490" s="79"/>
      <c r="AB490" s="79"/>
      <c r="AC490" s="82"/>
      <c r="AD490" s="83"/>
      <c r="AE490" s="84"/>
    </row>
    <row r="491" ht="21.25" customHeight="1">
      <c r="A491" t="s" s="10">
        <v>743</v>
      </c>
      <c r="B491" t="s" s="86">
        <f>VLOOKUP(A491,'Player Data'!A1:B667,2,FALSE)</f>
        <v>156</v>
      </c>
      <c r="C491" s="74">
        <f>((E491)*'Settings'!$C$12)+(F491*'Settings'!$C$2)+(G491*'Settings'!$C$3)+(H491*'Settings'!$C$4)+(I491*'Settings'!$C$5)+(K491*'Settings'!$C$9)+(N491*'Settings'!$C$6)+(J491*'Settings'!$C$8)+(O491*'Settings'!$C$7)+(P491*'Settings'!$C$14)+(Q491*'Settings'!$C$15)+(R491*'Settings'!$C$16)+(S491*'Settings'!$C$17)+(T491*'Settings'!$C$18)+(U491*'Settings'!$C$19)+(L491*'Settings'!$C$10)+('Settings'!$C$11*M491)</f>
        <v>-4.64671285586875</v>
      </c>
      <c r="D491" s="79">
        <f>IF('Settings'!$E$12="YES",VLOOKUP(A491,'Player Data'!A1:E667,5,FALSE),82)</f>
        <v>78.32250000000001</v>
      </c>
      <c r="E491" s="77">
        <f>(VLOOKUP($A491,'The List'!$B1:$AH665,17,FALSE)-AVERAGE('The List'!R2:R665))/STDEV('The List'!R2:R665)</f>
        <v>-1.49788140789372</v>
      </c>
      <c r="F491" s="77">
        <f>(VLOOKUP($A491,'The List'!$B1:$AH665,18,FALSE)-AVERAGE('The List'!S2:S665))/STDEV('The List'!S2:S665)</f>
        <v>-0.6457590624184</v>
      </c>
      <c r="G491" s="77">
        <f>(VLOOKUP($A491,'The List'!$B1:$AH665,19,FALSE)-AVERAGE('The List'!T2:T665))/STDEV('The List'!T2:T665)</f>
        <v>-0.841810555833337</v>
      </c>
      <c r="H491" s="77">
        <f>(VLOOKUP($A491,'The List'!$B1:$AH665,20,FALSE)-AVERAGE('The List'!U2:U665))/STDEV('The List'!U2:U665)</f>
        <v>-0.8163398778537569</v>
      </c>
      <c r="I491" s="77">
        <f>(VLOOKUP($A491,'The List'!$B1:$AH665,21,FALSE)-AVERAGE('The List'!V2:V665))/STDEV('The List'!V2:V665)</f>
        <v>-0.728322196830977</v>
      </c>
      <c r="J491" s="77">
        <f>(VLOOKUP($A491,'The List'!$B1:$AH665,22,FALSE)-AVERAGE('The List'!W2:W665))/STDEV('The List'!W2:W665)</f>
        <v>-0.728545258328975</v>
      </c>
      <c r="K491" s="77">
        <f>(VLOOKUP($A491,'The List'!$B1:$AH665,23,FALSE)-AVERAGE('The List'!X2:X665))/STDEV('The List'!X2:X665)</f>
        <v>-0.813383413620558</v>
      </c>
      <c r="L491" s="77">
        <f>(VLOOKUP($A491,'The List'!$B1:$AH665,24,FALSE)-AVERAGE('The List'!Y2:Y665))/STDEV('The List'!Y2:Y665)</f>
        <v>0.364777214418429</v>
      </c>
      <c r="M491" s="77">
        <f>(VLOOKUP($A491,'The List'!$B1:$AH665,25,FALSE)-AVERAGE('The List'!Z2:Z665))/STDEV('The List'!Z2:Z665)</f>
        <v>-0.119284465648451</v>
      </c>
      <c r="N491" s="77">
        <f>(VLOOKUP($A491,'The List'!$B1:$AH665,26,FALSE)-AVERAGE('The List'!AA2:AA665))/STDEV('The List'!AA2:AA665)</f>
        <v>-0.802306056723655</v>
      </c>
      <c r="O491" s="77">
        <f>(VLOOKUP($A491,'The List'!$B1:$AH665,27,FALSE)-AVERAGE('The List'!AB2:AB665))/STDEV('The List'!AB2:AB665)</f>
        <v>0.704861936682136</v>
      </c>
      <c r="P491" s="77">
        <f>(VLOOKUP($A491,'The List'!$B1:$AH665,28,FALSE)-AVERAGE('The List'!AC2:AC665))/STDEV('The List'!AC2:AC665)</f>
        <v>-0.8151315704418221</v>
      </c>
      <c r="Q491" s="77">
        <f>(VLOOKUP($A491,'The List'!$B1:$AH665,29,FALSE)-AVERAGE('The List'!AD2:AD665))/STDEV('The List'!AD2:AD665)</f>
        <v>-0.631051415660456</v>
      </c>
      <c r="R491" s="77">
        <f>(VLOOKUP($A491,'The List'!$B1:$AH665,30,FALSE)-AVERAGE('The List'!AE2:AE665))/STDEV('The List'!AE2:AE665)</f>
        <v>-0.668747295381416</v>
      </c>
      <c r="S491" s="77">
        <f>(VLOOKUP($A491,'The List'!$B1:$AH665,31,FALSE)-AVERAGE('The List'!AF2:AF665))/STDEV('The List'!AF2:AF665)</f>
        <v>-0.300769701223578</v>
      </c>
      <c r="T491" s="77">
        <f>(VLOOKUP($A491,'The List'!$B1:$AH665,32,FALSE)-AVERAGE('The List'!AG2:AG665))/STDEV('The List'!AG2:AG665)</f>
        <v>0.0584264569614213</v>
      </c>
      <c r="U491" s="77">
        <f>(VLOOKUP($A491,'The List'!$B1:$AH665,33,FALSE)-AVERAGE('The List'!AH2:AH665))/STDEV('The List'!AH2:AH665)</f>
        <v>0.11962839647331</v>
      </c>
      <c r="V491" s="77"/>
      <c r="W491" s="89"/>
      <c r="X491" s="79"/>
      <c r="Y491" s="79"/>
      <c r="Z491" s="79"/>
      <c r="AA491" s="79"/>
      <c r="AB491" s="79"/>
      <c r="AC491" s="82"/>
      <c r="AD491" s="83"/>
      <c r="AE491" s="84"/>
    </row>
    <row r="492" ht="21.25" customHeight="1">
      <c r="A492" t="s" s="10">
        <v>847</v>
      </c>
      <c r="B492" t="s" s="86">
        <f>VLOOKUP(A492,'Player Data'!A1:B667,2,FALSE)</f>
        <v>878</v>
      </c>
      <c r="C492" s="74">
        <f>((E492)*'Settings'!$C$12)+(F492*'Settings'!$C$2)+(G492*'Settings'!$C$3)+(H492*'Settings'!$C$4)+(I492*'Settings'!$C$5)+(K492*'Settings'!$C$9)+(N492*'Settings'!$C$6)+(J492*'Settings'!$C$8)+(O492*'Settings'!$C$7)+(P492*'Settings'!$C$14)+(Q492*'Settings'!$C$15)+(R492*'Settings'!$C$16)+(S492*'Settings'!$C$17)+(T492*'Settings'!$C$18)+(U492*'Settings'!$C$19)+(L492*'Settings'!$C$10)+('Settings'!$C$11*M492)</f>
        <v>-3.77442648559896</v>
      </c>
      <c r="D492" s="79">
        <f>IF('Settings'!$E$12="YES",VLOOKUP(A492,'Player Data'!A1:E667,5,FALSE),82)</f>
        <v>62.655</v>
      </c>
      <c r="E492" s="77">
        <f>(VLOOKUP($A492,'The List'!$B1:$AH665,17,FALSE)-AVERAGE('The List'!R2:R665))/STDEV('The List'!R2:R665)</f>
        <v>-1.67260728380513</v>
      </c>
      <c r="F492" s="77">
        <f>(VLOOKUP($A492,'The List'!$B1:$AH665,18,FALSE)-AVERAGE('The List'!S2:S665))/STDEV('The List'!S2:S665)</f>
        <v>-0.833828900009891</v>
      </c>
      <c r="G492" s="77">
        <f>(VLOOKUP($A492,'The List'!$B1:$AH665,19,FALSE)-AVERAGE('The List'!T2:T665))/STDEV('The List'!T2:T665)</f>
        <v>-0.973129920086004</v>
      </c>
      <c r="H492" s="77">
        <f>(VLOOKUP($A492,'The List'!$B1:$AH665,20,FALSE)-AVERAGE('The List'!U2:U665))/STDEV('The List'!U2:U665)</f>
        <v>-0.983383267757155</v>
      </c>
      <c r="I492" s="77">
        <f>(VLOOKUP($A492,'The List'!$B1:$AH665,21,FALSE)-AVERAGE('The List'!V2:V665))/STDEV('The List'!V2:V665)</f>
        <v>-0.710165308073314</v>
      </c>
      <c r="J492" s="77">
        <f>(VLOOKUP($A492,'The List'!$B1:$AH665,22,FALSE)-AVERAGE('The List'!W2:W665))/STDEV('The List'!W2:W665)</f>
        <v>-0.602763396480916</v>
      </c>
      <c r="K492" s="77">
        <f>(VLOOKUP($A492,'The List'!$B1:$AH665,23,FALSE)-AVERAGE('The List'!X2:X665))/STDEV('The List'!X2:X665)</f>
        <v>-0.706593037401381</v>
      </c>
      <c r="L492" s="77">
        <f>(VLOOKUP($A492,'The List'!$B1:$AH665,24,FALSE)-AVERAGE('The List'!Y2:Y665))/STDEV('The List'!Y2:Y665)</f>
        <v>-0.577339366063822</v>
      </c>
      <c r="M492" s="77">
        <f>(VLOOKUP($A492,'The List'!$B1:$AH665,25,FALSE)-AVERAGE('The List'!Z2:Z665))/STDEV('The List'!Z2:Z665)</f>
        <v>-0.751001026855325</v>
      </c>
      <c r="N492" s="77">
        <f>(VLOOKUP($A492,'The List'!$B1:$AH665,26,FALSE)-AVERAGE('The List'!AA2:AA665))/STDEV('The List'!AA2:AA665)</f>
        <v>-0.93685574919306</v>
      </c>
      <c r="O492" s="77">
        <f>(VLOOKUP($A492,'The List'!$B1:$AH665,27,FALSE)-AVERAGE('The List'!AB2:AB665))/STDEV('The List'!AB2:AB665)</f>
        <v>-0.848927099768939</v>
      </c>
      <c r="P492" s="77">
        <f>(VLOOKUP($A492,'The List'!$B1:$AH665,28,FALSE)-AVERAGE('The List'!AC2:AC665))/STDEV('The List'!AC2:AC665)</f>
        <v>0.386146429164692</v>
      </c>
      <c r="Q492" s="77">
        <f>(VLOOKUP($A492,'The List'!$B1:$AH665,29,FALSE)-AVERAGE('The List'!AD2:AD665))/STDEV('The List'!AD2:AD665)</f>
        <v>-1.20047068492649</v>
      </c>
      <c r="R492" s="77">
        <f>(VLOOKUP($A492,'The List'!$B1:$AH665,30,FALSE)-AVERAGE('The List'!AE2:AE665))/STDEV('The List'!AE2:AE665)</f>
        <v>-0.750793695463434</v>
      </c>
      <c r="S492" s="77">
        <f>(VLOOKUP($A492,'The List'!$B1:$AH665,31,FALSE)-AVERAGE('The List'!AF2:AF665))/STDEV('The List'!AF2:AF665)</f>
        <v>0.261333457771488</v>
      </c>
      <c r="T492" s="77">
        <f>(VLOOKUP($A492,'The List'!$B1:$AH665,32,FALSE)-AVERAGE('The List'!AG2:AG665))/STDEV('The List'!AG2:AG665)</f>
        <v>0.240110586564412</v>
      </c>
      <c r="U492" s="77">
        <f>(VLOOKUP($A492,'The List'!$B1:$AH665,33,FALSE)-AVERAGE('The List'!AH2:AH665))/STDEV('The List'!AH2:AH665)</f>
        <v>1.06416998593361</v>
      </c>
      <c r="V492" s="77"/>
      <c r="W492" s="89"/>
      <c r="X492" s="79"/>
      <c r="Y492" s="79"/>
      <c r="Z492" s="79"/>
      <c r="AA492" s="79"/>
      <c r="AB492" s="79"/>
      <c r="AC492" s="82"/>
      <c r="AD492" s="83"/>
      <c r="AE492" s="84"/>
    </row>
    <row r="493" ht="21.25" customHeight="1">
      <c r="A493" t="s" s="10">
        <v>748</v>
      </c>
      <c r="B493" t="s" s="86">
        <f>VLOOKUP(A493,'Player Data'!A1:B667,2,FALSE)</f>
        <v>259</v>
      </c>
      <c r="C493" s="74">
        <f>((E493)*'Settings'!$C$12)+(F493*'Settings'!$C$2)+(G493*'Settings'!$C$3)+(H493*'Settings'!$C$4)+(I493*'Settings'!$C$5)+(K493*'Settings'!$C$9)+(N493*'Settings'!$C$6)+(J493*'Settings'!$C$8)+(O493*'Settings'!$C$7)+(P493*'Settings'!$C$14)+(Q493*'Settings'!$C$15)+(R493*'Settings'!$C$16)+(S493*'Settings'!$C$17)+(T493*'Settings'!$C$18)+(U493*'Settings'!$C$19)+(L493*'Settings'!$C$10)+('Settings'!$C$11*M493)</f>
        <v>-2.72309578009536</v>
      </c>
      <c r="D493" s="79">
        <f>IF('Settings'!$E$12="YES",VLOOKUP(A493,'Player Data'!A1:E667,5,FALSE),82)</f>
        <v>76.795</v>
      </c>
      <c r="E493" s="77">
        <f>(VLOOKUP($A493,'The List'!$B1:$AH665,17,FALSE)-AVERAGE('The List'!R2:R665))/STDEV('The List'!R2:R665)</f>
        <v>-0.151093719534061</v>
      </c>
      <c r="F493" s="77">
        <f>(VLOOKUP($A493,'The List'!$B1:$AH665,18,FALSE)-AVERAGE('The List'!S2:S665))/STDEV('The List'!S2:S665)</f>
        <v>-1.02793313518449</v>
      </c>
      <c r="G493" s="77">
        <f>(VLOOKUP($A493,'The List'!$B1:$AH665,19,FALSE)-AVERAGE('The List'!T2:T665))/STDEV('The List'!T2:T665)</f>
        <v>-0.591872236048075</v>
      </c>
      <c r="H493" s="77">
        <f>(VLOOKUP($A493,'The List'!$B1:$AH665,20,FALSE)-AVERAGE('The List'!U2:U665))/STDEV('The List'!U2:U665)</f>
        <v>-0.834830409970831</v>
      </c>
      <c r="I493" s="77">
        <f>(VLOOKUP($A493,'The List'!$B1:$AH665,21,FALSE)-AVERAGE('The List'!V2:V665))/STDEV('The List'!V2:V665)</f>
        <v>-0.883992535687614</v>
      </c>
      <c r="J493" s="77">
        <f>(VLOOKUP($A493,'The List'!$B1:$AH665,22,FALSE)-AVERAGE('The List'!W2:W665))/STDEV('The List'!W2:W665)</f>
        <v>-0.740854535148372</v>
      </c>
      <c r="K493" s="77">
        <f>(VLOOKUP($A493,'The List'!$B1:$AH665,23,FALSE)-AVERAGE('The List'!X2:X665))/STDEV('The List'!X2:X665)</f>
        <v>-0.800544331160648</v>
      </c>
      <c r="L493" s="77">
        <f>(VLOOKUP($A493,'The List'!$B1:$AH665,24,FALSE)-AVERAGE('The List'!Y2:Y665))/STDEV('The List'!Y2:Y665)</f>
        <v>-0.55366535261991</v>
      </c>
      <c r="M493" s="77">
        <f>(VLOOKUP($A493,'The List'!$B1:$AH665,25,FALSE)-AVERAGE('The List'!Z2:Z665))/STDEV('The List'!Z2:Z665)</f>
        <v>-0.671849582188192</v>
      </c>
      <c r="N493" s="77">
        <f>(VLOOKUP($A493,'The List'!$B1:$AH665,26,FALSE)-AVERAGE('The List'!AA2:AA665))/STDEV('The List'!AA2:AA665)</f>
        <v>0.530932079524721</v>
      </c>
      <c r="O493" s="77">
        <f>(VLOOKUP($A493,'The List'!$B1:$AH665,27,FALSE)-AVERAGE('The List'!AB2:AB665))/STDEV('The List'!AB2:AB665)</f>
        <v>-0.484312204251766</v>
      </c>
      <c r="P493" s="77">
        <f>(VLOOKUP($A493,'The List'!$B1:$AH665,28,FALSE)-AVERAGE('The List'!AC2:AC665))/STDEV('The List'!AC2:AC665)</f>
        <v>0.0503143784607507</v>
      </c>
      <c r="Q493" s="77">
        <f>(VLOOKUP($A493,'The List'!$B1:$AH665,29,FALSE)-AVERAGE('The List'!AD2:AD665))/STDEV('The List'!AD2:AD665)</f>
        <v>-0.362659857558001</v>
      </c>
      <c r="R493" s="77">
        <f>(VLOOKUP($A493,'The List'!$B1:$AH665,30,FALSE)-AVERAGE('The List'!AE2:AE665))/STDEV('The List'!AE2:AE665)</f>
        <v>-0.984281620907754</v>
      </c>
      <c r="S493" s="77">
        <f>(VLOOKUP($A493,'The List'!$B1:$AH665,31,FALSE)-AVERAGE('The List'!AF2:AF665))/STDEV('The List'!AF2:AF665)</f>
        <v>-0.573894410680004</v>
      </c>
      <c r="T493" s="77">
        <f>(VLOOKUP($A493,'The List'!$B1:$AH665,32,FALSE)-AVERAGE('The List'!AG2:AG665))/STDEV('The List'!AG2:AG665)</f>
        <v>-0.625770787132651</v>
      </c>
      <c r="U493" s="77">
        <f>(VLOOKUP($A493,'The List'!$B1:$AH665,33,FALSE)-AVERAGE('The List'!AH2:AH665))/STDEV('The List'!AH2:AH665)</f>
        <v>-1.23143509451486</v>
      </c>
      <c r="V493" s="77"/>
      <c r="W493" s="79"/>
      <c r="X493" s="77"/>
      <c r="Y493" s="77"/>
      <c r="Z493" s="77"/>
      <c r="AA493" s="77"/>
      <c r="AB493" s="77"/>
      <c r="AC493" s="77"/>
      <c r="AD493" s="77"/>
      <c r="AE493" s="84"/>
    </row>
    <row r="494" ht="21.25" customHeight="1">
      <c r="A494" t="s" s="10">
        <v>805</v>
      </c>
      <c r="B494" t="s" s="86">
        <f>VLOOKUP(A494,'Player Data'!A1:B667,2,FALSE)</f>
        <v>909</v>
      </c>
      <c r="C494" s="74">
        <f>((E494)*'Settings'!$C$12)+(F494*'Settings'!$C$2)+(G494*'Settings'!$C$3)+(H494*'Settings'!$C$4)+(I494*'Settings'!$C$5)+(K494*'Settings'!$C$9)+(N494*'Settings'!$C$6)+(J494*'Settings'!$C$8)+(O494*'Settings'!$C$7)+(P494*'Settings'!$C$14)+(Q494*'Settings'!$C$15)+(R494*'Settings'!$C$16)+(S494*'Settings'!$C$17)+(T494*'Settings'!$C$18)+(U494*'Settings'!$C$19)+(L494*'Settings'!$C$10)+('Settings'!$C$11*M494)</f>
        <v>-4.3548838273651</v>
      </c>
      <c r="D494" s="79">
        <f>IF('Settings'!$E$12="YES",VLOOKUP(A494,'Player Data'!A1:E667,5,FALSE),82)</f>
        <v>71.6275</v>
      </c>
      <c r="E494" s="77">
        <f>(VLOOKUP($A494,'The List'!$B1:$AH665,17,FALSE)-AVERAGE('The List'!R2:R665))/STDEV('The List'!R2:R665)</f>
        <v>-1.11695477701203</v>
      </c>
      <c r="F494" s="77">
        <f>(VLOOKUP($A494,'The List'!$B1:$AH665,18,FALSE)-AVERAGE('The List'!S2:S665))/STDEV('The List'!S2:S665)</f>
        <v>-0.335216716664749</v>
      </c>
      <c r="G494" s="77">
        <f>(VLOOKUP($A494,'The List'!$B1:$AH665,19,FALSE)-AVERAGE('The List'!T2:T665))/STDEV('The List'!T2:T665)</f>
        <v>-1.19017651319696</v>
      </c>
      <c r="H494" s="77">
        <f>(VLOOKUP($A494,'The List'!$B1:$AH665,20,FALSE)-AVERAGE('The List'!U2:U665))/STDEV('The List'!U2:U665)</f>
        <v>-0.89153846792973</v>
      </c>
      <c r="I494" s="77">
        <f>(VLOOKUP($A494,'The List'!$B1:$AH665,21,FALSE)-AVERAGE('The List'!V2:V665))/STDEV('The List'!V2:V665)</f>
        <v>-0.386153369877091</v>
      </c>
      <c r="J494" s="77">
        <f>(VLOOKUP($A494,'The List'!$B1:$AH665,22,FALSE)-AVERAGE('The List'!W2:W665))/STDEV('The List'!W2:W665)</f>
        <v>-0.686783799207845</v>
      </c>
      <c r="K494" s="77">
        <f>(VLOOKUP($A494,'The List'!$B1:$AH665,23,FALSE)-AVERAGE('The List'!X2:X665))/STDEV('The List'!X2:X665)</f>
        <v>-0.767022489734785</v>
      </c>
      <c r="L494" s="77">
        <f>(VLOOKUP($A494,'The List'!$B1:$AH665,24,FALSE)-AVERAGE('The List'!Y2:Y665))/STDEV('The List'!Y2:Y665)</f>
        <v>2.76406295867506</v>
      </c>
      <c r="M494" s="77">
        <f>(VLOOKUP($A494,'The List'!$B1:$AH665,25,FALSE)-AVERAGE('The List'!Z2:Z665))/STDEV('The List'!Z2:Z665)</f>
        <v>1.36652917774052</v>
      </c>
      <c r="N494" s="77">
        <f>(VLOOKUP($A494,'The List'!$B1:$AH665,26,FALSE)-AVERAGE('The List'!AA2:AA665))/STDEV('The List'!AA2:AA665)</f>
        <v>-0.656294623276427</v>
      </c>
      <c r="O494" s="77">
        <f>(VLOOKUP($A494,'The List'!$B1:$AH665,27,FALSE)-AVERAGE('The List'!AB2:AB665))/STDEV('The List'!AB2:AB665)</f>
        <v>-0.699987444531086</v>
      </c>
      <c r="P494" s="77">
        <f>(VLOOKUP($A494,'The List'!$B1:$AH665,28,FALSE)-AVERAGE('The List'!AC2:AC665))/STDEV('The List'!AC2:AC665)</f>
        <v>-1.02002011461509</v>
      </c>
      <c r="Q494" s="77">
        <f>(VLOOKUP($A494,'The List'!$B1:$AH665,29,FALSE)-AVERAGE('The List'!AD2:AD665))/STDEV('The List'!AD2:AD665)</f>
        <v>-0.231086050613577</v>
      </c>
      <c r="R494" s="77">
        <f>(VLOOKUP($A494,'The List'!$B1:$AH665,30,FALSE)-AVERAGE('The List'!AE2:AE665))/STDEV('The List'!AE2:AE665)</f>
        <v>-0.5323664323949719</v>
      </c>
      <c r="S494" s="77">
        <f>(VLOOKUP($A494,'The List'!$B1:$AH665,31,FALSE)-AVERAGE('The List'!AF2:AF665))/STDEV('The List'!AF2:AF665)</f>
        <v>-0.553588405716028</v>
      </c>
      <c r="T494" s="77">
        <f>(VLOOKUP($A494,'The List'!$B1:$AH665,32,FALSE)-AVERAGE('The List'!AG2:AG665))/STDEV('The List'!AG2:AG665)</f>
        <v>-0.571771069254178</v>
      </c>
      <c r="U494" s="77">
        <f>(VLOOKUP($A494,'The List'!$B1:$AH665,33,FALSE)-AVERAGE('The List'!AH2:AH665))/STDEV('The List'!AH2:AH665)</f>
        <v>0.06365971752857889</v>
      </c>
      <c r="V494" s="77"/>
      <c r="W494" s="89"/>
      <c r="X494" s="79"/>
      <c r="Y494" s="79"/>
      <c r="Z494" s="79"/>
      <c r="AA494" s="79"/>
      <c r="AB494" s="79"/>
      <c r="AC494" s="82"/>
      <c r="AD494" s="83"/>
      <c r="AE494" s="84"/>
    </row>
    <row r="495" ht="21.25" customHeight="1">
      <c r="A495" t="s" s="10">
        <v>544</v>
      </c>
      <c r="B495" t="s" s="86">
        <f>VLOOKUP(A495,'Player Data'!A1:B667,2,FALSE)</f>
        <v>165</v>
      </c>
      <c r="C495" s="74">
        <f>((E495)*'Settings'!$C$12)+(F495*'Settings'!$C$2)+(G495*'Settings'!$C$3)+(H495*'Settings'!$C$4)+(I495*'Settings'!$C$5)+(K495*'Settings'!$C$9)+(N495*'Settings'!$C$6)+(J495*'Settings'!$C$8)+(O495*'Settings'!$C$7)+(P495*'Settings'!$C$14)+(Q495*'Settings'!$C$15)+(R495*'Settings'!$C$16)+(S495*'Settings'!$C$17)+(T495*'Settings'!$C$18)+(U495*'Settings'!$C$19)+(L495*'Settings'!$C$10)+('Settings'!$C$11*M495)</f>
        <v>-3.59990957289193</v>
      </c>
      <c r="D495" s="79">
        <f>IF('Settings'!$E$12="YES",VLOOKUP(A495,'Player Data'!A1:E667,5,FALSE),82)</f>
        <v>77.58750000000001</v>
      </c>
      <c r="E495" s="77">
        <f>(VLOOKUP($A495,'The List'!$B1:$AH665,17,FALSE)-AVERAGE('The List'!R2:R665))/STDEV('The List'!R2:R665)</f>
        <v>-1.04483015030132</v>
      </c>
      <c r="F495" s="77">
        <f>(VLOOKUP($A495,'The List'!$B1:$AH665,18,FALSE)-AVERAGE('The List'!S2:S665))/STDEV('The List'!S2:S665)</f>
        <v>-0.713243612155699</v>
      </c>
      <c r="G495" s="77">
        <f>(VLOOKUP($A495,'The List'!$B1:$AH665,19,FALSE)-AVERAGE('The List'!T2:T665))/STDEV('The List'!T2:T665)</f>
        <v>-0.812518947485269</v>
      </c>
      <c r="H495" s="77">
        <f>(VLOOKUP($A495,'The List'!$B1:$AH665,20,FALSE)-AVERAGE('The List'!U2:U665))/STDEV('The List'!U2:U665)</f>
        <v>-0.828823077711456</v>
      </c>
      <c r="I495" s="77">
        <f>(VLOOKUP($A495,'The List'!$B1:$AH665,21,FALSE)-AVERAGE('The List'!V2:V665))/STDEV('The List'!V2:V665)</f>
        <v>-0.617761920668474</v>
      </c>
      <c r="J495" s="77">
        <f>(VLOOKUP($A495,'The List'!$B1:$AH665,22,FALSE)-AVERAGE('The List'!W2:W665))/STDEV('The List'!W2:W665)</f>
        <v>-0.734616159436841</v>
      </c>
      <c r="K495" s="77">
        <f>(VLOOKUP($A495,'The List'!$B1:$AH665,23,FALSE)-AVERAGE('The List'!X2:X665))/STDEV('The List'!X2:X665)</f>
        <v>-0.819058833951494</v>
      </c>
      <c r="L495" s="77">
        <f>(VLOOKUP($A495,'The List'!$B1:$AH665,24,FALSE)-AVERAGE('The List'!Y2:Y665))/STDEV('The List'!Y2:Y665)</f>
        <v>0.486273291600738</v>
      </c>
      <c r="M495" s="77">
        <f>(VLOOKUP($A495,'The List'!$B1:$AH665,25,FALSE)-AVERAGE('The List'!Z2:Z665))/STDEV('The List'!Z2:Z665)</f>
        <v>1.82028554284771</v>
      </c>
      <c r="N495" s="77">
        <f>(VLOOKUP($A495,'The List'!$B1:$AH665,26,FALSE)-AVERAGE('The List'!AA2:AA665))/STDEV('The List'!AA2:AA665)</f>
        <v>-0.780086795645602</v>
      </c>
      <c r="O495" s="77">
        <f>(VLOOKUP($A495,'The List'!$B1:$AH665,27,FALSE)-AVERAGE('The List'!AB2:AB665))/STDEV('The List'!AB2:AB665)</f>
        <v>2.41720328082956</v>
      </c>
      <c r="P495" s="77">
        <f>(VLOOKUP($A495,'The List'!$B1:$AH665,28,FALSE)-AVERAGE('The List'!AC2:AC665))/STDEV('The List'!AC2:AC665)</f>
        <v>0.142760537014612</v>
      </c>
      <c r="Q495" s="77">
        <f>(VLOOKUP($A495,'The List'!$B1:$AH665,29,FALSE)-AVERAGE('The List'!AD2:AD665))/STDEV('The List'!AD2:AD665)</f>
        <v>1.06253586122139</v>
      </c>
      <c r="R495" s="77">
        <f>(VLOOKUP($A495,'The List'!$B1:$AH665,30,FALSE)-AVERAGE('The List'!AE2:AE665))/STDEV('The List'!AE2:AE665)</f>
        <v>-0.7113197880182101</v>
      </c>
      <c r="S495" s="77">
        <f>(VLOOKUP($A495,'The List'!$B1:$AH665,31,FALSE)-AVERAGE('The List'!AF2:AF665))/STDEV('The List'!AF2:AF665)</f>
        <v>-0.561976254867538</v>
      </c>
      <c r="T495" s="77">
        <f>(VLOOKUP($A495,'The List'!$B1:$AH665,32,FALSE)-AVERAGE('The List'!AG2:AG665))/STDEV('The List'!AG2:AG665)</f>
        <v>-0.565009370701</v>
      </c>
      <c r="U495" s="77">
        <f>(VLOOKUP($A495,'The List'!$B1:$AH665,33,FALSE)-AVERAGE('The List'!AH2:AH665))/STDEV('The List'!AH2:AH665)</f>
        <v>-0.448950957788348</v>
      </c>
      <c r="V495" s="77"/>
      <c r="W495" s="79"/>
      <c r="X495" s="77"/>
      <c r="Y495" s="77"/>
      <c r="Z495" s="77"/>
      <c r="AA495" s="77"/>
      <c r="AB495" s="77"/>
      <c r="AC495" s="77"/>
      <c r="AD495" s="77"/>
      <c r="AE495" s="84"/>
    </row>
    <row r="496" ht="21.25" customHeight="1">
      <c r="A496" t="s" s="10">
        <v>582</v>
      </c>
      <c r="B496" t="s" s="86">
        <f>VLOOKUP(A496,'Player Data'!A1:B667,2,FALSE)</f>
        <v>903</v>
      </c>
      <c r="C496" s="74">
        <f>((E496)*'Settings'!$C$12)+(F496*'Settings'!$C$2)+(G496*'Settings'!$C$3)+(H496*'Settings'!$C$4)+(I496*'Settings'!$C$5)+(K496*'Settings'!$C$9)+(N496*'Settings'!$C$6)+(J496*'Settings'!$C$8)+(O496*'Settings'!$C$7)+(P496*'Settings'!$C$14)+(Q496*'Settings'!$C$15)+(R496*'Settings'!$C$16)+(S496*'Settings'!$C$17)+(T496*'Settings'!$C$18)+(U496*'Settings'!$C$19)+(L496*'Settings'!$C$10)+('Settings'!$C$11*M496)</f>
        <v>-1.91234696096298</v>
      </c>
      <c r="D496" s="79">
        <f>IF('Settings'!$E$12="YES",VLOOKUP(A496,'Player Data'!A1:E667,5,FALSE),82)</f>
        <v>72.84</v>
      </c>
      <c r="E496" s="77">
        <f>(VLOOKUP($A496,'The List'!$B1:$AH665,17,FALSE)-AVERAGE('The List'!R2:R665))/STDEV('The List'!R2:R665)</f>
        <v>0.0275984991825824</v>
      </c>
      <c r="F496" s="77">
        <f>(VLOOKUP($A496,'The List'!$B1:$AH665,18,FALSE)-AVERAGE('The List'!S2:S665))/STDEV('The List'!S2:S665)</f>
        <v>-0.850753434363554</v>
      </c>
      <c r="G496" s="77">
        <f>(VLOOKUP($A496,'The List'!$B1:$AH665,19,FALSE)-AVERAGE('The List'!T2:T665))/STDEV('The List'!T2:T665)</f>
        <v>-0.7930560671561</v>
      </c>
      <c r="H496" s="77">
        <f>(VLOOKUP($A496,'The List'!$B1:$AH665,20,FALSE)-AVERAGE('The List'!U2:U665))/STDEV('The List'!U2:U665)</f>
        <v>-0.879240285225981</v>
      </c>
      <c r="I496" s="77">
        <f>(VLOOKUP($A496,'The List'!$B1:$AH665,21,FALSE)-AVERAGE('The List'!V2:V665))/STDEV('The List'!V2:V665)</f>
        <v>-0.992271500244756</v>
      </c>
      <c r="J496" s="77">
        <f>(VLOOKUP($A496,'The List'!$B1:$AH665,22,FALSE)-AVERAGE('The List'!W2:W665))/STDEV('The List'!W2:W665)</f>
        <v>-0.739917206264943</v>
      </c>
      <c r="K496" s="77">
        <f>(VLOOKUP($A496,'The List'!$B1:$AH665,23,FALSE)-AVERAGE('The List'!X2:X665))/STDEV('The List'!X2:X665)</f>
        <v>-0.814477461518559</v>
      </c>
      <c r="L496" s="77">
        <f>(VLOOKUP($A496,'The List'!$B1:$AH665,24,FALSE)-AVERAGE('The List'!Y2:Y665))/STDEV('The List'!Y2:Y665)</f>
        <v>-0.374059952026821</v>
      </c>
      <c r="M496" s="77">
        <f>(VLOOKUP($A496,'The List'!$B1:$AH665,25,FALSE)-AVERAGE('The List'!Z2:Z665))/STDEV('The List'!Z2:Z665)</f>
        <v>-0.244937879275994</v>
      </c>
      <c r="N496" s="77">
        <f>(VLOOKUP($A496,'The List'!$B1:$AH665,26,FALSE)-AVERAGE('The List'!AA2:AA665))/STDEV('The List'!AA2:AA665)</f>
        <v>1.10801391915326</v>
      </c>
      <c r="O496" s="77">
        <f>(VLOOKUP($A496,'The List'!$B1:$AH665,27,FALSE)-AVERAGE('The List'!AB2:AB665))/STDEV('The List'!AB2:AB665)</f>
        <v>0.758803708127364</v>
      </c>
      <c r="P496" s="77">
        <f>(VLOOKUP($A496,'The List'!$B1:$AH665,28,FALSE)-AVERAGE('The List'!AC2:AC665))/STDEV('The List'!AC2:AC665)</f>
        <v>0.43019758316673</v>
      </c>
      <c r="Q496" s="77">
        <f>(VLOOKUP($A496,'The List'!$B1:$AH665,29,FALSE)-AVERAGE('The List'!AD2:AD665))/STDEV('The List'!AD2:AD665)</f>
        <v>-0.0170611748304207</v>
      </c>
      <c r="R496" s="77">
        <f>(VLOOKUP($A496,'The List'!$B1:$AH665,30,FALSE)-AVERAGE('The List'!AE2:AE665))/STDEV('The List'!AE2:AE665)</f>
        <v>-0.803736877107157</v>
      </c>
      <c r="S496" s="77">
        <f>(VLOOKUP($A496,'The List'!$B1:$AH665,31,FALSE)-AVERAGE('The List'!AF2:AF665))/STDEV('The List'!AF2:AF665)</f>
        <v>-0.573894410680004</v>
      </c>
      <c r="T496" s="77">
        <f>(VLOOKUP($A496,'The List'!$B1:$AH665,32,FALSE)-AVERAGE('The List'!AG2:AG665))/STDEV('The List'!AG2:AG665)</f>
        <v>-0.625770787132651</v>
      </c>
      <c r="U496" s="77">
        <f>(VLOOKUP($A496,'The List'!$B1:$AH665,33,FALSE)-AVERAGE('The List'!AH2:AH665))/STDEV('The List'!AH2:AH665)</f>
        <v>-1.23143509451486</v>
      </c>
      <c r="V496" s="77"/>
      <c r="W496" s="89"/>
      <c r="X496" s="79"/>
      <c r="Y496" s="79"/>
      <c r="Z496" s="79"/>
      <c r="AA496" s="79"/>
      <c r="AB496" s="79"/>
      <c r="AC496" s="82"/>
      <c r="AD496" s="83"/>
      <c r="AE496" s="84"/>
    </row>
    <row r="497" ht="21.25" customHeight="1">
      <c r="A497" t="s" s="10">
        <v>597</v>
      </c>
      <c r="B497" t="s" s="86">
        <f>VLOOKUP(A497,'Player Data'!A1:B667,2,FALSE)</f>
        <v>914</v>
      </c>
      <c r="C497" s="74">
        <f>((E497)*'Settings'!$C$12)+(F497*'Settings'!$C$2)+(G497*'Settings'!$C$3)+(H497*'Settings'!$C$4)+(I497*'Settings'!$C$5)+(K497*'Settings'!$C$9)+(N497*'Settings'!$C$6)+(J497*'Settings'!$C$8)+(O497*'Settings'!$C$7)+(P497*'Settings'!$C$14)+(Q497*'Settings'!$C$15)+(R497*'Settings'!$C$16)+(S497*'Settings'!$C$17)+(T497*'Settings'!$C$18)+(U497*'Settings'!$C$19)+(L497*'Settings'!$C$10)+('Settings'!$C$11*M497)</f>
        <v>-5.41852429519614</v>
      </c>
      <c r="D497" s="79">
        <f>IF('Settings'!$E$12="YES",VLOOKUP(A497,'Player Data'!A1:E667,5,FALSE),82)</f>
        <v>76.4675</v>
      </c>
      <c r="E497" s="77">
        <f>(VLOOKUP($A497,'The List'!$B1:$AH665,17,FALSE)-AVERAGE('The List'!R2:R665))/STDEV('The List'!R2:R665)</f>
        <v>-1.01258943900127</v>
      </c>
      <c r="F497" s="77">
        <f>(VLOOKUP($A497,'The List'!$B1:$AH665,18,FALSE)-AVERAGE('The List'!S2:S665))/STDEV('The List'!S2:S665)</f>
        <v>-0.496764741186333</v>
      </c>
      <c r="G497" s="77">
        <f>(VLOOKUP($A497,'The List'!$B1:$AH665,19,FALSE)-AVERAGE('The List'!T2:T665))/STDEV('The List'!T2:T665)</f>
        <v>-0.99203370929437</v>
      </c>
      <c r="H497" s="77">
        <f>(VLOOKUP($A497,'The List'!$B1:$AH665,20,FALSE)-AVERAGE('The List'!U2:U665))/STDEV('The List'!U2:U665)</f>
        <v>-0.841911901649106</v>
      </c>
      <c r="I497" s="77">
        <f>(VLOOKUP($A497,'The List'!$B1:$AH665,21,FALSE)-AVERAGE('The List'!V2:V665))/STDEV('The List'!V2:V665)</f>
        <v>-0.546363312380801</v>
      </c>
      <c r="J497" s="77">
        <f>(VLOOKUP($A497,'The List'!$B1:$AH665,22,FALSE)-AVERAGE('The List'!W2:W665))/STDEV('The List'!W2:W665)</f>
        <v>-0.723655256652965</v>
      </c>
      <c r="K497" s="77">
        <f>(VLOOKUP($A497,'The List'!$B1:$AH665,23,FALSE)-AVERAGE('The List'!X2:X665))/STDEV('The List'!X2:X665)</f>
        <v>-0.813116989492187</v>
      </c>
      <c r="L497" s="77">
        <f>(VLOOKUP($A497,'The List'!$B1:$AH665,24,FALSE)-AVERAGE('The List'!Y2:Y665))/STDEV('The List'!Y2:Y665)</f>
        <v>-0.00452049352075839</v>
      </c>
      <c r="M497" s="77">
        <f>(VLOOKUP($A497,'The List'!$B1:$AH665,25,FALSE)-AVERAGE('The List'!Z2:Z665))/STDEV('The List'!Z2:Z665)</f>
        <v>0.326321940212859</v>
      </c>
      <c r="N497" s="77">
        <f>(VLOOKUP($A497,'The List'!$B1:$AH665,26,FALSE)-AVERAGE('The List'!AA2:AA665))/STDEV('The List'!AA2:AA665)</f>
        <v>-0.568018093636925</v>
      </c>
      <c r="O497" s="77">
        <f>(VLOOKUP($A497,'The List'!$B1:$AH665,27,FALSE)-AVERAGE('The List'!AB2:AB665))/STDEV('The List'!AB2:AB665)</f>
        <v>1.59274254554589</v>
      </c>
      <c r="P497" s="77">
        <f>(VLOOKUP($A497,'The List'!$B1:$AH665,28,FALSE)-AVERAGE('The List'!AC2:AC665))/STDEV('The List'!AC2:AC665)</f>
        <v>-2.00222744920552</v>
      </c>
      <c r="Q497" s="77">
        <f>(VLOOKUP($A497,'The List'!$B1:$AH665,29,FALSE)-AVERAGE('The List'!AD2:AD665))/STDEV('The List'!AD2:AD665)</f>
        <v>0.589909805455592</v>
      </c>
      <c r="R497" s="77">
        <f>(VLOOKUP($A497,'The List'!$B1:$AH665,30,FALSE)-AVERAGE('The List'!AE2:AE665))/STDEV('The List'!AE2:AE665)</f>
        <v>-0.681101029069093</v>
      </c>
      <c r="S497" s="77">
        <f>(VLOOKUP($A497,'The List'!$B1:$AH665,31,FALSE)-AVERAGE('The List'!AF2:AF665))/STDEV('The List'!AF2:AF665)</f>
        <v>1.33908763121144</v>
      </c>
      <c r="T497" s="77">
        <f>(VLOOKUP($A497,'The List'!$B1:$AH665,32,FALSE)-AVERAGE('The List'!AG2:AG665))/STDEV('The List'!AG2:AG665)</f>
        <v>1.4862217787803</v>
      </c>
      <c r="U497" s="77">
        <f>(VLOOKUP($A497,'The List'!$B1:$AH665,33,FALSE)-AVERAGE('The List'!AH2:AH665))/STDEV('The List'!AH2:AH665)</f>
        <v>0.992865553570066</v>
      </c>
      <c r="V497" s="77"/>
      <c r="W497" s="89"/>
      <c r="X497" s="79"/>
      <c r="Y497" s="79"/>
      <c r="Z497" s="79"/>
      <c r="AA497" s="79"/>
      <c r="AB497" s="79"/>
      <c r="AC497" s="82"/>
      <c r="AD497" s="83"/>
      <c r="AE497" s="84"/>
    </row>
    <row r="498" ht="21.25" customHeight="1">
      <c r="A498" t="s" s="10">
        <v>594</v>
      </c>
      <c r="B498" t="s" s="86">
        <f>VLOOKUP(A498,'Player Data'!A1:B667,2,FALSE)</f>
        <v>878</v>
      </c>
      <c r="C498" s="74">
        <f>((E498)*'Settings'!$C$12)+(F498*'Settings'!$C$2)+(G498*'Settings'!$C$3)+(H498*'Settings'!$C$4)+(I498*'Settings'!$C$5)+(K498*'Settings'!$C$9)+(N498*'Settings'!$C$6)+(J498*'Settings'!$C$8)+(O498*'Settings'!$C$7)+(P498*'Settings'!$C$14)+(Q498*'Settings'!$C$15)+(R498*'Settings'!$C$16)+(S498*'Settings'!$C$17)+(T498*'Settings'!$C$18)+(U498*'Settings'!$C$19)+(L498*'Settings'!$C$10)+('Settings'!$C$11*M498)</f>
        <v>-1.37775151840138</v>
      </c>
      <c r="D498" s="79">
        <f>IF('Settings'!$E$12="YES",VLOOKUP(A498,'Player Data'!A1:E667,5,FALSE),82)</f>
        <v>77.9525</v>
      </c>
      <c r="E498" s="77">
        <f>(VLOOKUP($A498,'The List'!$B1:$AH665,17,FALSE)-AVERAGE('The List'!R2:R665))/STDEV('The List'!R2:R665)</f>
        <v>0.6691913010731459</v>
      </c>
      <c r="F498" s="77">
        <f>(VLOOKUP($A498,'The List'!$B1:$AH665,18,FALSE)-AVERAGE('The List'!S2:S665))/STDEV('The List'!S2:S665)</f>
        <v>-1.04540048704102</v>
      </c>
      <c r="G498" s="77">
        <f>(VLOOKUP($A498,'The List'!$B1:$AH665,19,FALSE)-AVERAGE('The List'!T2:T665))/STDEV('The List'!T2:T665)</f>
        <v>-0.567794419308155</v>
      </c>
      <c r="H498" s="77">
        <f>(VLOOKUP($A498,'The List'!$B1:$AH665,20,FALSE)-AVERAGE('The List'!U2:U665))/STDEV('The List'!U2:U665)</f>
        <v>-0.827816473633789</v>
      </c>
      <c r="I498" s="77">
        <f>(VLOOKUP($A498,'The List'!$B1:$AH665,21,FALSE)-AVERAGE('The List'!V2:V665))/STDEV('The List'!V2:V665)</f>
        <v>-0.8911876564778199</v>
      </c>
      <c r="J498" s="77">
        <f>(VLOOKUP($A498,'The List'!$B1:$AH665,22,FALSE)-AVERAGE('The List'!W2:W665))/STDEV('The List'!W2:W665)</f>
        <v>-0.74304885541404</v>
      </c>
      <c r="K498" s="77">
        <f>(VLOOKUP($A498,'The List'!$B1:$AH665,23,FALSE)-AVERAGE('The List'!X2:X665))/STDEV('The List'!X2:X665)</f>
        <v>-0.822040406744362</v>
      </c>
      <c r="L498" s="77">
        <f>(VLOOKUP($A498,'The List'!$B1:$AH665,24,FALSE)-AVERAGE('The List'!Y2:Y665))/STDEV('The List'!Y2:Y665)</f>
        <v>-0.522002701259507</v>
      </c>
      <c r="M498" s="77">
        <f>(VLOOKUP($A498,'The List'!$B1:$AH665,25,FALSE)-AVERAGE('The List'!Z2:Z665))/STDEV('The List'!Z2:Z665)</f>
        <v>-0.275095506548587</v>
      </c>
      <c r="N498" s="77">
        <f>(VLOOKUP($A498,'The List'!$B1:$AH665,26,FALSE)-AVERAGE('The List'!AA2:AA665))/STDEV('The List'!AA2:AA665)</f>
        <v>1.18207855090537</v>
      </c>
      <c r="O498" s="77">
        <f>(VLOOKUP($A498,'The List'!$B1:$AH665,27,FALSE)-AVERAGE('The List'!AB2:AB665))/STDEV('The List'!AB2:AB665)</f>
        <v>0.463168751264838</v>
      </c>
      <c r="P498" s="77">
        <f>(VLOOKUP($A498,'The List'!$B1:$AH665,28,FALSE)-AVERAGE('The List'!AC2:AC665))/STDEV('The List'!AC2:AC665)</f>
        <v>0.76659290026461</v>
      </c>
      <c r="Q498" s="77">
        <f>(VLOOKUP($A498,'The List'!$B1:$AH665,29,FALSE)-AVERAGE('The List'!AD2:AD665))/STDEV('The List'!AD2:AD665)</f>
        <v>0.7505491525715829</v>
      </c>
      <c r="R498" s="77">
        <f>(VLOOKUP($A498,'The List'!$B1:$AH665,30,FALSE)-AVERAGE('The List'!AE2:AE665))/STDEV('The List'!AE2:AE665)</f>
        <v>-0.972771806682049</v>
      </c>
      <c r="S498" s="77">
        <f>(VLOOKUP($A498,'The List'!$B1:$AH665,31,FALSE)-AVERAGE('The List'!AF2:AF665))/STDEV('The List'!AF2:AF665)</f>
        <v>-0.573894410680004</v>
      </c>
      <c r="T498" s="77">
        <f>(VLOOKUP($A498,'The List'!$B1:$AH665,32,FALSE)-AVERAGE('The List'!AG2:AG665))/STDEV('The List'!AG2:AG665)</f>
        <v>-0.625770787132651</v>
      </c>
      <c r="U498" s="77">
        <f>(VLOOKUP($A498,'The List'!$B1:$AH665,33,FALSE)-AVERAGE('The List'!AH2:AH665))/STDEV('The List'!AH2:AH665)</f>
        <v>-1.23143509451486</v>
      </c>
      <c r="V498" s="77"/>
      <c r="W498" s="89"/>
      <c r="X498" s="79"/>
      <c r="Y498" s="79"/>
      <c r="Z498" s="79"/>
      <c r="AA498" s="79"/>
      <c r="AB498" s="79"/>
      <c r="AC498" s="82"/>
      <c r="AD498" s="83"/>
      <c r="AE498" s="84"/>
    </row>
    <row r="499" ht="21.25" customHeight="1">
      <c r="A499" t="s" s="10">
        <v>543</v>
      </c>
      <c r="B499" t="s" s="86">
        <f>VLOOKUP(A499,'Player Data'!A1:B667,2,FALSE)</f>
        <v>275</v>
      </c>
      <c r="C499" s="74">
        <f>((E499)*'Settings'!$C$12)+(F499*'Settings'!$C$2)+(G499*'Settings'!$C$3)+(H499*'Settings'!$C$4)+(I499*'Settings'!$C$5)+(K499*'Settings'!$C$9)+(N499*'Settings'!$C$6)+(J499*'Settings'!$C$8)+(O499*'Settings'!$C$7)+(P499*'Settings'!$C$14)+(Q499*'Settings'!$C$15)+(R499*'Settings'!$C$16)+(S499*'Settings'!$C$17)+(T499*'Settings'!$C$18)+(U499*'Settings'!$C$19)+(L499*'Settings'!$C$10)+('Settings'!$C$11*M499)</f>
        <v>-3.2190697165673</v>
      </c>
      <c r="D499" s="79">
        <f>IF('Settings'!$E$12="YES",VLOOKUP(A499,'Player Data'!A1:E667,5,FALSE),82)</f>
        <v>80.0775</v>
      </c>
      <c r="E499" s="77">
        <f>(VLOOKUP($A499,'The List'!$B1:$AH665,17,FALSE)-AVERAGE('The List'!R2:R665))/STDEV('The List'!R2:R665)</f>
        <v>-0.807151062864747</v>
      </c>
      <c r="F499" s="77">
        <f>(VLOOKUP($A499,'The List'!$B1:$AH665,18,FALSE)-AVERAGE('The List'!S2:S665))/STDEV('The List'!S2:S665)</f>
        <v>-0.237392734661959</v>
      </c>
      <c r="G499" s="77">
        <f>(VLOOKUP($A499,'The List'!$B1:$AH665,19,FALSE)-AVERAGE('The List'!T2:T665))/STDEV('The List'!T2:T665)</f>
        <v>-1.12867213455341</v>
      </c>
      <c r="H499" s="77">
        <f>(VLOOKUP($A499,'The List'!$B1:$AH665,20,FALSE)-AVERAGE('The List'!U2:U665))/STDEV('The List'!U2:U665)</f>
        <v>-0.808875140749482</v>
      </c>
      <c r="I499" s="77">
        <f>(VLOOKUP($A499,'The List'!$B1:$AH665,21,FALSE)-AVERAGE('The List'!V2:V665))/STDEV('The List'!V2:V665)</f>
        <v>-0.219461175936715</v>
      </c>
      <c r="J499" s="77">
        <f>(VLOOKUP($A499,'The List'!$B1:$AH665,22,FALSE)-AVERAGE('The List'!W2:W665))/STDEV('The List'!W2:W665)</f>
        <v>-0.734227400563795</v>
      </c>
      <c r="K499" s="77">
        <f>(VLOOKUP($A499,'The List'!$B1:$AH665,23,FALSE)-AVERAGE('The List'!X2:X665))/STDEV('The List'!X2:X665)</f>
        <v>-0.8148798430106881</v>
      </c>
      <c r="L499" s="77">
        <f>(VLOOKUP($A499,'The List'!$B1:$AH665,24,FALSE)-AVERAGE('The List'!Y2:Y665))/STDEV('The List'!Y2:Y665)</f>
        <v>0.431319530115286</v>
      </c>
      <c r="M499" s="77">
        <f>(VLOOKUP($A499,'The List'!$B1:$AH665,25,FALSE)-AVERAGE('The List'!Z2:Z665))/STDEV('The List'!Z2:Z665)</f>
        <v>0.401691209930327</v>
      </c>
      <c r="N499" s="77">
        <f>(VLOOKUP($A499,'The List'!$B1:$AH665,26,FALSE)-AVERAGE('The List'!AA2:AA665))/STDEV('The List'!AA2:AA665)</f>
        <v>-0.704950357356983</v>
      </c>
      <c r="O499" s="77">
        <f>(VLOOKUP($A499,'The List'!$B1:$AH665,27,FALSE)-AVERAGE('The List'!AB2:AB665))/STDEV('The List'!AB2:AB665)</f>
        <v>1.89545151913798</v>
      </c>
      <c r="P499" s="77">
        <f>(VLOOKUP($A499,'The List'!$B1:$AH665,28,FALSE)-AVERAGE('The List'!AC2:AC665))/STDEV('The List'!AC2:AC665)</f>
        <v>-0.113713471047543</v>
      </c>
      <c r="Q499" s="77">
        <f>(VLOOKUP($A499,'The List'!$B1:$AH665,29,FALSE)-AVERAGE('The List'!AD2:AD665))/STDEV('The List'!AD2:AD665)</f>
        <v>0.09977491086797551</v>
      </c>
      <c r="R499" s="77">
        <f>(VLOOKUP($A499,'The List'!$B1:$AH665,30,FALSE)-AVERAGE('The List'!AE2:AE665))/STDEV('The List'!AE2:AE665)</f>
        <v>-0.113618013548304</v>
      </c>
      <c r="S499" s="77">
        <f>(VLOOKUP($A499,'The List'!$B1:$AH665,31,FALSE)-AVERAGE('The List'!AF2:AF665))/STDEV('The List'!AF2:AF665)</f>
        <v>-0.254822904144835</v>
      </c>
      <c r="T499" s="77">
        <f>(VLOOKUP($A499,'The List'!$B1:$AH665,32,FALSE)-AVERAGE('The List'!AG2:AG665))/STDEV('The List'!AG2:AG665)</f>
        <v>-0.120662430654204</v>
      </c>
      <c r="U499" s="77">
        <f>(VLOOKUP($A499,'The List'!$B1:$AH665,33,FALSE)-AVERAGE('The List'!AH2:AH665))/STDEV('The List'!AH2:AH665)</f>
        <v>0.590290369180781</v>
      </c>
      <c r="V499" s="77"/>
      <c r="W499" s="79"/>
      <c r="X499" s="77"/>
      <c r="Y499" s="77"/>
      <c r="Z499" s="77"/>
      <c r="AA499" s="77"/>
      <c r="AB499" s="77"/>
      <c r="AC499" s="77"/>
      <c r="AD499" s="77"/>
      <c r="AE499" s="84"/>
    </row>
    <row r="500" ht="21.25" customHeight="1">
      <c r="A500" t="s" s="10">
        <v>354</v>
      </c>
      <c r="B500" t="s" s="86">
        <f>VLOOKUP(A500,'Player Data'!A1:B667,2,FALSE)</f>
        <v>903</v>
      </c>
      <c r="C500" s="74">
        <f>((E500)*'Settings'!$C$12)+(F500*'Settings'!$C$2)+(G500*'Settings'!$C$3)+(H500*'Settings'!$C$4)+(I500*'Settings'!$C$5)+(K500*'Settings'!$C$9)+(N500*'Settings'!$C$6)+(J500*'Settings'!$C$8)+(O500*'Settings'!$C$7)+(P500*'Settings'!$C$14)+(Q500*'Settings'!$C$15)+(R500*'Settings'!$C$16)+(S500*'Settings'!$C$17)+(T500*'Settings'!$C$18)+(U500*'Settings'!$C$19)+(L500*'Settings'!$C$10)+('Settings'!$C$11*M500)</f>
        <v>0.145904506796935</v>
      </c>
      <c r="D500" s="79">
        <f>IF('Settings'!$E$12="YES",VLOOKUP(A500,'Player Data'!A1:E667,5,FALSE),82)</f>
        <v>80.73</v>
      </c>
      <c r="E500" s="77">
        <f>(VLOOKUP($A500,'The List'!$B1:$AH665,17,FALSE)-AVERAGE('The List'!R2:R665))/STDEV('The List'!R2:R665)</f>
        <v>0.691797262065824</v>
      </c>
      <c r="F500" s="77">
        <f>(VLOOKUP($A500,'The List'!$B1:$AH665,18,FALSE)-AVERAGE('The List'!S2:S665))/STDEV('The List'!S2:S665)</f>
        <v>-1.11142134116977</v>
      </c>
      <c r="G500" s="77">
        <f>(VLOOKUP($A500,'The List'!$B1:$AH665,19,FALSE)-AVERAGE('The List'!T2:T665))/STDEV('The List'!T2:T665)</f>
        <v>-0.481998648580116</v>
      </c>
      <c r="H500" s="77">
        <f>(VLOOKUP($A500,'The List'!$B1:$AH665,20,FALSE)-AVERAGE('The List'!U2:U665))/STDEV('The List'!U2:U665)</f>
        <v>-0.804542092301917</v>
      </c>
      <c r="I500" s="77">
        <f>(VLOOKUP($A500,'The List'!$B1:$AH665,21,FALSE)-AVERAGE('The List'!V2:V665))/STDEV('The List'!V2:V665)</f>
        <v>-0.855456197514042</v>
      </c>
      <c r="J500" s="77">
        <f>(VLOOKUP($A500,'The List'!$B1:$AH665,22,FALSE)-AVERAGE('The List'!W2:W665))/STDEV('The List'!W2:W665)</f>
        <v>-0.7410080754535791</v>
      </c>
      <c r="K500" s="77">
        <f>(VLOOKUP($A500,'The List'!$B1:$AH665,23,FALSE)-AVERAGE('The List'!X2:X665))/STDEV('The List'!X2:X665)</f>
        <v>-0.815152682454536</v>
      </c>
      <c r="L500" s="77">
        <f>(VLOOKUP($A500,'The List'!$B1:$AH665,24,FALSE)-AVERAGE('The List'!Y2:Y665))/STDEV('The List'!Y2:Y665)</f>
        <v>-0.539535430569489</v>
      </c>
      <c r="M500" s="77">
        <f>(VLOOKUP($A500,'The List'!$B1:$AH665,25,FALSE)-AVERAGE('The List'!Z2:Z665))/STDEV('The List'!Z2:Z665)</f>
        <v>0.365393283068389</v>
      </c>
      <c r="N500" s="77">
        <f>(VLOOKUP($A500,'The List'!$B1:$AH665,26,FALSE)-AVERAGE('The List'!AA2:AA665))/STDEV('The List'!AA2:AA665)</f>
        <v>2.8794717634877</v>
      </c>
      <c r="O500" s="77">
        <f>(VLOOKUP($A500,'The List'!$B1:$AH665,27,FALSE)-AVERAGE('The List'!AB2:AB665))/STDEV('The List'!AB2:AB665)</f>
        <v>1.31502852911948</v>
      </c>
      <c r="P500" s="77">
        <f>(VLOOKUP($A500,'The List'!$B1:$AH665,28,FALSE)-AVERAGE('The List'!AC2:AC665))/STDEV('The List'!AC2:AC665)</f>
        <v>0.530461613027699</v>
      </c>
      <c r="Q500" s="77">
        <f>(VLOOKUP($A500,'The List'!$B1:$AH665,29,FALSE)-AVERAGE('The List'!AD2:AD665))/STDEV('The List'!AD2:AD665)</f>
        <v>0.504303266312483</v>
      </c>
      <c r="R500" s="77">
        <f>(VLOOKUP($A500,'The List'!$B1:$AH665,30,FALSE)-AVERAGE('The List'!AE2:AE665))/STDEV('The List'!AE2:AE665)</f>
        <v>-1.05822427365045</v>
      </c>
      <c r="S500" s="77">
        <f>(VLOOKUP($A500,'The List'!$B1:$AH665,31,FALSE)-AVERAGE('The List'!AF2:AF665))/STDEV('The List'!AF2:AF665)</f>
        <v>-0.573894410680004</v>
      </c>
      <c r="T500" s="77">
        <f>(VLOOKUP($A500,'The List'!$B1:$AH665,32,FALSE)-AVERAGE('The List'!AG2:AG665))/STDEV('The List'!AG2:AG665)</f>
        <v>-0.625770787132651</v>
      </c>
      <c r="U500" s="77">
        <f>(VLOOKUP($A500,'The List'!$B1:$AH665,33,FALSE)-AVERAGE('The List'!AH2:AH665))/STDEV('The List'!AH2:AH665)</f>
        <v>-1.23143509451486</v>
      </c>
      <c r="V500" s="77"/>
      <c r="W500" s="89"/>
      <c r="X500" s="79"/>
      <c r="Y500" s="79"/>
      <c r="Z500" s="79"/>
      <c r="AA500" s="79"/>
      <c r="AB500" s="79"/>
      <c r="AC500" s="82"/>
      <c r="AD500" s="83"/>
      <c r="AE500" s="84"/>
    </row>
    <row r="501" ht="21.25" customHeight="1">
      <c r="A501" t="s" s="10">
        <v>444</v>
      </c>
      <c r="B501" t="s" s="86">
        <f>VLOOKUP(A501,'Player Data'!A1:B667,2,FALSE)</f>
        <v>911</v>
      </c>
      <c r="C501" s="74">
        <f>((E501)*'Settings'!$C$12)+(F501*'Settings'!$C$2)+(G501*'Settings'!$C$3)+(H501*'Settings'!$C$4)+(I501*'Settings'!$C$5)+(K501*'Settings'!$C$9)+(N501*'Settings'!$C$6)+(J501*'Settings'!$C$8)+(O501*'Settings'!$C$7)+(P501*'Settings'!$C$14)+(Q501*'Settings'!$C$15)+(R501*'Settings'!$C$16)+(S501*'Settings'!$C$17)+(T501*'Settings'!$C$18)+(U501*'Settings'!$C$19)+(L501*'Settings'!$C$10)+('Settings'!$C$11*M501)</f>
        <v>-1.26885918366088</v>
      </c>
      <c r="D501" s="79">
        <f>IF('Settings'!$E$12="YES",VLOOKUP(A501,'Player Data'!A1:E667,5,FALSE),82)</f>
        <v>80.0675</v>
      </c>
      <c r="E501" s="77">
        <f>(VLOOKUP($A501,'The List'!$B1:$AH665,17,FALSE)-AVERAGE('The List'!R2:R665))/STDEV('The List'!R2:R665)</f>
        <v>0.811096338331031</v>
      </c>
      <c r="F501" s="77">
        <f>(VLOOKUP($A501,'The List'!$B1:$AH665,18,FALSE)-AVERAGE('The List'!S2:S665))/STDEV('The List'!S2:S665)</f>
        <v>-0.950985432622531</v>
      </c>
      <c r="G501" s="77">
        <f>(VLOOKUP($A501,'The List'!$B1:$AH665,19,FALSE)-AVERAGE('The List'!T2:T665))/STDEV('The List'!T2:T665)</f>
        <v>-0.614342741429027</v>
      </c>
      <c r="H501" s="77">
        <f>(VLOOKUP($A501,'The List'!$B1:$AH665,20,FALSE)-AVERAGE('The List'!U2:U665))/STDEV('The List'!U2:U665)</f>
        <v>-0.81380946885423</v>
      </c>
      <c r="I501" s="77">
        <f>(VLOOKUP($A501,'The List'!$B1:$AH665,21,FALSE)-AVERAGE('The List'!V2:V665))/STDEV('The List'!V2:V665)</f>
        <v>-0.623748177374565</v>
      </c>
      <c r="J501" s="77">
        <f>(VLOOKUP($A501,'The List'!$B1:$AH665,22,FALSE)-AVERAGE('The List'!W2:W665))/STDEV('The List'!W2:W665)</f>
        <v>-0.743289062982165</v>
      </c>
      <c r="K501" s="77">
        <f>(VLOOKUP($A501,'The List'!$B1:$AH665,23,FALSE)-AVERAGE('The List'!X2:X665))/STDEV('The List'!X2:X665)</f>
        <v>-0.822380518365041</v>
      </c>
      <c r="L501" s="77">
        <f>(VLOOKUP($A501,'The List'!$B1:$AH665,24,FALSE)-AVERAGE('The List'!Y2:Y665))/STDEV('The List'!Y2:Y665)</f>
        <v>-0.52719257878454</v>
      </c>
      <c r="M501" s="77">
        <f>(VLOOKUP($A501,'The List'!$B1:$AH665,25,FALSE)-AVERAGE('The List'!Z2:Z665))/STDEV('The List'!Z2:Z665)</f>
        <v>0.117583045631029</v>
      </c>
      <c r="N501" s="77">
        <f>(VLOOKUP($A501,'The List'!$B1:$AH665,26,FALSE)-AVERAGE('The List'!AA2:AA665))/STDEV('The List'!AA2:AA665)</f>
        <v>2.14229243760553</v>
      </c>
      <c r="O501" s="77">
        <f>(VLOOKUP($A501,'The List'!$B1:$AH665,27,FALSE)-AVERAGE('The List'!AB2:AB665))/STDEV('The List'!AB2:AB665)</f>
        <v>0.665205024705067</v>
      </c>
      <c r="P501" s="77">
        <f>(VLOOKUP($A501,'The List'!$B1:$AH665,28,FALSE)-AVERAGE('The List'!AC2:AC665))/STDEV('The List'!AC2:AC665)</f>
        <v>-0.399694751475241</v>
      </c>
      <c r="Q501" s="77">
        <f>(VLOOKUP($A501,'The List'!$B1:$AH665,29,FALSE)-AVERAGE('The List'!AD2:AD665))/STDEV('The List'!AD2:AD665)</f>
        <v>1.09619871526224</v>
      </c>
      <c r="R501" s="77">
        <f>(VLOOKUP($A501,'The List'!$B1:$AH665,30,FALSE)-AVERAGE('The List'!AE2:AE665))/STDEV('The List'!AE2:AE665)</f>
        <v>-0.902214936061734</v>
      </c>
      <c r="S501" s="77">
        <f>(VLOOKUP($A501,'The List'!$B1:$AH665,31,FALSE)-AVERAGE('The List'!AF2:AF665))/STDEV('The List'!AF2:AF665)</f>
        <v>-0.573894410680004</v>
      </c>
      <c r="T501" s="77">
        <f>(VLOOKUP($A501,'The List'!$B1:$AH665,32,FALSE)-AVERAGE('The List'!AG2:AG665))/STDEV('The List'!AG2:AG665)</f>
        <v>-0.625770787132651</v>
      </c>
      <c r="U501" s="77">
        <f>(VLOOKUP($A501,'The List'!$B1:$AH665,33,FALSE)-AVERAGE('The List'!AH2:AH665))/STDEV('The List'!AH2:AH665)</f>
        <v>-1.23143509451486</v>
      </c>
      <c r="V501" s="77"/>
      <c r="W501" s="89"/>
      <c r="X501" s="79"/>
      <c r="Y501" s="79"/>
      <c r="Z501" s="79"/>
      <c r="AA501" s="79"/>
      <c r="AB501" s="79"/>
      <c r="AC501" s="82"/>
      <c r="AD501" s="83"/>
      <c r="AE501" s="84"/>
    </row>
    <row r="502" ht="21.25" customHeight="1">
      <c r="A502" t="s" s="10">
        <v>633</v>
      </c>
      <c r="B502" t="s" s="86">
        <f>VLOOKUP(A502,'Player Data'!A1:B667,2,FALSE)</f>
        <v>900</v>
      </c>
      <c r="C502" s="74">
        <f>((E502)*'Settings'!$C$12)+(F502*'Settings'!$C$2)+(G502*'Settings'!$C$3)+(H502*'Settings'!$C$4)+(I502*'Settings'!$C$5)+(K502*'Settings'!$C$9)+(N502*'Settings'!$C$6)+(J502*'Settings'!$C$8)+(O502*'Settings'!$C$7)+(P502*'Settings'!$C$14)+(Q502*'Settings'!$C$15)+(R502*'Settings'!$C$16)+(S502*'Settings'!$C$17)+(T502*'Settings'!$C$18)+(U502*'Settings'!$C$19)+(L502*'Settings'!$C$10)+('Settings'!$C$11*M502)</f>
        <v>-4.09915663250607</v>
      </c>
      <c r="D502" s="79">
        <f>IF('Settings'!$E$12="YES",VLOOKUP(A502,'Player Data'!A1:E667,5,FALSE),82)</f>
        <v>74.55249999999999</v>
      </c>
      <c r="E502" s="77">
        <f>(VLOOKUP($A502,'The List'!$B1:$AH665,17,FALSE)-AVERAGE('The List'!R2:R665))/STDEV('The List'!R2:R665)</f>
        <v>-1.62754404228139</v>
      </c>
      <c r="F502" s="77">
        <f>(VLOOKUP($A502,'The List'!$B1:$AH665,18,FALSE)-AVERAGE('The List'!S2:S665))/STDEV('The List'!S2:S665)</f>
        <v>-0.616402707160062</v>
      </c>
      <c r="G502" s="77">
        <f>(VLOOKUP($A502,'The List'!$B1:$AH665,19,FALSE)-AVERAGE('The List'!T2:T665))/STDEV('The List'!T2:T665)</f>
        <v>-0.954541768233536</v>
      </c>
      <c r="H502" s="77">
        <f>(VLOOKUP($A502,'The List'!$B1:$AH665,20,FALSE)-AVERAGE('The List'!U2:U665))/STDEV('The List'!U2:U665)</f>
        <v>-0.873008440533255</v>
      </c>
      <c r="I502" s="77">
        <f>(VLOOKUP($A502,'The List'!$B1:$AH665,21,FALSE)-AVERAGE('The List'!V2:V665))/STDEV('The List'!V2:V665)</f>
        <v>-0.779674168187159</v>
      </c>
      <c r="J502" s="77">
        <f>(VLOOKUP($A502,'The List'!$B1:$AH665,22,FALSE)-AVERAGE('The List'!W2:W665))/STDEV('The List'!W2:W665)</f>
        <v>-0.694528384921303</v>
      </c>
      <c r="K502" s="77">
        <f>(VLOOKUP($A502,'The List'!$B1:$AH665,23,FALSE)-AVERAGE('The List'!X2:X665))/STDEV('The List'!X2:X665)</f>
        <v>-0.787977591325124</v>
      </c>
      <c r="L502" s="77">
        <f>(VLOOKUP($A502,'The List'!$B1:$AH665,24,FALSE)-AVERAGE('The List'!Y2:Y665))/STDEV('The List'!Y2:Y665)</f>
        <v>-0.579313708205678</v>
      </c>
      <c r="M502" s="77">
        <f>(VLOOKUP($A502,'The List'!$B1:$AH665,25,FALSE)-AVERAGE('The List'!Z2:Z665))/STDEV('The List'!Z2:Z665)</f>
        <v>-0.753146599092524</v>
      </c>
      <c r="N502" s="77">
        <f>(VLOOKUP($A502,'The List'!$B1:$AH665,26,FALSE)-AVERAGE('The List'!AA2:AA665))/STDEV('The List'!AA2:AA665)</f>
        <v>-0.940273568954458</v>
      </c>
      <c r="O502" s="77">
        <f>(VLOOKUP($A502,'The List'!$B1:$AH665,27,FALSE)-AVERAGE('The List'!AB2:AB665))/STDEV('The List'!AB2:AB665)</f>
        <v>1.99379172928453</v>
      </c>
      <c r="P502" s="77">
        <f>(VLOOKUP($A502,'The List'!$B1:$AH665,28,FALSE)-AVERAGE('The List'!AC2:AC665))/STDEV('The List'!AC2:AC665)</f>
        <v>-0.0202868286457265</v>
      </c>
      <c r="Q502" s="77">
        <f>(VLOOKUP($A502,'The List'!$B1:$AH665,29,FALSE)-AVERAGE('The List'!AD2:AD665))/STDEV('The List'!AD2:AD665)</f>
        <v>-0.668301752475787</v>
      </c>
      <c r="R502" s="77">
        <f>(VLOOKUP($A502,'The List'!$B1:$AH665,30,FALSE)-AVERAGE('The List'!AE2:AE665))/STDEV('The List'!AE2:AE665)</f>
        <v>-0.580580479420308</v>
      </c>
      <c r="S502" s="77">
        <f>(VLOOKUP($A502,'The List'!$B1:$AH665,31,FALSE)-AVERAGE('The List'!AF2:AF665))/STDEV('The List'!AF2:AF665)</f>
        <v>-0.478872788636274</v>
      </c>
      <c r="T502" s="77">
        <f>(VLOOKUP($A502,'The List'!$B1:$AH665,32,FALSE)-AVERAGE('The List'!AG2:AG665))/STDEV('The List'!AG2:AG665)</f>
        <v>-0.510644214054638</v>
      </c>
      <c r="U502" s="77">
        <f>(VLOOKUP($A502,'The List'!$B1:$AH665,33,FALSE)-AVERAGE('The List'!AH2:AH665))/STDEV('The List'!AH2:AH665)</f>
        <v>0.887721563543131</v>
      </c>
      <c r="V502" s="77"/>
      <c r="W502" s="79"/>
      <c r="X502" s="79"/>
      <c r="Y502" s="79"/>
      <c r="Z502" s="79"/>
      <c r="AA502" s="79"/>
      <c r="AB502" s="79"/>
      <c r="AC502" s="82"/>
      <c r="AD502" s="83"/>
      <c r="AE502" s="84"/>
    </row>
    <row r="503" ht="21.25" customHeight="1">
      <c r="A503" t="s" s="10">
        <v>835</v>
      </c>
      <c r="B503" t="s" s="86">
        <f>VLOOKUP(A503,'Player Data'!A1:B667,2,FALSE)</f>
        <v>910</v>
      </c>
      <c r="C503" s="74">
        <f>((E503)*'Settings'!$C$12)+(F503*'Settings'!$C$2)+(G503*'Settings'!$C$3)+(H503*'Settings'!$C$4)+(I503*'Settings'!$C$5)+(K503*'Settings'!$C$9)+(N503*'Settings'!$C$6)+(J503*'Settings'!$C$8)+(O503*'Settings'!$C$7)+(P503*'Settings'!$C$14)+(Q503*'Settings'!$C$15)+(R503*'Settings'!$C$16)+(S503*'Settings'!$C$17)+(T503*'Settings'!$C$18)+(U503*'Settings'!$C$19)+(L503*'Settings'!$C$10)+('Settings'!$C$11*M503)</f>
        <v>-4.26456359102681</v>
      </c>
      <c r="D503" s="79">
        <f>IF('Settings'!$E$12="YES",VLOOKUP(A503,'Player Data'!A1:E667,5,FALSE),82)</f>
        <v>62.64</v>
      </c>
      <c r="E503" s="77">
        <f>(VLOOKUP($A503,'The List'!$B1:$AH665,17,FALSE)-AVERAGE('The List'!R2:R665))/STDEV('The List'!R2:R665)</f>
        <v>-0.481310759580739</v>
      </c>
      <c r="F503" s="77">
        <f>(VLOOKUP($A503,'The List'!$B1:$AH665,18,FALSE)-AVERAGE('The List'!S2:S665))/STDEV('The List'!S2:S665)</f>
        <v>-1.02791401799627</v>
      </c>
      <c r="G503" s="77">
        <f>(VLOOKUP($A503,'The List'!$B1:$AH665,19,FALSE)-AVERAGE('The List'!T2:T665))/STDEV('The List'!T2:T665)</f>
        <v>-0.852938691298499</v>
      </c>
      <c r="H503" s="77">
        <f>(VLOOKUP($A503,'The List'!$B1:$AH665,20,FALSE)-AVERAGE('The List'!U2:U665))/STDEV('The List'!U2:U665)</f>
        <v>-0.996958668285004</v>
      </c>
      <c r="I503" s="77">
        <f>(VLOOKUP($A503,'The List'!$B1:$AH665,21,FALSE)-AVERAGE('The List'!V2:V665))/STDEV('The List'!V2:V665)</f>
        <v>-1.30082059384192</v>
      </c>
      <c r="J503" s="77">
        <f>(VLOOKUP($A503,'The List'!$B1:$AH665,22,FALSE)-AVERAGE('The List'!W2:W665))/STDEV('The List'!W2:W665)</f>
        <v>-0.611458975442599</v>
      </c>
      <c r="K503" s="77">
        <f>(VLOOKUP($A503,'The List'!$B1:$AH665,23,FALSE)-AVERAGE('The List'!X2:X665))/STDEV('The List'!X2:X665)</f>
        <v>-0.607958211485216</v>
      </c>
      <c r="L503" s="77">
        <f>(VLOOKUP($A503,'The List'!$B1:$AH665,24,FALSE)-AVERAGE('The List'!Y2:Y665))/STDEV('The List'!Y2:Y665)</f>
        <v>-0.560796468840864</v>
      </c>
      <c r="M503" s="77">
        <f>(VLOOKUP($A503,'The List'!$B1:$AH665,25,FALSE)-AVERAGE('The List'!Z2:Z665))/STDEV('The List'!Z2:Z665)</f>
        <v>-0.479653149245315</v>
      </c>
      <c r="N503" s="77">
        <f>(VLOOKUP($A503,'The List'!$B1:$AH665,26,FALSE)-AVERAGE('The List'!AA2:AA665))/STDEV('The List'!AA2:AA665)</f>
        <v>0.188389953198764</v>
      </c>
      <c r="O503" s="77">
        <f>(VLOOKUP($A503,'The List'!$B1:$AH665,27,FALSE)-AVERAGE('The List'!AB2:AB665))/STDEV('The List'!AB2:AB665)</f>
        <v>-0.817479528887821</v>
      </c>
      <c r="P503" s="77">
        <f>(VLOOKUP($A503,'The List'!$B1:$AH665,28,FALSE)-AVERAGE('The List'!AC2:AC665))/STDEV('The List'!AC2:AC665)</f>
        <v>-0.663322029603672</v>
      </c>
      <c r="Q503" s="77">
        <f>(VLOOKUP($A503,'The List'!$B1:$AH665,29,FALSE)-AVERAGE('The List'!AD2:AD665))/STDEV('The List'!AD2:AD665)</f>
        <v>-0.559617920009122</v>
      </c>
      <c r="R503" s="77">
        <f>(VLOOKUP($A503,'The List'!$B1:$AH665,30,FALSE)-AVERAGE('The List'!AE2:AE665))/STDEV('The List'!AE2:AE665)</f>
        <v>-0.990721910915159</v>
      </c>
      <c r="S503" s="77">
        <f>(VLOOKUP($A503,'The List'!$B1:$AH665,31,FALSE)-AVERAGE('The List'!AF2:AF665))/STDEV('The List'!AF2:AF665)</f>
        <v>-0.573894410680004</v>
      </c>
      <c r="T503" s="77">
        <f>(VLOOKUP($A503,'The List'!$B1:$AH665,32,FALSE)-AVERAGE('The List'!AG2:AG665))/STDEV('The List'!AG2:AG665)</f>
        <v>-0.625770787132651</v>
      </c>
      <c r="U503" s="77">
        <f>(VLOOKUP($A503,'The List'!$B1:$AH665,33,FALSE)-AVERAGE('The List'!AH2:AH665))/STDEV('The List'!AH2:AH665)</f>
        <v>-1.23143509451486</v>
      </c>
      <c r="V503" s="77"/>
      <c r="W503" s="89"/>
      <c r="X503" s="79"/>
      <c r="Y503" s="79"/>
      <c r="Z503" s="79"/>
      <c r="AA503" s="79"/>
      <c r="AB503" s="79"/>
      <c r="AC503" s="82"/>
      <c r="AD503" s="83"/>
      <c r="AE503" s="84"/>
    </row>
    <row r="504" ht="21.25" customHeight="1">
      <c r="A504" t="s" s="10">
        <v>464</v>
      </c>
      <c r="B504" t="s" s="86">
        <f>VLOOKUP(A504,'Player Data'!A1:B667,2,FALSE)</f>
        <v>275</v>
      </c>
      <c r="C504" s="74">
        <f>((E504)*'Settings'!$C$12)+(F504*'Settings'!$C$2)+(G504*'Settings'!$C$3)+(H504*'Settings'!$C$4)+(I504*'Settings'!$C$5)+(K504*'Settings'!$C$9)+(N504*'Settings'!$C$6)+(J504*'Settings'!$C$8)+(O504*'Settings'!$C$7)+(P504*'Settings'!$C$14)+(Q504*'Settings'!$C$15)+(R504*'Settings'!$C$16)+(S504*'Settings'!$C$17)+(T504*'Settings'!$C$18)+(U504*'Settings'!$C$19)+(L504*'Settings'!$C$10)+('Settings'!$C$11*M504)</f>
        <v>-1.8807391283999</v>
      </c>
      <c r="D504" s="79">
        <f>IF('Settings'!$E$12="YES",VLOOKUP(A504,'Player Data'!A1:E667,5,FALSE),82)</f>
        <v>79.66249999999999</v>
      </c>
      <c r="E504" s="77">
        <f>(VLOOKUP($A504,'The List'!$B1:$AH665,17,FALSE)-AVERAGE('The List'!R2:R665))/STDEV('The List'!R2:R665)</f>
        <v>0.504627741696995</v>
      </c>
      <c r="F504" s="77">
        <f>(VLOOKUP($A504,'The List'!$B1:$AH665,18,FALSE)-AVERAGE('The List'!S2:S665))/STDEV('The List'!S2:S665)</f>
        <v>-0.8852106884651399</v>
      </c>
      <c r="G504" s="77">
        <f>(VLOOKUP($A504,'The List'!$B1:$AH665,19,FALSE)-AVERAGE('The List'!T2:T665))/STDEV('The List'!T2:T665)</f>
        <v>-0.675535901754009</v>
      </c>
      <c r="H504" s="77">
        <f>(VLOOKUP($A504,'The List'!$B1:$AH665,20,FALSE)-AVERAGE('The List'!U2:U665))/STDEV('The List'!U2:U665)</f>
        <v>-0.821916114447951</v>
      </c>
      <c r="I504" s="77">
        <f>(VLOOKUP($A504,'The List'!$B1:$AH665,21,FALSE)-AVERAGE('The List'!V2:V665))/STDEV('The List'!V2:V665)</f>
        <v>-0.881105398630033</v>
      </c>
      <c r="J504" s="77">
        <f>(VLOOKUP($A504,'The List'!$B1:$AH665,22,FALSE)-AVERAGE('The List'!W2:W665))/STDEV('The List'!W2:W665)</f>
        <v>-0.742369617254691</v>
      </c>
      <c r="K504" s="77">
        <f>(VLOOKUP($A504,'The List'!$B1:$AH665,23,FALSE)-AVERAGE('The List'!X2:X665))/STDEV('The List'!X2:X665)</f>
        <v>-0.8181619425501599</v>
      </c>
      <c r="L504" s="77">
        <f>(VLOOKUP($A504,'The List'!$B1:$AH665,24,FALSE)-AVERAGE('The List'!Y2:Y665))/STDEV('The List'!Y2:Y665)</f>
        <v>-0.533260890989666</v>
      </c>
      <c r="M504" s="77">
        <f>(VLOOKUP($A504,'The List'!$B1:$AH665,25,FALSE)-AVERAGE('The List'!Z2:Z665))/STDEV('The List'!Z2:Z665)</f>
        <v>0.262804625386818</v>
      </c>
      <c r="N504" s="77">
        <f>(VLOOKUP($A504,'The List'!$B1:$AH665,26,FALSE)-AVERAGE('The List'!AA2:AA665))/STDEV('The List'!AA2:AA665)</f>
        <v>1.90410222960045</v>
      </c>
      <c r="O504" s="77">
        <f>(VLOOKUP($A504,'The List'!$B1:$AH665,27,FALSE)-AVERAGE('The List'!AB2:AB665))/STDEV('The List'!AB2:AB665)</f>
        <v>0.779154401749802</v>
      </c>
      <c r="P504" s="77">
        <f>(VLOOKUP($A504,'The List'!$B1:$AH665,28,FALSE)-AVERAGE('The List'!AC2:AC665))/STDEV('The List'!AC2:AC665)</f>
        <v>-0.524827426601012</v>
      </c>
      <c r="Q504" s="77">
        <f>(VLOOKUP($A504,'The List'!$B1:$AH665,29,FALSE)-AVERAGE('The List'!AD2:AD665))/STDEV('The List'!AD2:AD665)</f>
        <v>2.2969162200788</v>
      </c>
      <c r="R504" s="77">
        <f>(VLOOKUP($A504,'The List'!$B1:$AH665,30,FALSE)-AVERAGE('The List'!AE2:AE665))/STDEV('The List'!AE2:AE665)</f>
        <v>-0.800039648723883</v>
      </c>
      <c r="S504" s="77">
        <f>(VLOOKUP($A504,'The List'!$B1:$AH665,31,FALSE)-AVERAGE('The List'!AF2:AF665))/STDEV('The List'!AF2:AF665)</f>
        <v>-0.573894410680004</v>
      </c>
      <c r="T504" s="77">
        <f>(VLOOKUP($A504,'The List'!$B1:$AH665,32,FALSE)-AVERAGE('The List'!AG2:AG665))/STDEV('The List'!AG2:AG665)</f>
        <v>-0.625770787132651</v>
      </c>
      <c r="U504" s="77">
        <f>(VLOOKUP($A504,'The List'!$B1:$AH665,33,FALSE)-AVERAGE('The List'!AH2:AH665))/STDEV('The List'!AH2:AH665)</f>
        <v>-1.23143509451486</v>
      </c>
      <c r="V504" s="77"/>
      <c r="W504" s="89"/>
      <c r="X504" s="79"/>
      <c r="Y504" s="79"/>
      <c r="Z504" s="79"/>
      <c r="AA504" s="79"/>
      <c r="AB504" s="79"/>
      <c r="AC504" s="82"/>
      <c r="AD504" s="83"/>
      <c r="AE504" s="84"/>
    </row>
    <row r="505" ht="21.25" customHeight="1">
      <c r="A505" t="s" s="10">
        <v>848</v>
      </c>
      <c r="B505" t="s" s="86">
        <f>VLOOKUP(A505,'Player Data'!A1:B667,2,FALSE)</f>
        <v>878</v>
      </c>
      <c r="C505" s="74">
        <f>((E505)*'Settings'!$C$12)+(F505*'Settings'!$C$2)+(G505*'Settings'!$C$3)+(H505*'Settings'!$C$4)+(I505*'Settings'!$C$5)+(K505*'Settings'!$C$9)+(N505*'Settings'!$C$6)+(J505*'Settings'!$C$8)+(O505*'Settings'!$C$7)+(P505*'Settings'!$C$14)+(Q505*'Settings'!$C$15)+(R505*'Settings'!$C$16)+(S505*'Settings'!$C$17)+(T505*'Settings'!$C$18)+(U505*'Settings'!$C$19)+(L505*'Settings'!$C$10)+('Settings'!$C$11*M505)</f>
        <v>-3.99863831199012</v>
      </c>
      <c r="D505" s="79">
        <f>IF('Settings'!$E$12="YES",VLOOKUP(A505,'Player Data'!A1:E667,5,FALSE),82)</f>
        <v>56.9025</v>
      </c>
      <c r="E505" s="77">
        <f>(VLOOKUP($A505,'The List'!$B1:$AH665,17,FALSE)-AVERAGE('The List'!R2:R665))/STDEV('The List'!R2:R665)</f>
        <v>-0.615573366996732</v>
      </c>
      <c r="F505" s="77">
        <f>(VLOOKUP($A505,'The List'!$B1:$AH665,18,FALSE)-AVERAGE('The List'!S2:S665))/STDEV('The List'!S2:S665)</f>
        <v>-1.03188833807062</v>
      </c>
      <c r="G505" s="77">
        <f>(VLOOKUP($A505,'The List'!$B1:$AH665,19,FALSE)-AVERAGE('The List'!T2:T665))/STDEV('The List'!T2:T665)</f>
        <v>-0.958505807149556</v>
      </c>
      <c r="H505" s="77">
        <f>(VLOOKUP($A505,'The List'!$B1:$AH665,20,FALSE)-AVERAGE('The List'!U2:U665))/STDEV('The List'!U2:U665)</f>
        <v>-1.06432830045673</v>
      </c>
      <c r="I505" s="77">
        <f>(VLOOKUP($A505,'The List'!$B1:$AH665,21,FALSE)-AVERAGE('The List'!V2:V665))/STDEV('The List'!V2:V665)</f>
        <v>-1.12441523021355</v>
      </c>
      <c r="J505" s="77">
        <f>(VLOOKUP($A505,'The List'!$B1:$AH665,22,FALSE)-AVERAGE('The List'!W2:W665))/STDEV('The List'!W2:W665)</f>
        <v>-0.742488466592467</v>
      </c>
      <c r="K505" s="77">
        <f>(VLOOKUP($A505,'The List'!$B1:$AH665,23,FALSE)-AVERAGE('The List'!X2:X665))/STDEV('The List'!X2:X665)</f>
        <v>-0.820742582756904</v>
      </c>
      <c r="L505" s="77">
        <f>(VLOOKUP($A505,'The List'!$B1:$AH665,24,FALSE)-AVERAGE('The List'!Y2:Y665))/STDEV('The List'!Y2:Y665)</f>
        <v>-0.569194408251927</v>
      </c>
      <c r="M505" s="77">
        <f>(VLOOKUP($A505,'The List'!$B1:$AH665,25,FALSE)-AVERAGE('The List'!Z2:Z665))/STDEV('The List'!Z2:Z665)</f>
        <v>-0.72133912392748</v>
      </c>
      <c r="N505" s="77">
        <f>(VLOOKUP($A505,'The List'!$B1:$AH665,26,FALSE)-AVERAGE('The List'!AA2:AA665))/STDEV('The List'!AA2:AA665)</f>
        <v>-0.267062995580217</v>
      </c>
      <c r="O505" s="77">
        <f>(VLOOKUP($A505,'The List'!$B1:$AH665,27,FALSE)-AVERAGE('The List'!AB2:AB665))/STDEV('The List'!AB2:AB665)</f>
        <v>-0.761919503603732</v>
      </c>
      <c r="P505" s="77">
        <f>(VLOOKUP($A505,'The List'!$B1:$AH665,28,FALSE)-AVERAGE('The List'!AC2:AC665))/STDEV('The List'!AC2:AC665)</f>
        <v>0.203976641780723</v>
      </c>
      <c r="Q505" s="77">
        <f>(VLOOKUP($A505,'The List'!$B1:$AH665,29,FALSE)-AVERAGE('The List'!AD2:AD665))/STDEV('The List'!AD2:AD665)</f>
        <v>-1.08043441945546</v>
      </c>
      <c r="R505" s="77">
        <f>(VLOOKUP($A505,'The List'!$B1:$AH665,30,FALSE)-AVERAGE('The List'!AE2:AE665))/STDEV('The List'!AE2:AE665)</f>
        <v>-0.958595038671548</v>
      </c>
      <c r="S505" s="77">
        <f>(VLOOKUP($A505,'The List'!$B1:$AH665,31,FALSE)-AVERAGE('The List'!AF2:AF665))/STDEV('The List'!AF2:AF665)</f>
        <v>-0.573894410680004</v>
      </c>
      <c r="T505" s="77">
        <f>(VLOOKUP($A505,'The List'!$B1:$AH665,32,FALSE)-AVERAGE('The List'!AG2:AG665))/STDEV('The List'!AG2:AG665)</f>
        <v>-0.625770787132651</v>
      </c>
      <c r="U505" s="77">
        <f>(VLOOKUP($A505,'The List'!$B1:$AH665,33,FALSE)-AVERAGE('The List'!AH2:AH665))/STDEV('The List'!AH2:AH665)</f>
        <v>-1.23143509451486</v>
      </c>
      <c r="V505" s="77"/>
      <c r="W505" s="89"/>
      <c r="X505" s="79"/>
      <c r="Y505" s="79"/>
      <c r="Z505" s="79"/>
      <c r="AA505" s="79"/>
      <c r="AB505" s="79"/>
      <c r="AC505" s="82"/>
      <c r="AD505" s="83"/>
      <c r="AE505" s="84"/>
    </row>
    <row r="506" ht="21.25" customHeight="1">
      <c r="A506" t="s" s="10">
        <v>278</v>
      </c>
      <c r="B506" t="s" s="86">
        <f>VLOOKUP(A506,'Player Data'!A1:B667,2,FALSE)</f>
        <v>912</v>
      </c>
      <c r="C506" s="74">
        <f>((E506)*'Settings'!$C$12)+(F506*'Settings'!$C$2)+(G506*'Settings'!$C$3)+(H506*'Settings'!$C$4)+(I506*'Settings'!$C$5)+(K506*'Settings'!$C$9)+(N506*'Settings'!$C$6)+(J506*'Settings'!$C$8)+(O506*'Settings'!$C$7)+(P506*'Settings'!$C$14)+(Q506*'Settings'!$C$15)+(R506*'Settings'!$C$16)+(S506*'Settings'!$C$17)+(T506*'Settings'!$C$18)+(U506*'Settings'!$C$19)+(L506*'Settings'!$C$10)+('Settings'!$C$11*M506)</f>
        <v>-1.84666180277975</v>
      </c>
      <c r="D506" s="79">
        <f>IF('Settings'!$E$12="YES",VLOOKUP(A506,'Player Data'!A1:E667,5,FALSE),82)</f>
        <v>77.315</v>
      </c>
      <c r="E506" s="77">
        <f>(VLOOKUP($A506,'The List'!$B1:$AH665,17,FALSE)-AVERAGE('The List'!R2:R665))/STDEV('The List'!R2:R665)</f>
        <v>0.61318696132081</v>
      </c>
      <c r="F506" s="77">
        <f>(VLOOKUP($A506,'The List'!$B1:$AH665,18,FALSE)-AVERAGE('The List'!S2:S665))/STDEV('The List'!S2:S665)</f>
        <v>-0.9884718258252549</v>
      </c>
      <c r="G506" s="77">
        <f>(VLOOKUP($A506,'The List'!$B1:$AH665,19,FALSE)-AVERAGE('The List'!T2:T665))/STDEV('The List'!T2:T665)</f>
        <v>-0.660426945640898</v>
      </c>
      <c r="H506" s="77">
        <f>(VLOOKUP($A506,'The List'!$B1:$AH665,20,FALSE)-AVERAGE('The List'!U2:U665))/STDEV('The List'!U2:U665)</f>
        <v>-0.859469698479628</v>
      </c>
      <c r="I506" s="77">
        <f>(VLOOKUP($A506,'The List'!$B1:$AH665,21,FALSE)-AVERAGE('The List'!V2:V665))/STDEV('The List'!V2:V665)</f>
        <v>-0.508747943589264</v>
      </c>
      <c r="J506" s="77">
        <f>(VLOOKUP($A506,'The List'!$B1:$AH665,22,FALSE)-AVERAGE('The List'!W2:W665))/STDEV('The List'!W2:W665)</f>
        <v>-0.739206359822638</v>
      </c>
      <c r="K506" s="77">
        <f>(VLOOKUP($A506,'The List'!$B1:$AH665,23,FALSE)-AVERAGE('The List'!X2:X665))/STDEV('The List'!X2:X665)</f>
        <v>-0.8117276902948311</v>
      </c>
      <c r="L506" s="77">
        <f>(VLOOKUP($A506,'The List'!$B1:$AH665,24,FALSE)-AVERAGE('The List'!Y2:Y665))/STDEV('The List'!Y2:Y665)</f>
        <v>-0.286622632316829</v>
      </c>
      <c r="M506" s="77">
        <f>(VLOOKUP($A506,'The List'!$B1:$AH665,25,FALSE)-AVERAGE('The List'!Z2:Z665))/STDEV('The List'!Z2:Z665)</f>
        <v>0.000182642243727174</v>
      </c>
      <c r="N506" s="77">
        <f>(VLOOKUP($A506,'The List'!$B1:$AH665,26,FALSE)-AVERAGE('The List'!AA2:AA665))/STDEV('The List'!AA2:AA665)</f>
        <v>2.13515421234508</v>
      </c>
      <c r="O506" s="77">
        <f>(VLOOKUP($A506,'The List'!$B1:$AH665,27,FALSE)-AVERAGE('The List'!AB2:AB665))/STDEV('The List'!AB2:AB665)</f>
        <v>3.51369979247127</v>
      </c>
      <c r="P506" s="77">
        <f>(VLOOKUP($A506,'The List'!$B1:$AH665,28,FALSE)-AVERAGE('The List'!AC2:AC665))/STDEV('The List'!AC2:AC665)</f>
        <v>-1.01244160977458</v>
      </c>
      <c r="Q506" s="77">
        <f>(VLOOKUP($A506,'The List'!$B1:$AH665,29,FALSE)-AVERAGE('The List'!AD2:AD665))/STDEV('The List'!AD2:AD665)</f>
        <v>4.07199468594473</v>
      </c>
      <c r="R506" s="77">
        <f>(VLOOKUP($A506,'The List'!$B1:$AH665,30,FALSE)-AVERAGE('The List'!AE2:AE665))/STDEV('The List'!AE2:AE665)</f>
        <v>-1.01688712144812</v>
      </c>
      <c r="S506" s="77">
        <f>(VLOOKUP($A506,'The List'!$B1:$AH665,31,FALSE)-AVERAGE('The List'!AF2:AF665))/STDEV('The List'!AF2:AF665)</f>
        <v>-0.573894410680004</v>
      </c>
      <c r="T506" s="77">
        <f>(VLOOKUP($A506,'The List'!$B1:$AH665,32,FALSE)-AVERAGE('The List'!AG2:AG665))/STDEV('The List'!AG2:AG665)</f>
        <v>-0.625770787132651</v>
      </c>
      <c r="U506" s="77">
        <f>(VLOOKUP($A506,'The List'!$B1:$AH665,33,FALSE)-AVERAGE('The List'!AH2:AH665))/STDEV('The List'!AH2:AH665)</f>
        <v>-1.23143509451486</v>
      </c>
      <c r="V506" s="77"/>
      <c r="W506" s="89"/>
      <c r="X506" s="79"/>
      <c r="Y506" s="79"/>
      <c r="Z506" s="79"/>
      <c r="AA506" s="79"/>
      <c r="AB506" s="79"/>
      <c r="AC506" s="82"/>
      <c r="AD506" s="83"/>
      <c r="AE506" s="84"/>
    </row>
    <row r="507" ht="21.25" customHeight="1">
      <c r="A507" t="s" s="10">
        <v>408</v>
      </c>
      <c r="B507" t="s" s="86">
        <f>VLOOKUP(A507,'Player Data'!A1:B667,2,FALSE)</f>
        <v>156</v>
      </c>
      <c r="C507" s="74">
        <f>((E507)*'Settings'!$C$12)+(F507*'Settings'!$C$2)+(G507*'Settings'!$C$3)+(H507*'Settings'!$C$4)+(I507*'Settings'!$C$5)+(K507*'Settings'!$C$9)+(N507*'Settings'!$C$6)+(J507*'Settings'!$C$8)+(O507*'Settings'!$C$7)+(P507*'Settings'!$C$14)+(Q507*'Settings'!$C$15)+(R507*'Settings'!$C$16)+(S507*'Settings'!$C$17)+(T507*'Settings'!$C$18)+(U507*'Settings'!$C$19)+(L507*'Settings'!$C$10)+('Settings'!$C$11*M507)</f>
        <v>-2.10808651269936</v>
      </c>
      <c r="D507" s="79">
        <f>IF('Settings'!$E$12="YES",VLOOKUP(A507,'Player Data'!A1:E667,5,FALSE),82)</f>
        <v>79.5175</v>
      </c>
      <c r="E507" s="77">
        <f>(VLOOKUP($A507,'The List'!$B1:$AH665,17,FALSE)-AVERAGE('The List'!R2:R665))/STDEV('The List'!R2:R665)</f>
        <v>0.616776967243125</v>
      </c>
      <c r="F507" s="77">
        <f>(VLOOKUP($A507,'The List'!$B1:$AH665,18,FALSE)-AVERAGE('The List'!S2:S665))/STDEV('The List'!S2:S665)</f>
        <v>-0.886708922784763</v>
      </c>
      <c r="G507" s="77">
        <f>(VLOOKUP($A507,'The List'!$B1:$AH665,19,FALSE)-AVERAGE('The List'!T2:T665))/STDEV('The List'!T2:T665)</f>
        <v>-0.699934539734151</v>
      </c>
      <c r="H507" s="77">
        <f>(VLOOKUP($A507,'The List'!$B1:$AH665,20,FALSE)-AVERAGE('The List'!U2:U665))/STDEV('The List'!U2:U665)</f>
        <v>-0.837750059238082</v>
      </c>
      <c r="I507" s="77">
        <f>(VLOOKUP($A507,'The List'!$B1:$AH665,21,FALSE)-AVERAGE('The List'!V2:V665))/STDEV('The List'!V2:V665)</f>
        <v>-0.488374558618094</v>
      </c>
      <c r="J507" s="77">
        <f>(VLOOKUP($A507,'The List'!$B1:$AH665,22,FALSE)-AVERAGE('The List'!W2:W665))/STDEV('The List'!W2:W665)</f>
        <v>-0.734536223249479</v>
      </c>
      <c r="K507" s="77">
        <f>(VLOOKUP($A507,'The List'!$B1:$AH665,23,FALSE)-AVERAGE('The List'!X2:X665))/STDEV('The List'!X2:X665)</f>
        <v>-0.817207100997392</v>
      </c>
      <c r="L507" s="77">
        <f>(VLOOKUP($A507,'The List'!$B1:$AH665,24,FALSE)-AVERAGE('The List'!Y2:Y665))/STDEV('The List'!Y2:Y665)</f>
        <v>-0.535156490103583</v>
      </c>
      <c r="M507" s="77">
        <f>(VLOOKUP($A507,'The List'!$B1:$AH665,25,FALSE)-AVERAGE('The List'!Z2:Z665))/STDEV('The List'!Z2:Z665)</f>
        <v>-0.634610590677183</v>
      </c>
      <c r="N507" s="77">
        <f>(VLOOKUP($A507,'The List'!$B1:$AH665,26,FALSE)-AVERAGE('The List'!AA2:AA665))/STDEV('The List'!AA2:AA665)</f>
        <v>2.13698525092075</v>
      </c>
      <c r="O507" s="77">
        <f>(VLOOKUP($A507,'The List'!$B1:$AH665,27,FALSE)-AVERAGE('The List'!AB2:AB665))/STDEV('The List'!AB2:AB665)</f>
        <v>1.21901581368908</v>
      </c>
      <c r="P507" s="77">
        <f>(VLOOKUP($A507,'The List'!$B1:$AH665,28,FALSE)-AVERAGE('The List'!AC2:AC665))/STDEV('The List'!AC2:AC665)</f>
        <v>-1.35284664148571</v>
      </c>
      <c r="Q507" s="77">
        <f>(VLOOKUP($A507,'The List'!$B1:$AH665,29,FALSE)-AVERAGE('The List'!AD2:AD665))/STDEV('The List'!AD2:AD665)</f>
        <v>1.09994821016538</v>
      </c>
      <c r="R507" s="77">
        <f>(VLOOKUP($A507,'The List'!$B1:$AH665,30,FALSE)-AVERAGE('The List'!AE2:AE665))/STDEV('The List'!AE2:AE665)</f>
        <v>-0.881158767792488</v>
      </c>
      <c r="S507" s="77">
        <f>(VLOOKUP($A507,'The List'!$B1:$AH665,31,FALSE)-AVERAGE('The List'!AF2:AF665))/STDEV('The List'!AF2:AF665)</f>
        <v>-0.573894410680004</v>
      </c>
      <c r="T507" s="77">
        <f>(VLOOKUP($A507,'The List'!$B1:$AH665,32,FALSE)-AVERAGE('The List'!AG2:AG665))/STDEV('The List'!AG2:AG665)</f>
        <v>-0.625770787132651</v>
      </c>
      <c r="U507" s="77">
        <f>(VLOOKUP($A507,'The List'!$B1:$AH665,33,FALSE)-AVERAGE('The List'!AH2:AH665))/STDEV('The List'!AH2:AH665)</f>
        <v>-1.23143509451486</v>
      </c>
      <c r="V507" s="77"/>
      <c r="W507" s="89"/>
      <c r="X507" s="79"/>
      <c r="Y507" s="79"/>
      <c r="Z507" s="79"/>
      <c r="AA507" s="79"/>
      <c r="AB507" s="79"/>
      <c r="AC507" s="82"/>
      <c r="AD507" s="83"/>
      <c r="AE507" s="84"/>
    </row>
    <row r="508" ht="21.25" customHeight="1">
      <c r="A508" t="s" s="10">
        <v>687</v>
      </c>
      <c r="B508" t="s" s="86">
        <f>VLOOKUP(A508,'Player Data'!A1:B667,2,FALSE)</f>
        <v>900</v>
      </c>
      <c r="C508" s="74">
        <f>((E508)*'Settings'!$C$12)+(F508*'Settings'!$C$2)+(G508*'Settings'!$C$3)+(H508*'Settings'!$C$4)+(I508*'Settings'!$C$5)+(K508*'Settings'!$C$9)+(N508*'Settings'!$C$6)+(J508*'Settings'!$C$8)+(O508*'Settings'!$C$7)+(P508*'Settings'!$C$14)+(Q508*'Settings'!$C$15)+(R508*'Settings'!$C$16)+(S508*'Settings'!$C$17)+(T508*'Settings'!$C$18)+(U508*'Settings'!$C$19)+(L508*'Settings'!$C$10)+('Settings'!$C$11*M508)</f>
        <v>-3.79098022945557</v>
      </c>
      <c r="D508" s="79">
        <f>IF('Settings'!$E$12="YES",VLOOKUP(A508,'Player Data'!A1:E667,5,FALSE),82)</f>
        <v>70.69750000000001</v>
      </c>
      <c r="E508" s="77">
        <f>(VLOOKUP($A508,'The List'!$B1:$AH665,17,FALSE)-AVERAGE('The List'!R2:R665))/STDEV('The List'!R2:R665)</f>
        <v>-1.8727137822549</v>
      </c>
      <c r="F508" s="77">
        <f>(VLOOKUP($A508,'The List'!$B1:$AH665,18,FALSE)-AVERAGE('The List'!S2:S665))/STDEV('The List'!S2:S665)</f>
        <v>-0.624064520136282</v>
      </c>
      <c r="G508" s="77">
        <f>(VLOOKUP($A508,'The List'!$B1:$AH665,19,FALSE)-AVERAGE('The List'!T2:T665))/STDEV('The List'!T2:T665)</f>
        <v>-1.0398438012537</v>
      </c>
      <c r="H508" s="77">
        <f>(VLOOKUP($A508,'The List'!$B1:$AH665,20,FALSE)-AVERAGE('The List'!U2:U665))/STDEV('The List'!U2:U665)</f>
        <v>-0.929468457604114</v>
      </c>
      <c r="I508" s="77">
        <f>(VLOOKUP($A508,'The List'!$B1:$AH665,21,FALSE)-AVERAGE('The List'!V2:V665))/STDEV('The List'!V2:V665)</f>
        <v>-0.9817840169902881</v>
      </c>
      <c r="J508" s="77">
        <f>(VLOOKUP($A508,'The List'!$B1:$AH665,22,FALSE)-AVERAGE('The List'!W2:W665))/STDEV('The List'!W2:W665)</f>
        <v>-0.674173231077719</v>
      </c>
      <c r="K508" s="77">
        <f>(VLOOKUP($A508,'The List'!$B1:$AH665,23,FALSE)-AVERAGE('The List'!X2:X665))/STDEV('The List'!X2:X665)</f>
        <v>-0.7783981443367129</v>
      </c>
      <c r="L508" s="77">
        <f>(VLOOKUP($A508,'The List'!$B1:$AH665,24,FALSE)-AVERAGE('The List'!Y2:Y665))/STDEV('The List'!Y2:Y665)</f>
        <v>-0.310909046084747</v>
      </c>
      <c r="M508" s="77">
        <f>(VLOOKUP($A508,'The List'!$B1:$AH665,25,FALSE)-AVERAGE('The List'!Z2:Z665))/STDEV('The List'!Z2:Z665)</f>
        <v>-0.476914360127122</v>
      </c>
      <c r="N508" s="77">
        <f>(VLOOKUP($A508,'The List'!$B1:$AH665,26,FALSE)-AVERAGE('The List'!AA2:AA665))/STDEV('The List'!AA2:AA665)</f>
        <v>-0.63116190844326</v>
      </c>
      <c r="O508" s="77">
        <f>(VLOOKUP($A508,'The List'!$B1:$AH665,27,FALSE)-AVERAGE('The List'!AB2:AB665))/STDEV('The List'!AB2:AB665)</f>
        <v>1.37982762288967</v>
      </c>
      <c r="P508" s="77">
        <f>(VLOOKUP($A508,'The List'!$B1:$AH665,28,FALSE)-AVERAGE('The List'!AC2:AC665))/STDEV('The List'!AC2:AC665)</f>
        <v>0.264272161704669</v>
      </c>
      <c r="Q508" s="77">
        <f>(VLOOKUP($A508,'The List'!$B1:$AH665,29,FALSE)-AVERAGE('The List'!AD2:AD665))/STDEV('The List'!AD2:AD665)</f>
        <v>0.0247778736139806</v>
      </c>
      <c r="R508" s="77">
        <f>(VLOOKUP($A508,'The List'!$B1:$AH665,30,FALSE)-AVERAGE('The List'!AE2:AE665))/STDEV('The List'!AE2:AE665)</f>
        <v>-0.588000386257121</v>
      </c>
      <c r="S508" s="77">
        <f>(VLOOKUP($A508,'The List'!$B1:$AH665,31,FALSE)-AVERAGE('The List'!AF2:AF665))/STDEV('The List'!AF2:AF665)</f>
        <v>-0.493668031808758</v>
      </c>
      <c r="T508" s="77">
        <f>(VLOOKUP($A508,'The List'!$B1:$AH665,32,FALSE)-AVERAGE('The List'!AG2:AG665))/STDEV('The List'!AG2:AG665)</f>
        <v>-0.517031703572874</v>
      </c>
      <c r="U508" s="77">
        <f>(VLOOKUP($A508,'The List'!$B1:$AH665,33,FALSE)-AVERAGE('The List'!AH2:AH665))/STDEV('The List'!AH2:AH665)</f>
        <v>0.761730857309044</v>
      </c>
      <c r="V508" s="77"/>
      <c r="W508" s="89"/>
      <c r="X508" s="79"/>
      <c r="Y508" s="79"/>
      <c r="Z508" s="79"/>
      <c r="AA508" s="79"/>
      <c r="AB508" s="79"/>
      <c r="AC508" s="82"/>
      <c r="AD508" s="83"/>
      <c r="AE508" s="84"/>
    </row>
    <row r="509" ht="21.25" customHeight="1">
      <c r="A509" t="s" s="10">
        <v>630</v>
      </c>
      <c r="B509" t="s" s="86">
        <f>VLOOKUP(A509,'Player Data'!A1:B667,2,FALSE)</f>
        <v>909</v>
      </c>
      <c r="C509" s="74">
        <f>((E509)*'Settings'!$C$12)+(F509*'Settings'!$C$2)+(G509*'Settings'!$C$3)+(H509*'Settings'!$C$4)+(I509*'Settings'!$C$5)+(K509*'Settings'!$C$9)+(N509*'Settings'!$C$6)+(J509*'Settings'!$C$8)+(O509*'Settings'!$C$7)+(P509*'Settings'!$C$14)+(Q509*'Settings'!$C$15)+(R509*'Settings'!$C$16)+(S509*'Settings'!$C$17)+(T509*'Settings'!$C$18)+(U509*'Settings'!$C$19)+(L509*'Settings'!$C$10)+('Settings'!$C$11*M509)</f>
        <v>-3.91742368489613</v>
      </c>
      <c r="D509" s="79">
        <f>IF('Settings'!$E$12="YES",VLOOKUP(A509,'Player Data'!A1:E667,5,FALSE),82)</f>
        <v>67.52249999999999</v>
      </c>
      <c r="E509" s="77">
        <f>(VLOOKUP($A509,'The List'!$B1:$AH665,17,FALSE)-AVERAGE('The List'!R2:R665))/STDEV('The List'!R2:R665)</f>
        <v>-0.346000556365507</v>
      </c>
      <c r="F509" s="77">
        <f>(VLOOKUP($A509,'The List'!$B1:$AH665,18,FALSE)-AVERAGE('The List'!S2:S665))/STDEV('The List'!S2:S665)</f>
        <v>-0.9112302424619551</v>
      </c>
      <c r="G509" s="77">
        <f>(VLOOKUP($A509,'The List'!$B1:$AH665,19,FALSE)-AVERAGE('The List'!T2:T665))/STDEV('The List'!T2:T665)</f>
        <v>-0.88570986919136</v>
      </c>
      <c r="H509" s="77">
        <f>(VLOOKUP($A509,'The List'!$B1:$AH665,20,FALSE)-AVERAGE('The List'!U2:U665))/STDEV('The List'!U2:U665)</f>
        <v>-0.964273090012587</v>
      </c>
      <c r="I509" s="77">
        <f>(VLOOKUP($A509,'The List'!$B1:$AH665,21,FALSE)-AVERAGE('The List'!V2:V665))/STDEV('The List'!V2:V665)</f>
        <v>-0.817732473947438</v>
      </c>
      <c r="J509" s="77">
        <f>(VLOOKUP($A509,'The List'!$B1:$AH665,22,FALSE)-AVERAGE('The List'!W2:W665))/STDEV('The List'!W2:W665)</f>
        <v>-0.673504961680665</v>
      </c>
      <c r="K509" s="77">
        <f>(VLOOKUP($A509,'The List'!$B1:$AH665,23,FALSE)-AVERAGE('The List'!X2:X665))/STDEV('The List'!X2:X665)</f>
        <v>-0.761434064791763</v>
      </c>
      <c r="L509" s="77">
        <f>(VLOOKUP($A509,'The List'!$B1:$AH665,24,FALSE)-AVERAGE('The List'!Y2:Y665))/STDEV('The List'!Y2:Y665)</f>
        <v>-0.520186945425607</v>
      </c>
      <c r="M509" s="77">
        <f>(VLOOKUP($A509,'The List'!$B1:$AH665,25,FALSE)-AVERAGE('The List'!Z2:Z665))/STDEV('The List'!Z2:Z665)</f>
        <v>-0.574233245322783</v>
      </c>
      <c r="N509" s="77">
        <f>(VLOOKUP($A509,'The List'!$B1:$AH665,26,FALSE)-AVERAGE('The List'!AA2:AA665))/STDEV('The List'!AA2:AA665)</f>
        <v>0.30070946621717</v>
      </c>
      <c r="O509" s="77">
        <f>(VLOOKUP($A509,'The List'!$B1:$AH665,27,FALSE)-AVERAGE('The List'!AB2:AB665))/STDEV('The List'!AB2:AB665)</f>
        <v>1.35531842989484</v>
      </c>
      <c r="P509" s="77">
        <f>(VLOOKUP($A509,'The List'!$B1:$AH665,28,FALSE)-AVERAGE('The List'!AC2:AC665))/STDEV('The List'!AC2:AC665)</f>
        <v>-0.842026500720782</v>
      </c>
      <c r="Q509" s="77">
        <f>(VLOOKUP($A509,'The List'!$B1:$AH665,29,FALSE)-AVERAGE('The List'!AD2:AD665))/STDEV('The List'!AD2:AD665)</f>
        <v>2.96936682888403</v>
      </c>
      <c r="R509" s="77">
        <f>(VLOOKUP($A509,'The List'!$B1:$AH665,30,FALSE)-AVERAGE('The List'!AE2:AE665))/STDEV('The List'!AE2:AE665)</f>
        <v>-0.960882100750337</v>
      </c>
      <c r="S509" s="77">
        <f>(VLOOKUP($A509,'The List'!$B1:$AH665,31,FALSE)-AVERAGE('The List'!AF2:AF665))/STDEV('The List'!AF2:AF665)</f>
        <v>-0.573894410680004</v>
      </c>
      <c r="T509" s="77">
        <f>(VLOOKUP($A509,'The List'!$B1:$AH665,32,FALSE)-AVERAGE('The List'!AG2:AG665))/STDEV('The List'!AG2:AG665)</f>
        <v>-0.625770787132651</v>
      </c>
      <c r="U509" s="77">
        <f>(VLOOKUP($A509,'The List'!$B1:$AH665,33,FALSE)-AVERAGE('The List'!AH2:AH665))/STDEV('The List'!AH2:AH665)</f>
        <v>-1.23143509451486</v>
      </c>
      <c r="V509" s="77"/>
      <c r="W509" s="89"/>
      <c r="X509" s="79"/>
      <c r="Y509" s="79"/>
      <c r="Z509" s="79"/>
      <c r="AA509" s="79"/>
      <c r="AB509" s="79"/>
      <c r="AC509" s="82"/>
      <c r="AD509" s="83"/>
      <c r="AE509" s="84"/>
    </row>
    <row r="510" ht="21.25" customHeight="1">
      <c r="A510" t="s" s="10">
        <v>781</v>
      </c>
      <c r="B510" t="s" s="86">
        <f>VLOOKUP(A510,'Player Data'!A1:B667,2,FALSE)</f>
        <v>174</v>
      </c>
      <c r="C510" s="74">
        <f>((E510)*'Settings'!$C$12)+(F510*'Settings'!$C$2)+(G510*'Settings'!$C$3)+(H510*'Settings'!$C$4)+(I510*'Settings'!$C$5)+(K510*'Settings'!$C$9)+(N510*'Settings'!$C$6)+(J510*'Settings'!$C$8)+(O510*'Settings'!$C$7)+(P510*'Settings'!$C$14)+(Q510*'Settings'!$C$15)+(R510*'Settings'!$C$16)+(S510*'Settings'!$C$17)+(T510*'Settings'!$C$18)+(U510*'Settings'!$C$19)+(L510*'Settings'!$C$10)+('Settings'!$C$11*M510)</f>
        <v>-4.53171319655749</v>
      </c>
      <c r="D510" s="79">
        <f>IF('Settings'!$E$12="YES",VLOOKUP(A510,'Player Data'!A1:E667,5,FALSE),82)</f>
        <v>69.405</v>
      </c>
      <c r="E510" s="77">
        <f>(VLOOKUP($A510,'The List'!$B1:$AH665,17,FALSE)-AVERAGE('The List'!R2:R665))/STDEV('The List'!R2:R665)</f>
        <v>-0.144130753994788</v>
      </c>
      <c r="F510" s="77">
        <f>(VLOOKUP($A510,'The List'!$B1:$AH665,18,FALSE)-AVERAGE('The List'!S2:S665))/STDEV('The List'!S2:S665)</f>
        <v>-0.929668610454485</v>
      </c>
      <c r="G510" s="77">
        <f>(VLOOKUP($A510,'The List'!$B1:$AH665,19,FALSE)-AVERAGE('The List'!T2:T665))/STDEV('The List'!T2:T665)</f>
        <v>-0.841667535662325</v>
      </c>
      <c r="H510" s="77">
        <f>(VLOOKUP($A510,'The List'!$B1:$AH665,20,FALSE)-AVERAGE('The List'!U2:U665))/STDEV('The List'!U2:U665)</f>
        <v>-0.945301439172292</v>
      </c>
      <c r="I510" s="77">
        <f>(VLOOKUP($A510,'The List'!$B1:$AH665,21,FALSE)-AVERAGE('The List'!V2:V665))/STDEV('The List'!V2:V665)</f>
        <v>-0.997636223818258</v>
      </c>
      <c r="J510" s="77">
        <f>(VLOOKUP($A510,'The List'!$B1:$AH665,22,FALSE)-AVERAGE('The List'!W2:W665))/STDEV('The List'!W2:W665)</f>
        <v>-0.736386070371348</v>
      </c>
      <c r="K510" s="77">
        <f>(VLOOKUP($A510,'The List'!$B1:$AH665,23,FALSE)-AVERAGE('The List'!X2:X665))/STDEV('The List'!X2:X665)</f>
        <v>-0.80929132852097</v>
      </c>
      <c r="L510" s="77">
        <f>(VLOOKUP($A510,'The List'!$B1:$AH665,24,FALSE)-AVERAGE('The List'!Y2:Y665))/STDEV('The List'!Y2:Y665)</f>
        <v>-0.536088850037897</v>
      </c>
      <c r="M510" s="77">
        <f>(VLOOKUP($A510,'The List'!$B1:$AH665,25,FALSE)-AVERAGE('The List'!Z2:Z665))/STDEV('The List'!Z2:Z665)</f>
        <v>-0.449431304748504</v>
      </c>
      <c r="N510" s="77">
        <f>(VLOOKUP($A510,'The List'!$B1:$AH665,26,FALSE)-AVERAGE('The List'!AA2:AA665))/STDEV('The List'!AA2:AA665)</f>
        <v>0.793515641069731</v>
      </c>
      <c r="O510" s="77">
        <f>(VLOOKUP($A510,'The List'!$B1:$AH665,27,FALSE)-AVERAGE('The List'!AB2:AB665))/STDEV('The List'!AB2:AB665)</f>
        <v>-0.9105126188192</v>
      </c>
      <c r="P510" s="77">
        <f>(VLOOKUP($A510,'The List'!$B1:$AH665,28,FALSE)-AVERAGE('The List'!AC2:AC665))/STDEV('The List'!AC2:AC665)</f>
        <v>-1.74696513917118</v>
      </c>
      <c r="Q510" s="77">
        <f>(VLOOKUP($A510,'The List'!$B1:$AH665,29,FALSE)-AVERAGE('The List'!AD2:AD665))/STDEV('The List'!AD2:AD665)</f>
        <v>-0.387503706375889</v>
      </c>
      <c r="R510" s="77">
        <f>(VLOOKUP($A510,'The List'!$B1:$AH665,30,FALSE)-AVERAGE('The List'!AE2:AE665))/STDEV('The List'!AE2:AE665)</f>
        <v>-0.898449608542611</v>
      </c>
      <c r="S510" s="77">
        <f>(VLOOKUP($A510,'The List'!$B1:$AH665,31,FALSE)-AVERAGE('The List'!AF2:AF665))/STDEV('The List'!AF2:AF665)</f>
        <v>-0.573894410680004</v>
      </c>
      <c r="T510" s="77">
        <f>(VLOOKUP($A510,'The List'!$B1:$AH665,32,FALSE)-AVERAGE('The List'!AG2:AG665))/STDEV('The List'!AG2:AG665)</f>
        <v>-0.625770787132651</v>
      </c>
      <c r="U510" s="77">
        <f>(VLOOKUP($A510,'The List'!$B1:$AH665,33,FALSE)-AVERAGE('The List'!AH2:AH665))/STDEV('The List'!AH2:AH665)</f>
        <v>-1.23143509451486</v>
      </c>
      <c r="V510" s="77"/>
      <c r="W510" s="89"/>
      <c r="X510" s="79"/>
      <c r="Y510" s="79"/>
      <c r="Z510" s="79"/>
      <c r="AA510" s="79"/>
      <c r="AB510" s="79"/>
      <c r="AC510" s="82"/>
      <c r="AD510" s="83"/>
      <c r="AE510" s="84"/>
    </row>
    <row r="511" ht="21.25" customHeight="1">
      <c r="A511" t="s" s="10">
        <v>816</v>
      </c>
      <c r="B511" t="s" s="86">
        <f>VLOOKUP(A511,'Player Data'!A1:B667,2,FALSE)</f>
        <v>907</v>
      </c>
      <c r="C511" s="74">
        <f>((E511)*'Settings'!$C$12)+(F511*'Settings'!$C$2)+(G511*'Settings'!$C$3)+(H511*'Settings'!$C$4)+(I511*'Settings'!$C$5)+(K511*'Settings'!$C$9)+(N511*'Settings'!$C$6)+(J511*'Settings'!$C$8)+(O511*'Settings'!$C$7)+(P511*'Settings'!$C$14)+(Q511*'Settings'!$C$15)+(R511*'Settings'!$C$16)+(S511*'Settings'!$C$17)+(T511*'Settings'!$C$18)+(U511*'Settings'!$C$19)+(L511*'Settings'!$C$10)+('Settings'!$C$11*M511)</f>
        <v>-3.89049646212984</v>
      </c>
      <c r="D511" s="79">
        <f>IF('Settings'!$E$12="YES",VLOOKUP(A511,'Player Data'!A1:E667,5,FALSE),82)</f>
        <v>70.5425</v>
      </c>
      <c r="E511" s="77">
        <f>(VLOOKUP($A511,'The List'!$B1:$AH665,17,FALSE)-AVERAGE('The List'!R2:R665))/STDEV('The List'!R2:R665)</f>
        <v>-0.56415756898568</v>
      </c>
      <c r="F511" s="77">
        <f>(VLOOKUP($A511,'The List'!$B1:$AH665,18,FALSE)-AVERAGE('The List'!S2:S665))/STDEV('The List'!S2:S665)</f>
        <v>-1.01387080891166</v>
      </c>
      <c r="G511" s="77">
        <f>(VLOOKUP($A511,'The List'!$B1:$AH665,19,FALSE)-AVERAGE('The List'!T2:T665))/STDEV('The List'!T2:T665)</f>
        <v>-0.763807499559781</v>
      </c>
      <c r="H511" s="77">
        <f>(VLOOKUP($A511,'The List'!$B1:$AH665,20,FALSE)-AVERAGE('The List'!U2:U665))/STDEV('The List'!U2:U665)</f>
        <v>-0.935219880480178</v>
      </c>
      <c r="I511" s="77">
        <f>(VLOOKUP($A511,'The List'!$B1:$AH665,21,FALSE)-AVERAGE('The List'!V2:V665))/STDEV('The List'!V2:V665)</f>
        <v>-1.02916440016355</v>
      </c>
      <c r="J511" s="77">
        <f>(VLOOKUP($A511,'The List'!$B1:$AH665,22,FALSE)-AVERAGE('The List'!W2:W665))/STDEV('The List'!W2:W665)</f>
        <v>-0.734501044301506</v>
      </c>
      <c r="K511" s="77">
        <f>(VLOOKUP($A511,'The List'!$B1:$AH665,23,FALSE)-AVERAGE('The List'!X2:X665))/STDEV('The List'!X2:X665)</f>
        <v>-0.811393052155749</v>
      </c>
      <c r="L511" s="77">
        <f>(VLOOKUP($A511,'The List'!$B1:$AH665,24,FALSE)-AVERAGE('The List'!Y2:Y665))/STDEV('The List'!Y2:Y665)</f>
        <v>-0.56251242626916</v>
      </c>
      <c r="M511" s="77">
        <f>(VLOOKUP($A511,'The List'!$B1:$AH665,25,FALSE)-AVERAGE('The List'!Z2:Z665))/STDEV('The List'!Z2:Z665)</f>
        <v>-0.701521116622285</v>
      </c>
      <c r="N511" s="77">
        <f>(VLOOKUP($A511,'The List'!$B1:$AH665,26,FALSE)-AVERAGE('The List'!AA2:AA665))/STDEV('The List'!AA2:AA665)</f>
        <v>-0.104552758213389</v>
      </c>
      <c r="O511" s="77">
        <f>(VLOOKUP($A511,'The List'!$B1:$AH665,27,FALSE)-AVERAGE('The List'!AB2:AB665))/STDEV('The List'!AB2:AB665)</f>
        <v>-0.321175350117725</v>
      </c>
      <c r="P511" s="77">
        <f>(VLOOKUP($A511,'The List'!$B1:$AH665,28,FALSE)-AVERAGE('The List'!AC2:AC665))/STDEV('The List'!AC2:AC665)</f>
        <v>-0.167707943125709</v>
      </c>
      <c r="Q511" s="77">
        <f>(VLOOKUP($A511,'The List'!$B1:$AH665,29,FALSE)-AVERAGE('The List'!AD2:AD665))/STDEV('The List'!AD2:AD665)</f>
        <v>-0.325932422705129</v>
      </c>
      <c r="R511" s="77">
        <f>(VLOOKUP($A511,'The List'!$B1:$AH665,30,FALSE)-AVERAGE('The List'!AE2:AE665))/STDEV('The List'!AE2:AE665)</f>
        <v>-1.02802420714031</v>
      </c>
      <c r="S511" s="77">
        <f>(VLOOKUP($A511,'The List'!$B1:$AH665,31,FALSE)-AVERAGE('The List'!AF2:AF665))/STDEV('The List'!AF2:AF665)</f>
        <v>-0.573894410680004</v>
      </c>
      <c r="T511" s="77">
        <f>(VLOOKUP($A511,'The List'!$B1:$AH665,32,FALSE)-AVERAGE('The List'!AG2:AG665))/STDEV('The List'!AG2:AG665)</f>
        <v>-0.625770787132651</v>
      </c>
      <c r="U511" s="77">
        <f>(VLOOKUP($A511,'The List'!$B1:$AH665,33,FALSE)-AVERAGE('The List'!AH2:AH665))/STDEV('The List'!AH2:AH665)</f>
        <v>-1.23143509451486</v>
      </c>
      <c r="V511" s="77"/>
      <c r="W511" s="79"/>
      <c r="X511" s="77"/>
      <c r="Y511" s="77"/>
      <c r="Z511" s="77"/>
      <c r="AA511" s="77"/>
      <c r="AB511" s="77"/>
      <c r="AC511" s="77"/>
      <c r="AD511" s="77"/>
      <c r="AE511" s="84"/>
    </row>
    <row r="512" ht="21.25" customHeight="1">
      <c r="A512" t="s" s="10">
        <v>423</v>
      </c>
      <c r="B512" t="s" s="86">
        <f>VLOOKUP(A512,'Player Data'!A1:B667,2,FALSE)</f>
        <v>192</v>
      </c>
      <c r="C512" s="74">
        <f>((E512)*'Settings'!$C$12)+(F512*'Settings'!$C$2)+(G512*'Settings'!$C$3)+(H512*'Settings'!$C$4)+(I512*'Settings'!$C$5)+(K512*'Settings'!$C$9)+(N512*'Settings'!$C$6)+(J512*'Settings'!$C$8)+(O512*'Settings'!$C$7)+(P512*'Settings'!$C$14)+(Q512*'Settings'!$C$15)+(R512*'Settings'!$C$16)+(S512*'Settings'!$C$17)+(T512*'Settings'!$C$18)+(U512*'Settings'!$C$19)+(L512*'Settings'!$C$10)+('Settings'!$C$11*M512)</f>
        <v>-2.94381432289082</v>
      </c>
      <c r="D512" s="79">
        <f>IF('Settings'!$E$12="YES",VLOOKUP(A512,'Player Data'!A1:E667,5,FALSE),82)</f>
        <v>76.8275</v>
      </c>
      <c r="E512" s="77">
        <f>(VLOOKUP($A512,'The List'!$B1:$AH665,17,FALSE)-AVERAGE('The List'!R2:R665))/STDEV('The List'!R2:R665)</f>
        <v>0.337037879222658</v>
      </c>
      <c r="F512" s="77">
        <f>(VLOOKUP($A512,'The List'!$B1:$AH665,18,FALSE)-AVERAGE('The List'!S2:S665))/STDEV('The List'!S2:S665)</f>
        <v>-0.850794846910596</v>
      </c>
      <c r="G512" s="77">
        <f>(VLOOKUP($A512,'The List'!$B1:$AH665,19,FALSE)-AVERAGE('The List'!T2:T665))/STDEV('The List'!T2:T665)</f>
        <v>-0.781449855981561</v>
      </c>
      <c r="H512" s="77">
        <f>(VLOOKUP($A512,'The List'!$B1:$AH665,20,FALSE)-AVERAGE('The List'!U2:U665))/STDEV('The List'!U2:U665)</f>
        <v>-0.872050999462351</v>
      </c>
      <c r="I512" s="77">
        <f>(VLOOKUP($A512,'The List'!$B1:$AH665,21,FALSE)-AVERAGE('The List'!V2:V665))/STDEV('The List'!V2:V665)</f>
        <v>-0.944264757699905</v>
      </c>
      <c r="J512" s="77">
        <f>(VLOOKUP($A512,'The List'!$B1:$AH665,22,FALSE)-AVERAGE('The List'!W2:W665))/STDEV('The List'!W2:W665)</f>
        <v>-0.740639486810716</v>
      </c>
      <c r="K512" s="77">
        <f>(VLOOKUP($A512,'The List'!$B1:$AH665,23,FALSE)-AVERAGE('The List'!X2:X665))/STDEV('The List'!X2:X665)</f>
        <v>-0.816183658272947</v>
      </c>
      <c r="L512" s="77">
        <f>(VLOOKUP($A512,'The List'!$B1:$AH665,24,FALSE)-AVERAGE('The List'!Y2:Y665))/STDEV('The List'!Y2:Y665)</f>
        <v>-0.178779708474581</v>
      </c>
      <c r="M512" s="77">
        <f>(VLOOKUP($A512,'The List'!$B1:$AH665,25,FALSE)-AVERAGE('The List'!Z2:Z665))/STDEV('The List'!Z2:Z665)</f>
        <v>0.429057107376255</v>
      </c>
      <c r="N512" s="77">
        <f>(VLOOKUP($A512,'The List'!$B1:$AH665,26,FALSE)-AVERAGE('The List'!AA2:AA665))/STDEV('The List'!AA2:AA665)</f>
        <v>1.335293642638</v>
      </c>
      <c r="O512" s="77">
        <f>(VLOOKUP($A512,'The List'!$B1:$AH665,27,FALSE)-AVERAGE('The List'!AB2:AB665))/STDEV('The List'!AB2:AB665)</f>
        <v>2.03907517511191</v>
      </c>
      <c r="P512" s="77">
        <f>(VLOOKUP($A512,'The List'!$B1:$AH665,28,FALSE)-AVERAGE('The List'!AC2:AC665))/STDEV('The List'!AC2:AC665)</f>
        <v>-0.886414846663808</v>
      </c>
      <c r="Q512" s="77">
        <f>(VLOOKUP($A512,'The List'!$B1:$AH665,29,FALSE)-AVERAGE('The List'!AD2:AD665))/STDEV('The List'!AD2:AD665)</f>
        <v>-0.314720759155573</v>
      </c>
      <c r="R512" s="77">
        <f>(VLOOKUP($A512,'The List'!$B1:$AH665,30,FALSE)-AVERAGE('The List'!AE2:AE665))/STDEV('The List'!AE2:AE665)</f>
        <v>-0.835341289639242</v>
      </c>
      <c r="S512" s="77">
        <f>(VLOOKUP($A512,'The List'!$B1:$AH665,31,FALSE)-AVERAGE('The List'!AF2:AF665))/STDEV('The List'!AF2:AF665)</f>
        <v>-0.573894410680004</v>
      </c>
      <c r="T512" s="77">
        <f>(VLOOKUP($A512,'The List'!$B1:$AH665,32,FALSE)-AVERAGE('The List'!AG2:AG665))/STDEV('The List'!AG2:AG665)</f>
        <v>-0.625770787132651</v>
      </c>
      <c r="U512" s="77">
        <f>(VLOOKUP($A512,'The List'!$B1:$AH665,33,FALSE)-AVERAGE('The List'!AH2:AH665))/STDEV('The List'!AH2:AH665)</f>
        <v>-1.23143509451486</v>
      </c>
      <c r="V512" s="77"/>
      <c r="W512" s="89"/>
      <c r="X512" s="79"/>
      <c r="Y512" s="79"/>
      <c r="Z512" s="79"/>
      <c r="AA512" s="79"/>
      <c r="AB512" s="79"/>
      <c r="AC512" s="82"/>
      <c r="AD512" s="83"/>
      <c r="AE512" s="84"/>
    </row>
    <row r="513" ht="21.25" customHeight="1">
      <c r="A513" t="s" s="10">
        <v>595</v>
      </c>
      <c r="B513" t="s" s="86">
        <f>VLOOKUP(A513,'Player Data'!A1:B667,2,FALSE)</f>
        <v>913</v>
      </c>
      <c r="C513" s="74">
        <f>((E513)*'Settings'!$C$12)+(F513*'Settings'!$C$2)+(G513*'Settings'!$C$3)+(H513*'Settings'!$C$4)+(I513*'Settings'!$C$5)+(K513*'Settings'!$C$9)+(N513*'Settings'!$C$6)+(J513*'Settings'!$C$8)+(O513*'Settings'!$C$7)+(P513*'Settings'!$C$14)+(Q513*'Settings'!$C$15)+(R513*'Settings'!$C$16)+(S513*'Settings'!$C$17)+(T513*'Settings'!$C$18)+(U513*'Settings'!$C$19)+(L513*'Settings'!$C$10)+('Settings'!$C$11*M513)</f>
        <v>-3.03277256155061</v>
      </c>
      <c r="D513" s="79">
        <f>IF('Settings'!$E$12="YES",VLOOKUP(A513,'Player Data'!A1:E667,5,FALSE),82)</f>
        <v>81.375</v>
      </c>
      <c r="E513" s="77">
        <f>(VLOOKUP($A513,'The List'!$B1:$AH665,17,FALSE)-AVERAGE('The List'!R2:R665))/STDEV('The List'!R2:R665)</f>
        <v>-1.21201009516756</v>
      </c>
      <c r="F513" s="77">
        <f>(VLOOKUP($A513,'The List'!$B1:$AH665,18,FALSE)-AVERAGE('The List'!S2:S665))/STDEV('The List'!S2:S665)</f>
        <v>-0.710253069323345</v>
      </c>
      <c r="G513" s="77">
        <f>(VLOOKUP($A513,'The List'!$B1:$AH665,19,FALSE)-AVERAGE('The List'!T2:T665))/STDEV('The List'!T2:T665)</f>
        <v>-0.816208073839531</v>
      </c>
      <c r="H513" s="77">
        <f>(VLOOKUP($A513,'The List'!$B1:$AH665,20,FALSE)-AVERAGE('The List'!U2:U665))/STDEV('The List'!U2:U665)</f>
        <v>-0.829754888740853</v>
      </c>
      <c r="I513" s="77">
        <f>(VLOOKUP($A513,'The List'!$B1:$AH665,21,FALSE)-AVERAGE('The List'!V2:V665))/STDEV('The List'!V2:V665)</f>
        <v>-1.03812373177897</v>
      </c>
      <c r="J513" s="77">
        <f>(VLOOKUP($A513,'The List'!$B1:$AH665,22,FALSE)-AVERAGE('The List'!W2:W665))/STDEV('The List'!W2:W665)</f>
        <v>-0.72953659335502</v>
      </c>
      <c r="K513" s="77">
        <f>(VLOOKUP($A513,'The List'!$B1:$AH665,23,FALSE)-AVERAGE('The List'!X2:X665))/STDEV('The List'!X2:X665)</f>
        <v>-0.816883086530975</v>
      </c>
      <c r="L513" s="77">
        <f>(VLOOKUP($A513,'The List'!$B1:$AH665,24,FALSE)-AVERAGE('The List'!Y2:Y665))/STDEV('The List'!Y2:Y665)</f>
        <v>0.539212486123707</v>
      </c>
      <c r="M513" s="77">
        <f>(VLOOKUP($A513,'The List'!$B1:$AH665,25,FALSE)-AVERAGE('The List'!Z2:Z665))/STDEV('The List'!Z2:Z665)</f>
        <v>0.628817678663263</v>
      </c>
      <c r="N513" s="77">
        <f>(VLOOKUP($A513,'The List'!$B1:$AH665,26,FALSE)-AVERAGE('The List'!AA2:AA665))/STDEV('The List'!AA2:AA665)</f>
        <v>0.110644048821943</v>
      </c>
      <c r="O513" s="77">
        <f>(VLOOKUP($A513,'The List'!$B1:$AH665,27,FALSE)-AVERAGE('The List'!AB2:AB665))/STDEV('The List'!AB2:AB665)</f>
        <v>1.11130479543465</v>
      </c>
      <c r="P513" s="77">
        <f>(VLOOKUP($A513,'The List'!$B1:$AH665,28,FALSE)-AVERAGE('The List'!AC2:AC665))/STDEV('The List'!AC2:AC665)</f>
        <v>0.238051351100272</v>
      </c>
      <c r="Q513" s="77">
        <f>(VLOOKUP($A513,'The List'!$B1:$AH665,29,FALSE)-AVERAGE('The List'!AD2:AD665))/STDEV('The List'!AD2:AD665)</f>
        <v>1.04969081319565</v>
      </c>
      <c r="R513" s="77">
        <f>(VLOOKUP($A513,'The List'!$B1:$AH665,30,FALSE)-AVERAGE('The List'!AE2:AE665))/STDEV('The List'!AE2:AE665)</f>
        <v>-0.847733221816543</v>
      </c>
      <c r="S513" s="77">
        <f>(VLOOKUP($A513,'The List'!$B1:$AH665,31,FALSE)-AVERAGE('The List'!AF2:AF665))/STDEV('The List'!AF2:AF665)</f>
        <v>0.869787571397884</v>
      </c>
      <c r="T513" s="77">
        <f>(VLOOKUP($A513,'The List'!$B1:$AH665,32,FALSE)-AVERAGE('The List'!AG2:AG665))/STDEV('The List'!AG2:AG665)</f>
        <v>0.919369294093494</v>
      </c>
      <c r="U513" s="77">
        <f>(VLOOKUP($A513,'The List'!$B1:$AH665,33,FALSE)-AVERAGE('The List'!AH2:AH665))/STDEV('The List'!AH2:AH665)</f>
        <v>1.02804940748341</v>
      </c>
      <c r="V513" s="77"/>
      <c r="W513" s="89"/>
      <c r="X513" s="79"/>
      <c r="Y513" s="79"/>
      <c r="Z513" s="79"/>
      <c r="AA513" s="79"/>
      <c r="AB513" s="79"/>
      <c r="AC513" s="82"/>
      <c r="AD513" s="83"/>
      <c r="AE513" s="84"/>
    </row>
    <row r="514" ht="21.25" customHeight="1">
      <c r="A514" t="s" s="10">
        <v>840</v>
      </c>
      <c r="B514" t="s" s="86">
        <f>VLOOKUP(A514,'Player Data'!A1:B667,2,FALSE)</f>
        <v>275</v>
      </c>
      <c r="C514" s="74">
        <f>((E514)*'Settings'!$C$12)+(F514*'Settings'!$C$2)+(G514*'Settings'!$C$3)+(H514*'Settings'!$C$4)+(I514*'Settings'!$C$5)+(K514*'Settings'!$C$9)+(N514*'Settings'!$C$6)+(J514*'Settings'!$C$8)+(O514*'Settings'!$C$7)+(P514*'Settings'!$C$14)+(Q514*'Settings'!$C$15)+(R514*'Settings'!$C$16)+(S514*'Settings'!$C$17)+(T514*'Settings'!$C$18)+(U514*'Settings'!$C$19)+(L514*'Settings'!$C$10)+('Settings'!$C$11*M514)</f>
        <v>-3.73446261546632</v>
      </c>
      <c r="D514" s="79">
        <f>IF('Settings'!$E$12="YES",VLOOKUP(A514,'Player Data'!A1:E667,5,FALSE),82)</f>
        <v>60.865</v>
      </c>
      <c r="E514" s="77">
        <f>(VLOOKUP($A514,'The List'!$B1:$AH665,17,FALSE)-AVERAGE('The List'!R2:R665))/STDEV('The List'!R2:R665)</f>
        <v>-0.379310928420328</v>
      </c>
      <c r="F514" s="77">
        <f>(VLOOKUP($A514,'The List'!$B1:$AH665,18,FALSE)-AVERAGE('The List'!S2:S665))/STDEV('The List'!S2:S665)</f>
        <v>-0.984586182140884</v>
      </c>
      <c r="G514" s="77">
        <f>(VLOOKUP($A514,'The List'!$B1:$AH665,19,FALSE)-AVERAGE('The List'!T2:T665))/STDEV('The List'!T2:T665)</f>
        <v>-0.951335999199397</v>
      </c>
      <c r="H514" s="77">
        <f>(VLOOKUP($A514,'The List'!$B1:$AH665,20,FALSE)-AVERAGE('The List'!U2:U665))/STDEV('The List'!U2:U665)</f>
        <v>-1.03837436825288</v>
      </c>
      <c r="I514" s="77">
        <f>(VLOOKUP($A514,'The List'!$B1:$AH665,21,FALSE)-AVERAGE('The List'!V2:V665))/STDEV('The List'!V2:V665)</f>
        <v>-1.28157560777414</v>
      </c>
      <c r="J514" s="77">
        <f>(VLOOKUP($A514,'The List'!$B1:$AH665,22,FALSE)-AVERAGE('The List'!W2:W665))/STDEV('The List'!W2:W665)</f>
        <v>-0.445988759050734</v>
      </c>
      <c r="K514" s="77">
        <f>(VLOOKUP($A514,'The List'!$B1:$AH665,23,FALSE)-AVERAGE('The List'!X2:X665))/STDEV('The List'!X2:X665)</f>
        <v>-0.47971813770386</v>
      </c>
      <c r="L514" s="77">
        <f>(VLOOKUP($A514,'The List'!$B1:$AH665,24,FALSE)-AVERAGE('The List'!Y2:Y665))/STDEV('The List'!Y2:Y665)</f>
        <v>-0.541339376983224</v>
      </c>
      <c r="M514" s="77">
        <f>(VLOOKUP($A514,'The List'!$B1:$AH665,25,FALSE)-AVERAGE('The List'!Z2:Z665))/STDEV('The List'!Z2:Z665)</f>
        <v>-0.637902019594309</v>
      </c>
      <c r="N514" s="77">
        <f>(VLOOKUP($A514,'The List'!$B1:$AH665,26,FALSE)-AVERAGE('The List'!AA2:AA665))/STDEV('The List'!AA2:AA665)</f>
        <v>0.113499586591189</v>
      </c>
      <c r="O514" s="77">
        <f>(VLOOKUP($A514,'The List'!$B1:$AH665,27,FALSE)-AVERAGE('The List'!AB2:AB665))/STDEV('The List'!AB2:AB665)</f>
        <v>-0.778658133105104</v>
      </c>
      <c r="P514" s="77">
        <f>(VLOOKUP($A514,'The List'!$B1:$AH665,28,FALSE)-AVERAGE('The List'!AC2:AC665))/STDEV('The List'!AC2:AC665)</f>
        <v>-0.150746275239224</v>
      </c>
      <c r="Q514" s="77">
        <f>(VLOOKUP($A514,'The List'!$B1:$AH665,29,FALSE)-AVERAGE('The List'!AD2:AD665))/STDEV('The List'!AD2:AD665)</f>
        <v>-0.948778720285097</v>
      </c>
      <c r="R514" s="77">
        <f>(VLOOKUP($A514,'The List'!$B1:$AH665,30,FALSE)-AVERAGE('The List'!AE2:AE665))/STDEV('The List'!AE2:AE665)</f>
        <v>-0.905336960205945</v>
      </c>
      <c r="S514" s="77">
        <f>(VLOOKUP($A514,'The List'!$B1:$AH665,31,FALSE)-AVERAGE('The List'!AF2:AF665))/STDEV('The List'!AF2:AF665)</f>
        <v>-0.573894410680004</v>
      </c>
      <c r="T514" s="77">
        <f>(VLOOKUP($A514,'The List'!$B1:$AH665,32,FALSE)-AVERAGE('The List'!AG2:AG665))/STDEV('The List'!AG2:AG665)</f>
        <v>-0.625770787132651</v>
      </c>
      <c r="U514" s="77">
        <f>(VLOOKUP($A514,'The List'!$B1:$AH665,33,FALSE)-AVERAGE('The List'!AH2:AH665))/STDEV('The List'!AH2:AH665)</f>
        <v>-1.23143509451486</v>
      </c>
      <c r="V514" s="77"/>
      <c r="W514" s="89"/>
      <c r="X514" s="79"/>
      <c r="Y514" s="79"/>
      <c r="Z514" s="79"/>
      <c r="AA514" s="79"/>
      <c r="AB514" s="79"/>
      <c r="AC514" s="82"/>
      <c r="AD514" s="83"/>
      <c r="AE514" s="84"/>
    </row>
    <row r="515" ht="21.25" customHeight="1">
      <c r="A515" t="s" s="10">
        <v>559</v>
      </c>
      <c r="B515" t="s" s="86">
        <f>VLOOKUP(A515,'Player Data'!A1:B667,2,FALSE)</f>
        <v>154</v>
      </c>
      <c r="C515" s="74">
        <f>((E515)*'Settings'!$C$12)+(F515*'Settings'!$C$2)+(G515*'Settings'!$C$3)+(H515*'Settings'!$C$4)+(I515*'Settings'!$C$5)+(K515*'Settings'!$C$9)+(N515*'Settings'!$C$6)+(J515*'Settings'!$C$8)+(O515*'Settings'!$C$7)+(P515*'Settings'!$C$14)+(Q515*'Settings'!$C$15)+(R515*'Settings'!$C$16)+(S515*'Settings'!$C$17)+(T515*'Settings'!$C$18)+(U515*'Settings'!$C$19)+(L515*'Settings'!$C$10)+('Settings'!$C$11*M515)</f>
        <v>-2.42091966546716</v>
      </c>
      <c r="D515" s="79">
        <f>IF('Settings'!$E$12="YES",VLOOKUP(A515,'Player Data'!A1:E667,5,FALSE),82)</f>
        <v>67.04000000000001</v>
      </c>
      <c r="E515" s="77">
        <f>(VLOOKUP($A515,'The List'!$B1:$AH665,17,FALSE)-AVERAGE('The List'!R2:R665))/STDEV('The List'!R2:R665)</f>
        <v>0.960205385233606</v>
      </c>
      <c r="F515" s="77">
        <f>(VLOOKUP($A515,'The List'!$B1:$AH665,18,FALSE)-AVERAGE('The List'!S2:S665))/STDEV('The List'!S2:S665)</f>
        <v>-1.09493297079923</v>
      </c>
      <c r="G515" s="77">
        <f>(VLOOKUP($A515,'The List'!$B1:$AH665,19,FALSE)-AVERAGE('The List'!T2:T665))/STDEV('The List'!T2:T665)</f>
        <v>-0.776784940006674</v>
      </c>
      <c r="H515" s="77">
        <f>(VLOOKUP($A515,'The List'!$B1:$AH665,20,FALSE)-AVERAGE('The List'!U2:U665))/STDEV('The List'!U2:U665)</f>
        <v>-0.980126206466452</v>
      </c>
      <c r="I515" s="77">
        <f>(VLOOKUP($A515,'The List'!$B1:$AH665,21,FALSE)-AVERAGE('The List'!V2:V665))/STDEV('The List'!V2:V665)</f>
        <v>-0.8721917981759491</v>
      </c>
      <c r="J515" s="77">
        <f>(VLOOKUP($A515,'The List'!$B1:$AH665,22,FALSE)-AVERAGE('The List'!W2:W665))/STDEV('The List'!W2:W665)</f>
        <v>-0.741045872392983</v>
      </c>
      <c r="K515" s="77">
        <f>(VLOOKUP($A515,'The List'!$B1:$AH665,23,FALSE)-AVERAGE('The List'!X2:X665))/STDEV('The List'!X2:X665)</f>
        <v>-0.8174423548186051</v>
      </c>
      <c r="L515" s="77">
        <f>(VLOOKUP($A515,'The List'!$B1:$AH665,24,FALSE)-AVERAGE('The List'!Y2:Y665))/STDEV('The List'!Y2:Y665)</f>
        <v>-0.509334690783018</v>
      </c>
      <c r="M515" s="77">
        <f>(VLOOKUP($A515,'The List'!$B1:$AH665,25,FALSE)-AVERAGE('The List'!Z2:Z665))/STDEV('The List'!Z2:Z665)</f>
        <v>-0.182118582327537</v>
      </c>
      <c r="N515" s="77">
        <f>(VLOOKUP($A515,'The List'!$B1:$AH665,26,FALSE)-AVERAGE('The List'!AA2:AA665))/STDEV('The List'!AA2:AA665)</f>
        <v>1.34388546871905</v>
      </c>
      <c r="O515" s="77">
        <f>(VLOOKUP($A515,'The List'!$B1:$AH665,27,FALSE)-AVERAGE('The List'!AB2:AB665))/STDEV('The List'!AB2:AB665)</f>
        <v>0.924122366296767</v>
      </c>
      <c r="P515" s="77">
        <f>(VLOOKUP($A515,'The List'!$B1:$AH665,28,FALSE)-AVERAGE('The List'!AC2:AC665))/STDEV('The List'!AC2:AC665)</f>
        <v>-0.203453070385753</v>
      </c>
      <c r="Q515" s="77">
        <f>(VLOOKUP($A515,'The List'!$B1:$AH665,29,FALSE)-AVERAGE('The List'!AD2:AD665))/STDEV('The List'!AD2:AD665)</f>
        <v>-0.09565786893169829</v>
      </c>
      <c r="R515" s="77">
        <f>(VLOOKUP($A515,'The List'!$B1:$AH665,30,FALSE)-AVERAGE('The List'!AE2:AE665))/STDEV('The List'!AE2:AE665)</f>
        <v>-1.05842435832116</v>
      </c>
      <c r="S515" s="77">
        <f>(VLOOKUP($A515,'The List'!$B1:$AH665,31,FALSE)-AVERAGE('The List'!AF2:AF665))/STDEV('The List'!AF2:AF665)</f>
        <v>-0.573894410680004</v>
      </c>
      <c r="T515" s="77">
        <f>(VLOOKUP($A515,'The List'!$B1:$AH665,32,FALSE)-AVERAGE('The List'!AG2:AG665))/STDEV('The List'!AG2:AG665)</f>
        <v>-0.625770787132651</v>
      </c>
      <c r="U515" s="77">
        <f>(VLOOKUP($A515,'The List'!$B1:$AH665,33,FALSE)-AVERAGE('The List'!AH2:AH665))/STDEV('The List'!AH2:AH665)</f>
        <v>-1.23143509451486</v>
      </c>
      <c r="V515" s="77"/>
      <c r="W515" s="89"/>
      <c r="X515" s="79"/>
      <c r="Y515" s="79"/>
      <c r="Z515" s="79"/>
      <c r="AA515" s="79"/>
      <c r="AB515" s="79"/>
      <c r="AC515" s="82"/>
      <c r="AD515" s="83"/>
      <c r="AE515" s="84"/>
    </row>
    <row r="516" ht="21.25" customHeight="1">
      <c r="A516" t="s" s="10">
        <v>824</v>
      </c>
      <c r="B516" t="s" s="86">
        <f>VLOOKUP(A516,'Player Data'!A1:B667,2,FALSE)</f>
        <v>165</v>
      </c>
      <c r="C516" s="74">
        <f>((E516)*'Settings'!$C$12)+(F516*'Settings'!$C$2)+(G516*'Settings'!$C$3)+(H516*'Settings'!$C$4)+(I516*'Settings'!$C$5)+(K516*'Settings'!$C$9)+(N516*'Settings'!$C$6)+(J516*'Settings'!$C$8)+(O516*'Settings'!$C$7)+(P516*'Settings'!$C$14)+(Q516*'Settings'!$C$15)+(R516*'Settings'!$C$16)+(S516*'Settings'!$C$17)+(T516*'Settings'!$C$18)+(U516*'Settings'!$C$19)+(L516*'Settings'!$C$10)+('Settings'!$C$11*M516)</f>
        <v>-3.15406170376326</v>
      </c>
      <c r="D516" s="79">
        <f>IF('Settings'!$E$12="YES",VLOOKUP(A516,'Player Data'!A1:E667,5,FALSE),82)</f>
        <v>63.05</v>
      </c>
      <c r="E516" s="77">
        <f>(VLOOKUP($A516,'The List'!$B1:$AH665,17,FALSE)-AVERAGE('The List'!R2:R665))/STDEV('The List'!R2:R665)</f>
        <v>-0.187518445830587</v>
      </c>
      <c r="F516" s="77">
        <f>(VLOOKUP($A516,'The List'!$B1:$AH665,18,FALSE)-AVERAGE('The List'!S2:S665))/STDEV('The List'!S2:S665)</f>
        <v>-0.939011554974626</v>
      </c>
      <c r="G516" s="77">
        <f>(VLOOKUP($A516,'The List'!$B1:$AH665,19,FALSE)-AVERAGE('The List'!T2:T665))/STDEV('The List'!T2:T665)</f>
        <v>-0.956570143956443</v>
      </c>
      <c r="H516" s="77">
        <f>(VLOOKUP($A516,'The List'!$B1:$AH665,20,FALSE)-AVERAGE('The List'!U2:U665))/STDEV('The List'!U2:U665)</f>
        <v>-1.02090923207011</v>
      </c>
      <c r="I516" s="77">
        <f>(VLOOKUP($A516,'The List'!$B1:$AH665,21,FALSE)-AVERAGE('The List'!V2:V665))/STDEV('The List'!V2:V665)</f>
        <v>-1.33698827763435</v>
      </c>
      <c r="J516" s="77">
        <f>(VLOOKUP($A516,'The List'!$B1:$AH665,22,FALSE)-AVERAGE('The List'!W2:W665))/STDEV('The List'!W2:W665)</f>
        <v>-0.739639414132453</v>
      </c>
      <c r="K516" s="77">
        <f>(VLOOKUP($A516,'The List'!$B1:$AH665,23,FALSE)-AVERAGE('The List'!X2:X665))/STDEV('The List'!X2:X665)</f>
        <v>-0.813784671570099</v>
      </c>
      <c r="L516" s="77">
        <f>(VLOOKUP($A516,'The List'!$B1:$AH665,24,FALSE)-AVERAGE('The List'!Y2:Y665))/STDEV('The List'!Y2:Y665)</f>
        <v>-0.550729059122373</v>
      </c>
      <c r="M516" s="77">
        <f>(VLOOKUP($A516,'The List'!$B1:$AH665,25,FALSE)-AVERAGE('The List'!Z2:Z665))/STDEV('The List'!Z2:Z665)</f>
        <v>-0.475511148016598</v>
      </c>
      <c r="N516" s="77">
        <f>(VLOOKUP($A516,'The List'!$B1:$AH665,26,FALSE)-AVERAGE('The List'!AA2:AA665))/STDEV('The List'!AA2:AA665)</f>
        <v>0.389104602649248</v>
      </c>
      <c r="O516" s="77">
        <f>(VLOOKUP($A516,'The List'!$B1:$AH665,27,FALSE)-AVERAGE('The List'!AB2:AB665))/STDEV('The List'!AB2:AB665)</f>
        <v>-0.752576326467256</v>
      </c>
      <c r="P516" s="77">
        <f>(VLOOKUP($A516,'The List'!$B1:$AH665,28,FALSE)-AVERAGE('The List'!AC2:AC665))/STDEV('The List'!AC2:AC665)</f>
        <v>0.503188341723009</v>
      </c>
      <c r="Q516" s="77">
        <f>(VLOOKUP($A516,'The List'!$B1:$AH665,29,FALSE)-AVERAGE('The List'!AD2:AD665))/STDEV('The List'!AD2:AD665)</f>
        <v>-0.994098451763324</v>
      </c>
      <c r="R516" s="77">
        <f>(VLOOKUP($A516,'The List'!$B1:$AH665,30,FALSE)-AVERAGE('The List'!AE2:AE665))/STDEV('The List'!AE2:AE665)</f>
        <v>-0.916506544826118</v>
      </c>
      <c r="S516" s="77">
        <f>(VLOOKUP($A516,'The List'!$B1:$AH665,31,FALSE)-AVERAGE('The List'!AF2:AF665))/STDEV('The List'!AF2:AF665)</f>
        <v>-0.573894410680004</v>
      </c>
      <c r="T516" s="77">
        <f>(VLOOKUP($A516,'The List'!$B1:$AH665,32,FALSE)-AVERAGE('The List'!AG2:AG665))/STDEV('The List'!AG2:AG665)</f>
        <v>-0.625770787132651</v>
      </c>
      <c r="U516" s="77">
        <f>(VLOOKUP($A516,'The List'!$B1:$AH665,33,FALSE)-AVERAGE('The List'!AH2:AH665))/STDEV('The List'!AH2:AH665)</f>
        <v>-1.23143509451486</v>
      </c>
      <c r="V516" s="77"/>
      <c r="W516" s="79"/>
      <c r="X516" s="77"/>
      <c r="Y516" s="77"/>
      <c r="Z516" s="77"/>
      <c r="AA516" s="77"/>
      <c r="AB516" s="77"/>
      <c r="AC516" s="77"/>
      <c r="AD516" s="77"/>
      <c r="AE516" s="84"/>
    </row>
    <row r="517" ht="21.25" customHeight="1">
      <c r="A517" t="s" s="10">
        <v>433</v>
      </c>
      <c r="B517" t="s" s="86">
        <f>VLOOKUP(A517,'Player Data'!A1:B667,2,FALSE)</f>
        <v>900</v>
      </c>
      <c r="C517" s="74">
        <f>((E517)*'Settings'!$C$12)+(F517*'Settings'!$C$2)+(G517*'Settings'!$C$3)+(H517*'Settings'!$C$4)+(I517*'Settings'!$C$5)+(K517*'Settings'!$C$9)+(N517*'Settings'!$C$6)+(J517*'Settings'!$C$8)+(O517*'Settings'!$C$7)+(P517*'Settings'!$C$14)+(Q517*'Settings'!$C$15)+(R517*'Settings'!$C$16)+(S517*'Settings'!$C$17)+(T517*'Settings'!$C$18)+(U517*'Settings'!$C$19)+(L517*'Settings'!$C$10)+('Settings'!$C$11*M517)</f>
        <v>-2.4232655747735</v>
      </c>
      <c r="D517" s="79">
        <f>IF('Settings'!$E$12="YES",VLOOKUP(A517,'Player Data'!A1:E667,5,FALSE),82)</f>
        <v>80.8425</v>
      </c>
      <c r="E517" s="77">
        <f>(VLOOKUP($A517,'The List'!$B1:$AH665,17,FALSE)-AVERAGE('The List'!R2:R665))/STDEV('The List'!R2:R665)</f>
        <v>0.344955362349536</v>
      </c>
      <c r="F517" s="77">
        <f>(VLOOKUP($A517,'The List'!$B1:$AH665,18,FALSE)-AVERAGE('The List'!S2:S665))/STDEV('The List'!S2:S665)</f>
        <v>-0.980798378992669</v>
      </c>
      <c r="G517" s="77">
        <f>(VLOOKUP($A517,'The List'!$B1:$AH665,19,FALSE)-AVERAGE('The List'!T2:T665))/STDEV('The List'!T2:T665)</f>
        <v>-0.643973702027467</v>
      </c>
      <c r="H517" s="77">
        <f>(VLOOKUP($A517,'The List'!$B1:$AH665,20,FALSE)-AVERAGE('The List'!U2:U665))/STDEV('The List'!U2:U665)</f>
        <v>-0.845763362727216</v>
      </c>
      <c r="I517" s="77">
        <f>(VLOOKUP($A517,'The List'!$B1:$AH665,21,FALSE)-AVERAGE('The List'!V2:V665))/STDEV('The List'!V2:V665)</f>
        <v>-0.9550949312946651</v>
      </c>
      <c r="J517" s="77">
        <f>(VLOOKUP($A517,'The List'!$B1:$AH665,22,FALSE)-AVERAGE('The List'!W2:W665))/STDEV('The List'!W2:W665)</f>
        <v>-0.740972280756181</v>
      </c>
      <c r="K517" s="77">
        <f>(VLOOKUP($A517,'The List'!$B1:$AH665,23,FALSE)-AVERAGE('The List'!X2:X665))/STDEV('The List'!X2:X665)</f>
        <v>-0.816336932819319</v>
      </c>
      <c r="L517" s="77">
        <f>(VLOOKUP($A517,'The List'!$B1:$AH665,24,FALSE)-AVERAGE('The List'!Y2:Y665))/STDEV('The List'!Y2:Y665)</f>
        <v>-0.531511801693094</v>
      </c>
      <c r="M517" s="77">
        <f>(VLOOKUP($A517,'The List'!$B1:$AH665,25,FALSE)-AVERAGE('The List'!Z2:Z665))/STDEV('The List'!Z2:Z665)</f>
        <v>-0.330921473230172</v>
      </c>
      <c r="N517" s="77">
        <f>(VLOOKUP($A517,'The List'!$B1:$AH665,26,FALSE)-AVERAGE('The List'!AA2:AA665))/STDEV('The List'!AA2:AA665)</f>
        <v>1.13506004242043</v>
      </c>
      <c r="O517" s="77">
        <f>(VLOOKUP($A517,'The List'!$B1:$AH665,27,FALSE)-AVERAGE('The List'!AB2:AB665))/STDEV('The List'!AB2:AB665)</f>
        <v>2.26310954399999</v>
      </c>
      <c r="P517" s="77">
        <f>(VLOOKUP($A517,'The List'!$B1:$AH665,28,FALSE)-AVERAGE('The List'!AC2:AC665))/STDEV('The List'!AC2:AC665)</f>
        <v>-0.162121672059814</v>
      </c>
      <c r="Q517" s="77">
        <f>(VLOOKUP($A517,'The List'!$B1:$AH665,29,FALSE)-AVERAGE('The List'!AD2:AD665))/STDEV('The List'!AD2:AD665)</f>
        <v>2.31836782095762</v>
      </c>
      <c r="R517" s="77">
        <f>(VLOOKUP($A517,'The List'!$B1:$AH665,30,FALSE)-AVERAGE('The List'!AE2:AE665))/STDEV('The List'!AE2:AE665)</f>
        <v>-0.933471100103173</v>
      </c>
      <c r="S517" s="77">
        <f>(VLOOKUP($A517,'The List'!$B1:$AH665,31,FALSE)-AVERAGE('The List'!AF2:AF665))/STDEV('The List'!AF2:AF665)</f>
        <v>-0.573894410680004</v>
      </c>
      <c r="T517" s="77">
        <f>(VLOOKUP($A517,'The List'!$B1:$AH665,32,FALSE)-AVERAGE('The List'!AG2:AG665))/STDEV('The List'!AG2:AG665)</f>
        <v>-0.625770787132651</v>
      </c>
      <c r="U517" s="77">
        <f>(VLOOKUP($A517,'The List'!$B1:$AH665,33,FALSE)-AVERAGE('The List'!AH2:AH665))/STDEV('The List'!AH2:AH665)</f>
        <v>-1.23143509451486</v>
      </c>
      <c r="V517" s="77"/>
      <c r="W517" s="89"/>
      <c r="X517" s="79"/>
      <c r="Y517" s="79"/>
      <c r="Z517" s="79"/>
      <c r="AA517" s="79"/>
      <c r="AB517" s="79"/>
      <c r="AC517" s="82"/>
      <c r="AD517" s="83"/>
      <c r="AE517" s="84"/>
    </row>
    <row r="518" ht="21.25" customHeight="1">
      <c r="A518" t="s" s="10">
        <v>800</v>
      </c>
      <c r="B518" t="s" s="86">
        <f>VLOOKUP(A518,'Player Data'!A1:B667,2,FALSE)</f>
        <v>913</v>
      </c>
      <c r="C518" s="74">
        <f>((E518)*'Settings'!$C$12)+(F518*'Settings'!$C$2)+(G518*'Settings'!$C$3)+(H518*'Settings'!$C$4)+(I518*'Settings'!$C$5)+(K518*'Settings'!$C$9)+(N518*'Settings'!$C$6)+(J518*'Settings'!$C$8)+(O518*'Settings'!$C$7)+(P518*'Settings'!$C$14)+(Q518*'Settings'!$C$15)+(R518*'Settings'!$C$16)+(S518*'Settings'!$C$17)+(T518*'Settings'!$C$18)+(U518*'Settings'!$C$19)+(L518*'Settings'!$C$10)+('Settings'!$C$11*M518)</f>
        <v>-5.74493538417407</v>
      </c>
      <c r="D518" s="79">
        <f>IF('Settings'!$E$12="YES",VLOOKUP(A518,'Player Data'!A1:E667,5,FALSE),82)</f>
        <v>67.57250000000001</v>
      </c>
      <c r="E518" s="77">
        <f>(VLOOKUP($A518,'The List'!$B1:$AH665,17,FALSE)-AVERAGE('The List'!R2:R665))/STDEV('The List'!R2:R665)</f>
        <v>-0.308103949741178</v>
      </c>
      <c r="F518" s="77">
        <f>(VLOOKUP($A518,'The List'!$B1:$AH665,18,FALSE)-AVERAGE('The List'!S2:S665))/STDEV('The List'!S2:S665)</f>
        <v>-1.24096775969617</v>
      </c>
      <c r="G518" s="77">
        <f>(VLOOKUP($A518,'The List'!$B1:$AH665,19,FALSE)-AVERAGE('The List'!T2:T665))/STDEV('The List'!T2:T665)</f>
        <v>-0.6743051219810841</v>
      </c>
      <c r="H518" s="77">
        <f>(VLOOKUP($A518,'The List'!$B1:$AH665,20,FALSE)-AVERAGE('The List'!U2:U665))/STDEV('The List'!U2:U665)</f>
        <v>-0.982860230370042</v>
      </c>
      <c r="I518" s="77">
        <f>(VLOOKUP($A518,'The List'!$B1:$AH665,21,FALSE)-AVERAGE('The List'!V2:V665))/STDEV('The List'!V2:V665)</f>
        <v>-1.31082463600245</v>
      </c>
      <c r="J518" s="77">
        <f>(VLOOKUP($A518,'The List'!$B1:$AH665,22,FALSE)-AVERAGE('The List'!W2:W665))/STDEV('The List'!W2:W665)</f>
        <v>-0.7457195575473839</v>
      </c>
      <c r="K518" s="77">
        <f>(VLOOKUP($A518,'The List'!$B1:$AH665,23,FALSE)-AVERAGE('The List'!X2:X665))/STDEV('The List'!X2:X665)</f>
        <v>-0.82799877623244</v>
      </c>
      <c r="L518" s="77">
        <f>(VLOOKUP($A518,'The List'!$B1:$AH665,24,FALSE)-AVERAGE('The List'!Y2:Y665))/STDEV('The List'!Y2:Y665)</f>
        <v>-0.575204383286528</v>
      </c>
      <c r="M518" s="77">
        <f>(VLOOKUP($A518,'The List'!$B1:$AH665,25,FALSE)-AVERAGE('The List'!Z2:Z665))/STDEV('The List'!Z2:Z665)</f>
        <v>-0.699146523690207</v>
      </c>
      <c r="N518" s="77">
        <f>(VLOOKUP($A518,'The List'!$B1:$AH665,26,FALSE)-AVERAGE('The List'!AA2:AA665))/STDEV('The List'!AA2:AA665)</f>
        <v>0.243278201726588</v>
      </c>
      <c r="O518" s="77">
        <f>(VLOOKUP($A518,'The List'!$B1:$AH665,27,FALSE)-AVERAGE('The List'!AB2:AB665))/STDEV('The List'!AB2:AB665)</f>
        <v>-0.176365746597998</v>
      </c>
      <c r="P518" s="77">
        <f>(VLOOKUP($A518,'The List'!$B1:$AH665,28,FALSE)-AVERAGE('The List'!AC2:AC665))/STDEV('The List'!AC2:AC665)</f>
        <v>-1.93411729198851</v>
      </c>
      <c r="Q518" s="77">
        <f>(VLOOKUP($A518,'The List'!$B1:$AH665,29,FALSE)-AVERAGE('The List'!AD2:AD665))/STDEV('The List'!AD2:AD665)</f>
        <v>-0.36345272268125</v>
      </c>
      <c r="R518" s="77">
        <f>(VLOOKUP($A518,'The List'!$B1:$AH665,30,FALSE)-AVERAGE('The List'!AE2:AE665))/STDEV('The List'!AE2:AE665)</f>
        <v>-1.21158068567166</v>
      </c>
      <c r="S518" s="77">
        <f>(VLOOKUP($A518,'The List'!$B1:$AH665,31,FALSE)-AVERAGE('The List'!AF2:AF665))/STDEV('The List'!AF2:AF665)</f>
        <v>-0.573894410680004</v>
      </c>
      <c r="T518" s="77">
        <f>(VLOOKUP($A518,'The List'!$B1:$AH665,32,FALSE)-AVERAGE('The List'!AG2:AG665))/STDEV('The List'!AG2:AG665)</f>
        <v>-0.625770787132651</v>
      </c>
      <c r="U518" s="77">
        <f>(VLOOKUP($A518,'The List'!$B1:$AH665,33,FALSE)-AVERAGE('The List'!AH2:AH665))/STDEV('The List'!AH2:AH665)</f>
        <v>-1.23143509451486</v>
      </c>
      <c r="V518" s="77"/>
      <c r="W518" s="89"/>
      <c r="X518" s="79"/>
      <c r="Y518" s="79"/>
      <c r="Z518" s="79"/>
      <c r="AA518" s="79"/>
      <c r="AB518" s="79"/>
      <c r="AC518" s="82"/>
      <c r="AD518" s="83"/>
      <c r="AE518" s="84"/>
    </row>
    <row r="519" ht="21.25" customHeight="1">
      <c r="A519" t="s" s="10">
        <v>474</v>
      </c>
      <c r="B519" t="s" s="86">
        <f>VLOOKUP(A519,'Player Data'!A1:B667,2,FALSE)</f>
        <v>154</v>
      </c>
      <c r="C519" s="74">
        <f>((E519)*'Settings'!$C$12)+(F519*'Settings'!$C$2)+(G519*'Settings'!$C$3)+(H519*'Settings'!$C$4)+(I519*'Settings'!$C$5)+(K519*'Settings'!$C$9)+(N519*'Settings'!$C$6)+(J519*'Settings'!$C$8)+(O519*'Settings'!$C$7)+(P519*'Settings'!$C$14)+(Q519*'Settings'!$C$15)+(R519*'Settings'!$C$16)+(S519*'Settings'!$C$17)+(T519*'Settings'!$C$18)+(U519*'Settings'!$C$19)+(L519*'Settings'!$C$10)+('Settings'!$C$11*M519)</f>
        <v>-2.59015475907079</v>
      </c>
      <c r="D519" s="79">
        <f>IF('Settings'!$E$12="YES",VLOOKUP(A519,'Player Data'!A1:E667,5,FALSE),82)</f>
        <v>78.7475</v>
      </c>
      <c r="E519" s="77">
        <f>(VLOOKUP($A519,'The List'!$B1:$AH665,17,FALSE)-AVERAGE('The List'!R2:R665))/STDEV('The List'!R2:R665)</f>
        <v>-0.109594285760981</v>
      </c>
      <c r="F519" s="77">
        <f>(VLOOKUP($A519,'The List'!$B1:$AH665,18,FALSE)-AVERAGE('The List'!S2:S665))/STDEV('The List'!S2:S665)</f>
        <v>-0.978515861433487</v>
      </c>
      <c r="G519" s="77">
        <f>(VLOOKUP($A519,'The List'!$B1:$AH665,19,FALSE)-AVERAGE('The List'!T2:T665))/STDEV('The List'!T2:T665)</f>
        <v>-0.692411012051138</v>
      </c>
      <c r="H519" s="77">
        <f>(VLOOKUP($A519,'The List'!$B1:$AH665,20,FALSE)-AVERAGE('The List'!U2:U665))/STDEV('The List'!U2:U665)</f>
        <v>-0.874808143063088</v>
      </c>
      <c r="I519" s="77">
        <f>(VLOOKUP($A519,'The List'!$B1:$AH665,21,FALSE)-AVERAGE('The List'!V2:V665))/STDEV('The List'!V2:V665)</f>
        <v>-0.882014222154119</v>
      </c>
      <c r="J519" s="77">
        <f>(VLOOKUP($A519,'The List'!$B1:$AH665,22,FALSE)-AVERAGE('The List'!W2:W665))/STDEV('The List'!W2:W665)</f>
        <v>-0.743732563554666</v>
      </c>
      <c r="K519" s="77">
        <f>(VLOOKUP($A519,'The List'!$B1:$AH665,23,FALSE)-AVERAGE('The List'!X2:X665))/STDEV('The List'!X2:X665)</f>
        <v>-0.823607603998699</v>
      </c>
      <c r="L519" s="77">
        <f>(VLOOKUP($A519,'The List'!$B1:$AH665,24,FALSE)-AVERAGE('The List'!Y2:Y665))/STDEV('The List'!Y2:Y665)</f>
        <v>-0.0347194136625963</v>
      </c>
      <c r="M519" s="77">
        <f>(VLOOKUP($A519,'The List'!$B1:$AH665,25,FALSE)-AVERAGE('The List'!Z2:Z665))/STDEV('The List'!Z2:Z665)</f>
        <v>-0.286923464982306</v>
      </c>
      <c r="N519" s="77">
        <f>(VLOOKUP($A519,'The List'!$B1:$AH665,26,FALSE)-AVERAGE('The List'!AA2:AA665))/STDEV('The List'!AA2:AA665)</f>
        <v>1.12273748308285</v>
      </c>
      <c r="O519" s="77">
        <f>(VLOOKUP($A519,'The List'!$B1:$AH665,27,FALSE)-AVERAGE('The List'!AB2:AB665))/STDEV('The List'!AB2:AB665)</f>
        <v>1.832373741696</v>
      </c>
      <c r="P519" s="77">
        <f>(VLOOKUP($A519,'The List'!$B1:$AH665,28,FALSE)-AVERAGE('The List'!AC2:AC665))/STDEV('The List'!AC2:AC665)</f>
        <v>-0.336343542516192</v>
      </c>
      <c r="Q519" s="77">
        <f>(VLOOKUP($A519,'The List'!$B1:$AH665,29,FALSE)-AVERAGE('The List'!AD2:AD665))/STDEV('The List'!AD2:AD665)</f>
        <v>1.43406389650948</v>
      </c>
      <c r="R519" s="77">
        <f>(VLOOKUP($A519,'The List'!$B1:$AH665,30,FALSE)-AVERAGE('The List'!AE2:AE665))/STDEV('The List'!AE2:AE665)</f>
        <v>-0.952722585167518</v>
      </c>
      <c r="S519" s="77">
        <f>(VLOOKUP($A519,'The List'!$B1:$AH665,31,FALSE)-AVERAGE('The List'!AF2:AF665))/STDEV('The List'!AF2:AF665)</f>
        <v>-0.573894410680004</v>
      </c>
      <c r="T519" s="77">
        <f>(VLOOKUP($A519,'The List'!$B1:$AH665,32,FALSE)-AVERAGE('The List'!AG2:AG665))/STDEV('The List'!AG2:AG665)</f>
        <v>-0.625770787132651</v>
      </c>
      <c r="U519" s="77">
        <f>(VLOOKUP($A519,'The List'!$B1:$AH665,33,FALSE)-AVERAGE('The List'!AH2:AH665))/STDEV('The List'!AH2:AH665)</f>
        <v>-1.23143509451486</v>
      </c>
      <c r="V519" s="77"/>
      <c r="W519" s="79"/>
      <c r="X519" s="77"/>
      <c r="Y519" s="77"/>
      <c r="Z519" s="77"/>
      <c r="AA519" s="77"/>
      <c r="AB519" s="77"/>
      <c r="AC519" s="77"/>
      <c r="AD519" s="77"/>
      <c r="AE519" s="84"/>
    </row>
    <row r="520" ht="21.25" customHeight="1">
      <c r="A520" t="s" s="10">
        <v>779</v>
      </c>
      <c r="B520" t="s" s="86">
        <f>VLOOKUP(A520,'Player Data'!A1:B667,2,FALSE)</f>
        <v>911</v>
      </c>
      <c r="C520" s="74">
        <f>((E520)*'Settings'!$C$12)+(F520*'Settings'!$C$2)+(G520*'Settings'!$C$3)+(H520*'Settings'!$C$4)+(I520*'Settings'!$C$5)+(K520*'Settings'!$C$9)+(N520*'Settings'!$C$6)+(J520*'Settings'!$C$8)+(O520*'Settings'!$C$7)+(P520*'Settings'!$C$14)+(Q520*'Settings'!$C$15)+(R520*'Settings'!$C$16)+(S520*'Settings'!$C$17)+(T520*'Settings'!$C$18)+(U520*'Settings'!$C$19)+(L520*'Settings'!$C$10)+('Settings'!$C$11*M520)</f>
        <v>-3.5223540908271</v>
      </c>
      <c r="D520" s="79">
        <f>IF('Settings'!$E$12="YES",VLOOKUP(A520,'Player Data'!A1:E667,5,FALSE),82)</f>
        <v>62.94</v>
      </c>
      <c r="E520" s="77">
        <f>(VLOOKUP($A520,'The List'!$B1:$AH665,17,FALSE)-AVERAGE('The List'!R2:R665))/STDEV('The List'!R2:R665)</f>
        <v>0.155511696795807</v>
      </c>
      <c r="F520" s="77">
        <f>(VLOOKUP($A520,'The List'!$B1:$AH665,18,FALSE)-AVERAGE('The List'!S2:S665))/STDEV('The List'!S2:S665)</f>
        <v>-1.07902037376482</v>
      </c>
      <c r="G520" s="77">
        <f>(VLOOKUP($A520,'The List'!$B1:$AH665,19,FALSE)-AVERAGE('The List'!T2:T665))/STDEV('The List'!T2:T665)</f>
        <v>-0.870621930530921</v>
      </c>
      <c r="H520" s="77">
        <f>(VLOOKUP($A520,'The List'!$B1:$AH665,20,FALSE)-AVERAGE('The List'!U2:U665))/STDEV('The List'!U2:U665)</f>
        <v>-1.03117122212042</v>
      </c>
      <c r="I520" s="77">
        <f>(VLOOKUP($A520,'The List'!$B1:$AH665,21,FALSE)-AVERAGE('The List'!V2:V665))/STDEV('The List'!V2:V665)</f>
        <v>-1.03626528416706</v>
      </c>
      <c r="J520" s="77">
        <f>(VLOOKUP($A520,'The List'!$B1:$AH665,22,FALSE)-AVERAGE('The List'!W2:W665))/STDEV('The List'!W2:W665)</f>
        <v>-0.707015296268491</v>
      </c>
      <c r="K520" s="77">
        <f>(VLOOKUP($A520,'The List'!$B1:$AH665,23,FALSE)-AVERAGE('The List'!X2:X665))/STDEV('The List'!X2:X665)</f>
        <v>-0.518681867634008</v>
      </c>
      <c r="L520" s="77">
        <f>(VLOOKUP($A520,'The List'!$B1:$AH665,24,FALSE)-AVERAGE('The List'!Y2:Y665))/STDEV('The List'!Y2:Y665)</f>
        <v>-0.52164313083362</v>
      </c>
      <c r="M520" s="77">
        <f>(VLOOKUP($A520,'The List'!$B1:$AH665,25,FALSE)-AVERAGE('The List'!Z2:Z665))/STDEV('The List'!Z2:Z665)</f>
        <v>-0.58205591850979</v>
      </c>
      <c r="N520" s="77">
        <f>(VLOOKUP($A520,'The List'!$B1:$AH665,26,FALSE)-AVERAGE('The List'!AA2:AA665))/STDEV('The List'!AA2:AA665)</f>
        <v>0.212303321473311</v>
      </c>
      <c r="O520" s="77">
        <f>(VLOOKUP($A520,'The List'!$B1:$AH665,27,FALSE)-AVERAGE('The List'!AB2:AB665))/STDEV('The List'!AB2:AB665)</f>
        <v>0.0165559650308532</v>
      </c>
      <c r="P520" s="77">
        <f>(VLOOKUP($A520,'The List'!$B1:$AH665,28,FALSE)-AVERAGE('The List'!AC2:AC665))/STDEV('The List'!AC2:AC665)</f>
        <v>-0.230067956203604</v>
      </c>
      <c r="Q520" s="77">
        <f>(VLOOKUP($A520,'The List'!$B1:$AH665,29,FALSE)-AVERAGE('The List'!AD2:AD665))/STDEV('The List'!AD2:AD665)</f>
        <v>-0.264719760817015</v>
      </c>
      <c r="R520" s="77">
        <f>(VLOOKUP($A520,'The List'!$B1:$AH665,30,FALSE)-AVERAGE('The List'!AE2:AE665))/STDEV('The List'!AE2:AE665)</f>
        <v>-1.02700570501593</v>
      </c>
      <c r="S520" s="77">
        <f>(VLOOKUP($A520,'The List'!$B1:$AH665,31,FALSE)-AVERAGE('The List'!AF2:AF665))/STDEV('The List'!AF2:AF665)</f>
        <v>-0.573894410680004</v>
      </c>
      <c r="T520" s="77">
        <f>(VLOOKUP($A520,'The List'!$B1:$AH665,32,FALSE)-AVERAGE('The List'!AG2:AG665))/STDEV('The List'!AG2:AG665)</f>
        <v>-0.625770787132651</v>
      </c>
      <c r="U520" s="77">
        <f>(VLOOKUP($A520,'The List'!$B1:$AH665,33,FALSE)-AVERAGE('The List'!AH2:AH665))/STDEV('The List'!AH2:AH665)</f>
        <v>-1.23143509451486</v>
      </c>
      <c r="V520" s="77"/>
      <c r="W520" s="89"/>
      <c r="X520" s="79"/>
      <c r="Y520" s="79"/>
      <c r="Z520" s="79"/>
      <c r="AA520" s="79"/>
      <c r="AB520" s="79"/>
      <c r="AC520" s="82"/>
      <c r="AD520" s="83"/>
      <c r="AE520" s="84"/>
    </row>
    <row r="521" ht="21.25" customHeight="1">
      <c r="A521" t="s" s="10">
        <v>728</v>
      </c>
      <c r="B521" t="s" s="86">
        <f>VLOOKUP(A521,'Player Data'!A1:B667,2,FALSE)</f>
        <v>906</v>
      </c>
      <c r="C521" s="74">
        <f>((E521)*'Settings'!$C$12)+(F521*'Settings'!$C$2)+(G521*'Settings'!$C$3)+(H521*'Settings'!$C$4)+(I521*'Settings'!$C$5)+(K521*'Settings'!$C$9)+(N521*'Settings'!$C$6)+(J521*'Settings'!$C$8)+(O521*'Settings'!$C$7)+(P521*'Settings'!$C$14)+(Q521*'Settings'!$C$15)+(R521*'Settings'!$C$16)+(S521*'Settings'!$C$17)+(T521*'Settings'!$C$18)+(U521*'Settings'!$C$19)+(L521*'Settings'!$C$10)+('Settings'!$C$11*M521)</f>
        <v>-3.39996034751064</v>
      </c>
      <c r="D521" s="79">
        <f>IF('Settings'!$E$12="YES",VLOOKUP(A521,'Player Data'!A1:E667,5,FALSE),82)</f>
        <v>74.52500000000001</v>
      </c>
      <c r="E521" s="77">
        <f>(VLOOKUP($A521,'The List'!$B1:$AH665,17,FALSE)-AVERAGE('The List'!R2:R665))/STDEV('The List'!R2:R665)</f>
        <v>-1.71324526115429</v>
      </c>
      <c r="F521" s="77">
        <f>(VLOOKUP($A521,'The List'!$B1:$AH665,18,FALSE)-AVERAGE('The List'!S2:S665))/STDEV('The List'!S2:S665)</f>
        <v>-0.547663101224688</v>
      </c>
      <c r="G521" s="77">
        <f>(VLOOKUP($A521,'The List'!$B1:$AH665,19,FALSE)-AVERAGE('The List'!T2:T665))/STDEV('The List'!T2:T665)</f>
        <v>-1.07753806749994</v>
      </c>
      <c r="H521" s="77">
        <f>(VLOOKUP($A521,'The List'!$B1:$AH665,20,FALSE)-AVERAGE('The List'!U2:U665))/STDEV('The List'!U2:U665)</f>
        <v>-0.918150639874255</v>
      </c>
      <c r="I521" s="77">
        <f>(VLOOKUP($A521,'The List'!$B1:$AH665,21,FALSE)-AVERAGE('The List'!V2:V665))/STDEV('The List'!V2:V665)</f>
        <v>-0.731039451355021</v>
      </c>
      <c r="J521" s="77">
        <f>(VLOOKUP($A521,'The List'!$B1:$AH665,22,FALSE)-AVERAGE('The List'!W2:W665))/STDEV('The List'!W2:W665)</f>
        <v>-0.733735625848544</v>
      </c>
      <c r="K521" s="77">
        <f>(VLOOKUP($A521,'The List'!$B1:$AH665,23,FALSE)-AVERAGE('The List'!X2:X665))/STDEV('The List'!X2:X665)</f>
        <v>-0.814773329921868</v>
      </c>
      <c r="L521" s="77">
        <f>(VLOOKUP($A521,'The List'!$B1:$AH665,24,FALSE)-AVERAGE('The List'!Y2:Y665))/STDEV('The List'!Y2:Y665)</f>
        <v>-0.302564260793072</v>
      </c>
      <c r="M521" s="77">
        <f>(VLOOKUP($A521,'The List'!$B1:$AH665,25,FALSE)-AVERAGE('The List'!Z2:Z665))/STDEV('The List'!Z2:Z665)</f>
        <v>0.259765450006975</v>
      </c>
      <c r="N521" s="77">
        <f>(VLOOKUP($A521,'The List'!$B1:$AH665,26,FALSE)-AVERAGE('The List'!AA2:AA665))/STDEV('The List'!AA2:AA665)</f>
        <v>-0.594042179588113</v>
      </c>
      <c r="O521" s="77">
        <f>(VLOOKUP($A521,'The List'!$B1:$AH665,27,FALSE)-AVERAGE('The List'!AB2:AB665))/STDEV('The List'!AB2:AB665)</f>
        <v>0.369306567580399</v>
      </c>
      <c r="P521" s="77">
        <f>(VLOOKUP($A521,'The List'!$B1:$AH665,28,FALSE)-AVERAGE('The List'!AC2:AC665))/STDEV('The List'!AC2:AC665)</f>
        <v>0.365095782078994</v>
      </c>
      <c r="Q521" s="77">
        <f>(VLOOKUP($A521,'The List'!$B1:$AH665,29,FALSE)-AVERAGE('The List'!AD2:AD665))/STDEV('The List'!AD2:AD665)</f>
        <v>-0.70793030196613</v>
      </c>
      <c r="R521" s="77">
        <f>(VLOOKUP($A521,'The List'!$B1:$AH665,30,FALSE)-AVERAGE('The List'!AE2:AE665))/STDEV('The List'!AE2:AE665)</f>
        <v>-0.436590275376141</v>
      </c>
      <c r="S521" s="77">
        <f>(VLOOKUP($A521,'The List'!$B1:$AH665,31,FALSE)-AVERAGE('The List'!AF2:AF665))/STDEV('The List'!AF2:AF665)</f>
        <v>-0.326781921056834</v>
      </c>
      <c r="T521" s="77">
        <f>(VLOOKUP($A521,'The List'!$B1:$AH665,32,FALSE)-AVERAGE('The List'!AG2:AG665))/STDEV('The List'!AG2:AG665)</f>
        <v>-0.322881558250458</v>
      </c>
      <c r="U521" s="77">
        <f>(VLOOKUP($A521,'The List'!$B1:$AH665,33,FALSE)-AVERAGE('The List'!AH2:AH665))/STDEV('The List'!AH2:AH665)</f>
        <v>0.874641079169448</v>
      </c>
      <c r="V521" s="77"/>
      <c r="W521" s="89"/>
      <c r="X521" s="79"/>
      <c r="Y521" s="79"/>
      <c r="Z521" s="79"/>
      <c r="AA521" s="79"/>
      <c r="AB521" s="79"/>
      <c r="AC521" s="82"/>
      <c r="AD521" s="83"/>
      <c r="AE521" s="84"/>
    </row>
    <row r="522" ht="21.25" customHeight="1">
      <c r="A522" t="s" s="10">
        <v>823</v>
      </c>
      <c r="B522" t="s" s="86">
        <f>VLOOKUP(A522,'Player Data'!A1:B667,2,FALSE)</f>
        <v>899</v>
      </c>
      <c r="C522" s="74">
        <f>((E522)*'Settings'!$C$12)+(F522*'Settings'!$C$2)+(G522*'Settings'!$C$3)+(H522*'Settings'!$C$4)+(I522*'Settings'!$C$5)+(K522*'Settings'!$C$9)+(N522*'Settings'!$C$6)+(J522*'Settings'!$C$8)+(O522*'Settings'!$C$7)+(P522*'Settings'!$C$14)+(Q522*'Settings'!$C$15)+(R522*'Settings'!$C$16)+(S522*'Settings'!$C$17)+(T522*'Settings'!$C$18)+(U522*'Settings'!$C$19)+(L522*'Settings'!$C$10)+('Settings'!$C$11*M522)</f>
        <v>-6.13511109721973</v>
      </c>
      <c r="D522" s="79">
        <f>IF('Settings'!$E$12="YES",VLOOKUP(A522,'Player Data'!A1:E667,5,FALSE),82)</f>
        <v>66.9175</v>
      </c>
      <c r="E522" s="77">
        <f>(VLOOKUP($A522,'The List'!$B1:$AH665,17,FALSE)-AVERAGE('The List'!R2:R665))/STDEV('The List'!R2:R665)</f>
        <v>-1.91034930200294</v>
      </c>
      <c r="F522" s="77">
        <f>(VLOOKUP($A522,'The List'!$B1:$AH665,18,FALSE)-AVERAGE('The List'!S2:S665))/STDEV('The List'!S2:S665)</f>
        <v>-0.747214710340136</v>
      </c>
      <c r="G522" s="77">
        <f>(VLOOKUP($A522,'The List'!$B1:$AH665,19,FALSE)-AVERAGE('The List'!T2:T665))/STDEV('The List'!T2:T665)</f>
        <v>-1.05123443549604</v>
      </c>
      <c r="H522" s="77">
        <f>(VLOOKUP($A522,'The List'!$B1:$AH665,20,FALSE)-AVERAGE('The List'!U2:U665))/STDEV('The List'!U2:U665)</f>
        <v>-0.992520297188566</v>
      </c>
      <c r="I522" s="77">
        <f>(VLOOKUP($A522,'The List'!$B1:$AH665,21,FALSE)-AVERAGE('The List'!V2:V665))/STDEV('The List'!V2:V665)</f>
        <v>-0.9234707405410429</v>
      </c>
      <c r="J522" s="77">
        <f>(VLOOKUP($A522,'The List'!$B1:$AH665,22,FALSE)-AVERAGE('The List'!W2:W665))/STDEV('The List'!W2:W665)</f>
        <v>-0.699283402087433</v>
      </c>
      <c r="K522" s="77">
        <f>(VLOOKUP($A522,'The List'!$B1:$AH665,23,FALSE)-AVERAGE('The List'!X2:X665))/STDEV('The List'!X2:X665)</f>
        <v>-0.7740460764027139</v>
      </c>
      <c r="L522" s="77">
        <f>(VLOOKUP($A522,'The List'!$B1:$AH665,24,FALSE)-AVERAGE('The List'!Y2:Y665))/STDEV('The List'!Y2:Y665)</f>
        <v>-0.57407522251677</v>
      </c>
      <c r="M522" s="77">
        <f>(VLOOKUP($A522,'The List'!$B1:$AH665,25,FALSE)-AVERAGE('The List'!Z2:Z665))/STDEV('The List'!Z2:Z665)</f>
        <v>-0.747747441554052</v>
      </c>
      <c r="N522" s="77">
        <f>(VLOOKUP($A522,'The List'!$B1:$AH665,26,FALSE)-AVERAGE('The List'!AA2:AA665))/STDEV('The List'!AA2:AA665)</f>
        <v>-1.13655329842113</v>
      </c>
      <c r="O522" s="77">
        <f>(VLOOKUP($A522,'The List'!$B1:$AH665,27,FALSE)-AVERAGE('The List'!AB2:AB665))/STDEV('The List'!AB2:AB665)</f>
        <v>0.443430564532836</v>
      </c>
      <c r="P522" s="77">
        <f>(VLOOKUP($A522,'The List'!$B1:$AH665,28,FALSE)-AVERAGE('The List'!AC2:AC665))/STDEV('The List'!AC2:AC665)</f>
        <v>-1.50259183601867</v>
      </c>
      <c r="Q522" s="77">
        <f>(VLOOKUP($A522,'The List'!$B1:$AH665,29,FALSE)-AVERAGE('The List'!AD2:AD665))/STDEV('The List'!AD2:AD665)</f>
        <v>0.14242248968046</v>
      </c>
      <c r="R522" s="77">
        <f>(VLOOKUP($A522,'The List'!$B1:$AH665,30,FALSE)-AVERAGE('The List'!AE2:AE665))/STDEV('The List'!AE2:AE665)</f>
        <v>-0.6889098297051101</v>
      </c>
      <c r="S522" s="77">
        <f>(VLOOKUP($A522,'The List'!$B1:$AH665,31,FALSE)-AVERAGE('The List'!AF2:AF665))/STDEV('The List'!AF2:AF665)</f>
        <v>-0.541739705797723</v>
      </c>
      <c r="T522" s="77">
        <f>(VLOOKUP($A522,'The List'!$B1:$AH665,32,FALSE)-AVERAGE('The List'!AG2:AG665))/STDEV('The List'!AG2:AG665)</f>
        <v>-0.572219160082816</v>
      </c>
      <c r="U522" s="77">
        <f>(VLOOKUP($A522,'The List'!$B1:$AH665,33,FALSE)-AVERAGE('The List'!AH2:AH665))/STDEV('The List'!AH2:AH665)</f>
        <v>0.535299916361852</v>
      </c>
      <c r="V522" s="77"/>
      <c r="W522" s="89"/>
      <c r="X522" s="79"/>
      <c r="Y522" s="79"/>
      <c r="Z522" s="79"/>
      <c r="AA522" s="79"/>
      <c r="AB522" s="79"/>
      <c r="AC522" s="82"/>
      <c r="AD522" s="83"/>
      <c r="AE522" s="84"/>
    </row>
    <row r="523" ht="21.25" customHeight="1">
      <c r="A523" t="s" s="10">
        <v>817</v>
      </c>
      <c r="B523" t="s" s="86">
        <f>VLOOKUP(A523,'Player Data'!A1:B667,2,FALSE)</f>
        <v>902</v>
      </c>
      <c r="C523" s="74">
        <f>((E523)*'Settings'!$C$12)+(F523*'Settings'!$C$2)+(G523*'Settings'!$C$3)+(H523*'Settings'!$C$4)+(I523*'Settings'!$C$5)+(K523*'Settings'!$C$9)+(N523*'Settings'!$C$6)+(J523*'Settings'!$C$8)+(O523*'Settings'!$C$7)+(P523*'Settings'!$C$14)+(Q523*'Settings'!$C$15)+(R523*'Settings'!$C$16)+(S523*'Settings'!$C$17)+(T523*'Settings'!$C$18)+(U523*'Settings'!$C$19)+(L523*'Settings'!$C$10)+('Settings'!$C$11*M523)</f>
        <v>-5.41271847003413</v>
      </c>
      <c r="D523" s="79">
        <f>IF('Settings'!$E$12="YES",VLOOKUP(A523,'Player Data'!A1:E667,5,FALSE),82)</f>
        <v>68.89749999999999</v>
      </c>
      <c r="E523" s="77">
        <f>(VLOOKUP($A523,'The List'!$B1:$AH665,17,FALSE)-AVERAGE('The List'!R2:R665))/STDEV('The List'!R2:R665)</f>
        <v>-1.25508387673417</v>
      </c>
      <c r="F523" s="77">
        <f>(VLOOKUP($A523,'The List'!$B1:$AH665,18,FALSE)-AVERAGE('The List'!S2:S665))/STDEV('The List'!S2:S665)</f>
        <v>-0.644202101718529</v>
      </c>
      <c r="G523" s="77">
        <f>(VLOOKUP($A523,'The List'!$B1:$AH665,19,FALSE)-AVERAGE('The List'!T2:T665))/STDEV('The List'!T2:T665)</f>
        <v>-1.09627651990088</v>
      </c>
      <c r="H523" s="77">
        <f>(VLOOKUP($A523,'The List'!$B1:$AH665,20,FALSE)-AVERAGE('The List'!U2:U665))/STDEV('The List'!U2:U665)</f>
        <v>-0.973669837034572</v>
      </c>
      <c r="I523" s="77">
        <f>(VLOOKUP($A523,'The List'!$B1:$AH665,21,FALSE)-AVERAGE('The List'!V2:V665))/STDEV('The List'!V2:V665)</f>
        <v>-0.579531478041843</v>
      </c>
      <c r="J523" s="77">
        <f>(VLOOKUP($A523,'The List'!$B1:$AH665,22,FALSE)-AVERAGE('The List'!W2:W665))/STDEV('The List'!W2:W665)</f>
        <v>-0.700036634249375</v>
      </c>
      <c r="K523" s="77">
        <f>(VLOOKUP($A523,'The List'!$B1:$AH665,23,FALSE)-AVERAGE('The List'!X2:X665))/STDEV('The List'!X2:X665)</f>
        <v>-0.79893376886412</v>
      </c>
      <c r="L523" s="77">
        <f>(VLOOKUP($A523,'The List'!$B1:$AH665,24,FALSE)-AVERAGE('The List'!Y2:Y665))/STDEV('The List'!Y2:Y665)</f>
        <v>0.276864670845321</v>
      </c>
      <c r="M523" s="77">
        <f>(VLOOKUP($A523,'The List'!$B1:$AH665,25,FALSE)-AVERAGE('The List'!Z2:Z665))/STDEV('The List'!Z2:Z665)</f>
        <v>0.193273144264786</v>
      </c>
      <c r="N523" s="77">
        <f>(VLOOKUP($A523,'The List'!$B1:$AH665,26,FALSE)-AVERAGE('The List'!AA2:AA665))/STDEV('The List'!AA2:AA665)</f>
        <v>-0.850215486578077</v>
      </c>
      <c r="O523" s="77">
        <f>(VLOOKUP($A523,'The List'!$B1:$AH665,27,FALSE)-AVERAGE('The List'!AB2:AB665))/STDEV('The List'!AB2:AB665)</f>
        <v>-0.336595272806162</v>
      </c>
      <c r="P523" s="77">
        <f>(VLOOKUP($A523,'The List'!$B1:$AH665,28,FALSE)-AVERAGE('The List'!AC2:AC665))/STDEV('The List'!AC2:AC665)</f>
        <v>-1.44355911493068</v>
      </c>
      <c r="Q523" s="77">
        <f>(VLOOKUP($A523,'The List'!$B1:$AH665,29,FALSE)-AVERAGE('The List'!AD2:AD665))/STDEV('The List'!AD2:AD665)</f>
        <v>-1.34283163583613</v>
      </c>
      <c r="R523" s="77">
        <f>(VLOOKUP($A523,'The List'!$B1:$AH665,30,FALSE)-AVERAGE('The List'!AE2:AE665))/STDEV('The List'!AE2:AE665)</f>
        <v>-0.567498830290764</v>
      </c>
      <c r="S523" s="77">
        <f>(VLOOKUP($A523,'The List'!$B1:$AH665,31,FALSE)-AVERAGE('The List'!AF2:AF665))/STDEV('The List'!AF2:AF665)</f>
        <v>-0.331719404302915</v>
      </c>
      <c r="T523" s="77">
        <f>(VLOOKUP($A523,'The List'!$B1:$AH665,32,FALSE)-AVERAGE('The List'!AG2:AG665))/STDEV('The List'!AG2:AG665)</f>
        <v>-0.346952430715049</v>
      </c>
      <c r="U523" s="77">
        <f>(VLOOKUP($A523,'The List'!$B1:$AH665,33,FALSE)-AVERAGE('The List'!AH2:AH665))/STDEV('The List'!AH2:AH665)</f>
        <v>0.94538824248316</v>
      </c>
      <c r="V523" s="77"/>
      <c r="W523" s="79"/>
      <c r="X523" s="77"/>
      <c r="Y523" s="77"/>
      <c r="Z523" s="77"/>
      <c r="AA523" s="77"/>
      <c r="AB523" s="77"/>
      <c r="AC523" s="77"/>
      <c r="AD523" s="77"/>
      <c r="AE523" s="84"/>
    </row>
    <row r="524" ht="21.25" customHeight="1">
      <c r="A524" t="s" s="10">
        <v>515</v>
      </c>
      <c r="B524" t="s" s="86">
        <f>VLOOKUP(A524,'Player Data'!A1:B667,2,FALSE)</f>
        <v>914</v>
      </c>
      <c r="C524" s="74">
        <f>((E524)*'Settings'!$C$12)+(F524*'Settings'!$C$2)+(G524*'Settings'!$C$3)+(H524*'Settings'!$C$4)+(I524*'Settings'!$C$5)+(K524*'Settings'!$C$9)+(N524*'Settings'!$C$6)+(J524*'Settings'!$C$8)+(O524*'Settings'!$C$7)+(P524*'Settings'!$C$14)+(Q524*'Settings'!$C$15)+(R524*'Settings'!$C$16)+(S524*'Settings'!$C$17)+(T524*'Settings'!$C$18)+(U524*'Settings'!$C$19)+(L524*'Settings'!$C$10)+('Settings'!$C$11*M524)</f>
        <v>-3.44269259035483</v>
      </c>
      <c r="D524" s="79">
        <f>IF('Settings'!$E$12="YES",VLOOKUP(A524,'Player Data'!A1:E667,5,FALSE),82)</f>
        <v>79.27</v>
      </c>
      <c r="E524" s="77">
        <f>(VLOOKUP($A524,'The List'!$B1:$AH665,17,FALSE)-AVERAGE('The List'!R2:R665))/STDEV('The List'!R2:R665)</f>
        <v>0.512683349095863</v>
      </c>
      <c r="F524" s="77">
        <f>(VLOOKUP($A524,'The List'!$B1:$AH665,18,FALSE)-AVERAGE('The List'!S2:S665))/STDEV('The List'!S2:S665)</f>
        <v>-0.993327241826746</v>
      </c>
      <c r="G524" s="77">
        <f>(VLOOKUP($A524,'The List'!$B1:$AH665,19,FALSE)-AVERAGE('The List'!T2:T665))/STDEV('The List'!T2:T665)</f>
        <v>-0.688087493762615</v>
      </c>
      <c r="H524" s="77">
        <f>(VLOOKUP($A524,'The List'!$B1:$AH665,20,FALSE)-AVERAGE('The List'!U2:U665))/STDEV('The List'!U2:U665)</f>
        <v>-0.878855471532795</v>
      </c>
      <c r="I524" s="77">
        <f>(VLOOKUP($A524,'The List'!$B1:$AH665,21,FALSE)-AVERAGE('The List'!V2:V665))/STDEV('The List'!V2:V665)</f>
        <v>-0.677812401612285</v>
      </c>
      <c r="J524" s="77">
        <f>(VLOOKUP($A524,'The List'!$B1:$AH665,22,FALSE)-AVERAGE('The List'!W2:W665))/STDEV('The List'!W2:W665)</f>
        <v>-0.74131614891509</v>
      </c>
      <c r="K524" s="77">
        <f>(VLOOKUP($A524,'The List'!$B1:$AH665,23,FALSE)-AVERAGE('The List'!X2:X665))/STDEV('The List'!X2:X665)</f>
        <v>-0.817300876026048</v>
      </c>
      <c r="L524" s="77">
        <f>(VLOOKUP($A524,'The List'!$B1:$AH665,24,FALSE)-AVERAGE('The List'!Y2:Y665))/STDEV('The List'!Y2:Y665)</f>
        <v>-0.531311977838136</v>
      </c>
      <c r="M524" s="77">
        <f>(VLOOKUP($A524,'The List'!$B1:$AH665,25,FALSE)-AVERAGE('The List'!Z2:Z665))/STDEV('The List'!Z2:Z665)</f>
        <v>-0.115536056858403</v>
      </c>
      <c r="N524" s="77">
        <f>(VLOOKUP($A524,'The List'!$B1:$AH665,26,FALSE)-AVERAGE('The List'!AA2:AA665))/STDEV('The List'!AA2:AA665)</f>
        <v>2.01868648321583</v>
      </c>
      <c r="O524" s="77">
        <f>(VLOOKUP($A524,'The List'!$B1:$AH665,27,FALSE)-AVERAGE('The List'!AB2:AB665))/STDEV('The List'!AB2:AB665)</f>
        <v>0.208569440822743</v>
      </c>
      <c r="P524" s="77">
        <f>(VLOOKUP($A524,'The List'!$B1:$AH665,28,FALSE)-AVERAGE('The List'!AC2:AC665))/STDEV('The List'!AC2:AC665)</f>
        <v>-2.28485106034297</v>
      </c>
      <c r="Q524" s="77">
        <f>(VLOOKUP($A524,'The List'!$B1:$AH665,29,FALSE)-AVERAGE('The List'!AD2:AD665))/STDEV('The List'!AD2:AD665)</f>
        <v>1.57270366864954</v>
      </c>
      <c r="R524" s="77">
        <f>(VLOOKUP($A524,'The List'!$B1:$AH665,30,FALSE)-AVERAGE('The List'!AE2:AE665))/STDEV('The List'!AE2:AE665)</f>
        <v>-1.03356392522997</v>
      </c>
      <c r="S524" s="77">
        <f>(VLOOKUP($A524,'The List'!$B1:$AH665,31,FALSE)-AVERAGE('The List'!AF2:AF665))/STDEV('The List'!AF2:AF665)</f>
        <v>-0.573894410680004</v>
      </c>
      <c r="T524" s="77">
        <f>(VLOOKUP($A524,'The List'!$B1:$AH665,32,FALSE)-AVERAGE('The List'!AG2:AG665))/STDEV('The List'!AG2:AG665)</f>
        <v>-0.625770787132651</v>
      </c>
      <c r="U524" s="77">
        <f>(VLOOKUP($A524,'The List'!$B1:$AH665,33,FALSE)-AVERAGE('The List'!AH2:AH665))/STDEV('The List'!AH2:AH665)</f>
        <v>-1.23143509451486</v>
      </c>
      <c r="V524" s="77"/>
      <c r="W524" s="79"/>
      <c r="X524" s="77"/>
      <c r="Y524" s="77"/>
      <c r="Z524" s="77"/>
      <c r="AA524" s="77"/>
      <c r="AB524" s="77"/>
      <c r="AC524" s="77"/>
      <c r="AD524" s="77"/>
      <c r="AE524" s="84"/>
    </row>
    <row r="525" ht="21.25" customHeight="1">
      <c r="A525" t="s" s="10">
        <v>711</v>
      </c>
      <c r="B525" t="s" s="86">
        <f>VLOOKUP(A525,'Player Data'!A1:B667,2,FALSE)</f>
        <v>154</v>
      </c>
      <c r="C525" s="74">
        <f>((E525)*'Settings'!$C$12)+(F525*'Settings'!$C$2)+(G525*'Settings'!$C$3)+(H525*'Settings'!$C$4)+(I525*'Settings'!$C$5)+(K525*'Settings'!$C$9)+(N525*'Settings'!$C$6)+(J525*'Settings'!$C$8)+(O525*'Settings'!$C$7)+(P525*'Settings'!$C$14)+(Q525*'Settings'!$C$15)+(R525*'Settings'!$C$16)+(S525*'Settings'!$C$17)+(T525*'Settings'!$C$18)+(U525*'Settings'!$C$19)+(L525*'Settings'!$C$10)+('Settings'!$C$11*M525)</f>
        <v>-3.63925959274839</v>
      </c>
      <c r="D525" s="79">
        <f>IF('Settings'!$E$12="YES",VLOOKUP(A525,'Player Data'!A1:E667,5,FALSE),82)</f>
        <v>77.2475</v>
      </c>
      <c r="E525" s="77">
        <f>(VLOOKUP($A525,'The List'!$B1:$AH665,17,FALSE)-AVERAGE('The List'!R2:R665))/STDEV('The List'!R2:R665)</f>
        <v>-1.63648429666433</v>
      </c>
      <c r="F525" s="77">
        <f>(VLOOKUP($A525,'The List'!$B1:$AH665,18,FALSE)-AVERAGE('The List'!S2:S665))/STDEV('The List'!S2:S665)</f>
        <v>-0.58937420256325</v>
      </c>
      <c r="G525" s="77">
        <f>(VLOOKUP($A525,'The List'!$B1:$AH665,19,FALSE)-AVERAGE('The List'!T2:T665))/STDEV('The List'!T2:T665)</f>
        <v>-1.01651955863999</v>
      </c>
      <c r="H525" s="77">
        <f>(VLOOKUP($A525,'The List'!$B1:$AH665,20,FALSE)-AVERAGE('The List'!U2:U665))/STDEV('The List'!U2:U665)</f>
        <v>-0.899214393162728</v>
      </c>
      <c r="I525" s="77">
        <f>(VLOOKUP($A525,'The List'!$B1:$AH665,21,FALSE)-AVERAGE('The List'!V2:V665))/STDEV('The List'!V2:V665)</f>
        <v>-0.95677532320508</v>
      </c>
      <c r="J525" s="77">
        <f>(VLOOKUP($A525,'The List'!$B1:$AH665,22,FALSE)-AVERAGE('The List'!W2:W665))/STDEV('The List'!W2:W665)</f>
        <v>-0.729114031392967</v>
      </c>
      <c r="K525" s="77">
        <f>(VLOOKUP($A525,'The List'!$B1:$AH665,23,FALSE)-AVERAGE('The List'!X2:X665))/STDEV('The List'!X2:X665)</f>
        <v>-0.814429083788621</v>
      </c>
      <c r="L525" s="77">
        <f>(VLOOKUP($A525,'The List'!$B1:$AH665,24,FALSE)-AVERAGE('The List'!Y2:Y665))/STDEV('The List'!Y2:Y665)</f>
        <v>0.217747191330594</v>
      </c>
      <c r="M525" s="77">
        <f>(VLOOKUP($A525,'The List'!$B1:$AH665,25,FALSE)-AVERAGE('The List'!Z2:Z665))/STDEV('The List'!Z2:Z665)</f>
        <v>-0.159442542575273</v>
      </c>
      <c r="N525" s="77">
        <f>(VLOOKUP($A525,'The List'!$B1:$AH665,26,FALSE)-AVERAGE('The List'!AA2:AA665))/STDEV('The List'!AA2:AA665)</f>
        <v>-0.854300450749347</v>
      </c>
      <c r="O525" s="77">
        <f>(VLOOKUP($A525,'The List'!$B1:$AH665,27,FALSE)-AVERAGE('The List'!AB2:AB665))/STDEV('The List'!AB2:AB665)</f>
        <v>1.26225148293228</v>
      </c>
      <c r="P525" s="77">
        <f>(VLOOKUP($A525,'The List'!$B1:$AH665,28,FALSE)-AVERAGE('The List'!AC2:AC665))/STDEV('The List'!AC2:AC665)</f>
        <v>0.592139026197897</v>
      </c>
      <c r="Q525" s="77">
        <f>(VLOOKUP($A525,'The List'!$B1:$AH665,29,FALSE)-AVERAGE('The List'!AD2:AD665))/STDEV('The List'!AD2:AD665)</f>
        <v>-0.501614143188293</v>
      </c>
      <c r="R525" s="77">
        <f>(VLOOKUP($A525,'The List'!$B1:$AH665,30,FALSE)-AVERAGE('The List'!AE2:AE665))/STDEV('The List'!AE2:AE665)</f>
        <v>-0.599398545645917</v>
      </c>
      <c r="S525" s="77">
        <f>(VLOOKUP($A525,'The List'!$B1:$AH665,31,FALSE)-AVERAGE('The List'!AF2:AF665))/STDEV('The List'!AF2:AF665)</f>
        <v>0.145766822892478</v>
      </c>
      <c r="T525" s="77">
        <f>(VLOOKUP($A525,'The List'!$B1:$AH665,32,FALSE)-AVERAGE('The List'!AG2:AG665))/STDEV('The List'!AG2:AG665)</f>
        <v>0.297132192988162</v>
      </c>
      <c r="U525" s="77">
        <f>(VLOOKUP($A525,'The List'!$B1:$AH665,33,FALSE)-AVERAGE('The List'!AH2:AH665))/STDEV('The List'!AH2:AH665)</f>
        <v>0.823741794723909</v>
      </c>
      <c r="V525" s="77"/>
      <c r="W525" s="89"/>
      <c r="X525" s="79"/>
      <c r="Y525" s="79"/>
      <c r="Z525" s="79"/>
      <c r="AA525" s="79"/>
      <c r="AB525" s="79"/>
      <c r="AC525" s="82"/>
      <c r="AD525" s="83"/>
      <c r="AE525" s="84"/>
    </row>
    <row r="526" ht="21.25" customHeight="1">
      <c r="A526" t="s" s="10">
        <v>699</v>
      </c>
      <c r="B526" t="s" s="86">
        <f>VLOOKUP(A526,'Player Data'!A1:B667,2,FALSE)</f>
        <v>907</v>
      </c>
      <c r="C526" s="74">
        <f>((E526)*'Settings'!$C$12)+(F526*'Settings'!$C$2)+(G526*'Settings'!$C$3)+(H526*'Settings'!$C$4)+(I526*'Settings'!$C$5)+(K526*'Settings'!$C$9)+(N526*'Settings'!$C$6)+(J526*'Settings'!$C$8)+(O526*'Settings'!$C$7)+(P526*'Settings'!$C$14)+(Q526*'Settings'!$C$15)+(R526*'Settings'!$C$16)+(S526*'Settings'!$C$17)+(T526*'Settings'!$C$18)+(U526*'Settings'!$C$19)+(L526*'Settings'!$C$10)+('Settings'!$C$11*M526)</f>
        <v>-3.10300104168872</v>
      </c>
      <c r="D526" s="79">
        <f>IF('Settings'!$E$12="YES",VLOOKUP(A526,'Player Data'!A1:E667,5,FALSE),82)</f>
        <v>79.9725</v>
      </c>
      <c r="E526" s="77">
        <f>(VLOOKUP($A526,'The List'!$B1:$AH665,17,FALSE)-AVERAGE('The List'!R2:R665))/STDEV('The List'!R2:R665)</f>
        <v>-1.20613669038144</v>
      </c>
      <c r="F526" s="77">
        <f>(VLOOKUP($A526,'The List'!$B1:$AH665,18,FALSE)-AVERAGE('The List'!S2:S665))/STDEV('The List'!S2:S665)</f>
        <v>-0.6607055959863189</v>
      </c>
      <c r="G526" s="77">
        <f>(VLOOKUP($A526,'The List'!$B1:$AH665,19,FALSE)-AVERAGE('The List'!T2:T665))/STDEV('The List'!T2:T665)</f>
        <v>-0.925018828900958</v>
      </c>
      <c r="H526" s="77">
        <f>(VLOOKUP($A526,'The List'!$B1:$AH665,20,FALSE)-AVERAGE('The List'!U2:U665))/STDEV('The List'!U2:U665)</f>
        <v>-0.874810804045403</v>
      </c>
      <c r="I526" s="77">
        <f>(VLOOKUP($A526,'The List'!$B1:$AH665,21,FALSE)-AVERAGE('The List'!V2:V665))/STDEV('The List'!V2:V665)</f>
        <v>-0.948057460181747</v>
      </c>
      <c r="J526" s="77">
        <f>(VLOOKUP($A526,'The List'!$B1:$AH665,22,FALSE)-AVERAGE('The List'!W2:W665))/STDEV('The List'!W2:W665)</f>
        <v>-0.725009460160543</v>
      </c>
      <c r="K526" s="77">
        <f>(VLOOKUP($A526,'The List'!$B1:$AH665,23,FALSE)-AVERAGE('The List'!X2:X665))/STDEV('The List'!X2:X665)</f>
        <v>-0.81276146617223</v>
      </c>
      <c r="L526" s="77">
        <f>(VLOOKUP($A526,'The List'!$B1:$AH665,24,FALSE)-AVERAGE('The List'!Y2:Y665))/STDEV('The List'!Y2:Y665)</f>
        <v>1.89751490793514</v>
      </c>
      <c r="M526" s="77">
        <f>(VLOOKUP($A526,'The List'!$B1:$AH665,25,FALSE)-AVERAGE('The List'!Z2:Z665))/STDEV('The List'!Z2:Z665)</f>
        <v>2.36421783336784</v>
      </c>
      <c r="N526" s="77">
        <f>(VLOOKUP($A526,'The List'!$B1:$AH665,26,FALSE)-AVERAGE('The List'!AA2:AA665))/STDEV('The List'!AA2:AA665)</f>
        <v>-0.351732952160447</v>
      </c>
      <c r="O526" s="77">
        <f>(VLOOKUP($A526,'The List'!$B1:$AH665,27,FALSE)-AVERAGE('The List'!AB2:AB665))/STDEV('The List'!AB2:AB665)</f>
        <v>0.198066863717481</v>
      </c>
      <c r="P526" s="77">
        <f>(VLOOKUP($A526,'The List'!$B1:$AH665,28,FALSE)-AVERAGE('The List'!AC2:AC665))/STDEV('The List'!AC2:AC665)</f>
        <v>0.5952752617129859</v>
      </c>
      <c r="Q526" s="77">
        <f>(VLOOKUP($A526,'The List'!$B1:$AH665,29,FALSE)-AVERAGE('The List'!AD2:AD665))/STDEV('The List'!AD2:AD665)</f>
        <v>-0.152127096559241</v>
      </c>
      <c r="R526" s="77">
        <f>(VLOOKUP($A526,'The List'!$B1:$AH665,30,FALSE)-AVERAGE('The List'!AE2:AE665))/STDEV('The List'!AE2:AE665)</f>
        <v>-0.755108256396322</v>
      </c>
      <c r="S526" s="77">
        <f>(VLOOKUP($A526,'The List'!$B1:$AH665,31,FALSE)-AVERAGE('The List'!AF2:AF665))/STDEV('The List'!AF2:AF665)</f>
        <v>0.893560582758161</v>
      </c>
      <c r="T526" s="77">
        <f>(VLOOKUP($A526,'The List'!$B1:$AH665,32,FALSE)-AVERAGE('The List'!AG2:AG665))/STDEV('The List'!AG2:AG665)</f>
        <v>0.642364907506722</v>
      </c>
      <c r="U526" s="77">
        <f>(VLOOKUP($A526,'The List'!$B1:$AH665,33,FALSE)-AVERAGE('The List'!AH2:AH665))/STDEV('The List'!AH2:AH665)</f>
        <v>1.26961182287748</v>
      </c>
      <c r="V526" s="77"/>
      <c r="W526" s="89"/>
      <c r="X526" s="79"/>
      <c r="Y526" s="79"/>
      <c r="Z526" s="79"/>
      <c r="AA526" s="79"/>
      <c r="AB526" s="79"/>
      <c r="AC526" s="82"/>
      <c r="AD526" s="83"/>
      <c r="AE526" s="84"/>
    </row>
    <row r="527" ht="21.25" customHeight="1">
      <c r="A527" t="s" s="10">
        <v>740</v>
      </c>
      <c r="B527" t="s" s="86">
        <f>VLOOKUP(A527,'Player Data'!A1:B667,2,FALSE)</f>
        <v>275</v>
      </c>
      <c r="C527" s="74">
        <f>((E527)*'Settings'!$C$12)+(F527*'Settings'!$C$2)+(G527*'Settings'!$C$3)+(H527*'Settings'!$C$4)+(I527*'Settings'!$C$5)+(K527*'Settings'!$C$9)+(N527*'Settings'!$C$6)+(J527*'Settings'!$C$8)+(O527*'Settings'!$C$7)+(P527*'Settings'!$C$14)+(Q527*'Settings'!$C$15)+(R527*'Settings'!$C$16)+(S527*'Settings'!$C$17)+(T527*'Settings'!$C$18)+(U527*'Settings'!$C$19)+(L527*'Settings'!$C$10)+('Settings'!$C$11*M527)</f>
        <v>-4.86210903469374</v>
      </c>
      <c r="D527" s="79">
        <f>IF('Settings'!$E$12="YES",VLOOKUP(A527,'Player Data'!A1:E667,5,FALSE),82)</f>
        <v>64.1125</v>
      </c>
      <c r="E527" s="77">
        <f>(VLOOKUP($A527,'The List'!$B1:$AH665,17,FALSE)-AVERAGE('The List'!R2:R665))/STDEV('The List'!R2:R665)</f>
        <v>-1.94639021116114</v>
      </c>
      <c r="F527" s="77">
        <f>(VLOOKUP($A527,'The List'!$B1:$AH665,18,FALSE)-AVERAGE('The List'!S2:S665))/STDEV('The List'!S2:S665)</f>
        <v>-0.839591990347175</v>
      </c>
      <c r="G527" s="77">
        <f>(VLOOKUP($A527,'The List'!$B1:$AH665,19,FALSE)-AVERAGE('The List'!T2:T665))/STDEV('The List'!T2:T665)</f>
        <v>-1.04417375019242</v>
      </c>
      <c r="H527" s="77">
        <f>(VLOOKUP($A527,'The List'!$B1:$AH665,20,FALSE)-AVERAGE('The List'!U2:U665))/STDEV('The List'!U2:U665)</f>
        <v>-1.03012507941378</v>
      </c>
      <c r="I527" s="77">
        <f>(VLOOKUP($A527,'The List'!$B1:$AH665,21,FALSE)-AVERAGE('The List'!V2:V665))/STDEV('The List'!V2:V665)</f>
        <v>-1.35988083867045</v>
      </c>
      <c r="J527" s="77">
        <f>(VLOOKUP($A527,'The List'!$B1:$AH665,22,FALSE)-AVERAGE('The List'!W2:W665))/STDEV('The List'!W2:W665)</f>
        <v>-0.7294845011451651</v>
      </c>
      <c r="K527" s="77">
        <f>(VLOOKUP($A527,'The List'!$B1:$AH665,23,FALSE)-AVERAGE('The List'!X2:X665))/STDEV('The List'!X2:X665)</f>
        <v>-0.815030847238732</v>
      </c>
      <c r="L527" s="77">
        <f>(VLOOKUP($A527,'The List'!$B1:$AH665,24,FALSE)-AVERAGE('The List'!Y2:Y665))/STDEV('The List'!Y2:Y665)</f>
        <v>-0.511806814470832</v>
      </c>
      <c r="M527" s="77">
        <f>(VLOOKUP($A527,'The List'!$B1:$AH665,25,FALSE)-AVERAGE('The List'!Z2:Z665))/STDEV('The List'!Z2:Z665)</f>
        <v>-0.684562669846255</v>
      </c>
      <c r="N527" s="77">
        <f>(VLOOKUP($A527,'The List'!$B1:$AH665,26,FALSE)-AVERAGE('The List'!AA2:AA665))/STDEV('The List'!AA2:AA665)</f>
        <v>-0.945595165766532</v>
      </c>
      <c r="O527" s="77">
        <f>(VLOOKUP($A527,'The List'!$B1:$AH665,27,FALSE)-AVERAGE('The List'!AB2:AB665))/STDEV('The List'!AB2:AB665)</f>
        <v>1.47131177686456</v>
      </c>
      <c r="P527" s="77">
        <f>(VLOOKUP($A527,'The List'!$B1:$AH665,28,FALSE)-AVERAGE('The List'!AC2:AC665))/STDEV('The List'!AC2:AC665)</f>
        <v>0.142163557521573</v>
      </c>
      <c r="Q527" s="77">
        <f>(VLOOKUP($A527,'The List'!$B1:$AH665,29,FALSE)-AVERAGE('The List'!AD2:AD665))/STDEV('The List'!AD2:AD665)</f>
        <v>-0.515630516680507</v>
      </c>
      <c r="R527" s="77">
        <f>(VLOOKUP($A527,'The List'!$B1:$AH665,30,FALSE)-AVERAGE('The List'!AE2:AE665))/STDEV('The List'!AE2:AE665)</f>
        <v>-0.751702517631917</v>
      </c>
      <c r="S527" s="77">
        <f>(VLOOKUP($A527,'The List'!$B1:$AH665,31,FALSE)-AVERAGE('The List'!AF2:AF665))/STDEV('The List'!AF2:AF665)</f>
        <v>-0.546501046497054</v>
      </c>
      <c r="T527" s="77">
        <f>(VLOOKUP($A527,'The List'!$B1:$AH665,32,FALSE)-AVERAGE('The List'!AG2:AG665))/STDEV('The List'!AG2:AG665)</f>
        <v>-0.56920108325133</v>
      </c>
      <c r="U527" s="77">
        <f>(VLOOKUP($A527,'The List'!$B1:$AH665,33,FALSE)-AVERAGE('The List'!AH2:AH665))/STDEV('The List'!AH2:AH665)</f>
        <v>0.309624629944598</v>
      </c>
      <c r="V527" s="77"/>
      <c r="W527" s="79"/>
      <c r="X527" s="77"/>
      <c r="Y527" s="77"/>
      <c r="Z527" s="77"/>
      <c r="AA527" s="77"/>
      <c r="AB527" s="77"/>
      <c r="AC527" s="77"/>
      <c r="AD527" s="77"/>
      <c r="AE527" s="84"/>
    </row>
    <row r="528" ht="21.25" customHeight="1">
      <c r="A528" t="s" s="10">
        <v>733</v>
      </c>
      <c r="B528" t="s" s="86">
        <f>VLOOKUP(A528,'Player Data'!A1:B667,2,FALSE)</f>
        <v>156</v>
      </c>
      <c r="C528" s="74">
        <f>((E528)*'Settings'!$C$12)+(F528*'Settings'!$C$2)+(G528*'Settings'!$C$3)+(H528*'Settings'!$C$4)+(I528*'Settings'!$C$5)+(K528*'Settings'!$C$9)+(N528*'Settings'!$C$6)+(J528*'Settings'!$C$8)+(O528*'Settings'!$C$7)+(P528*'Settings'!$C$14)+(Q528*'Settings'!$C$15)+(R528*'Settings'!$C$16)+(S528*'Settings'!$C$17)+(T528*'Settings'!$C$18)+(U528*'Settings'!$C$19)+(L528*'Settings'!$C$10)+('Settings'!$C$11*M528)</f>
        <v>-3.34756608807342</v>
      </c>
      <c r="D528" s="79">
        <f>IF('Settings'!$E$12="YES",VLOOKUP(A528,'Player Data'!A1:E667,5,FALSE),82)</f>
        <v>78.105</v>
      </c>
      <c r="E528" s="77">
        <f>(VLOOKUP($A528,'The List'!$B1:$AH665,17,FALSE)-AVERAGE('The List'!R2:R665))/STDEV('The List'!R2:R665)</f>
        <v>-0.216296879667031</v>
      </c>
      <c r="F528" s="77">
        <f>(VLOOKUP($A528,'The List'!$B1:$AH665,18,FALSE)-AVERAGE('The List'!S2:S665))/STDEV('The List'!S2:S665)</f>
        <v>-0.972202676404877</v>
      </c>
      <c r="G528" s="77">
        <f>(VLOOKUP($A528,'The List'!$B1:$AH665,19,FALSE)-AVERAGE('The List'!T2:T665))/STDEV('The List'!T2:T665)</f>
        <v>-0.731342885598976</v>
      </c>
      <c r="H528" s="77">
        <f>(VLOOKUP($A528,'The List'!$B1:$AH665,20,FALSE)-AVERAGE('The List'!U2:U665))/STDEV('The List'!U2:U665)</f>
        <v>-0.8961173829168479</v>
      </c>
      <c r="I528" s="77">
        <f>(VLOOKUP($A528,'The List'!$B1:$AH665,21,FALSE)-AVERAGE('The List'!V2:V665))/STDEV('The List'!V2:V665)</f>
        <v>-1.25721236612707</v>
      </c>
      <c r="J528" s="77">
        <f>(VLOOKUP($A528,'The List'!$B1:$AH665,22,FALSE)-AVERAGE('The List'!W2:W665))/STDEV('The List'!W2:W665)</f>
        <v>-0.741070954814362</v>
      </c>
      <c r="K528" s="77">
        <f>(VLOOKUP($A528,'The List'!$B1:$AH665,23,FALSE)-AVERAGE('The List'!X2:X665))/STDEV('The List'!X2:X665)</f>
        <v>-0.817075983361803</v>
      </c>
      <c r="L528" s="77">
        <f>(VLOOKUP($A528,'The List'!$B1:$AH665,24,FALSE)-AVERAGE('The List'!Y2:Y665))/STDEV('The List'!Y2:Y665)</f>
        <v>-0.555159900049744</v>
      </c>
      <c r="M528" s="77">
        <f>(VLOOKUP($A528,'The List'!$B1:$AH665,25,FALSE)-AVERAGE('The List'!Z2:Z665))/STDEV('The List'!Z2:Z665)</f>
        <v>-0.67792494917107</v>
      </c>
      <c r="N528" s="77">
        <f>(VLOOKUP($A528,'The List'!$B1:$AH665,26,FALSE)-AVERAGE('The List'!AA2:AA665))/STDEV('The List'!AA2:AA665)</f>
        <v>0.903570527455668</v>
      </c>
      <c r="O528" s="77">
        <f>(VLOOKUP($A528,'The List'!$B1:$AH665,27,FALSE)-AVERAGE('The List'!AB2:AB665))/STDEV('The List'!AB2:AB665)</f>
        <v>-0.445380463546683</v>
      </c>
      <c r="P528" s="77">
        <f>(VLOOKUP($A528,'The List'!$B1:$AH665,28,FALSE)-AVERAGE('The List'!AC2:AC665))/STDEV('The List'!AC2:AC665)</f>
        <v>-0.473302704036362</v>
      </c>
      <c r="Q528" s="77">
        <f>(VLOOKUP($A528,'The List'!$B1:$AH665,29,FALSE)-AVERAGE('The List'!AD2:AD665))/STDEV('The List'!AD2:AD665)</f>
        <v>-1.15496744611614</v>
      </c>
      <c r="R528" s="77">
        <f>(VLOOKUP($A528,'The List'!$B1:$AH665,30,FALSE)-AVERAGE('The List'!AE2:AE665))/STDEV('The List'!AE2:AE665)</f>
        <v>-0.956526539580301</v>
      </c>
      <c r="S528" s="77">
        <f>(VLOOKUP($A528,'The List'!$B1:$AH665,31,FALSE)-AVERAGE('The List'!AF2:AF665))/STDEV('The List'!AF2:AF665)</f>
        <v>-0.573894410680004</v>
      </c>
      <c r="T528" s="77">
        <f>(VLOOKUP($A528,'The List'!$B1:$AH665,32,FALSE)-AVERAGE('The List'!AG2:AG665))/STDEV('The List'!AG2:AG665)</f>
        <v>-0.625770787132651</v>
      </c>
      <c r="U528" s="77">
        <f>(VLOOKUP($A528,'The List'!$B1:$AH665,33,FALSE)-AVERAGE('The List'!AH2:AH665))/STDEV('The List'!AH2:AH665)</f>
        <v>-1.23143509451486</v>
      </c>
      <c r="V528" s="77"/>
      <c r="W528" s="89"/>
      <c r="X528" s="79"/>
      <c r="Y528" s="79"/>
      <c r="Z528" s="79"/>
      <c r="AA528" s="79"/>
      <c r="AB528" s="79"/>
      <c r="AC528" s="82"/>
      <c r="AD528" s="83"/>
      <c r="AE528" s="84"/>
    </row>
    <row r="529" ht="21.25" customHeight="1">
      <c r="A529" t="s" s="10">
        <v>790</v>
      </c>
      <c r="B529" t="s" s="86">
        <f>VLOOKUP(A529,'Player Data'!A1:B667,2,FALSE)</f>
        <v>866</v>
      </c>
      <c r="C529" s="74">
        <f>((E529)*'Settings'!$C$12)+(F529*'Settings'!$C$2)+(G529*'Settings'!$C$3)+(H529*'Settings'!$C$4)+(I529*'Settings'!$C$5)+(K529*'Settings'!$C$9)+(N529*'Settings'!$C$6)+(J529*'Settings'!$C$8)+(O529*'Settings'!$C$7)+(P529*'Settings'!$C$14)+(Q529*'Settings'!$C$15)+(R529*'Settings'!$C$16)+(S529*'Settings'!$C$17)+(T529*'Settings'!$C$18)+(U529*'Settings'!$C$19)+(L529*'Settings'!$C$10)+('Settings'!$C$11*M529)</f>
        <v>-4.78877023413871</v>
      </c>
      <c r="D529" s="79">
        <f>IF('Settings'!$E$12="YES",VLOOKUP(A529,'Player Data'!A1:E667,5,FALSE),82)</f>
        <v>60.45</v>
      </c>
      <c r="E529" s="77">
        <f>(VLOOKUP($A529,'The List'!$B1:$AH665,17,FALSE)-AVERAGE('The List'!R2:R665))/STDEV('The List'!R2:R665)</f>
        <v>-1.84326891952509</v>
      </c>
      <c r="F529" s="77">
        <f>(VLOOKUP($A529,'The List'!$B1:$AH665,18,FALSE)-AVERAGE('The List'!S2:S665))/STDEV('The List'!S2:S665)</f>
        <v>-0.706621143761367</v>
      </c>
      <c r="G529" s="77">
        <f>(VLOOKUP($A529,'The List'!$B1:$AH665,19,FALSE)-AVERAGE('The List'!T2:T665))/STDEV('The List'!T2:T665)</f>
        <v>-1.20275789938144</v>
      </c>
      <c r="H529" s="77">
        <f>(VLOOKUP($A529,'The List'!$B1:$AH665,20,FALSE)-AVERAGE('The List'!U2:U665))/STDEV('The List'!U2:U665)</f>
        <v>-1.06817318256285</v>
      </c>
      <c r="I529" s="77">
        <f>(VLOOKUP($A529,'The List'!$B1:$AH665,21,FALSE)-AVERAGE('The List'!V2:V665))/STDEV('The List'!V2:V665)</f>
        <v>-1.33861155990311</v>
      </c>
      <c r="J529" s="77">
        <f>(VLOOKUP($A529,'The List'!$B1:$AH665,22,FALSE)-AVERAGE('The List'!W2:W665))/STDEV('The List'!W2:W665)</f>
        <v>-0.731647363112036</v>
      </c>
      <c r="K529" s="77">
        <f>(VLOOKUP($A529,'The List'!$B1:$AH665,23,FALSE)-AVERAGE('The List'!X2:X665))/STDEV('The List'!X2:X665)</f>
        <v>-0.8167380264497081</v>
      </c>
      <c r="L529" s="77">
        <f>(VLOOKUP($A529,'The List'!$B1:$AH665,24,FALSE)-AVERAGE('The List'!Y2:Y665))/STDEV('The List'!Y2:Y665)</f>
        <v>-0.522881700558032</v>
      </c>
      <c r="M529" s="77">
        <f>(VLOOKUP($A529,'The List'!$B1:$AH665,25,FALSE)-AVERAGE('The List'!Z2:Z665))/STDEV('The List'!Z2:Z665)</f>
        <v>-0.695062148687031</v>
      </c>
      <c r="N529" s="77">
        <f>(VLOOKUP($A529,'The List'!$B1:$AH665,26,FALSE)-AVERAGE('The List'!AA2:AA665))/STDEV('The List'!AA2:AA665)</f>
        <v>-0.7813759257965091</v>
      </c>
      <c r="O529" s="77">
        <f>(VLOOKUP($A529,'The List'!$B1:$AH665,27,FALSE)-AVERAGE('The List'!AB2:AB665))/STDEV('The List'!AB2:AB665)</f>
        <v>0.949406517972732</v>
      </c>
      <c r="P529" s="77">
        <f>(VLOOKUP($A529,'The List'!$B1:$AH665,28,FALSE)-AVERAGE('The List'!AC2:AC665))/STDEV('The List'!AC2:AC665)</f>
        <v>0.0573343211534284</v>
      </c>
      <c r="Q529" s="77">
        <f>(VLOOKUP($A529,'The List'!$B1:$AH665,29,FALSE)-AVERAGE('The List'!AD2:AD665))/STDEV('The List'!AD2:AD665)</f>
        <v>-1.32824245664414</v>
      </c>
      <c r="R529" s="77">
        <f>(VLOOKUP($A529,'The List'!$B1:$AH665,30,FALSE)-AVERAGE('The List'!AE2:AE665))/STDEV('The List'!AE2:AE665)</f>
        <v>-0.6410532894169469</v>
      </c>
      <c r="S529" s="77">
        <f>(VLOOKUP($A529,'The List'!$B1:$AH665,31,FALSE)-AVERAGE('The List'!AF2:AF665))/STDEV('The List'!AF2:AF665)</f>
        <v>-0.573894410680004</v>
      </c>
      <c r="T529" s="77">
        <f>(VLOOKUP($A529,'The List'!$B1:$AH665,32,FALSE)-AVERAGE('The List'!AG2:AG665))/STDEV('The List'!AG2:AG665)</f>
        <v>-0.588773610995054</v>
      </c>
      <c r="U529" s="77">
        <f>(VLOOKUP($A529,'The List'!$B1:$AH665,33,FALSE)-AVERAGE('The List'!AH2:AH665))/STDEV('The List'!AH2:AH665)</f>
        <v>-1.23143509451486</v>
      </c>
      <c r="V529" s="77"/>
      <c r="W529" s="79"/>
      <c r="X529" s="77"/>
      <c r="Y529" s="77"/>
      <c r="Z529" s="77"/>
      <c r="AA529" s="77"/>
      <c r="AB529" s="77"/>
      <c r="AC529" s="77"/>
      <c r="AD529" s="77"/>
      <c r="AE529" s="84"/>
    </row>
    <row r="530" ht="21.25" customHeight="1">
      <c r="A530" t="s" s="10">
        <v>730</v>
      </c>
      <c r="B530" t="s" s="86">
        <f>VLOOKUP(A530,'Player Data'!A1:B667,2,FALSE)</f>
        <v>906</v>
      </c>
      <c r="C530" s="74">
        <f>((E530)*'Settings'!$C$12)+(F530*'Settings'!$C$2)+(G530*'Settings'!$C$3)+(H530*'Settings'!$C$4)+(I530*'Settings'!$C$5)+(K530*'Settings'!$C$9)+(N530*'Settings'!$C$6)+(J530*'Settings'!$C$8)+(O530*'Settings'!$C$7)+(P530*'Settings'!$C$14)+(Q530*'Settings'!$C$15)+(R530*'Settings'!$C$16)+(S530*'Settings'!$C$17)+(T530*'Settings'!$C$18)+(U530*'Settings'!$C$19)+(L530*'Settings'!$C$10)+('Settings'!$C$11*M530)</f>
        <v>-3.14429053546617</v>
      </c>
      <c r="D530" s="79">
        <f>IF('Settings'!$E$12="YES",VLOOKUP(A530,'Player Data'!A1:E667,5,FALSE),82)</f>
        <v>70.8275</v>
      </c>
      <c r="E530" s="77">
        <f>(VLOOKUP($A530,'The List'!$B1:$AH665,17,FALSE)-AVERAGE('The List'!R2:R665))/STDEV('The List'!R2:R665)</f>
        <v>-0.324096745412143</v>
      </c>
      <c r="F530" s="77">
        <f>(VLOOKUP($A530,'The List'!$B1:$AH665,18,FALSE)-AVERAGE('The List'!S2:S665))/STDEV('The List'!S2:S665)</f>
        <v>-0.933435182968706</v>
      </c>
      <c r="G530" s="77">
        <f>(VLOOKUP($A530,'The List'!$B1:$AH665,19,FALSE)-AVERAGE('The List'!T2:T665))/STDEV('The List'!T2:T665)</f>
        <v>-0.8823190794696359</v>
      </c>
      <c r="H530" s="77">
        <f>(VLOOKUP($A530,'The List'!$B1:$AH665,20,FALSE)-AVERAGE('The List'!U2:U665))/STDEV('The List'!U2:U665)</f>
        <v>-0.9722604198835501</v>
      </c>
      <c r="I530" s="77">
        <f>(VLOOKUP($A530,'The List'!$B1:$AH665,21,FALSE)-AVERAGE('The List'!V2:V665))/STDEV('The List'!V2:V665)</f>
        <v>-0.751550203862925</v>
      </c>
      <c r="J530" s="77">
        <f>(VLOOKUP($A530,'The List'!$B1:$AH665,22,FALSE)-AVERAGE('The List'!W2:W665))/STDEV('The List'!W2:W665)</f>
        <v>-0.700630964748164</v>
      </c>
      <c r="K530" s="77">
        <f>(VLOOKUP($A530,'The List'!$B1:$AH665,23,FALSE)-AVERAGE('The List'!X2:X665))/STDEV('The List'!X2:X665)</f>
        <v>-0.738001436087345</v>
      </c>
      <c r="L530" s="77">
        <f>(VLOOKUP($A530,'The List'!$B1:$AH665,24,FALSE)-AVERAGE('The List'!Y2:Y665))/STDEV('The List'!Y2:Y665)</f>
        <v>-0.536187514169005</v>
      </c>
      <c r="M530" s="77">
        <f>(VLOOKUP($A530,'The List'!$B1:$AH665,25,FALSE)-AVERAGE('The List'!Z2:Z665))/STDEV('The List'!Z2:Z665)</f>
        <v>-0.621313872862136</v>
      </c>
      <c r="N530" s="77">
        <f>(VLOOKUP($A530,'The List'!$B1:$AH665,26,FALSE)-AVERAGE('The List'!AA2:AA665))/STDEV('The List'!AA2:AA665)</f>
        <v>0.0543910331837701</v>
      </c>
      <c r="O530" s="77">
        <f>(VLOOKUP($A530,'The List'!$B1:$AH665,27,FALSE)-AVERAGE('The List'!AB2:AB665))/STDEV('The List'!AB2:AB665)</f>
        <v>0.3935696282411</v>
      </c>
      <c r="P530" s="77">
        <f>(VLOOKUP($A530,'The List'!$B1:$AH665,28,FALSE)-AVERAGE('The List'!AC2:AC665))/STDEV('The List'!AC2:AC665)</f>
        <v>0.106624333738676</v>
      </c>
      <c r="Q530" s="77">
        <f>(VLOOKUP($A530,'The List'!$B1:$AH665,29,FALSE)-AVERAGE('The List'!AD2:AD665))/STDEV('The List'!AD2:AD665)</f>
        <v>-0.0320403985108072</v>
      </c>
      <c r="R530" s="77">
        <f>(VLOOKUP($A530,'The List'!$B1:$AH665,30,FALSE)-AVERAGE('The List'!AE2:AE665))/STDEV('The List'!AE2:AE665)</f>
        <v>-0.848191848854662</v>
      </c>
      <c r="S530" s="77">
        <f>(VLOOKUP($A530,'The List'!$B1:$AH665,31,FALSE)-AVERAGE('The List'!AF2:AF665))/STDEV('The List'!AF2:AF665)</f>
        <v>-0.573894410680004</v>
      </c>
      <c r="T530" s="77">
        <f>(VLOOKUP($A530,'The List'!$B1:$AH665,32,FALSE)-AVERAGE('The List'!AG2:AG665))/STDEV('The List'!AG2:AG665)</f>
        <v>-0.625770787132651</v>
      </c>
      <c r="U530" s="77">
        <f>(VLOOKUP($A530,'The List'!$B1:$AH665,33,FALSE)-AVERAGE('The List'!AH2:AH665))/STDEV('The List'!AH2:AH665)</f>
        <v>-1.23143509451486</v>
      </c>
      <c r="V530" s="77"/>
      <c r="W530" s="89"/>
      <c r="X530" s="79"/>
      <c r="Y530" s="79"/>
      <c r="Z530" s="79"/>
      <c r="AA530" s="79"/>
      <c r="AB530" s="79"/>
      <c r="AC530" s="82"/>
      <c r="AD530" s="83"/>
      <c r="AE530" s="84"/>
    </row>
    <row r="531" ht="21.25" customHeight="1">
      <c r="A531" t="s" s="10">
        <v>533</v>
      </c>
      <c r="B531" t="s" s="86">
        <f>VLOOKUP(A531,'Player Data'!A1:B667,2,FALSE)</f>
        <v>902</v>
      </c>
      <c r="C531" s="74">
        <f>((E531)*'Settings'!$C$12)+(F531*'Settings'!$C$2)+(G531*'Settings'!$C$3)+(H531*'Settings'!$C$4)+(I531*'Settings'!$C$5)+(K531*'Settings'!$C$9)+(N531*'Settings'!$C$6)+(J531*'Settings'!$C$8)+(O531*'Settings'!$C$7)+(P531*'Settings'!$C$14)+(Q531*'Settings'!$C$15)+(R531*'Settings'!$C$16)+(S531*'Settings'!$C$17)+(T531*'Settings'!$C$18)+(U531*'Settings'!$C$19)+(L531*'Settings'!$C$10)+('Settings'!$C$11*M531)</f>
        <v>-2.60726093727069</v>
      </c>
      <c r="D531" s="79">
        <f>IF('Settings'!$E$12="YES",VLOOKUP(A531,'Player Data'!A1:E667,5,FALSE),82)</f>
        <v>78.05249999999999</v>
      </c>
      <c r="E531" s="77">
        <f>(VLOOKUP($A531,'The List'!$B1:$AH665,17,FALSE)-AVERAGE('The List'!R2:R665))/STDEV('The List'!R2:R665)</f>
        <v>0.581664189734149</v>
      </c>
      <c r="F531" s="77">
        <f>(VLOOKUP($A531,'The List'!$B1:$AH665,18,FALSE)-AVERAGE('The List'!S2:S665))/STDEV('The List'!S2:S665)</f>
        <v>-0.897868316007536</v>
      </c>
      <c r="G531" s="77">
        <f>(VLOOKUP($A531,'The List'!$B1:$AH665,19,FALSE)-AVERAGE('The List'!T2:T665))/STDEV('The List'!T2:T665)</f>
        <v>-0.8043716158762469</v>
      </c>
      <c r="H531" s="77">
        <f>(VLOOKUP($A531,'The List'!$B1:$AH665,20,FALSE)-AVERAGE('The List'!U2:U665))/STDEV('The List'!U2:U665)</f>
        <v>-0.907683830490438</v>
      </c>
      <c r="I531" s="77">
        <f>(VLOOKUP($A531,'The List'!$B1:$AH665,21,FALSE)-AVERAGE('The List'!V2:V665))/STDEV('The List'!V2:V665)</f>
        <v>-0.7388966533522759</v>
      </c>
      <c r="J531" s="77">
        <f>(VLOOKUP($A531,'The List'!$B1:$AH665,22,FALSE)-AVERAGE('The List'!W2:W665))/STDEV('The List'!W2:W665)</f>
        <v>-0.710896769405947</v>
      </c>
      <c r="K531" s="77">
        <f>(VLOOKUP($A531,'The List'!$B1:$AH665,23,FALSE)-AVERAGE('The List'!X2:X665))/STDEV('The List'!X2:X665)</f>
        <v>-0.754371220965968</v>
      </c>
      <c r="L531" s="77">
        <f>(VLOOKUP($A531,'The List'!$B1:$AH665,24,FALSE)-AVERAGE('The List'!Y2:Y665))/STDEV('The List'!Y2:Y665)</f>
        <v>-0.529508454561027</v>
      </c>
      <c r="M531" s="77">
        <f>(VLOOKUP($A531,'The List'!$B1:$AH665,25,FALSE)-AVERAGE('The List'!Z2:Z665))/STDEV('The List'!Z2:Z665)</f>
        <v>-0.6191771436125491</v>
      </c>
      <c r="N531" s="77">
        <f>(VLOOKUP($A531,'The List'!$B1:$AH665,26,FALSE)-AVERAGE('The List'!AA2:AA665))/STDEV('The List'!AA2:AA665)</f>
        <v>1.00034374019406</v>
      </c>
      <c r="O531" s="77">
        <f>(VLOOKUP($A531,'The List'!$B1:$AH665,27,FALSE)-AVERAGE('The List'!AB2:AB665))/STDEV('The List'!AB2:AB665)</f>
        <v>1.30036579895334</v>
      </c>
      <c r="P531" s="77">
        <f>(VLOOKUP($A531,'The List'!$B1:$AH665,28,FALSE)-AVERAGE('The List'!AC2:AC665))/STDEV('The List'!AC2:AC665)</f>
        <v>-0.412096871262725</v>
      </c>
      <c r="Q531" s="77">
        <f>(VLOOKUP($A531,'The List'!$B1:$AH665,29,FALSE)-AVERAGE('The List'!AD2:AD665))/STDEV('The List'!AD2:AD665)</f>
        <v>1.78153588867354</v>
      </c>
      <c r="R531" s="77">
        <f>(VLOOKUP($A531,'The List'!$B1:$AH665,30,FALSE)-AVERAGE('The List'!AE2:AE665))/STDEV('The List'!AE2:AE665)</f>
        <v>-0.82787889795548</v>
      </c>
      <c r="S531" s="77">
        <f>(VLOOKUP($A531,'The List'!$B1:$AH665,31,FALSE)-AVERAGE('The List'!AF2:AF665))/STDEV('The List'!AF2:AF665)</f>
        <v>-0.573894410680004</v>
      </c>
      <c r="T531" s="77">
        <f>(VLOOKUP($A531,'The List'!$B1:$AH665,32,FALSE)-AVERAGE('The List'!AG2:AG665))/STDEV('The List'!AG2:AG665)</f>
        <v>-0.6221804909001361</v>
      </c>
      <c r="U531" s="77">
        <f>(VLOOKUP($A531,'The List'!$B1:$AH665,33,FALSE)-AVERAGE('The List'!AH2:AH665))/STDEV('The List'!AH2:AH665)</f>
        <v>-1.23143509451486</v>
      </c>
      <c r="V531" s="77"/>
      <c r="W531" s="89"/>
      <c r="X531" s="79"/>
      <c r="Y531" s="79"/>
      <c r="Z531" s="79"/>
      <c r="AA531" s="79"/>
      <c r="AB531" s="79"/>
      <c r="AC531" s="82"/>
      <c r="AD531" s="83"/>
      <c r="AE531" s="84"/>
    </row>
    <row r="532" ht="21.25" customHeight="1">
      <c r="A532" t="s" s="10">
        <v>512</v>
      </c>
      <c r="B532" t="s" s="86">
        <f>VLOOKUP(A532,'Player Data'!A1:B667,2,FALSE)</f>
        <v>903</v>
      </c>
      <c r="C532" s="74">
        <f>((E532)*'Settings'!$C$12)+(F532*'Settings'!$C$2)+(G532*'Settings'!$C$3)+(H532*'Settings'!$C$4)+(I532*'Settings'!$C$5)+(K532*'Settings'!$C$9)+(N532*'Settings'!$C$6)+(J532*'Settings'!$C$8)+(O532*'Settings'!$C$7)+(P532*'Settings'!$C$14)+(Q532*'Settings'!$C$15)+(R532*'Settings'!$C$16)+(S532*'Settings'!$C$17)+(T532*'Settings'!$C$18)+(U532*'Settings'!$C$19)+(L532*'Settings'!$C$10)+('Settings'!$C$11*M532)</f>
        <v>-1.44347356348347</v>
      </c>
      <c r="D532" s="79">
        <f>IF('Settings'!$E$12="YES",VLOOKUP(A532,'Player Data'!A1:E667,5,FALSE),82)</f>
        <v>77.295</v>
      </c>
      <c r="E532" s="77">
        <f>(VLOOKUP($A532,'The List'!$B1:$AH665,17,FALSE)-AVERAGE('The List'!R2:R665))/STDEV('The List'!R2:R665)</f>
        <v>0.460922821062542</v>
      </c>
      <c r="F532" s="77">
        <f>(VLOOKUP($A532,'The List'!$B1:$AH665,18,FALSE)-AVERAGE('The List'!S2:S665))/STDEV('The List'!S2:S665)</f>
        <v>-1.01696710119248</v>
      </c>
      <c r="G532" s="77">
        <f>(VLOOKUP($A532,'The List'!$B1:$AH665,19,FALSE)-AVERAGE('The List'!T2:T665))/STDEV('The List'!T2:T665)</f>
        <v>-0.730383586905594</v>
      </c>
      <c r="H532" s="77">
        <f>(VLOOKUP($A532,'The List'!$B1:$AH665,20,FALSE)-AVERAGE('The List'!U2:U665))/STDEV('The List'!U2:U665)</f>
        <v>-0.915869163378576</v>
      </c>
      <c r="I532" s="77">
        <f>(VLOOKUP($A532,'The List'!$B1:$AH665,21,FALSE)-AVERAGE('The List'!V2:V665))/STDEV('The List'!V2:V665)</f>
        <v>-0.402930691329946</v>
      </c>
      <c r="J532" s="77">
        <f>(VLOOKUP($A532,'The List'!$B1:$AH665,22,FALSE)-AVERAGE('The List'!W2:W665))/STDEV('The List'!W2:W665)</f>
        <v>-0.740678364925514</v>
      </c>
      <c r="K532" s="77">
        <f>(VLOOKUP($A532,'The List'!$B1:$AH665,23,FALSE)-AVERAGE('The List'!X2:X665))/STDEV('The List'!X2:X665)</f>
        <v>-0.816351507525277</v>
      </c>
      <c r="L532" s="77">
        <f>(VLOOKUP($A532,'The List'!$B1:$AH665,24,FALSE)-AVERAGE('The List'!Y2:Y665))/STDEV('The List'!Y2:Y665)</f>
        <v>-0.510302321778532</v>
      </c>
      <c r="M532" s="77">
        <f>(VLOOKUP($A532,'The List'!$B1:$AH665,25,FALSE)-AVERAGE('The List'!Z2:Z665))/STDEV('The List'!Z2:Z665)</f>
        <v>-0.57015205373888</v>
      </c>
      <c r="N532" s="77">
        <f>(VLOOKUP($A532,'The List'!$B1:$AH665,26,FALSE)-AVERAGE('The List'!AA2:AA665))/STDEV('The List'!AA2:AA665)</f>
        <v>1.32279017918887</v>
      </c>
      <c r="O532" s="77">
        <f>(VLOOKUP($A532,'The List'!$B1:$AH665,27,FALSE)-AVERAGE('The List'!AB2:AB665))/STDEV('The List'!AB2:AB665)</f>
        <v>0.985273321831416</v>
      </c>
      <c r="P532" s="77">
        <f>(VLOOKUP($A532,'The List'!$B1:$AH665,28,FALSE)-AVERAGE('The List'!AC2:AC665))/STDEV('The List'!AC2:AC665)</f>
        <v>0.200369144280954</v>
      </c>
      <c r="Q532" s="77">
        <f>(VLOOKUP($A532,'The List'!$B1:$AH665,29,FALSE)-AVERAGE('The List'!AD2:AD665))/STDEV('The List'!AD2:AD665)</f>
        <v>0.564949491526057</v>
      </c>
      <c r="R532" s="77">
        <f>(VLOOKUP($A532,'The List'!$B1:$AH665,30,FALSE)-AVERAGE('The List'!AE2:AE665))/STDEV('The List'!AE2:AE665)</f>
        <v>-0.966009570587034</v>
      </c>
      <c r="S532" s="77">
        <f>(VLOOKUP($A532,'The List'!$B1:$AH665,31,FALSE)-AVERAGE('The List'!AF2:AF665))/STDEV('The List'!AF2:AF665)</f>
        <v>-0.573894410680004</v>
      </c>
      <c r="T532" s="77">
        <f>(VLOOKUP($A532,'The List'!$B1:$AH665,32,FALSE)-AVERAGE('The List'!AG2:AG665))/STDEV('The List'!AG2:AG665)</f>
        <v>-0.625770787132651</v>
      </c>
      <c r="U532" s="77">
        <f>(VLOOKUP($A532,'The List'!$B1:$AH665,33,FALSE)-AVERAGE('The List'!AH2:AH665))/STDEV('The List'!AH2:AH665)</f>
        <v>-1.23143509451486</v>
      </c>
      <c r="V532" s="77"/>
      <c r="W532" s="89"/>
      <c r="X532" s="79"/>
      <c r="Y532" s="79"/>
      <c r="Z532" s="79"/>
      <c r="AA532" s="79"/>
      <c r="AB532" s="79"/>
      <c r="AC532" s="82"/>
      <c r="AD532" s="83"/>
      <c r="AE532" s="84"/>
    </row>
    <row r="533" ht="21.25" customHeight="1">
      <c r="A533" t="s" s="10">
        <v>683</v>
      </c>
      <c r="B533" t="s" s="86">
        <f>VLOOKUP(A533,'Player Data'!A1:B667,2,FALSE)</f>
        <v>913</v>
      </c>
      <c r="C533" s="74">
        <f>((E533)*'Settings'!$C$12)+(F533*'Settings'!$C$2)+(G533*'Settings'!$C$3)+(H533*'Settings'!$C$4)+(I533*'Settings'!$C$5)+(K533*'Settings'!$C$9)+(N533*'Settings'!$C$6)+(J533*'Settings'!$C$8)+(O533*'Settings'!$C$7)+(P533*'Settings'!$C$14)+(Q533*'Settings'!$C$15)+(R533*'Settings'!$C$16)+(S533*'Settings'!$C$17)+(T533*'Settings'!$C$18)+(U533*'Settings'!$C$19)+(L533*'Settings'!$C$10)+('Settings'!$C$11*M533)</f>
        <v>-4.93390073060428</v>
      </c>
      <c r="D533" s="79">
        <f>IF('Settings'!$E$12="YES",VLOOKUP(A533,'Player Data'!A1:E667,5,FALSE),82)</f>
        <v>75.5475</v>
      </c>
      <c r="E533" s="77">
        <f>(VLOOKUP($A533,'The List'!$B1:$AH665,17,FALSE)-AVERAGE('The List'!R2:R665))/STDEV('The List'!R2:R665)</f>
        <v>0.286324667814579</v>
      </c>
      <c r="F533" s="77">
        <f>(VLOOKUP($A533,'The List'!$B1:$AH665,18,FALSE)-AVERAGE('The List'!S2:S665))/STDEV('The List'!S2:S665)</f>
        <v>-0.977789717374424</v>
      </c>
      <c r="G533" s="77">
        <f>(VLOOKUP($A533,'The List'!$B1:$AH665,19,FALSE)-AVERAGE('The List'!T2:T665))/STDEV('The List'!T2:T665)</f>
        <v>-0.788853130109141</v>
      </c>
      <c r="H533" s="77">
        <f>(VLOOKUP($A533,'The List'!$B1:$AH665,20,FALSE)-AVERAGE('The List'!U2:U665))/STDEV('The List'!U2:U665)</f>
        <v>-0.934374054144278</v>
      </c>
      <c r="I533" s="77">
        <f>(VLOOKUP($A533,'The List'!$B1:$AH665,21,FALSE)-AVERAGE('The List'!V2:V665))/STDEV('The List'!V2:V665)</f>
        <v>-0.956863700630962</v>
      </c>
      <c r="J533" s="77">
        <f>(VLOOKUP($A533,'The List'!$B1:$AH665,22,FALSE)-AVERAGE('The List'!W2:W665))/STDEV('The List'!W2:W665)</f>
        <v>-0.735500571350438</v>
      </c>
      <c r="K533" s="77">
        <f>(VLOOKUP($A533,'The List'!$B1:$AH665,23,FALSE)-AVERAGE('The List'!X2:X665))/STDEV('The List'!X2:X665)</f>
        <v>-0.802767931300605</v>
      </c>
      <c r="L533" s="77">
        <f>(VLOOKUP($A533,'The List'!$B1:$AH665,24,FALSE)-AVERAGE('The List'!Y2:Y665))/STDEV('The List'!Y2:Y665)</f>
        <v>-0.540995713920298</v>
      </c>
      <c r="M533" s="77">
        <f>(VLOOKUP($A533,'The List'!$B1:$AH665,25,FALSE)-AVERAGE('The List'!Z2:Z665))/STDEV('The List'!Z2:Z665)</f>
        <v>0.157164379580521</v>
      </c>
      <c r="N533" s="77">
        <f>(VLOOKUP($A533,'The List'!$B1:$AH665,26,FALSE)-AVERAGE('The List'!AA2:AA665))/STDEV('The List'!AA2:AA665)</f>
        <v>0.9564829079689</v>
      </c>
      <c r="O533" s="77">
        <f>(VLOOKUP($A533,'The List'!$B1:$AH665,27,FALSE)-AVERAGE('The List'!AB2:AB665))/STDEV('The List'!AB2:AB665)</f>
        <v>-0.136913315209614</v>
      </c>
      <c r="P533" s="77">
        <f>(VLOOKUP($A533,'The List'!$B1:$AH665,28,FALSE)-AVERAGE('The List'!AC2:AC665))/STDEV('The List'!AC2:AC665)</f>
        <v>-2.36410915915805</v>
      </c>
      <c r="Q533" s="77">
        <f>(VLOOKUP($A533,'The List'!$B1:$AH665,29,FALSE)-AVERAGE('The List'!AD2:AD665))/STDEV('The List'!AD2:AD665)</f>
        <v>0.335936460509813</v>
      </c>
      <c r="R533" s="77">
        <f>(VLOOKUP($A533,'The List'!$B1:$AH665,30,FALSE)-AVERAGE('The List'!AE2:AE665))/STDEV('The List'!AE2:AE665)</f>
        <v>-1.03115104055697</v>
      </c>
      <c r="S533" s="77">
        <f>(VLOOKUP($A533,'The List'!$B1:$AH665,31,FALSE)-AVERAGE('The List'!AF2:AF665))/STDEV('The List'!AF2:AF665)</f>
        <v>-0.573894410680004</v>
      </c>
      <c r="T533" s="77">
        <f>(VLOOKUP($A533,'The List'!$B1:$AH665,32,FALSE)-AVERAGE('The List'!AG2:AG665))/STDEV('The List'!AG2:AG665)</f>
        <v>-0.625770787132651</v>
      </c>
      <c r="U533" s="77">
        <f>(VLOOKUP($A533,'The List'!$B1:$AH665,33,FALSE)-AVERAGE('The List'!AH2:AH665))/STDEV('The List'!AH2:AH665)</f>
        <v>-1.23143509451486</v>
      </c>
      <c r="V533" s="77"/>
      <c r="W533" s="89"/>
      <c r="X533" s="79"/>
      <c r="Y533" s="79"/>
      <c r="Z533" s="79"/>
      <c r="AA533" s="79"/>
      <c r="AB533" s="79"/>
      <c r="AC533" s="82"/>
      <c r="AD533" s="83"/>
      <c r="AE533" s="84"/>
    </row>
    <row r="534" ht="21.25" customHeight="1">
      <c r="A534" t="s" s="10">
        <v>742</v>
      </c>
      <c r="B534" t="s" s="86">
        <f>VLOOKUP(A534,'Player Data'!A1:B667,2,FALSE)</f>
        <v>192</v>
      </c>
      <c r="C534" s="74">
        <f>((E534)*'Settings'!$C$12)+(F534*'Settings'!$C$2)+(G534*'Settings'!$C$3)+(H534*'Settings'!$C$4)+(I534*'Settings'!$C$5)+(K534*'Settings'!$C$9)+(N534*'Settings'!$C$6)+(J534*'Settings'!$C$8)+(O534*'Settings'!$C$7)+(P534*'Settings'!$C$14)+(Q534*'Settings'!$C$15)+(R534*'Settings'!$C$16)+(S534*'Settings'!$C$17)+(T534*'Settings'!$C$18)+(U534*'Settings'!$C$19)+(L534*'Settings'!$C$10)+('Settings'!$C$11*M534)</f>
        <v>-2.6482707318019</v>
      </c>
      <c r="D534" s="79">
        <f>IF('Settings'!$E$12="YES",VLOOKUP(A534,'Player Data'!A1:E667,5,FALSE),82)</f>
        <v>77.9375</v>
      </c>
      <c r="E534" s="77">
        <f>(VLOOKUP($A534,'The List'!$B1:$AH665,17,FALSE)-AVERAGE('The List'!R2:R665))/STDEV('The List'!R2:R665)</f>
        <v>0.00666296214012584</v>
      </c>
      <c r="F534" s="77">
        <f>(VLOOKUP($A534,'The List'!$B1:$AH665,18,FALSE)-AVERAGE('The List'!S2:S665))/STDEV('The List'!S2:S665)</f>
        <v>-1.08981100218468</v>
      </c>
      <c r="G534" s="77">
        <f>(VLOOKUP($A534,'The List'!$B1:$AH665,19,FALSE)-AVERAGE('The List'!T2:T665))/STDEV('The List'!T2:T665)</f>
        <v>-0.688443791970067</v>
      </c>
      <c r="H534" s="77">
        <f>(VLOOKUP($A534,'The List'!$B1:$AH665,20,FALSE)-AVERAGE('The List'!U2:U665))/STDEV('The List'!U2:U665)</f>
        <v>-0.922933208077546</v>
      </c>
      <c r="I534" s="77">
        <f>(VLOOKUP($A534,'The List'!$B1:$AH665,21,FALSE)-AVERAGE('The List'!V2:V665))/STDEV('The List'!V2:V665)</f>
        <v>-0.957350172485308</v>
      </c>
      <c r="J534" s="77">
        <f>(VLOOKUP($A534,'The List'!$B1:$AH665,22,FALSE)-AVERAGE('The List'!W2:W665))/STDEV('The List'!W2:W665)</f>
        <v>-0.742101906039054</v>
      </c>
      <c r="K534" s="77">
        <f>(VLOOKUP($A534,'The List'!$B1:$AH665,23,FALSE)-AVERAGE('The List'!X2:X665))/STDEV('The List'!X2:X665)</f>
        <v>-0.815441579240449</v>
      </c>
      <c r="L534" s="77">
        <f>(VLOOKUP($A534,'The List'!$B1:$AH665,24,FALSE)-AVERAGE('The List'!Y2:Y665))/STDEV('The List'!Y2:Y665)</f>
        <v>-0.533338053042807</v>
      </c>
      <c r="M534" s="77">
        <f>(VLOOKUP($A534,'The List'!$B1:$AH665,25,FALSE)-AVERAGE('The List'!Z2:Z665))/STDEV('The List'!Z2:Z665)</f>
        <v>-0.0386177564412308</v>
      </c>
      <c r="N534" s="77">
        <f>(VLOOKUP($A534,'The List'!$B1:$AH665,26,FALSE)-AVERAGE('The List'!AA2:AA665))/STDEV('The List'!AA2:AA665)</f>
        <v>1.23399742167779</v>
      </c>
      <c r="O534" s="77">
        <f>(VLOOKUP($A534,'The List'!$B1:$AH665,27,FALSE)-AVERAGE('The List'!AB2:AB665))/STDEV('The List'!AB2:AB665)</f>
        <v>-1.05134591998425</v>
      </c>
      <c r="P534" s="77">
        <f>(VLOOKUP($A534,'The List'!$B1:$AH665,28,FALSE)-AVERAGE('The List'!AC2:AC665))/STDEV('The List'!AC2:AC665)</f>
        <v>-0.331221607599183</v>
      </c>
      <c r="Q534" s="77">
        <f>(VLOOKUP($A534,'The List'!$B1:$AH665,29,FALSE)-AVERAGE('The List'!AD2:AD665))/STDEV('The List'!AD2:AD665)</f>
        <v>-0.7477167685006459</v>
      </c>
      <c r="R534" s="77">
        <f>(VLOOKUP($A534,'The List'!$B1:$AH665,30,FALSE)-AVERAGE('The List'!AE2:AE665))/STDEV('The List'!AE2:AE665)</f>
        <v>-1.05305903798731</v>
      </c>
      <c r="S534" s="77">
        <f>(VLOOKUP($A534,'The List'!$B1:$AH665,31,FALSE)-AVERAGE('The List'!AF2:AF665))/STDEV('The List'!AF2:AF665)</f>
        <v>-0.573894410680004</v>
      </c>
      <c r="T534" s="77">
        <f>(VLOOKUP($A534,'The List'!$B1:$AH665,32,FALSE)-AVERAGE('The List'!AG2:AG665))/STDEV('The List'!AG2:AG665)</f>
        <v>-0.625770787132651</v>
      </c>
      <c r="U534" s="77">
        <f>(VLOOKUP($A534,'The List'!$B1:$AH665,33,FALSE)-AVERAGE('The List'!AH2:AH665))/STDEV('The List'!AH2:AH665)</f>
        <v>-1.23143509451486</v>
      </c>
      <c r="V534" s="77"/>
      <c r="W534" s="89"/>
      <c r="X534" s="79"/>
      <c r="Y534" s="79"/>
      <c r="Z534" s="79"/>
      <c r="AA534" s="79"/>
      <c r="AB534" s="79"/>
      <c r="AC534" s="82"/>
      <c r="AD534" s="83"/>
      <c r="AE534" s="84"/>
    </row>
    <row r="535" ht="21.25" customHeight="1">
      <c r="A535" t="s" s="10">
        <v>785</v>
      </c>
      <c r="B535" t="s" s="86">
        <f>VLOOKUP(A535,'Player Data'!A1:B667,2,FALSE)</f>
        <v>907</v>
      </c>
      <c r="C535" s="74">
        <f>((E535)*'Settings'!$C$12)+(F535*'Settings'!$C$2)+(G535*'Settings'!$C$3)+(H535*'Settings'!$C$4)+(I535*'Settings'!$C$5)+(K535*'Settings'!$C$9)+(N535*'Settings'!$C$6)+(J535*'Settings'!$C$8)+(O535*'Settings'!$C$7)+(P535*'Settings'!$C$14)+(Q535*'Settings'!$C$15)+(R535*'Settings'!$C$16)+(S535*'Settings'!$C$17)+(T535*'Settings'!$C$18)+(U535*'Settings'!$C$19)+(L535*'Settings'!$C$10)+('Settings'!$C$11*M535)</f>
        <v>-4.3425372564697</v>
      </c>
      <c r="D535" s="79">
        <f>IF('Settings'!$E$12="YES",VLOOKUP(A535,'Player Data'!A1:E667,5,FALSE),82)</f>
        <v>64.185</v>
      </c>
      <c r="E535" s="77">
        <f>(VLOOKUP($A535,'The List'!$B1:$AH665,17,FALSE)-AVERAGE('The List'!R2:R665))/STDEV('The List'!R2:R665)</f>
        <v>-0.10919712442903</v>
      </c>
      <c r="F535" s="77">
        <f>(VLOOKUP($A535,'The List'!$B1:$AH665,18,FALSE)-AVERAGE('The List'!S2:S665))/STDEV('The List'!S2:S665)</f>
        <v>-1.0990429835844</v>
      </c>
      <c r="G535" s="77">
        <f>(VLOOKUP($A535,'The List'!$B1:$AH665,19,FALSE)-AVERAGE('The List'!T2:T665))/STDEV('The List'!T2:T665)</f>
        <v>-0.890205782711042</v>
      </c>
      <c r="H535" s="77">
        <f>(VLOOKUP($A535,'The List'!$B1:$AH665,20,FALSE)-AVERAGE('The List'!U2:U665))/STDEV('The List'!U2:U665)</f>
        <v>-1.05243512340139</v>
      </c>
      <c r="I535" s="77">
        <f>(VLOOKUP($A535,'The List'!$B1:$AH665,21,FALSE)-AVERAGE('The List'!V2:V665))/STDEV('The List'!V2:V665)</f>
        <v>-1.29136146314676</v>
      </c>
      <c r="J535" s="77">
        <f>(VLOOKUP($A535,'The List'!$B1:$AH665,22,FALSE)-AVERAGE('The List'!W2:W665))/STDEV('The List'!W2:W665)</f>
        <v>-0.741807027177491</v>
      </c>
      <c r="K535" s="77">
        <f>(VLOOKUP($A535,'The List'!$B1:$AH665,23,FALSE)-AVERAGE('The List'!X2:X665))/STDEV('The List'!X2:X665)</f>
        <v>-0.819204653923771</v>
      </c>
      <c r="L535" s="77">
        <f>(VLOOKUP($A535,'The List'!$B1:$AH665,24,FALSE)-AVERAGE('The List'!Y2:Y665))/STDEV('The List'!Y2:Y665)</f>
        <v>-0.561437653976649</v>
      </c>
      <c r="M535" s="77">
        <f>(VLOOKUP($A535,'The List'!$B1:$AH665,25,FALSE)-AVERAGE('The List'!Z2:Z665))/STDEV('The List'!Z2:Z665)</f>
        <v>-0.698781236387914</v>
      </c>
      <c r="N535" s="77">
        <f>(VLOOKUP($A535,'The List'!$B1:$AH665,26,FALSE)-AVERAGE('The List'!AA2:AA665))/STDEV('The List'!AA2:AA665)</f>
        <v>0.641169467474094</v>
      </c>
      <c r="O535" s="77">
        <f>(VLOOKUP($A535,'The List'!$B1:$AH665,27,FALSE)-AVERAGE('The List'!AB2:AB665))/STDEV('The List'!AB2:AB665)</f>
        <v>-0.305547476422679</v>
      </c>
      <c r="P535" s="77">
        <f>(VLOOKUP($A535,'The List'!$B1:$AH665,28,FALSE)-AVERAGE('The List'!AC2:AC665))/STDEV('The List'!AC2:AC665)</f>
        <v>-0.883891840577823</v>
      </c>
      <c r="Q535" s="77">
        <f>(VLOOKUP($A535,'The List'!$B1:$AH665,29,FALSE)-AVERAGE('The List'!AD2:AD665))/STDEV('The List'!AD2:AD665)</f>
        <v>-0.732311269180022</v>
      </c>
      <c r="R535" s="77">
        <f>(VLOOKUP($A535,'The List'!$B1:$AH665,30,FALSE)-AVERAGE('The List'!AE2:AE665))/STDEV('The List'!AE2:AE665)</f>
        <v>-1.09384282170656</v>
      </c>
      <c r="S535" s="77">
        <f>(VLOOKUP($A535,'The List'!$B1:$AH665,31,FALSE)-AVERAGE('The List'!AF2:AF665))/STDEV('The List'!AF2:AF665)</f>
        <v>-0.573894410680004</v>
      </c>
      <c r="T535" s="77">
        <f>(VLOOKUP($A535,'The List'!$B1:$AH665,32,FALSE)-AVERAGE('The List'!AG2:AG665))/STDEV('The List'!AG2:AG665)</f>
        <v>-0.625770787132651</v>
      </c>
      <c r="U535" s="77">
        <f>(VLOOKUP($A535,'The List'!$B1:$AH665,33,FALSE)-AVERAGE('The List'!AH2:AH665))/STDEV('The List'!AH2:AH665)</f>
        <v>-1.23143509451486</v>
      </c>
      <c r="V535" s="77"/>
      <c r="W535" s="89"/>
      <c r="X535" s="79"/>
      <c r="Y535" s="79"/>
      <c r="Z535" s="79"/>
      <c r="AA535" s="79"/>
      <c r="AB535" s="79"/>
      <c r="AC535" s="82"/>
      <c r="AD535" s="83"/>
      <c r="AE535" s="84"/>
    </row>
    <row r="536" ht="21.25" customHeight="1">
      <c r="A536" t="s" s="10">
        <v>686</v>
      </c>
      <c r="B536" t="s" s="86">
        <f>VLOOKUP(A536,'Player Data'!A1:B667,2,FALSE)</f>
        <v>912</v>
      </c>
      <c r="C536" s="74">
        <f>((E536)*'Settings'!$C$12)+(F536*'Settings'!$C$2)+(G536*'Settings'!$C$3)+(H536*'Settings'!$C$4)+(I536*'Settings'!$C$5)+(K536*'Settings'!$C$9)+(N536*'Settings'!$C$6)+(J536*'Settings'!$C$8)+(O536*'Settings'!$C$7)+(P536*'Settings'!$C$14)+(Q536*'Settings'!$C$15)+(R536*'Settings'!$C$16)+(S536*'Settings'!$C$17)+(T536*'Settings'!$C$18)+(U536*'Settings'!$C$19)+(L536*'Settings'!$C$10)+('Settings'!$C$11*M536)</f>
        <v>-3.02173184943499</v>
      </c>
      <c r="D536" s="79">
        <f>IF('Settings'!$E$12="YES",VLOOKUP(A536,'Player Data'!A1:E667,5,FALSE),82)</f>
        <v>81.075</v>
      </c>
      <c r="E536" s="77">
        <f>(VLOOKUP($A536,'The List'!$B1:$AH665,17,FALSE)-AVERAGE('The List'!R2:R665))/STDEV('The List'!R2:R665)</f>
        <v>0.20628521199313</v>
      </c>
      <c r="F536" s="77">
        <f>(VLOOKUP($A536,'The List'!$B1:$AH665,18,FALSE)-AVERAGE('The List'!S2:S665))/STDEV('The List'!S2:S665)</f>
        <v>-1.06599746085856</v>
      </c>
      <c r="G536" s="77">
        <f>(VLOOKUP($A536,'The List'!$B1:$AH665,19,FALSE)-AVERAGE('The List'!T2:T665))/STDEV('The List'!T2:T665)</f>
        <v>-0.666364859024671</v>
      </c>
      <c r="H536" s="77">
        <f>(VLOOKUP($A536,'The List'!$B1:$AH665,20,FALSE)-AVERAGE('The List'!U2:U665))/STDEV('The List'!U2:U665)</f>
        <v>-0.898396562780496</v>
      </c>
      <c r="I536" s="77">
        <f>(VLOOKUP($A536,'The List'!$B1:$AH665,21,FALSE)-AVERAGE('The List'!V2:V665))/STDEV('The List'!V2:V665)</f>
        <v>-1.04666128068884</v>
      </c>
      <c r="J536" s="77">
        <f>(VLOOKUP($A536,'The List'!$B1:$AH665,22,FALSE)-AVERAGE('The List'!W2:W665))/STDEV('The List'!W2:W665)</f>
        <v>-0.73646923968246</v>
      </c>
      <c r="K536" s="77">
        <f>(VLOOKUP($A536,'The List'!$B1:$AH665,23,FALSE)-AVERAGE('The List'!X2:X665))/STDEV('The List'!X2:X665)</f>
        <v>-0.804182299182891</v>
      </c>
      <c r="L536" s="77">
        <f>(VLOOKUP($A536,'The List'!$B1:$AH665,24,FALSE)-AVERAGE('The List'!Y2:Y665))/STDEV('The List'!Y2:Y665)</f>
        <v>-0.539068536146598</v>
      </c>
      <c r="M536" s="77">
        <f>(VLOOKUP($A536,'The List'!$B1:$AH665,25,FALSE)-AVERAGE('The List'!Z2:Z665))/STDEV('The List'!Z2:Z665)</f>
        <v>-0.135111635019857</v>
      </c>
      <c r="N536" s="77">
        <f>(VLOOKUP($A536,'The List'!$B1:$AH665,26,FALSE)-AVERAGE('The List'!AA2:AA665))/STDEV('The List'!AA2:AA665)</f>
        <v>0.894471256761933</v>
      </c>
      <c r="O536" s="77">
        <f>(VLOOKUP($A536,'The List'!$B1:$AH665,27,FALSE)-AVERAGE('The List'!AB2:AB665))/STDEV('The List'!AB2:AB665)</f>
        <v>-0.0365013804336208</v>
      </c>
      <c r="P536" s="77">
        <f>(VLOOKUP($A536,'The List'!$B1:$AH665,28,FALSE)-AVERAGE('The List'!AC2:AC665))/STDEV('The List'!AC2:AC665)</f>
        <v>-0.332997206441963</v>
      </c>
      <c r="Q536" s="77">
        <f>(VLOOKUP($A536,'The List'!$B1:$AH665,29,FALSE)-AVERAGE('The List'!AD2:AD665))/STDEV('The List'!AD2:AD665)</f>
        <v>-0.786570053947697</v>
      </c>
      <c r="R536" s="77">
        <f>(VLOOKUP($A536,'The List'!$B1:$AH665,30,FALSE)-AVERAGE('The List'!AE2:AE665))/STDEV('The List'!AE2:AE665)</f>
        <v>-1.07488859295315</v>
      </c>
      <c r="S536" s="77">
        <f>(VLOOKUP($A536,'The List'!$B1:$AH665,31,FALSE)-AVERAGE('The List'!AF2:AF665))/STDEV('The List'!AF2:AF665)</f>
        <v>-0.573894410680004</v>
      </c>
      <c r="T536" s="77">
        <f>(VLOOKUP($A536,'The List'!$B1:$AH665,32,FALSE)-AVERAGE('The List'!AG2:AG665))/STDEV('The List'!AG2:AG665)</f>
        <v>-0.625770787132651</v>
      </c>
      <c r="U536" s="77">
        <f>(VLOOKUP($A536,'The List'!$B1:$AH665,33,FALSE)-AVERAGE('The List'!AH2:AH665))/STDEV('The List'!AH2:AH665)</f>
        <v>-1.23143509451486</v>
      </c>
      <c r="V536" s="77"/>
      <c r="W536" s="89"/>
      <c r="X536" s="79"/>
      <c r="Y536" s="79"/>
      <c r="Z536" s="79"/>
      <c r="AA536" s="79"/>
      <c r="AB536" s="79"/>
      <c r="AC536" s="82"/>
      <c r="AD536" s="83"/>
      <c r="AE536" s="84"/>
    </row>
    <row r="537" ht="21.25" customHeight="1">
      <c r="A537" t="s" s="10">
        <v>729</v>
      </c>
      <c r="B537" t="s" s="86">
        <f>VLOOKUP(A537,'Player Data'!A1:B667,2,FALSE)</f>
        <v>899</v>
      </c>
      <c r="C537" s="74">
        <f>((E537)*'Settings'!$C$12)+(F537*'Settings'!$C$2)+(G537*'Settings'!$C$3)+(H537*'Settings'!$C$4)+(I537*'Settings'!$C$5)+(K537*'Settings'!$C$9)+(N537*'Settings'!$C$6)+(J537*'Settings'!$C$8)+(O537*'Settings'!$C$7)+(P537*'Settings'!$C$14)+(Q537*'Settings'!$C$15)+(R537*'Settings'!$C$16)+(S537*'Settings'!$C$17)+(T537*'Settings'!$C$18)+(U537*'Settings'!$C$19)+(L537*'Settings'!$C$10)+('Settings'!$C$11*M537)</f>
        <v>-4.39657949565768</v>
      </c>
      <c r="D537" s="79">
        <f>IF('Settings'!$E$12="YES",VLOOKUP(A537,'Player Data'!A1:E667,5,FALSE),82)</f>
        <v>69.58</v>
      </c>
      <c r="E537" s="77">
        <f>(VLOOKUP($A537,'The List'!$B1:$AH665,17,FALSE)-AVERAGE('The List'!R2:R665))/STDEV('The List'!R2:R665)</f>
        <v>-1.8212818974907</v>
      </c>
      <c r="F537" s="77">
        <f>(VLOOKUP($A537,'The List'!$B1:$AH665,18,FALSE)-AVERAGE('The List'!S2:S665))/STDEV('The List'!S2:S665)</f>
        <v>-0.528319283965604</v>
      </c>
      <c r="G537" s="77">
        <f>(VLOOKUP($A537,'The List'!$B1:$AH665,19,FALSE)-AVERAGE('The List'!T2:T665))/STDEV('The List'!T2:T665)</f>
        <v>-1.23318785486412</v>
      </c>
      <c r="H537" s="77">
        <f>(VLOOKUP($A537,'The List'!$B1:$AH665,20,FALSE)-AVERAGE('The List'!U2:U665))/STDEV('The List'!U2:U665)</f>
        <v>-1.00602522529171</v>
      </c>
      <c r="I537" s="77">
        <f>(VLOOKUP($A537,'The List'!$B1:$AH665,21,FALSE)-AVERAGE('The List'!V2:V665))/STDEV('The List'!V2:V665)</f>
        <v>-1.28062277574273</v>
      </c>
      <c r="J537" s="77">
        <f>(VLOOKUP($A537,'The List'!$B1:$AH665,22,FALSE)-AVERAGE('The List'!W2:W665))/STDEV('The List'!W2:W665)</f>
        <v>-0.741464976751421</v>
      </c>
      <c r="K537" s="77">
        <f>(VLOOKUP($A537,'The List'!$B1:$AH665,23,FALSE)-AVERAGE('The List'!X2:X665))/STDEV('The List'!X2:X665)</f>
        <v>-0.825284470669294</v>
      </c>
      <c r="L537" s="77">
        <f>(VLOOKUP($A537,'The List'!$B1:$AH665,24,FALSE)-AVERAGE('The List'!Y2:Y665))/STDEV('The List'!Y2:Y665)</f>
        <v>-0.260654167719046</v>
      </c>
      <c r="M537" s="77">
        <f>(VLOOKUP($A537,'The List'!$B1:$AH665,25,FALSE)-AVERAGE('The List'!Z2:Z665))/STDEV('The List'!Z2:Z665)</f>
        <v>-0.42150828667791</v>
      </c>
      <c r="N537" s="77">
        <f>(VLOOKUP($A537,'The List'!$B1:$AH665,26,FALSE)-AVERAGE('The List'!AA2:AA665))/STDEV('The List'!AA2:AA665)</f>
        <v>-0.615920568602761</v>
      </c>
      <c r="O537" s="77">
        <f>(VLOOKUP($A537,'The List'!$B1:$AH665,27,FALSE)-AVERAGE('The List'!AB2:AB665))/STDEV('The List'!AB2:AB665)</f>
        <v>0.8288756355911731</v>
      </c>
      <c r="P537" s="77">
        <f>(VLOOKUP($A537,'The List'!$B1:$AH665,28,FALSE)-AVERAGE('The List'!AC2:AC665))/STDEV('The List'!AC2:AC665)</f>
        <v>0.08675545818682411</v>
      </c>
      <c r="Q537" s="77">
        <f>(VLOOKUP($A537,'The List'!$B1:$AH665,29,FALSE)-AVERAGE('The List'!AD2:AD665))/STDEV('The List'!AD2:AD665)</f>
        <v>-0.614031581349458</v>
      </c>
      <c r="R537" s="77">
        <f>(VLOOKUP($A537,'The List'!$B1:$AH665,30,FALSE)-AVERAGE('The List'!AE2:AE665))/STDEV('The List'!AE2:AE665)</f>
        <v>-0.470072740376964</v>
      </c>
      <c r="S537" s="77">
        <f>(VLOOKUP($A537,'The List'!$B1:$AH665,31,FALSE)-AVERAGE('The List'!AF2:AF665))/STDEV('The List'!AF2:AF665)</f>
        <v>1.12311072390193</v>
      </c>
      <c r="T537" s="77">
        <f>(VLOOKUP($A537,'The List'!$B1:$AH665,32,FALSE)-AVERAGE('The List'!AG2:AG665))/STDEV('The List'!AG2:AG665)</f>
        <v>0.875098783499963</v>
      </c>
      <c r="U537" s="77">
        <f>(VLOOKUP($A537,'The List'!$B1:$AH665,33,FALSE)-AVERAGE('The List'!AH2:AH665))/STDEV('The List'!AH2:AH665)</f>
        <v>1.24361487234498</v>
      </c>
      <c r="V537" s="77"/>
      <c r="W537" s="79"/>
      <c r="X537" s="77"/>
      <c r="Y537" s="77"/>
      <c r="Z537" s="77"/>
      <c r="AA537" s="77"/>
      <c r="AB537" s="77"/>
      <c r="AC537" s="77"/>
      <c r="AD537" s="77"/>
      <c r="AE537" s="84"/>
    </row>
    <row r="538" ht="21.25" customHeight="1">
      <c r="A538" t="s" s="10">
        <v>485</v>
      </c>
      <c r="B538" t="s" s="86">
        <f>VLOOKUP(A538,'Player Data'!A1:B667,2,FALSE)</f>
        <v>899</v>
      </c>
      <c r="C538" s="74">
        <f>((E538)*'Settings'!$C$12)+(F538*'Settings'!$C$2)+(G538*'Settings'!$C$3)+(H538*'Settings'!$C$4)+(I538*'Settings'!$C$5)+(K538*'Settings'!$C$9)+(N538*'Settings'!$C$6)+(J538*'Settings'!$C$8)+(O538*'Settings'!$C$7)+(P538*'Settings'!$C$14)+(Q538*'Settings'!$C$15)+(R538*'Settings'!$C$16)+(S538*'Settings'!$C$17)+(T538*'Settings'!$C$18)+(U538*'Settings'!$C$19)+(L538*'Settings'!$C$10)+('Settings'!$C$11*M538)</f>
        <v>-1.0147676664103</v>
      </c>
      <c r="D538" s="79">
        <f>IF('Settings'!$E$12="YES",VLOOKUP(A538,'Player Data'!A1:E667,5,FALSE),82)</f>
        <v>79.7025</v>
      </c>
      <c r="E538" s="77">
        <f>(VLOOKUP($A538,'The List'!$B1:$AH665,17,FALSE)-AVERAGE('The List'!R2:R665))/STDEV('The List'!R2:R665)</f>
        <v>0.6913962392024851</v>
      </c>
      <c r="F538" s="77">
        <f>(VLOOKUP($A538,'The List'!$B1:$AH665,18,FALSE)-AVERAGE('The List'!S2:S665))/STDEV('The List'!S2:S665)</f>
        <v>-0.920046707109361</v>
      </c>
      <c r="G538" s="77">
        <f>(VLOOKUP($A538,'The List'!$B1:$AH665,19,FALSE)-AVERAGE('The List'!T2:T665))/STDEV('The List'!T2:T665)</f>
        <v>-0.799745460611254</v>
      </c>
      <c r="H538" s="77">
        <f>(VLOOKUP($A538,'The List'!$B1:$AH665,20,FALSE)-AVERAGE('The List'!U2:U665))/STDEV('The List'!U2:U665)</f>
        <v>-0.914891860930224</v>
      </c>
      <c r="I538" s="77">
        <f>(VLOOKUP($A538,'The List'!$B1:$AH665,21,FALSE)-AVERAGE('The List'!V2:V665))/STDEV('The List'!V2:V665)</f>
        <v>-0.669324472150151</v>
      </c>
      <c r="J538" s="77">
        <f>(VLOOKUP($A538,'The List'!$B1:$AH665,22,FALSE)-AVERAGE('The List'!W2:W665))/STDEV('The List'!W2:W665)</f>
        <v>-0.7406848403708099</v>
      </c>
      <c r="K538" s="77">
        <f>(VLOOKUP($A538,'The List'!$B1:$AH665,23,FALSE)-AVERAGE('The List'!X2:X665))/STDEV('The List'!X2:X665)</f>
        <v>-0.813071610755622</v>
      </c>
      <c r="L538" s="77">
        <f>(VLOOKUP($A538,'The List'!$B1:$AH665,24,FALSE)-AVERAGE('The List'!Y2:Y665))/STDEV('The List'!Y2:Y665)</f>
        <v>-0.295632146547608</v>
      </c>
      <c r="M538" s="77">
        <f>(VLOOKUP($A538,'The List'!$B1:$AH665,25,FALSE)-AVERAGE('The List'!Z2:Z665))/STDEV('The List'!Z2:Z665)</f>
        <v>-0.491514884532957</v>
      </c>
      <c r="N538" s="77">
        <f>(VLOOKUP($A538,'The List'!$B1:$AH665,26,FALSE)-AVERAGE('The List'!AA2:AA665))/STDEV('The List'!AA2:AA665)</f>
        <v>1.61021355298189</v>
      </c>
      <c r="O538" s="77">
        <f>(VLOOKUP($A538,'The List'!$B1:$AH665,27,FALSE)-AVERAGE('The List'!AB2:AB665))/STDEV('The List'!AB2:AB665)</f>
        <v>1.05753899041242</v>
      </c>
      <c r="P538" s="77">
        <f>(VLOOKUP($A538,'The List'!$B1:$AH665,28,FALSE)-AVERAGE('The List'!AC2:AC665))/STDEV('The List'!AC2:AC665)</f>
        <v>0.577207031234198</v>
      </c>
      <c r="Q538" s="77">
        <f>(VLOOKUP($A538,'The List'!$B1:$AH665,29,FALSE)-AVERAGE('The List'!AD2:AD665))/STDEV('The List'!AD2:AD665)</f>
        <v>0.450007873447466</v>
      </c>
      <c r="R538" s="77">
        <f>(VLOOKUP($A538,'The List'!$B1:$AH665,30,FALSE)-AVERAGE('The List'!AE2:AE665))/STDEV('The List'!AE2:AE665)</f>
        <v>-0.861695765629763</v>
      </c>
      <c r="S538" s="77">
        <f>(VLOOKUP($A538,'The List'!$B1:$AH665,31,FALSE)-AVERAGE('The List'!AF2:AF665))/STDEV('The List'!AF2:AF665)</f>
        <v>-0.573894410680004</v>
      </c>
      <c r="T538" s="77">
        <f>(VLOOKUP($A538,'The List'!$B1:$AH665,32,FALSE)-AVERAGE('The List'!AG2:AG665))/STDEV('The List'!AG2:AG665)</f>
        <v>-0.625770787132651</v>
      </c>
      <c r="U538" s="77">
        <f>(VLOOKUP($A538,'The List'!$B1:$AH665,33,FALSE)-AVERAGE('The List'!AH2:AH665))/STDEV('The List'!AH2:AH665)</f>
        <v>-1.23143509451486</v>
      </c>
      <c r="V538" s="77"/>
      <c r="W538" s="89"/>
      <c r="X538" s="79"/>
      <c r="Y538" s="79"/>
      <c r="Z538" s="79"/>
      <c r="AA538" s="79"/>
      <c r="AB538" s="79"/>
      <c r="AC538" s="82"/>
      <c r="AD538" s="83"/>
      <c r="AE538" s="84"/>
    </row>
    <row r="539" ht="21.25" customHeight="1">
      <c r="A539" t="s" s="10">
        <v>726</v>
      </c>
      <c r="B539" t="s" s="86">
        <f>VLOOKUP(A539,'Player Data'!A1:B667,2,FALSE)</f>
        <v>154</v>
      </c>
      <c r="C539" s="74">
        <f>((E539)*'Settings'!$C$12)+(F539*'Settings'!$C$2)+(G539*'Settings'!$C$3)+(H539*'Settings'!$C$4)+(I539*'Settings'!$C$5)+(K539*'Settings'!$C$9)+(N539*'Settings'!$C$6)+(J539*'Settings'!$C$8)+(O539*'Settings'!$C$7)+(P539*'Settings'!$C$14)+(Q539*'Settings'!$C$15)+(R539*'Settings'!$C$16)+(S539*'Settings'!$C$17)+(T539*'Settings'!$C$18)+(U539*'Settings'!$C$19)+(L539*'Settings'!$C$10)+('Settings'!$C$11*M539)</f>
        <v>-4.94765746557233</v>
      </c>
      <c r="D539" s="79">
        <f>IF('Settings'!$E$12="YES",VLOOKUP(A539,'Player Data'!A1:E667,5,FALSE),82)</f>
        <v>73.33750000000001</v>
      </c>
      <c r="E539" s="77">
        <f>(VLOOKUP($A539,'The List'!$B1:$AH665,17,FALSE)-AVERAGE('The List'!R2:R665))/STDEV('The List'!R2:R665)</f>
        <v>-1.64279284233514</v>
      </c>
      <c r="F539" s="77">
        <f>(VLOOKUP($A539,'The List'!$B1:$AH665,18,FALSE)-AVERAGE('The List'!S2:S665))/STDEV('The List'!S2:S665)</f>
        <v>-0.753979986782644</v>
      </c>
      <c r="G539" s="77">
        <f>(VLOOKUP($A539,'The List'!$B1:$AH665,19,FALSE)-AVERAGE('The List'!T2:T665))/STDEV('The List'!T2:T665)</f>
        <v>-1.017802197362</v>
      </c>
      <c r="H539" s="77">
        <f>(VLOOKUP($A539,'The List'!$B1:$AH665,20,FALSE)-AVERAGE('The List'!U2:U665))/STDEV('The List'!U2:U665)</f>
        <v>-0.97483213719815</v>
      </c>
      <c r="I539" s="77">
        <f>(VLOOKUP($A539,'The List'!$B1:$AH665,21,FALSE)-AVERAGE('The List'!V2:V665))/STDEV('The List'!V2:V665)</f>
        <v>-0.981837809582436</v>
      </c>
      <c r="J539" s="77">
        <f>(VLOOKUP($A539,'The List'!$B1:$AH665,22,FALSE)-AVERAGE('The List'!W2:W665))/STDEV('The List'!W2:W665)</f>
        <v>-0.732527252472537</v>
      </c>
      <c r="K539" s="77">
        <f>(VLOOKUP($A539,'The List'!$B1:$AH665,23,FALSE)-AVERAGE('The List'!X2:X665))/STDEV('The List'!X2:X665)</f>
        <v>-0.8173544077725839</v>
      </c>
      <c r="L539" s="77">
        <f>(VLOOKUP($A539,'The List'!$B1:$AH665,24,FALSE)-AVERAGE('The List'!Y2:Y665))/STDEV('The List'!Y2:Y665)</f>
        <v>-0.479144076010419</v>
      </c>
      <c r="M539" s="77">
        <f>(VLOOKUP($A539,'The List'!$B1:$AH665,25,FALSE)-AVERAGE('The List'!Z2:Z665))/STDEV('The List'!Z2:Z665)</f>
        <v>-0.648701137182316</v>
      </c>
      <c r="N539" s="77">
        <f>(VLOOKUP($A539,'The List'!$B1:$AH665,26,FALSE)-AVERAGE('The List'!AA2:AA665))/STDEV('The List'!AA2:AA665)</f>
        <v>-0.932553125002539</v>
      </c>
      <c r="O539" s="77">
        <f>(VLOOKUP($A539,'The List'!$B1:$AH665,27,FALSE)-AVERAGE('The List'!AB2:AB665))/STDEV('The List'!AB2:AB665)</f>
        <v>1.40658816096364</v>
      </c>
      <c r="P539" s="77">
        <f>(VLOOKUP($A539,'The List'!$B1:$AH665,28,FALSE)-AVERAGE('The List'!AC2:AC665))/STDEV('The List'!AC2:AC665)</f>
        <v>-0.444129939070129</v>
      </c>
      <c r="Q539" s="77">
        <f>(VLOOKUP($A539,'The List'!$B1:$AH665,29,FALSE)-AVERAGE('The List'!AD2:AD665))/STDEV('The List'!AD2:AD665)</f>
        <v>0.102395200464372</v>
      </c>
      <c r="R539" s="77">
        <f>(VLOOKUP($A539,'The List'!$B1:$AH665,30,FALSE)-AVERAGE('The List'!AE2:AE665))/STDEV('The List'!AE2:AE665)</f>
        <v>-0.748853581577736</v>
      </c>
      <c r="S539" s="77">
        <f>(VLOOKUP($A539,'The List'!$B1:$AH665,31,FALSE)-AVERAGE('The List'!AF2:AF665))/STDEV('The List'!AF2:AF665)</f>
        <v>-0.543463490262925</v>
      </c>
      <c r="T539" s="77">
        <f>(VLOOKUP($A539,'The List'!$B1:$AH665,32,FALSE)-AVERAGE('The List'!AG2:AG665))/STDEV('The List'!AG2:AG665)</f>
        <v>-0.563084433097764</v>
      </c>
      <c r="U539" s="77">
        <f>(VLOOKUP($A539,'The List'!$B1:$AH665,33,FALSE)-AVERAGE('The List'!AH2:AH665))/STDEV('The List'!AH2:AH665)</f>
        <v>0.312156535399361</v>
      </c>
      <c r="V539" s="77"/>
      <c r="W539" s="89"/>
      <c r="X539" s="79"/>
      <c r="Y539" s="79"/>
      <c r="Z539" s="79"/>
      <c r="AA539" s="79"/>
      <c r="AB539" s="79"/>
      <c r="AC539" s="82"/>
      <c r="AD539" s="83"/>
      <c r="AE539" s="84"/>
    </row>
    <row r="540" ht="21.25" customHeight="1">
      <c r="A540" t="s" s="10">
        <v>653</v>
      </c>
      <c r="B540" t="s" s="86">
        <f>VLOOKUP(A540,'Player Data'!A1:B667,2,FALSE)</f>
        <v>904</v>
      </c>
      <c r="C540" s="74">
        <f>((E540)*'Settings'!$C$12)+(F540*'Settings'!$C$2)+(G540*'Settings'!$C$3)+(H540*'Settings'!$C$4)+(I540*'Settings'!$C$5)+(K540*'Settings'!$C$9)+(N540*'Settings'!$C$6)+(J540*'Settings'!$C$8)+(O540*'Settings'!$C$7)+(P540*'Settings'!$C$14)+(Q540*'Settings'!$C$15)+(R540*'Settings'!$C$16)+(S540*'Settings'!$C$17)+(T540*'Settings'!$C$18)+(U540*'Settings'!$C$19)+(L540*'Settings'!$C$10)+('Settings'!$C$11*M540)</f>
        <v>-2.84093168346605</v>
      </c>
      <c r="D540" s="79">
        <f>IF('Settings'!$E$12="YES",VLOOKUP(A540,'Player Data'!A1:E667,5,FALSE),82)</f>
        <v>70.4175</v>
      </c>
      <c r="E540" s="77">
        <f>(VLOOKUP($A540,'The List'!$B1:$AH665,17,FALSE)-AVERAGE('The List'!R2:R665))/STDEV('The List'!R2:R665)</f>
        <v>-0.00186195000166293</v>
      </c>
      <c r="F540" s="77">
        <f>(VLOOKUP($A540,'The List'!$B1:$AH665,18,FALSE)-AVERAGE('The List'!S2:S665))/STDEV('The List'!S2:S665)</f>
        <v>-0.989632958868641</v>
      </c>
      <c r="G540" s="77">
        <f>(VLOOKUP($A540,'The List'!$B1:$AH665,19,FALSE)-AVERAGE('The List'!T2:T665))/STDEV('The List'!T2:T665)</f>
        <v>-0.891164027495572</v>
      </c>
      <c r="H540" s="77">
        <f>(VLOOKUP($A540,'The List'!$B1:$AH665,20,FALSE)-AVERAGE('The List'!U2:U665))/STDEV('The List'!U2:U665)</f>
        <v>-1.00329819038364</v>
      </c>
      <c r="I540" s="77">
        <f>(VLOOKUP($A540,'The List'!$B1:$AH665,21,FALSE)-AVERAGE('The List'!V2:V665))/STDEV('The List'!V2:V665)</f>
        <v>-1.18793794522477</v>
      </c>
      <c r="J540" s="77">
        <f>(VLOOKUP($A540,'The List'!$B1:$AH665,22,FALSE)-AVERAGE('The List'!W2:W665))/STDEV('The List'!W2:W665)</f>
        <v>-0.739533189487445</v>
      </c>
      <c r="K540" s="77">
        <f>(VLOOKUP($A540,'The List'!$B1:$AH665,23,FALSE)-AVERAGE('The List'!X2:X665))/STDEV('The List'!X2:X665)</f>
        <v>-0.813578819043168</v>
      </c>
      <c r="L540" s="77">
        <f>(VLOOKUP($A540,'The List'!$B1:$AH665,24,FALSE)-AVERAGE('The List'!Y2:Y665))/STDEV('The List'!Y2:Y665)</f>
        <v>-0.519594890873798</v>
      </c>
      <c r="M540" s="77">
        <f>(VLOOKUP($A540,'The List'!$B1:$AH665,25,FALSE)-AVERAGE('The List'!Z2:Z665))/STDEV('The List'!Z2:Z665)</f>
        <v>0.109513492636024</v>
      </c>
      <c r="N540" s="77">
        <f>(VLOOKUP($A540,'The List'!$B1:$AH665,26,FALSE)-AVERAGE('The List'!AA2:AA665))/STDEV('The List'!AA2:AA665)</f>
        <v>1.69854055000832</v>
      </c>
      <c r="O540" s="77">
        <f>(VLOOKUP($A540,'The List'!$B1:$AH665,27,FALSE)-AVERAGE('The List'!AB2:AB665))/STDEV('The List'!AB2:AB665)</f>
        <v>-0.348588053771431</v>
      </c>
      <c r="P540" s="77">
        <f>(VLOOKUP($A540,'The List'!$B1:$AH665,28,FALSE)-AVERAGE('The List'!AC2:AC665))/STDEV('The List'!AC2:AC665)</f>
        <v>-0.657158482842223</v>
      </c>
      <c r="Q540" s="77">
        <f>(VLOOKUP($A540,'The List'!$B1:$AH665,29,FALSE)-AVERAGE('The List'!AD2:AD665))/STDEV('The List'!AD2:AD665)</f>
        <v>-0.247876253887694</v>
      </c>
      <c r="R540" s="77">
        <f>(VLOOKUP($A540,'The List'!$B1:$AH665,30,FALSE)-AVERAGE('The List'!AE2:AE665))/STDEV('The List'!AE2:AE665)</f>
        <v>-0.932343637210866</v>
      </c>
      <c r="S540" s="77">
        <f>(VLOOKUP($A540,'The List'!$B1:$AH665,31,FALSE)-AVERAGE('The List'!AF2:AF665))/STDEV('The List'!AF2:AF665)</f>
        <v>-0.573894410680004</v>
      </c>
      <c r="T540" s="77">
        <f>(VLOOKUP($A540,'The List'!$B1:$AH665,32,FALSE)-AVERAGE('The List'!AG2:AG665))/STDEV('The List'!AG2:AG665)</f>
        <v>-0.625770787132651</v>
      </c>
      <c r="U540" s="77">
        <f>(VLOOKUP($A540,'The List'!$B1:$AH665,33,FALSE)-AVERAGE('The List'!AH2:AH665))/STDEV('The List'!AH2:AH665)</f>
        <v>-1.23143509451486</v>
      </c>
      <c r="V540" s="77"/>
      <c r="W540" s="89"/>
      <c r="X540" s="79"/>
      <c r="Y540" s="79"/>
      <c r="Z540" s="79"/>
      <c r="AA540" s="79"/>
      <c r="AB540" s="79"/>
      <c r="AC540" s="82"/>
      <c r="AD540" s="83"/>
      <c r="AE540" s="84"/>
    </row>
    <row r="541" ht="21.25" customHeight="1">
      <c r="A541" t="s" s="10">
        <v>682</v>
      </c>
      <c r="B541" t="s" s="86">
        <f>VLOOKUP(A541,'Player Data'!A1:B667,2,FALSE)</f>
        <v>129</v>
      </c>
      <c r="C541" s="74">
        <f>((E541)*'Settings'!$C$12)+(F541*'Settings'!$C$2)+(G541*'Settings'!$C$3)+(H541*'Settings'!$C$4)+(I541*'Settings'!$C$5)+(K541*'Settings'!$C$9)+(N541*'Settings'!$C$6)+(J541*'Settings'!$C$8)+(O541*'Settings'!$C$7)+(P541*'Settings'!$C$14)+(Q541*'Settings'!$C$15)+(R541*'Settings'!$C$16)+(S541*'Settings'!$C$17)+(T541*'Settings'!$C$18)+(U541*'Settings'!$C$19)+(L541*'Settings'!$C$10)+('Settings'!$C$11*M541)</f>
        <v>-1.17150383818399</v>
      </c>
      <c r="D541" s="79">
        <f>IF('Settings'!$E$12="YES",VLOOKUP(A541,'Player Data'!A1:E667,5,FALSE),82)</f>
        <v>81.23</v>
      </c>
      <c r="E541" s="77">
        <f>(VLOOKUP($A541,'The List'!$B1:$AH665,17,FALSE)-AVERAGE('The List'!R2:R665))/STDEV('The List'!R2:R665)</f>
        <v>-0.276484423039542</v>
      </c>
      <c r="F541" s="77">
        <f>(VLOOKUP($A541,'The List'!$B1:$AH665,18,FALSE)-AVERAGE('The List'!S2:S665))/STDEV('The List'!S2:S665)</f>
        <v>-1.02354975119976</v>
      </c>
      <c r="G541" s="77">
        <f>(VLOOKUP($A541,'The List'!$B1:$AH665,19,FALSE)-AVERAGE('The List'!T2:T665))/STDEV('The List'!T2:T665)</f>
        <v>-0.708871985347665</v>
      </c>
      <c r="H541" s="77">
        <f>(VLOOKUP($A541,'The List'!$B1:$AH665,20,FALSE)-AVERAGE('The List'!U2:U665))/STDEV('The List'!U2:U665)</f>
        <v>-0.905501376581097</v>
      </c>
      <c r="I541" s="77">
        <f>(VLOOKUP($A541,'The List'!$B1:$AH665,21,FALSE)-AVERAGE('The List'!V2:V665))/STDEV('The List'!V2:V665)</f>
        <v>-0.682298981460838</v>
      </c>
      <c r="J541" s="77">
        <f>(VLOOKUP($A541,'The List'!$B1:$AH665,22,FALSE)-AVERAGE('The List'!W2:W665))/STDEV('The List'!W2:W665)</f>
        <v>-0.74105086861627</v>
      </c>
      <c r="K541" s="77">
        <f>(VLOOKUP($A541,'The List'!$B1:$AH665,23,FALSE)-AVERAGE('The List'!X2:X665))/STDEV('The List'!X2:X665)</f>
        <v>-0.810917630118224</v>
      </c>
      <c r="L541" s="77">
        <f>(VLOOKUP($A541,'The List'!$B1:$AH665,24,FALSE)-AVERAGE('The List'!Y2:Y665))/STDEV('The List'!Y2:Y665)</f>
        <v>-0.538421270789639</v>
      </c>
      <c r="M541" s="77">
        <f>(VLOOKUP($A541,'The List'!$B1:$AH665,25,FALSE)-AVERAGE('The List'!Z2:Z665))/STDEV('The List'!Z2:Z665)</f>
        <v>0.0989669961474938</v>
      </c>
      <c r="N541" s="77">
        <f>(VLOOKUP($A541,'The List'!$B1:$AH665,26,FALSE)-AVERAGE('The List'!AA2:AA665))/STDEV('The List'!AA2:AA665)</f>
        <v>0.671424162841025</v>
      </c>
      <c r="O541" s="77">
        <f>(VLOOKUP($A541,'The List'!$B1:$AH665,27,FALSE)-AVERAGE('The List'!AB2:AB665))/STDEV('The List'!AB2:AB665)</f>
        <v>-0.00372479909430154</v>
      </c>
      <c r="P541" s="77">
        <f>(VLOOKUP($A541,'The List'!$B1:$AH665,28,FALSE)-AVERAGE('The List'!AC2:AC665))/STDEV('The List'!AC2:AC665)</f>
        <v>1.38271034710147</v>
      </c>
      <c r="Q541" s="77">
        <f>(VLOOKUP($A541,'The List'!$B1:$AH665,29,FALSE)-AVERAGE('The List'!AD2:AD665))/STDEV('The List'!AD2:AD665)</f>
        <v>0.22663304788055</v>
      </c>
      <c r="R541" s="77">
        <f>(VLOOKUP($A541,'The List'!$B1:$AH665,30,FALSE)-AVERAGE('The List'!AE2:AE665))/STDEV('The List'!AE2:AE665)</f>
        <v>-0.9537909105090679</v>
      </c>
      <c r="S541" s="77">
        <f>(VLOOKUP($A541,'The List'!$B1:$AH665,31,FALSE)-AVERAGE('The List'!AF2:AF665))/STDEV('The List'!AF2:AF665)</f>
        <v>-0.573894410680004</v>
      </c>
      <c r="T541" s="77">
        <f>(VLOOKUP($A541,'The List'!$B1:$AH665,32,FALSE)-AVERAGE('The List'!AG2:AG665))/STDEV('The List'!AG2:AG665)</f>
        <v>-0.625770787132651</v>
      </c>
      <c r="U541" s="77">
        <f>(VLOOKUP($A541,'The List'!$B1:$AH665,33,FALSE)-AVERAGE('The List'!AH2:AH665))/STDEV('The List'!AH2:AH665)</f>
        <v>-1.23143509451486</v>
      </c>
      <c r="V541" s="77"/>
      <c r="W541" s="79"/>
      <c r="X541" s="77"/>
      <c r="Y541" s="77"/>
      <c r="Z541" s="77"/>
      <c r="AA541" s="77"/>
      <c r="AB541" s="77"/>
      <c r="AC541" s="77"/>
      <c r="AD541" s="77"/>
      <c r="AE541" s="84"/>
    </row>
    <row r="542" ht="21.25" customHeight="1">
      <c r="A542" t="s" s="10">
        <v>616</v>
      </c>
      <c r="B542" t="s" s="86">
        <f>VLOOKUP(A542,'Player Data'!A1:B667,2,FALSE)</f>
        <v>900</v>
      </c>
      <c r="C542" s="74">
        <f>((E542)*'Settings'!$C$12)+(F542*'Settings'!$C$2)+(G542*'Settings'!$C$3)+(H542*'Settings'!$C$4)+(I542*'Settings'!$C$5)+(K542*'Settings'!$C$9)+(N542*'Settings'!$C$6)+(J542*'Settings'!$C$8)+(O542*'Settings'!$C$7)+(P542*'Settings'!$C$14)+(Q542*'Settings'!$C$15)+(R542*'Settings'!$C$16)+(S542*'Settings'!$C$17)+(T542*'Settings'!$C$18)+(U542*'Settings'!$C$19)+(L542*'Settings'!$C$10)+('Settings'!$C$11*M542)</f>
        <v>-1.707496923909</v>
      </c>
      <c r="D542" s="79">
        <f>IF('Settings'!$E$12="YES",VLOOKUP(A542,'Player Data'!A1:E667,5,FALSE),82)</f>
        <v>76.11750000000001</v>
      </c>
      <c r="E542" s="77">
        <f>(VLOOKUP($A542,'The List'!$B1:$AH665,17,FALSE)-AVERAGE('The List'!R2:R665))/STDEV('The List'!R2:R665)</f>
        <v>0.478737015462936</v>
      </c>
      <c r="F542" s="77">
        <f>(VLOOKUP($A542,'The List'!$B1:$AH665,18,FALSE)-AVERAGE('The List'!S2:S665))/STDEV('The List'!S2:S665)</f>
        <v>-1.1211001624643</v>
      </c>
      <c r="G542" s="77">
        <f>(VLOOKUP($A542,'The List'!$B1:$AH665,19,FALSE)-AVERAGE('The List'!T2:T665))/STDEV('The List'!T2:T665)</f>
        <v>-0.717614197094034</v>
      </c>
      <c r="H542" s="77">
        <f>(VLOOKUP($A542,'The List'!$B1:$AH665,20,FALSE)-AVERAGE('The List'!U2:U665))/STDEV('The List'!U2:U665)</f>
        <v>-0.955272080496659</v>
      </c>
      <c r="I542" s="77">
        <f>(VLOOKUP($A542,'The List'!$B1:$AH665,21,FALSE)-AVERAGE('The List'!V2:V665))/STDEV('The List'!V2:V665)</f>
        <v>-0.881593305089529</v>
      </c>
      <c r="J542" s="77">
        <f>(VLOOKUP($A542,'The List'!$B1:$AH665,22,FALSE)-AVERAGE('The List'!W2:W665))/STDEV('The List'!W2:W665)</f>
        <v>-0.726863712772067</v>
      </c>
      <c r="K542" s="77">
        <f>(VLOOKUP($A542,'The List'!$B1:$AH665,23,FALSE)-AVERAGE('The List'!X2:X665))/STDEV('The List'!X2:X665)</f>
        <v>-0.808930448799913</v>
      </c>
      <c r="L542" s="77">
        <f>(VLOOKUP($A542,'The List'!$B1:$AH665,24,FALSE)-AVERAGE('The List'!Y2:Y665))/STDEV('The List'!Y2:Y665)</f>
        <v>-0.527279743602348</v>
      </c>
      <c r="M542" s="77">
        <f>(VLOOKUP($A542,'The List'!$B1:$AH665,25,FALSE)-AVERAGE('The List'!Z2:Z665))/STDEV('The List'!Z2:Z665)</f>
        <v>-0.431376841528744</v>
      </c>
      <c r="N542" s="77">
        <f>(VLOOKUP($A542,'The List'!$B1:$AH665,26,FALSE)-AVERAGE('The List'!AA2:AA665))/STDEV('The List'!AA2:AA665)</f>
        <v>1.4145673028435</v>
      </c>
      <c r="O542" s="77">
        <f>(VLOOKUP($A542,'The List'!$B1:$AH665,27,FALSE)-AVERAGE('The List'!AB2:AB665))/STDEV('The List'!AB2:AB665)</f>
        <v>0.267443862596657</v>
      </c>
      <c r="P542" s="77">
        <f>(VLOOKUP($A542,'The List'!$B1:$AH665,28,FALSE)-AVERAGE('The List'!AC2:AC665))/STDEV('The List'!AC2:AC665)</f>
        <v>0.407173886695273</v>
      </c>
      <c r="Q542" s="77">
        <f>(VLOOKUP($A542,'The List'!$B1:$AH665,29,FALSE)-AVERAGE('The List'!AD2:AD665))/STDEV('The List'!AD2:AD665)</f>
        <v>0.142070626876164</v>
      </c>
      <c r="R542" s="77">
        <f>(VLOOKUP($A542,'The List'!$B1:$AH665,30,FALSE)-AVERAGE('The List'!AE2:AE665))/STDEV('The List'!AE2:AE665)</f>
        <v>-1.06934314052346</v>
      </c>
      <c r="S542" s="77">
        <f>(VLOOKUP($A542,'The List'!$B1:$AH665,31,FALSE)-AVERAGE('The List'!AF2:AF665))/STDEV('The List'!AF2:AF665)</f>
        <v>-0.573894410680004</v>
      </c>
      <c r="T542" s="77">
        <f>(VLOOKUP($A542,'The List'!$B1:$AH665,32,FALSE)-AVERAGE('The List'!AG2:AG665))/STDEV('The List'!AG2:AG665)</f>
        <v>-0.625770787132651</v>
      </c>
      <c r="U542" s="77">
        <f>(VLOOKUP($A542,'The List'!$B1:$AH665,33,FALSE)-AVERAGE('The List'!AH2:AH665))/STDEV('The List'!AH2:AH665)</f>
        <v>-1.23143509451486</v>
      </c>
      <c r="V542" s="77"/>
      <c r="W542" s="89"/>
      <c r="X542" s="79"/>
      <c r="Y542" s="79"/>
      <c r="Z542" s="79"/>
      <c r="AA542" s="79"/>
      <c r="AB542" s="79"/>
      <c r="AC542" s="82"/>
      <c r="AD542" s="83"/>
      <c r="AE542" s="84"/>
    </row>
    <row r="543" ht="21.25" customHeight="1">
      <c r="A543" t="s" s="10">
        <v>656</v>
      </c>
      <c r="B543" t="s" s="86">
        <f>VLOOKUP(A543,'Player Data'!A1:B667,2,FALSE)</f>
        <v>899</v>
      </c>
      <c r="C543" s="74">
        <f>((E543)*'Settings'!$C$12)+(F543*'Settings'!$C$2)+(G543*'Settings'!$C$3)+(H543*'Settings'!$C$4)+(I543*'Settings'!$C$5)+(K543*'Settings'!$C$9)+(N543*'Settings'!$C$6)+(J543*'Settings'!$C$8)+(O543*'Settings'!$C$7)+(P543*'Settings'!$C$14)+(Q543*'Settings'!$C$15)+(R543*'Settings'!$C$16)+(S543*'Settings'!$C$17)+(T543*'Settings'!$C$18)+(U543*'Settings'!$C$19)+(L543*'Settings'!$C$10)+('Settings'!$C$11*M543)</f>
        <v>-4.37388853442816</v>
      </c>
      <c r="D543" s="79">
        <f>IF('Settings'!$E$12="YES",VLOOKUP(A543,'Player Data'!A1:E667,5,FALSE),82)</f>
        <v>69.72</v>
      </c>
      <c r="E543" s="77">
        <f>(VLOOKUP($A543,'The List'!$B1:$AH665,17,FALSE)-AVERAGE('The List'!R2:R665))/STDEV('The List'!R2:R665)</f>
        <v>-1.92716852834887</v>
      </c>
      <c r="F543" s="77">
        <f>(VLOOKUP($A543,'The List'!$B1:$AH665,18,FALSE)-AVERAGE('The List'!S2:S665))/STDEV('The List'!S2:S665)</f>
        <v>-0.620241968238861</v>
      </c>
      <c r="G543" s="77">
        <f>(VLOOKUP($A543,'The List'!$B1:$AH665,19,FALSE)-AVERAGE('The List'!T2:T665))/STDEV('The List'!T2:T665)</f>
        <v>-1.1825873103754</v>
      </c>
      <c r="H543" s="77">
        <f>(VLOOKUP($A543,'The List'!$B1:$AH665,20,FALSE)-AVERAGE('The List'!U2:U665))/STDEV('The List'!U2:U665)</f>
        <v>-1.01638267142915</v>
      </c>
      <c r="I543" s="77">
        <f>(VLOOKUP($A543,'The List'!$B1:$AH665,21,FALSE)-AVERAGE('The List'!V2:V665))/STDEV('The List'!V2:V665)</f>
        <v>-0.845045157244676</v>
      </c>
      <c r="J543" s="77">
        <f>(VLOOKUP($A543,'The List'!$B1:$AH665,22,FALSE)-AVERAGE('The List'!W2:W665))/STDEV('The List'!W2:W665)</f>
        <v>-0.731845129297693</v>
      </c>
      <c r="K543" s="77">
        <f>(VLOOKUP($A543,'The List'!$B1:$AH665,23,FALSE)-AVERAGE('The List'!X2:X665))/STDEV('The List'!X2:X665)</f>
        <v>-0.816895581769183</v>
      </c>
      <c r="L543" s="77">
        <f>(VLOOKUP($A543,'The List'!$B1:$AH665,24,FALSE)-AVERAGE('The List'!Y2:Y665))/STDEV('The List'!Y2:Y665)</f>
        <v>-0.517784952768839</v>
      </c>
      <c r="M543" s="77">
        <f>(VLOOKUP($A543,'The List'!$B1:$AH665,25,FALSE)-AVERAGE('The List'!Z2:Z665))/STDEV('The List'!Z2:Z665)</f>
        <v>-0.6897366355042081</v>
      </c>
      <c r="N543" s="77">
        <f>(VLOOKUP($A543,'The List'!$B1:$AH665,26,FALSE)-AVERAGE('The List'!AA2:AA665))/STDEV('The List'!AA2:AA665)</f>
        <v>-0.600132964178698</v>
      </c>
      <c r="O543" s="77">
        <f>(VLOOKUP($A543,'The List'!$B1:$AH665,27,FALSE)-AVERAGE('The List'!AB2:AB665))/STDEV('The List'!AB2:AB665)</f>
        <v>1.49540747849473</v>
      </c>
      <c r="P543" s="77">
        <f>(VLOOKUP($A543,'The List'!$B1:$AH665,28,FALSE)-AVERAGE('The List'!AC2:AC665))/STDEV('The List'!AC2:AC665)</f>
        <v>-0.308985552621345</v>
      </c>
      <c r="Q543" s="77">
        <f>(VLOOKUP($A543,'The List'!$B1:$AH665,29,FALSE)-AVERAGE('The List'!AD2:AD665))/STDEV('The List'!AD2:AD665)</f>
        <v>1.61598423243222</v>
      </c>
      <c r="R543" s="77">
        <f>(VLOOKUP($A543,'The List'!$B1:$AH665,30,FALSE)-AVERAGE('The List'!AE2:AE665))/STDEV('The List'!AE2:AE665)</f>
        <v>-0.561970926660542</v>
      </c>
      <c r="S543" s="77">
        <f>(VLOOKUP($A543,'The List'!$B1:$AH665,31,FALSE)-AVERAGE('The List'!AF2:AF665))/STDEV('The List'!AF2:AF665)</f>
        <v>0.866419732005021</v>
      </c>
      <c r="T543" s="77">
        <f>(VLOOKUP($A543,'The List'!$B1:$AH665,32,FALSE)-AVERAGE('The List'!AG2:AG665))/STDEV('The List'!AG2:AG665)</f>
        <v>0.584319720917706</v>
      </c>
      <c r="U543" s="77">
        <f>(VLOOKUP($A543,'The List'!$B1:$AH665,33,FALSE)-AVERAGE('The List'!AH2:AH665))/STDEV('The List'!AH2:AH665)</f>
        <v>1.30116210262736</v>
      </c>
      <c r="V543" s="77"/>
      <c r="W543" s="79"/>
      <c r="X543" s="77"/>
      <c r="Y543" s="77"/>
      <c r="Z543" s="77"/>
      <c r="AA543" s="77"/>
      <c r="AB543" s="77"/>
      <c r="AC543" s="77"/>
      <c r="AD543" s="77"/>
      <c r="AE543" s="84"/>
    </row>
    <row r="544" ht="21.25" customHeight="1">
      <c r="A544" t="s" s="10">
        <v>561</v>
      </c>
      <c r="B544" t="s" s="86">
        <f>VLOOKUP(A544,'Player Data'!A1:B667,2,FALSE)</f>
        <v>910</v>
      </c>
      <c r="C544" s="74">
        <f>((E544)*'Settings'!$C$12)+(F544*'Settings'!$C$2)+(G544*'Settings'!$C$3)+(H544*'Settings'!$C$4)+(I544*'Settings'!$C$5)+(K544*'Settings'!$C$9)+(N544*'Settings'!$C$6)+(J544*'Settings'!$C$8)+(O544*'Settings'!$C$7)+(P544*'Settings'!$C$14)+(Q544*'Settings'!$C$15)+(R544*'Settings'!$C$16)+(S544*'Settings'!$C$17)+(T544*'Settings'!$C$18)+(U544*'Settings'!$C$19)+(L544*'Settings'!$C$10)+('Settings'!$C$11*M544)</f>
        <v>-2.86287919882829</v>
      </c>
      <c r="D544" s="79">
        <f>IF('Settings'!$E$12="YES",VLOOKUP(A544,'Player Data'!A1:E667,5,FALSE),82)</f>
        <v>70.2775</v>
      </c>
      <c r="E544" s="77">
        <f>(VLOOKUP($A544,'The List'!$B1:$AH665,17,FALSE)-AVERAGE('The List'!R2:R665))/STDEV('The List'!R2:R665)</f>
        <v>0.377371234406378</v>
      </c>
      <c r="F544" s="77">
        <f>(VLOOKUP($A544,'The List'!$B1:$AH665,18,FALSE)-AVERAGE('The List'!S2:S665))/STDEV('The List'!S2:S665)</f>
        <v>-1.11807844419948</v>
      </c>
      <c r="G544" s="77">
        <f>(VLOOKUP($A544,'The List'!$B1:$AH665,19,FALSE)-AVERAGE('The List'!T2:T665))/STDEV('The List'!T2:T665)</f>
        <v>-0.816207564921738</v>
      </c>
      <c r="H544" s="77">
        <f>(VLOOKUP($A544,'The List'!$B1:$AH665,20,FALSE)-AVERAGE('The List'!U2:U665))/STDEV('The List'!U2:U665)</f>
        <v>-1.01513059105163</v>
      </c>
      <c r="I544" s="77">
        <f>(VLOOKUP($A544,'The List'!$B1:$AH665,21,FALSE)-AVERAGE('The List'!V2:V665))/STDEV('The List'!V2:V665)</f>
        <v>-0.76483530660143</v>
      </c>
      <c r="J544" s="77">
        <f>(VLOOKUP($A544,'The List'!$B1:$AH665,22,FALSE)-AVERAGE('The List'!W2:W665))/STDEV('The List'!W2:W665)</f>
        <v>-0.711926047361604</v>
      </c>
      <c r="K544" s="77">
        <f>(VLOOKUP($A544,'The List'!$B1:$AH665,23,FALSE)-AVERAGE('The List'!X2:X665))/STDEV('The List'!X2:X665)</f>
        <v>-0.748040383639355</v>
      </c>
      <c r="L544" s="77">
        <f>(VLOOKUP($A544,'The List'!$B1:$AH665,24,FALSE)-AVERAGE('The List'!Y2:Y665))/STDEV('The List'!Y2:Y665)</f>
        <v>-0.026354369194715</v>
      </c>
      <c r="M544" s="77">
        <f>(VLOOKUP($A544,'The List'!$B1:$AH665,25,FALSE)-AVERAGE('The List'!Z2:Z665))/STDEV('The List'!Z2:Z665)</f>
        <v>0.36986511551933</v>
      </c>
      <c r="N544" s="77">
        <f>(VLOOKUP($A544,'The List'!$B1:$AH665,26,FALSE)-AVERAGE('The List'!AA2:AA665))/STDEV('The List'!AA2:AA665)</f>
        <v>1.22228915721701</v>
      </c>
      <c r="O544" s="77">
        <f>(VLOOKUP($A544,'The List'!$B1:$AH665,27,FALSE)-AVERAGE('The List'!AB2:AB665))/STDEV('The List'!AB2:AB665)</f>
        <v>1.00089429972254</v>
      </c>
      <c r="P544" s="77">
        <f>(VLOOKUP($A544,'The List'!$B1:$AH665,28,FALSE)-AVERAGE('The List'!AC2:AC665))/STDEV('The List'!AC2:AC665)</f>
        <v>-0.6380066566833</v>
      </c>
      <c r="Q544" s="77">
        <f>(VLOOKUP($A544,'The List'!$B1:$AH665,29,FALSE)-AVERAGE('The List'!AD2:AD665))/STDEV('The List'!AD2:AD665)</f>
        <v>-0.233061110530149</v>
      </c>
      <c r="R544" s="77">
        <f>(VLOOKUP($A544,'The List'!$B1:$AH665,30,FALSE)-AVERAGE('The List'!AE2:AE665))/STDEV('The List'!AE2:AE665)</f>
        <v>-1.0746095256113</v>
      </c>
      <c r="S544" s="77">
        <f>(VLOOKUP($A544,'The List'!$B1:$AH665,31,FALSE)-AVERAGE('The List'!AF2:AF665))/STDEV('The List'!AF2:AF665)</f>
        <v>-0.573894410680004</v>
      </c>
      <c r="T544" s="77">
        <f>(VLOOKUP($A544,'The List'!$B1:$AH665,32,FALSE)-AVERAGE('The List'!AG2:AG665))/STDEV('The List'!AG2:AG665)</f>
        <v>-0.625770787132651</v>
      </c>
      <c r="U544" s="77">
        <f>(VLOOKUP($A544,'The List'!$B1:$AH665,33,FALSE)-AVERAGE('The List'!AH2:AH665))/STDEV('The List'!AH2:AH665)</f>
        <v>-1.23143509451486</v>
      </c>
      <c r="V544" s="77"/>
      <c r="W544" s="89"/>
      <c r="X544" s="79"/>
      <c r="Y544" s="79"/>
      <c r="Z544" s="79"/>
      <c r="AA544" s="79"/>
      <c r="AB544" s="79"/>
      <c r="AC544" s="82"/>
      <c r="AD544" s="83"/>
      <c r="AE544" s="84"/>
    </row>
    <row r="545" ht="21.25" customHeight="1">
      <c r="A545" t="s" s="10">
        <v>767</v>
      </c>
      <c r="B545" t="s" s="86">
        <f>VLOOKUP(A545,'Player Data'!A1:B667,2,FALSE)</f>
        <v>899</v>
      </c>
      <c r="C545" s="74">
        <f>((E545)*'Settings'!$C$12)+(F545*'Settings'!$C$2)+(G545*'Settings'!$C$3)+(H545*'Settings'!$C$4)+(I545*'Settings'!$C$5)+(K545*'Settings'!$C$9)+(N545*'Settings'!$C$6)+(J545*'Settings'!$C$8)+(O545*'Settings'!$C$7)+(P545*'Settings'!$C$14)+(Q545*'Settings'!$C$15)+(R545*'Settings'!$C$16)+(S545*'Settings'!$C$17)+(T545*'Settings'!$C$18)+(U545*'Settings'!$C$19)+(L545*'Settings'!$C$10)+('Settings'!$C$11*M545)</f>
        <v>-3.40505495080756</v>
      </c>
      <c r="D545" s="79">
        <f>IF('Settings'!$E$12="YES",VLOOKUP(A545,'Player Data'!A1:E667,5,FALSE),82)</f>
        <v>61.0275</v>
      </c>
      <c r="E545" s="77">
        <f>(VLOOKUP($A545,'The List'!$B1:$AH665,17,FALSE)-AVERAGE('The List'!R2:R665))/STDEV('The List'!R2:R665)</f>
        <v>-0.0349357114413322</v>
      </c>
      <c r="F545" s="77">
        <f>(VLOOKUP($A545,'The List'!$B1:$AH665,18,FALSE)-AVERAGE('The List'!S2:S665))/STDEV('The List'!S2:S665)</f>
        <v>-1.20164739514881</v>
      </c>
      <c r="G545" s="77">
        <f>(VLOOKUP($A545,'The List'!$B1:$AH665,19,FALSE)-AVERAGE('The List'!T2:T665))/STDEV('The List'!T2:T665)</f>
        <v>-0.889337454465848</v>
      </c>
      <c r="H545" s="77">
        <f>(VLOOKUP($A545,'The List'!$B1:$AH665,20,FALSE)-AVERAGE('The List'!U2:U665))/STDEV('The List'!U2:U665)</f>
        <v>-1.09853442497187</v>
      </c>
      <c r="I545" s="77">
        <f>(VLOOKUP($A545,'The List'!$B1:$AH665,21,FALSE)-AVERAGE('The List'!V2:V665))/STDEV('The List'!V2:V665)</f>
        <v>-1.32414214294122</v>
      </c>
      <c r="J545" s="77">
        <f>(VLOOKUP($A545,'The List'!$B1:$AH665,22,FALSE)-AVERAGE('The List'!W2:W665))/STDEV('The List'!W2:W665)</f>
        <v>-0.7405438155688679</v>
      </c>
      <c r="K545" s="77">
        <f>(VLOOKUP($A545,'The List'!$B1:$AH665,23,FALSE)-AVERAGE('The List'!X2:X665))/STDEV('The List'!X2:X665)</f>
        <v>-0.815883836059818</v>
      </c>
      <c r="L545" s="77">
        <f>(VLOOKUP($A545,'The List'!$B1:$AH665,24,FALSE)-AVERAGE('The List'!Y2:Y665))/STDEV('The List'!Y2:Y665)</f>
        <v>-0.539991766019716</v>
      </c>
      <c r="M545" s="77">
        <f>(VLOOKUP($A545,'The List'!$B1:$AH665,25,FALSE)-AVERAGE('The List'!Z2:Z665))/STDEV('The List'!Z2:Z665)</f>
        <v>-0.632688912710656</v>
      </c>
      <c r="N545" s="77">
        <f>(VLOOKUP($A545,'The List'!$B1:$AH665,26,FALSE)-AVERAGE('The List'!AA2:AA665))/STDEV('The List'!AA2:AA665)</f>
        <v>0.447331244920877</v>
      </c>
      <c r="O545" s="77">
        <f>(VLOOKUP($A545,'The List'!$B1:$AH665,27,FALSE)-AVERAGE('The List'!AB2:AB665))/STDEV('The List'!AB2:AB665)</f>
        <v>0.248756479264276</v>
      </c>
      <c r="P545" s="77">
        <f>(VLOOKUP($A545,'The List'!$B1:$AH665,28,FALSE)-AVERAGE('The List'!AC2:AC665))/STDEV('The List'!AC2:AC665)</f>
        <v>0.378624632887257</v>
      </c>
      <c r="Q545" s="77">
        <f>(VLOOKUP($A545,'The List'!$B1:$AH665,29,FALSE)-AVERAGE('The List'!AD2:AD665))/STDEV('The List'!AD2:AD665)</f>
        <v>0.115796644824841</v>
      </c>
      <c r="R545" s="77">
        <f>(VLOOKUP($A545,'The List'!$B1:$AH665,30,FALSE)-AVERAGE('The List'!AE2:AE665))/STDEV('The List'!AE2:AE665)</f>
        <v>-1.14322140526517</v>
      </c>
      <c r="S545" s="77">
        <f>(VLOOKUP($A545,'The List'!$B1:$AH665,31,FALSE)-AVERAGE('The List'!AF2:AF665))/STDEV('The List'!AF2:AF665)</f>
        <v>-0.573894410680004</v>
      </c>
      <c r="T545" s="77">
        <f>(VLOOKUP($A545,'The List'!$B1:$AH665,32,FALSE)-AVERAGE('The List'!AG2:AG665))/STDEV('The List'!AG2:AG665)</f>
        <v>-0.625770787132651</v>
      </c>
      <c r="U545" s="77">
        <f>(VLOOKUP($A545,'The List'!$B1:$AH665,33,FALSE)-AVERAGE('The List'!AH2:AH665))/STDEV('The List'!AH2:AH665)</f>
        <v>-1.23143509451486</v>
      </c>
      <c r="V545" s="77"/>
      <c r="W545" s="89"/>
      <c r="X545" s="79"/>
      <c r="Y545" s="79"/>
      <c r="Z545" s="79"/>
      <c r="AA545" s="79"/>
      <c r="AB545" s="79"/>
      <c r="AC545" s="82"/>
      <c r="AD545" s="83"/>
      <c r="AE545" s="84"/>
    </row>
    <row r="546" ht="21.25" customHeight="1">
      <c r="A546" t="s" s="10">
        <v>756</v>
      </c>
      <c r="B546" t="s" s="86">
        <f>VLOOKUP(A546,'Player Data'!A1:B667,2,FALSE)</f>
        <v>866</v>
      </c>
      <c r="C546" s="74">
        <f>((E546)*'Settings'!$C$12)+(F546*'Settings'!$C$2)+(G546*'Settings'!$C$3)+(H546*'Settings'!$C$4)+(I546*'Settings'!$C$5)+(K546*'Settings'!$C$9)+(N546*'Settings'!$C$6)+(J546*'Settings'!$C$8)+(O546*'Settings'!$C$7)+(P546*'Settings'!$C$14)+(Q546*'Settings'!$C$15)+(R546*'Settings'!$C$16)+(S546*'Settings'!$C$17)+(T546*'Settings'!$C$18)+(U546*'Settings'!$C$19)+(L546*'Settings'!$C$10)+('Settings'!$C$11*M546)</f>
        <v>-4.48596701648678</v>
      </c>
      <c r="D546" s="79">
        <f>IF('Settings'!$E$12="YES",VLOOKUP(A546,'Player Data'!A1:E667,5,FALSE),82)</f>
        <v>75.7825</v>
      </c>
      <c r="E546" s="77">
        <f>(VLOOKUP($A546,'The List'!$B1:$AH665,17,FALSE)-AVERAGE('The List'!R2:R665))/STDEV('The List'!R2:R665)</f>
        <v>-1.66638232910175</v>
      </c>
      <c r="F546" s="77">
        <f>(VLOOKUP($A546,'The List'!$B1:$AH665,18,FALSE)-AVERAGE('The List'!S2:S665))/STDEV('The List'!S2:S665)</f>
        <v>-0.529050297629568</v>
      </c>
      <c r="G546" s="77">
        <f>(VLOOKUP($A546,'The List'!$B1:$AH665,19,FALSE)-AVERAGE('The List'!T2:T665))/STDEV('The List'!T2:T665)</f>
        <v>-1.16881039392457</v>
      </c>
      <c r="H546" s="77">
        <f>(VLOOKUP($A546,'The List'!$B1:$AH665,20,FALSE)-AVERAGE('The List'!U2:U665))/STDEV('The List'!U2:U665)</f>
        <v>-0.966375482683172</v>
      </c>
      <c r="I546" s="77">
        <f>(VLOOKUP($A546,'The List'!$B1:$AH665,21,FALSE)-AVERAGE('The List'!V2:V665))/STDEV('The List'!V2:V665)</f>
        <v>-0.837486383961348</v>
      </c>
      <c r="J546" s="77">
        <f>(VLOOKUP($A546,'The List'!$B1:$AH665,22,FALSE)-AVERAGE('The List'!W2:W665))/STDEV('The List'!W2:W665)</f>
        <v>-0.728189034094025</v>
      </c>
      <c r="K546" s="77">
        <f>(VLOOKUP($A546,'The List'!$B1:$AH665,23,FALSE)-AVERAGE('The List'!X2:X665))/STDEV('The List'!X2:X665)</f>
        <v>-0.813729697533316</v>
      </c>
      <c r="L546" s="77">
        <f>(VLOOKUP($A546,'The List'!$B1:$AH665,24,FALSE)-AVERAGE('The List'!Y2:Y665))/STDEV('The List'!Y2:Y665)</f>
        <v>-0.437036727798213</v>
      </c>
      <c r="M546" s="77">
        <f>(VLOOKUP($A546,'The List'!$B1:$AH665,25,FALSE)-AVERAGE('The List'!Z2:Z665))/STDEV('The List'!Z2:Z665)</f>
        <v>-0.607660534723466</v>
      </c>
      <c r="N546" s="77">
        <f>(VLOOKUP($A546,'The List'!$B1:$AH665,26,FALSE)-AVERAGE('The List'!AA2:AA665))/STDEV('The List'!AA2:AA665)</f>
        <v>-0.66096814364608</v>
      </c>
      <c r="O546" s="77">
        <f>(VLOOKUP($A546,'The List'!$B1:$AH665,27,FALSE)-AVERAGE('The List'!AB2:AB665))/STDEV('The List'!AB2:AB665)</f>
        <v>0.620720857529125</v>
      </c>
      <c r="P546" s="77">
        <f>(VLOOKUP($A546,'The List'!$B1:$AH665,28,FALSE)-AVERAGE('The List'!AC2:AC665))/STDEV('The List'!AC2:AC665)</f>
        <v>-0.475922099791897</v>
      </c>
      <c r="Q546" s="77">
        <f>(VLOOKUP($A546,'The List'!$B1:$AH665,29,FALSE)-AVERAGE('The List'!AD2:AD665))/STDEV('The List'!AD2:AD665)</f>
        <v>-0.942157550672661</v>
      </c>
      <c r="R546" s="77">
        <f>(VLOOKUP($A546,'The List'!$B1:$AH665,30,FALSE)-AVERAGE('The List'!AE2:AE665))/STDEV('The List'!AE2:AE665)</f>
        <v>-0.461469171062609</v>
      </c>
      <c r="S546" s="77">
        <f>(VLOOKUP($A546,'The List'!$B1:$AH665,31,FALSE)-AVERAGE('The List'!AF2:AF665))/STDEV('The List'!AF2:AF665)</f>
        <v>-0.0812553865728538</v>
      </c>
      <c r="T546" s="77">
        <f>(VLOOKUP($A546,'The List'!$B1:$AH665,32,FALSE)-AVERAGE('The List'!AG2:AG665))/STDEV('The List'!AG2:AG665)</f>
        <v>-0.0409934364187411</v>
      </c>
      <c r="U546" s="77">
        <f>(VLOOKUP($A546,'The List'!$B1:$AH665,33,FALSE)-AVERAGE('The List'!AH2:AH665))/STDEV('The List'!AH2:AH665)</f>
        <v>0.910839626419148</v>
      </c>
      <c r="V546" s="77"/>
      <c r="W546" s="89"/>
      <c r="X546" s="79"/>
      <c r="Y546" s="79"/>
      <c r="Z546" s="79"/>
      <c r="AA546" s="79"/>
      <c r="AB546" s="79"/>
      <c r="AC546" s="82"/>
      <c r="AD546" s="83"/>
      <c r="AE546" s="84"/>
    </row>
    <row r="547" ht="21.25" customHeight="1">
      <c r="A547" t="s" s="10">
        <v>750</v>
      </c>
      <c r="B547" t="s" s="86">
        <f>VLOOKUP(A547,'Player Data'!A1:B667,2,FALSE)</f>
        <v>149</v>
      </c>
      <c r="C547" s="74">
        <f>((E547)*'Settings'!$C$12)+(F547*'Settings'!$C$2)+(G547*'Settings'!$C$3)+(H547*'Settings'!$C$4)+(I547*'Settings'!$C$5)+(K547*'Settings'!$C$9)+(N547*'Settings'!$C$6)+(J547*'Settings'!$C$8)+(O547*'Settings'!$C$7)+(P547*'Settings'!$C$14)+(Q547*'Settings'!$C$15)+(R547*'Settings'!$C$16)+(S547*'Settings'!$C$17)+(T547*'Settings'!$C$18)+(U547*'Settings'!$C$19)+(L547*'Settings'!$C$10)+('Settings'!$C$11*M547)</f>
        <v>-2.1657553408206</v>
      </c>
      <c r="D547" s="79">
        <f>IF('Settings'!$E$12="YES",VLOOKUP(A547,'Player Data'!A1:E667,5,FALSE),82)</f>
        <v>76.645</v>
      </c>
      <c r="E547" s="77">
        <f>(VLOOKUP($A547,'The List'!$B1:$AH665,17,FALSE)-AVERAGE('The List'!R2:R665))/STDEV('The List'!R2:R665)</f>
        <v>-0.285217793605856</v>
      </c>
      <c r="F547" s="77">
        <f>(VLOOKUP($A547,'The List'!$B1:$AH665,18,FALSE)-AVERAGE('The List'!S2:S665))/STDEV('The List'!S2:S665)</f>
        <v>-1.03763811115145</v>
      </c>
      <c r="G547" s="77">
        <f>(VLOOKUP($A547,'The List'!$B1:$AH665,19,FALSE)-AVERAGE('The List'!T2:T665))/STDEV('The List'!T2:T665)</f>
        <v>-0.7875782495654891</v>
      </c>
      <c r="H547" s="77">
        <f>(VLOOKUP($A547,'The List'!$B1:$AH665,20,FALSE)-AVERAGE('The List'!U2:U665))/STDEV('The List'!U2:U665)</f>
        <v>-0.960786221436708</v>
      </c>
      <c r="I547" s="77">
        <f>(VLOOKUP($A547,'The List'!$B1:$AH665,21,FALSE)-AVERAGE('The List'!V2:V665))/STDEV('The List'!V2:V665)</f>
        <v>-0.846366105954349</v>
      </c>
      <c r="J547" s="77">
        <f>(VLOOKUP($A547,'The List'!$B1:$AH665,22,FALSE)-AVERAGE('The List'!W2:W665))/STDEV('The List'!W2:W665)</f>
        <v>-0.646693374074814</v>
      </c>
      <c r="K547" s="77">
        <f>(VLOOKUP($A547,'The List'!$B1:$AH665,23,FALSE)-AVERAGE('The List'!X2:X665))/STDEV('The List'!X2:X665)</f>
        <v>-0.6495729581506851</v>
      </c>
      <c r="L547" s="77">
        <f>(VLOOKUP($A547,'The List'!$B1:$AH665,24,FALSE)-AVERAGE('The List'!Y2:Y665))/STDEV('The List'!Y2:Y665)</f>
        <v>-0.549653247378128</v>
      </c>
      <c r="M547" s="77">
        <f>(VLOOKUP($A547,'The List'!$B1:$AH665,25,FALSE)-AVERAGE('The List'!Z2:Z665))/STDEV('The List'!Z2:Z665)</f>
        <v>-0.532401181344438</v>
      </c>
      <c r="N547" s="77">
        <f>(VLOOKUP($A547,'The List'!$B1:$AH665,26,FALSE)-AVERAGE('The List'!AA2:AA665))/STDEV('The List'!AA2:AA665)</f>
        <v>0.593974448528209</v>
      </c>
      <c r="O547" s="77">
        <f>(VLOOKUP($A547,'The List'!$B1:$AH665,27,FALSE)-AVERAGE('The List'!AB2:AB665))/STDEV('The List'!AB2:AB665)</f>
        <v>-0.376197161020488</v>
      </c>
      <c r="P547" s="77">
        <f>(VLOOKUP($A547,'The List'!$B1:$AH665,28,FALSE)-AVERAGE('The List'!AC2:AC665))/STDEV('The List'!AC2:AC665)</f>
        <v>0.561425635473167</v>
      </c>
      <c r="Q547" s="77">
        <f>(VLOOKUP($A547,'The List'!$B1:$AH665,29,FALSE)-AVERAGE('The List'!AD2:AD665))/STDEV('The List'!AD2:AD665)</f>
        <v>-1.25124303174684</v>
      </c>
      <c r="R547" s="77">
        <f>(VLOOKUP($A547,'The List'!$B1:$AH665,30,FALSE)-AVERAGE('The List'!AE2:AE665))/STDEV('The List'!AE2:AE665)</f>
        <v>-0.95152052817512</v>
      </c>
      <c r="S547" s="77">
        <f>(VLOOKUP($A547,'The List'!$B1:$AH665,31,FALSE)-AVERAGE('The List'!AF2:AF665))/STDEV('The List'!AF2:AF665)</f>
        <v>-0.573894410680004</v>
      </c>
      <c r="T547" s="77">
        <f>(VLOOKUP($A547,'The List'!$B1:$AH665,32,FALSE)-AVERAGE('The List'!AG2:AG665))/STDEV('The List'!AG2:AG665)</f>
        <v>-0.625770787132651</v>
      </c>
      <c r="U547" s="77">
        <f>(VLOOKUP($A547,'The List'!$B1:$AH665,33,FALSE)-AVERAGE('The List'!AH2:AH665))/STDEV('The List'!AH2:AH665)</f>
        <v>-1.23143509451486</v>
      </c>
      <c r="V547" s="77"/>
      <c r="W547" s="79"/>
      <c r="X547" s="77"/>
      <c r="Y547" s="77"/>
      <c r="Z547" s="77"/>
      <c r="AA547" s="77"/>
      <c r="AB547" s="77"/>
      <c r="AC547" s="77"/>
      <c r="AD547" s="77"/>
      <c r="AE547" s="84"/>
    </row>
    <row r="548" ht="21.25" customHeight="1">
      <c r="A548" t="s" s="10">
        <v>605</v>
      </c>
      <c r="B548" t="s" s="86">
        <f>VLOOKUP(A548,'Player Data'!A1:B667,2,FALSE)</f>
        <v>207</v>
      </c>
      <c r="C548" s="74">
        <f>((E548)*'Settings'!$C$12)+(F548*'Settings'!$C$2)+(G548*'Settings'!$C$3)+(H548*'Settings'!$C$4)+(I548*'Settings'!$C$5)+(K548*'Settings'!$C$9)+(N548*'Settings'!$C$6)+(J548*'Settings'!$C$8)+(O548*'Settings'!$C$7)+(P548*'Settings'!$C$14)+(Q548*'Settings'!$C$15)+(R548*'Settings'!$C$16)+(S548*'Settings'!$C$17)+(T548*'Settings'!$C$18)+(U548*'Settings'!$C$19)+(L548*'Settings'!$C$10)+('Settings'!$C$11*M548)</f>
        <v>-1.92188156537267</v>
      </c>
      <c r="D548" s="79">
        <f>IF('Settings'!$E$12="YES",VLOOKUP(A548,'Player Data'!A1:E667,5,FALSE),82)</f>
        <v>72.6525</v>
      </c>
      <c r="E548" s="77">
        <f>(VLOOKUP($A548,'The List'!$B1:$AH665,17,FALSE)-AVERAGE('The List'!R2:R665))/STDEV('The List'!R2:R665)</f>
        <v>0.185402025188211</v>
      </c>
      <c r="F548" s="77">
        <f>(VLOOKUP($A548,'The List'!$B1:$AH665,18,FALSE)-AVERAGE('The List'!S2:S665))/STDEV('The List'!S2:S665)</f>
        <v>-1.06968104112124</v>
      </c>
      <c r="G548" s="77">
        <f>(VLOOKUP($A548,'The List'!$B1:$AH665,19,FALSE)-AVERAGE('The List'!T2:T665))/STDEV('The List'!T2:T665)</f>
        <v>-0.822804188885106</v>
      </c>
      <c r="H548" s="77">
        <f>(VLOOKUP($A548,'The List'!$B1:$AH665,20,FALSE)-AVERAGE('The List'!U2:U665))/STDEV('The List'!U2:U665)</f>
        <v>-0.997228545236318</v>
      </c>
      <c r="I548" s="77">
        <f>(VLOOKUP($A548,'The List'!$B1:$AH665,21,FALSE)-AVERAGE('The List'!V2:V665))/STDEV('The List'!V2:V665)</f>
        <v>-1.01382489855656</v>
      </c>
      <c r="J548" s="77">
        <f>(VLOOKUP($A548,'The List'!$B1:$AH665,22,FALSE)-AVERAGE('The List'!W2:W665))/STDEV('The List'!W2:W665)</f>
        <v>-0.7435425911183</v>
      </c>
      <c r="K548" s="77">
        <f>(VLOOKUP($A548,'The List'!$B1:$AH665,23,FALSE)-AVERAGE('The List'!X2:X665))/STDEV('The List'!X2:X665)</f>
        <v>-0.822902948418488</v>
      </c>
      <c r="L548" s="77">
        <f>(VLOOKUP($A548,'The List'!$B1:$AH665,24,FALSE)-AVERAGE('The List'!Y2:Y665))/STDEV('The List'!Y2:Y665)</f>
        <v>-0.5286844834644</v>
      </c>
      <c r="M548" s="77">
        <f>(VLOOKUP($A548,'The List'!$B1:$AH665,25,FALSE)-AVERAGE('The List'!Z2:Z665))/STDEV('The List'!Z2:Z665)</f>
        <v>-0.427594997498367</v>
      </c>
      <c r="N548" s="77">
        <f>(VLOOKUP($A548,'The List'!$B1:$AH665,26,FALSE)-AVERAGE('The List'!AA2:AA665))/STDEV('The List'!AA2:AA665)</f>
        <v>1.7409665488586</v>
      </c>
      <c r="O548" s="77">
        <f>(VLOOKUP($A548,'The List'!$B1:$AH665,27,FALSE)-AVERAGE('The List'!AB2:AB665))/STDEV('The List'!AB2:AB665)</f>
        <v>0.128209782406303</v>
      </c>
      <c r="P548" s="77">
        <f>(VLOOKUP($A548,'The List'!$B1:$AH665,28,FALSE)-AVERAGE('The List'!AC2:AC665))/STDEV('The List'!AC2:AC665)</f>
        <v>0.066364962750127</v>
      </c>
      <c r="Q548" s="77">
        <f>(VLOOKUP($A548,'The List'!$B1:$AH665,29,FALSE)-AVERAGE('The List'!AD2:AD665))/STDEV('The List'!AD2:AD665)</f>
        <v>0.933389090985172</v>
      </c>
      <c r="R548" s="77">
        <f>(VLOOKUP($A548,'The List'!$B1:$AH665,30,FALSE)-AVERAGE('The List'!AE2:AE665))/STDEV('The List'!AE2:AE665)</f>
        <v>-1.00891123528553</v>
      </c>
      <c r="S548" s="77">
        <f>(VLOOKUP($A548,'The List'!$B1:$AH665,31,FALSE)-AVERAGE('The List'!AF2:AF665))/STDEV('The List'!AF2:AF665)</f>
        <v>-0.573894410680004</v>
      </c>
      <c r="T548" s="77">
        <f>(VLOOKUP($A548,'The List'!$B1:$AH665,32,FALSE)-AVERAGE('The List'!AG2:AG665))/STDEV('The List'!AG2:AG665)</f>
        <v>-0.625770787132651</v>
      </c>
      <c r="U548" s="77">
        <f>(VLOOKUP($A548,'The List'!$B1:$AH665,33,FALSE)-AVERAGE('The List'!AH2:AH665))/STDEV('The List'!AH2:AH665)</f>
        <v>-1.23143509451486</v>
      </c>
      <c r="V548" s="77"/>
      <c r="W548" s="79"/>
      <c r="X548" s="77"/>
      <c r="Y548" s="77"/>
      <c r="Z548" s="77"/>
      <c r="AA548" s="77"/>
      <c r="AB548" s="77"/>
      <c r="AC548" s="77"/>
      <c r="AD548" s="77"/>
      <c r="AE548" s="84"/>
    </row>
    <row r="549" ht="21.25" customHeight="1">
      <c r="A549" t="s" s="10">
        <v>397</v>
      </c>
      <c r="B549" t="s" s="86">
        <f>VLOOKUP(A549,'Player Data'!A1:B667,2,FALSE)</f>
        <v>910</v>
      </c>
      <c r="C549" s="74">
        <f>((E549)*'Settings'!$C$12)+(F549*'Settings'!$C$2)+(G549*'Settings'!$C$3)+(H549*'Settings'!$C$4)+(I549*'Settings'!$C$5)+(K549*'Settings'!$C$9)+(N549*'Settings'!$C$6)+(J549*'Settings'!$C$8)+(O549*'Settings'!$C$7)+(P549*'Settings'!$C$14)+(Q549*'Settings'!$C$15)+(R549*'Settings'!$C$16)+(S549*'Settings'!$C$17)+(T549*'Settings'!$C$18)+(U549*'Settings'!$C$19)+(L549*'Settings'!$C$10)+('Settings'!$C$11*M549)</f>
        <v>-3.68109842830432</v>
      </c>
      <c r="D549" s="79">
        <f>IF('Settings'!$E$12="YES",VLOOKUP(A549,'Player Data'!A1:E667,5,FALSE),82)</f>
        <v>81.705</v>
      </c>
      <c r="E549" s="77">
        <f>(VLOOKUP($A549,'The List'!$B1:$AH665,17,FALSE)-AVERAGE('The List'!R2:R665))/STDEV('The List'!R2:R665)</f>
        <v>-1.47862208970232</v>
      </c>
      <c r="F549" s="77">
        <f>(VLOOKUP($A549,'The List'!$B1:$AH665,18,FALSE)-AVERAGE('The List'!S2:S665))/STDEV('The List'!S2:S665)</f>
        <v>-0.566371484513027</v>
      </c>
      <c r="G549" s="77">
        <f>(VLOOKUP($A549,'The List'!$B1:$AH665,19,FALSE)-AVERAGE('The List'!T2:T665))/STDEV('The List'!T2:T665)</f>
        <v>-1.06275212309301</v>
      </c>
      <c r="H549" s="77">
        <f>(VLOOKUP($A549,'The List'!$B1:$AH665,20,FALSE)-AVERAGE('The List'!U2:U665))/STDEV('The List'!U2:U665)</f>
        <v>-0.917471586497176</v>
      </c>
      <c r="I549" s="77">
        <f>(VLOOKUP($A549,'The List'!$B1:$AH665,21,FALSE)-AVERAGE('The List'!V2:V665))/STDEV('The List'!V2:V665)</f>
        <v>-0.6644616142458361</v>
      </c>
      <c r="J549" s="77">
        <f>(VLOOKUP($A549,'The List'!$B1:$AH665,22,FALSE)-AVERAGE('The List'!W2:W665))/STDEV('The List'!W2:W665)</f>
        <v>-0.730377402002231</v>
      </c>
      <c r="K549" s="77">
        <f>(VLOOKUP($A549,'The List'!$B1:$AH665,23,FALSE)-AVERAGE('The List'!X2:X665))/STDEV('The List'!X2:X665)</f>
        <v>-0.815558539801581</v>
      </c>
      <c r="L549" s="77">
        <f>(VLOOKUP($A549,'The List'!$B1:$AH665,24,FALSE)-AVERAGE('The List'!Y2:Y665))/STDEV('The List'!Y2:Y665)</f>
        <v>0.330527576883467</v>
      </c>
      <c r="M549" s="77">
        <f>(VLOOKUP($A549,'The List'!$B1:$AH665,25,FALSE)-AVERAGE('The List'!Z2:Z665))/STDEV('The List'!Z2:Z665)</f>
        <v>1.21087732735561</v>
      </c>
      <c r="N549" s="77">
        <f>(VLOOKUP($A549,'The List'!$B1:$AH665,26,FALSE)-AVERAGE('The List'!AA2:AA665))/STDEV('The List'!AA2:AA665)</f>
        <v>0.0169729960380978</v>
      </c>
      <c r="O549" s="77">
        <f>(VLOOKUP($A549,'The List'!$B1:$AH665,27,FALSE)-AVERAGE('The List'!AB2:AB665))/STDEV('The List'!AB2:AB665)</f>
        <v>3.51927595252263</v>
      </c>
      <c r="P549" s="77">
        <f>(VLOOKUP($A549,'The List'!$B1:$AH665,28,FALSE)-AVERAGE('The List'!AC2:AC665))/STDEV('The List'!AC2:AC665)</f>
        <v>-0.588927662688965</v>
      </c>
      <c r="Q549" s="77">
        <f>(VLOOKUP($A549,'The List'!$B1:$AH665,29,FALSE)-AVERAGE('The List'!AD2:AD665))/STDEV('The List'!AD2:AD665)</f>
        <v>1.36326548913305</v>
      </c>
      <c r="R549" s="77">
        <f>(VLOOKUP($A549,'The List'!$B1:$AH665,30,FALSE)-AVERAGE('The List'!AE2:AE665))/STDEV('The List'!AE2:AE665)</f>
        <v>-0.561309737565735</v>
      </c>
      <c r="S549" s="77">
        <f>(VLOOKUP($A549,'The List'!$B1:$AH665,31,FALSE)-AVERAGE('The List'!AF2:AF665))/STDEV('The List'!AF2:AF665)</f>
        <v>-0.515964699285164</v>
      </c>
      <c r="T549" s="77">
        <f>(VLOOKUP($A549,'The List'!$B1:$AH665,32,FALSE)-AVERAGE('The List'!AG2:AG665))/STDEV('The List'!AG2:AG665)</f>
        <v>-0.548730891035083</v>
      </c>
      <c r="U549" s="77">
        <f>(VLOOKUP($A549,'The List'!$B1:$AH665,33,FALSE)-AVERAGE('The List'!AH2:AH665))/STDEV('The List'!AH2:AH665)</f>
        <v>0.782979967124554</v>
      </c>
      <c r="V549" s="77"/>
      <c r="W549" s="89"/>
      <c r="X549" s="79"/>
      <c r="Y549" s="79"/>
      <c r="Z549" s="79"/>
      <c r="AA549" s="79"/>
      <c r="AB549" s="79"/>
      <c r="AC549" s="82"/>
      <c r="AD549" s="83"/>
      <c r="AE549" s="84"/>
    </row>
    <row r="550" ht="21.25" customHeight="1">
      <c r="A550" t="s" s="10">
        <v>610</v>
      </c>
      <c r="B550" t="s" s="86">
        <f>VLOOKUP(A550,'Player Data'!A1:B667,2,FALSE)</f>
        <v>174</v>
      </c>
      <c r="C550" s="74">
        <f>((E550)*'Settings'!$C$12)+(F550*'Settings'!$C$2)+(G550*'Settings'!$C$3)+(H550*'Settings'!$C$4)+(I550*'Settings'!$C$5)+(K550*'Settings'!$C$9)+(N550*'Settings'!$C$6)+(J550*'Settings'!$C$8)+(O550*'Settings'!$C$7)+(P550*'Settings'!$C$14)+(Q550*'Settings'!$C$15)+(R550*'Settings'!$C$16)+(S550*'Settings'!$C$17)+(T550*'Settings'!$C$18)+(U550*'Settings'!$C$19)+(L550*'Settings'!$C$10)+('Settings'!$C$11*M550)</f>
        <v>-2.29585593594026</v>
      </c>
      <c r="D550" s="79">
        <f>IF('Settings'!$E$12="YES",VLOOKUP(A550,'Player Data'!A1:E667,5,FALSE),82)</f>
        <v>75.28</v>
      </c>
      <c r="E550" s="77">
        <f>(VLOOKUP($A550,'The List'!$B1:$AH665,17,FALSE)-AVERAGE('The List'!R2:R665))/STDEV('The List'!R2:R665)</f>
        <v>0.49221448520474</v>
      </c>
      <c r="F550" s="77">
        <f>(VLOOKUP($A550,'The List'!$B1:$AH665,18,FALSE)-AVERAGE('The List'!S2:S665))/STDEV('The List'!S2:S665)</f>
        <v>-1.08102372189828</v>
      </c>
      <c r="G550" s="77">
        <f>(VLOOKUP($A550,'The List'!$B1:$AH665,19,FALSE)-AVERAGE('The List'!T2:T665))/STDEV('The List'!T2:T665)</f>
        <v>-0.786895104419971</v>
      </c>
      <c r="H550" s="77">
        <f>(VLOOKUP($A550,'The List'!$B1:$AH665,20,FALSE)-AVERAGE('The List'!U2:U665))/STDEV('The List'!U2:U665)</f>
        <v>-0.980082772257431</v>
      </c>
      <c r="I550" s="77">
        <f>(VLOOKUP($A550,'The List'!$B1:$AH665,21,FALSE)-AVERAGE('The List'!V2:V665))/STDEV('The List'!V2:V665)</f>
        <v>-1.0935099475089</v>
      </c>
      <c r="J550" s="77">
        <f>(VLOOKUP($A550,'The List'!$B1:$AH665,22,FALSE)-AVERAGE('The List'!W2:W665))/STDEV('The List'!W2:W665)</f>
        <v>-0.739243095227016</v>
      </c>
      <c r="K550" s="77">
        <f>(VLOOKUP($A550,'The List'!$B1:$AH665,23,FALSE)-AVERAGE('The List'!X2:X665))/STDEV('The List'!X2:X665)</f>
        <v>-0.8131562753602229</v>
      </c>
      <c r="L550" s="77">
        <f>(VLOOKUP($A550,'The List'!$B1:$AH665,24,FALSE)-AVERAGE('The List'!Y2:Y665))/STDEV('The List'!Y2:Y665)</f>
        <v>-0.49863956273472</v>
      </c>
      <c r="M550" s="77">
        <f>(VLOOKUP($A550,'The List'!$B1:$AH665,25,FALSE)-AVERAGE('The List'!Z2:Z665))/STDEV('The List'!Z2:Z665)</f>
        <v>-0.546456275235261</v>
      </c>
      <c r="N550" s="77">
        <f>(VLOOKUP($A550,'The List'!$B1:$AH665,26,FALSE)-AVERAGE('The List'!AA2:AA665))/STDEV('The List'!AA2:AA665)</f>
        <v>0.966645289001231</v>
      </c>
      <c r="O550" s="77">
        <f>(VLOOKUP($A550,'The List'!$B1:$AH665,27,FALSE)-AVERAGE('The List'!AB2:AB665))/STDEV('The List'!AB2:AB665)</f>
        <v>0.994655632808554</v>
      </c>
      <c r="P550" s="77">
        <f>(VLOOKUP($A550,'The List'!$B1:$AH665,28,FALSE)-AVERAGE('The List'!AC2:AC665))/STDEV('The List'!AC2:AC665)</f>
        <v>0.5120838242458799</v>
      </c>
      <c r="Q550" s="77">
        <f>(VLOOKUP($A550,'The List'!$B1:$AH665,29,FALSE)-AVERAGE('The List'!AD2:AD665))/STDEV('The List'!AD2:AD665)</f>
        <v>1.79312010435449</v>
      </c>
      <c r="R550" s="77">
        <f>(VLOOKUP($A550,'The List'!$B1:$AH665,30,FALSE)-AVERAGE('The List'!AE2:AE665))/STDEV('The List'!AE2:AE665)</f>
        <v>-1.03959283401976</v>
      </c>
      <c r="S550" s="77">
        <f>(VLOOKUP($A550,'The List'!$B1:$AH665,31,FALSE)-AVERAGE('The List'!AF2:AF665))/STDEV('The List'!AF2:AF665)</f>
        <v>-0.573894410680004</v>
      </c>
      <c r="T550" s="77">
        <f>(VLOOKUP($A550,'The List'!$B1:$AH665,32,FALSE)-AVERAGE('The List'!AG2:AG665))/STDEV('The List'!AG2:AG665)</f>
        <v>-0.625770787132651</v>
      </c>
      <c r="U550" s="77">
        <f>(VLOOKUP($A550,'The List'!$B1:$AH665,33,FALSE)-AVERAGE('The List'!AH2:AH665))/STDEV('The List'!AH2:AH665)</f>
        <v>-1.23143509451486</v>
      </c>
      <c r="V550" s="77"/>
      <c r="W550" s="89"/>
      <c r="X550" s="79"/>
      <c r="Y550" s="79"/>
      <c r="Z550" s="79"/>
      <c r="AA550" s="79"/>
      <c r="AB550" s="79"/>
      <c r="AC550" s="82"/>
      <c r="AD550" s="83"/>
      <c r="AE550" s="84"/>
    </row>
    <row r="551" ht="21.25" customHeight="1">
      <c r="A551" t="s" s="10">
        <v>825</v>
      </c>
      <c r="B551" t="s" s="86">
        <f>VLOOKUP(A551,'Player Data'!A1:B667,2,FALSE)</f>
        <v>912</v>
      </c>
      <c r="C551" s="74">
        <f>((E551)*'Settings'!$C$12)+(F551*'Settings'!$C$2)+(G551*'Settings'!$C$3)+(H551*'Settings'!$C$4)+(I551*'Settings'!$C$5)+(K551*'Settings'!$C$9)+(N551*'Settings'!$C$6)+(J551*'Settings'!$C$8)+(O551*'Settings'!$C$7)+(P551*'Settings'!$C$14)+(Q551*'Settings'!$C$15)+(R551*'Settings'!$C$16)+(S551*'Settings'!$C$17)+(T551*'Settings'!$C$18)+(U551*'Settings'!$C$19)+(L551*'Settings'!$C$10)+('Settings'!$C$11*M551)</f>
        <v>-5.93386827376624</v>
      </c>
      <c r="D551" s="79">
        <f>IF('Settings'!$E$12="YES",VLOOKUP(A551,'Player Data'!A1:E667,5,FALSE),82)</f>
        <v>68.9725</v>
      </c>
      <c r="E551" s="77">
        <f>(VLOOKUP($A551,'The List'!$B1:$AH665,17,FALSE)-AVERAGE('The List'!R2:R665))/STDEV('The List'!R2:R665)</f>
        <v>-1.53134048343878</v>
      </c>
      <c r="F551" s="77">
        <f>(VLOOKUP($A551,'The List'!$B1:$AH665,18,FALSE)-AVERAGE('The List'!S2:S665))/STDEV('The List'!S2:S665)</f>
        <v>-0.630451636024059</v>
      </c>
      <c r="G551" s="77">
        <f>(VLOOKUP($A551,'The List'!$B1:$AH665,19,FALSE)-AVERAGE('The List'!T2:T665))/STDEV('The List'!T2:T665)</f>
        <v>-1.20861870530001</v>
      </c>
      <c r="H551" s="77">
        <f>(VLOOKUP($A551,'The List'!$B1:$AH665,20,FALSE)-AVERAGE('The List'!U2:U665))/STDEV('The List'!U2:U665)</f>
        <v>-1.03719041068641</v>
      </c>
      <c r="I551" s="77">
        <f>(VLOOKUP($A551,'The List'!$B1:$AH665,21,FALSE)-AVERAGE('The List'!V2:V665))/STDEV('The List'!V2:V665)</f>
        <v>-0.981311994926762</v>
      </c>
      <c r="J551" s="77">
        <f>(VLOOKUP($A551,'The List'!$B1:$AH665,22,FALSE)-AVERAGE('The List'!W2:W665))/STDEV('The List'!W2:W665)</f>
        <v>-0.729604555567686</v>
      </c>
      <c r="K551" s="77">
        <f>(VLOOKUP($A551,'The List'!$B1:$AH665,23,FALSE)-AVERAGE('The List'!X2:X665))/STDEV('The List'!X2:X665)</f>
        <v>-0.815004974781639</v>
      </c>
      <c r="L551" s="77">
        <f>(VLOOKUP($A551,'The List'!$B1:$AH665,24,FALSE)-AVERAGE('The List'!Y2:Y665))/STDEV('The List'!Y2:Y665)</f>
        <v>0.615505737876695</v>
      </c>
      <c r="M551" s="77">
        <f>(VLOOKUP($A551,'The List'!$B1:$AH665,25,FALSE)-AVERAGE('The List'!Z2:Z665))/STDEV('The List'!Z2:Z665)</f>
        <v>0.0959564079105414</v>
      </c>
      <c r="N551" s="77">
        <f>(VLOOKUP($A551,'The List'!$B1:$AH665,26,FALSE)-AVERAGE('The List'!AA2:AA665))/STDEV('The List'!AA2:AA665)</f>
        <v>-0.7358076116679479</v>
      </c>
      <c r="O551" s="77">
        <f>(VLOOKUP($A551,'The List'!$B1:$AH665,27,FALSE)-AVERAGE('The List'!AB2:AB665))/STDEV('The List'!AB2:AB665)</f>
        <v>-0.0512264734606015</v>
      </c>
      <c r="P551" s="77">
        <f>(VLOOKUP($A551,'The List'!$B1:$AH665,28,FALSE)-AVERAGE('The List'!AC2:AC665))/STDEV('The List'!AC2:AC665)</f>
        <v>-1.56267335106582</v>
      </c>
      <c r="Q551" s="77">
        <f>(VLOOKUP($A551,'The List'!$B1:$AH665,29,FALSE)-AVERAGE('The List'!AD2:AD665))/STDEV('The List'!AD2:AD665)</f>
        <v>-1.21784046064375</v>
      </c>
      <c r="R551" s="77">
        <f>(VLOOKUP($A551,'The List'!$B1:$AH665,30,FALSE)-AVERAGE('The List'!AE2:AE665))/STDEV('The List'!AE2:AE665)</f>
        <v>-0.749031233159575</v>
      </c>
      <c r="S551" s="77">
        <f>(VLOOKUP($A551,'The List'!$B1:$AH665,31,FALSE)-AVERAGE('The List'!AF2:AF665))/STDEV('The List'!AF2:AF665)</f>
        <v>-0.528759489110129</v>
      </c>
      <c r="T551" s="77">
        <f>(VLOOKUP($A551,'The List'!$B1:$AH665,32,FALSE)-AVERAGE('The List'!AG2:AG665))/STDEV('The List'!AG2:AG665)</f>
        <v>-0.529927403874616</v>
      </c>
      <c r="U551" s="77">
        <f>(VLOOKUP($A551,'The List'!$B1:$AH665,33,FALSE)-AVERAGE('The List'!AH2:AH665))/STDEV('The List'!AH2:AH665)</f>
        <v>0.281387530736658</v>
      </c>
      <c r="V551" s="77"/>
      <c r="W551" s="79"/>
      <c r="X551" s="77"/>
      <c r="Y551" s="77"/>
      <c r="Z551" s="77"/>
      <c r="AA551" s="77"/>
      <c r="AB551" s="77"/>
      <c r="AC551" s="77"/>
      <c r="AD551" s="77"/>
      <c r="AE551" s="84"/>
    </row>
    <row r="552" ht="21.25" customHeight="1">
      <c r="A552" t="s" s="10">
        <v>363</v>
      </c>
      <c r="B552" t="s" s="86">
        <f>VLOOKUP(A552,'Player Data'!A1:B667,2,FALSE)</f>
        <v>910</v>
      </c>
      <c r="C552" s="74">
        <f>((E552)*'Settings'!$C$12)+(F552*'Settings'!$C$2)+(G552*'Settings'!$C$3)+(H552*'Settings'!$C$4)+(I552*'Settings'!$C$5)+(K552*'Settings'!$C$9)+(N552*'Settings'!$C$6)+(J552*'Settings'!$C$8)+(O552*'Settings'!$C$7)+(P552*'Settings'!$C$14)+(Q552*'Settings'!$C$15)+(R552*'Settings'!$C$16)+(S552*'Settings'!$C$17)+(T552*'Settings'!$C$18)+(U552*'Settings'!$C$19)+(L552*'Settings'!$C$10)+('Settings'!$C$11*M552)</f>
        <v>-0.714624617743567</v>
      </c>
      <c r="D552" s="79">
        <f>IF('Settings'!$E$12="YES",VLOOKUP(A552,'Player Data'!A1:E667,5,FALSE),82)</f>
        <v>75.48999999999999</v>
      </c>
      <c r="E552" s="77">
        <f>(VLOOKUP($A552,'The List'!$B1:$AH665,17,FALSE)-AVERAGE('The List'!R2:R665))/STDEV('The List'!R2:R665)</f>
        <v>0.31692960450745</v>
      </c>
      <c r="F552" s="77">
        <f>(VLOOKUP($A552,'The List'!$B1:$AH665,18,FALSE)-AVERAGE('The List'!S2:S665))/STDEV('The List'!S2:S665)</f>
        <v>-1.07446489674674</v>
      </c>
      <c r="G552" s="77">
        <f>(VLOOKUP($A552,'The List'!$B1:$AH665,19,FALSE)-AVERAGE('The List'!T2:T665))/STDEV('The List'!T2:T665)</f>
        <v>-0.802320565316552</v>
      </c>
      <c r="H552" s="77">
        <f>(VLOOKUP($A552,'The List'!$B1:$AH665,20,FALSE)-AVERAGE('The List'!U2:U665))/STDEV('The List'!U2:U665)</f>
        <v>-0.986681553021425</v>
      </c>
      <c r="I552" s="77">
        <f>(VLOOKUP($A552,'The List'!$B1:$AH665,21,FALSE)-AVERAGE('The List'!V2:V665))/STDEV('The List'!V2:V665)</f>
        <v>-0.550306286318585</v>
      </c>
      <c r="J552" s="77">
        <f>(VLOOKUP($A552,'The List'!$B1:$AH665,22,FALSE)-AVERAGE('The List'!W2:W665))/STDEV('The List'!W2:W665)</f>
        <v>-0.740528676463745</v>
      </c>
      <c r="K552" s="77">
        <f>(VLOOKUP($A552,'The List'!$B1:$AH665,23,FALSE)-AVERAGE('The List'!X2:X665))/STDEV('The List'!X2:X665)</f>
        <v>-0.8152339422289711</v>
      </c>
      <c r="L552" s="77">
        <f>(VLOOKUP($A552,'The List'!$B1:$AH665,24,FALSE)-AVERAGE('The List'!Y2:Y665))/STDEV('The List'!Y2:Y665)</f>
        <v>-0.516310198682058</v>
      </c>
      <c r="M552" s="77">
        <f>(VLOOKUP($A552,'The List'!$B1:$AH665,25,FALSE)-AVERAGE('The List'!Z2:Z665))/STDEV('The List'!Z2:Z665)</f>
        <v>2.01283342256381</v>
      </c>
      <c r="N552" s="77">
        <f>(VLOOKUP($A552,'The List'!$B1:$AH665,26,FALSE)-AVERAGE('The List'!AA2:AA665))/STDEV('The List'!AA2:AA665)</f>
        <v>3.00139859467011</v>
      </c>
      <c r="O552" s="77">
        <f>(VLOOKUP($A552,'The List'!$B1:$AH665,27,FALSE)-AVERAGE('The List'!AB2:AB665))/STDEV('The List'!AB2:AB665)</f>
        <v>1.06572293710542</v>
      </c>
      <c r="P552" s="77">
        <f>(VLOOKUP($A552,'The List'!$B1:$AH665,28,FALSE)-AVERAGE('The List'!AC2:AC665))/STDEV('The List'!AC2:AC665)</f>
        <v>-0.473697521802829</v>
      </c>
      <c r="Q552" s="77">
        <f>(VLOOKUP($A552,'The List'!$B1:$AH665,29,FALSE)-AVERAGE('The List'!AD2:AD665))/STDEV('The List'!AD2:AD665)</f>
        <v>1.53655142947796</v>
      </c>
      <c r="R552" s="77">
        <f>(VLOOKUP($A552,'The List'!$B1:$AH665,30,FALSE)-AVERAGE('The List'!AE2:AE665))/STDEV('The List'!AE2:AE665)</f>
        <v>-1.03403214250899</v>
      </c>
      <c r="S552" s="77">
        <f>(VLOOKUP($A552,'The List'!$B1:$AH665,31,FALSE)-AVERAGE('The List'!AF2:AF665))/STDEV('The List'!AF2:AF665)</f>
        <v>-0.573894410680004</v>
      </c>
      <c r="T552" s="77">
        <f>(VLOOKUP($A552,'The List'!$B1:$AH665,32,FALSE)-AVERAGE('The List'!AG2:AG665))/STDEV('The List'!AG2:AG665)</f>
        <v>-0.625770787132651</v>
      </c>
      <c r="U552" s="77">
        <f>(VLOOKUP($A552,'The List'!$B1:$AH665,33,FALSE)-AVERAGE('The List'!AH2:AH665))/STDEV('The List'!AH2:AH665)</f>
        <v>-1.23143509451486</v>
      </c>
      <c r="V552" s="77"/>
      <c r="W552" s="89"/>
      <c r="X552" s="79"/>
      <c r="Y552" s="79"/>
      <c r="Z552" s="79"/>
      <c r="AA552" s="79"/>
      <c r="AB552" s="79"/>
      <c r="AC552" s="82"/>
      <c r="AD552" s="83"/>
      <c r="AE552" s="84"/>
    </row>
    <row r="553" ht="21.25" customHeight="1">
      <c r="A553" t="s" s="10">
        <v>486</v>
      </c>
      <c r="B553" t="s" s="86">
        <f>VLOOKUP(A553,'Player Data'!A1:B667,2,FALSE)</f>
        <v>149</v>
      </c>
      <c r="C553" s="74">
        <f>((E553)*'Settings'!$C$12)+(F553*'Settings'!$C$2)+(G553*'Settings'!$C$3)+(H553*'Settings'!$C$4)+(I553*'Settings'!$C$5)+(K553*'Settings'!$C$9)+(N553*'Settings'!$C$6)+(J553*'Settings'!$C$8)+(O553*'Settings'!$C$7)+(P553*'Settings'!$C$14)+(Q553*'Settings'!$C$15)+(R553*'Settings'!$C$16)+(S553*'Settings'!$C$17)+(T553*'Settings'!$C$18)+(U553*'Settings'!$C$19)+(L553*'Settings'!$C$10)+('Settings'!$C$11*M553)</f>
        <v>-1.47045472657655</v>
      </c>
      <c r="D553" s="79">
        <f>IF('Settings'!$E$12="YES",VLOOKUP(A553,'Player Data'!A1:E667,5,FALSE),82)</f>
        <v>79.0925</v>
      </c>
      <c r="E553" s="77">
        <f>(VLOOKUP($A553,'The List'!$B1:$AH665,17,FALSE)-AVERAGE('The List'!R2:R665))/STDEV('The List'!R2:R665)</f>
        <v>0.767141073385652</v>
      </c>
      <c r="F553" s="77">
        <f>(VLOOKUP($A553,'The List'!$B1:$AH665,18,FALSE)-AVERAGE('The List'!S2:S665))/STDEV('The List'!S2:S665)</f>
        <v>-1.04962842713583</v>
      </c>
      <c r="G553" s="77">
        <f>(VLOOKUP($A553,'The List'!$B1:$AH665,19,FALSE)-AVERAGE('The List'!T2:T665))/STDEV('The List'!T2:T665)</f>
        <v>-0.775154115180409</v>
      </c>
      <c r="H553" s="77">
        <f>(VLOOKUP($A553,'The List'!$B1:$AH665,20,FALSE)-AVERAGE('The List'!U2:U665))/STDEV('The List'!U2:U665)</f>
        <v>-0.958520303958299</v>
      </c>
      <c r="I553" s="77">
        <f>(VLOOKUP($A553,'The List'!$B1:$AH665,21,FALSE)-AVERAGE('The List'!V2:V665))/STDEV('The List'!V2:V665)</f>
        <v>-0.780021540768605</v>
      </c>
      <c r="J553" s="77">
        <f>(VLOOKUP($A553,'The List'!$B1:$AH665,22,FALSE)-AVERAGE('The List'!W2:W665))/STDEV('The List'!W2:W665)</f>
        <v>-0.739761460370864</v>
      </c>
      <c r="K553" s="77">
        <f>(VLOOKUP($A553,'The List'!$B1:$AH665,23,FALSE)-AVERAGE('The List'!X2:X665))/STDEV('The List'!X2:X665)</f>
        <v>-0.813768529278436</v>
      </c>
      <c r="L553" s="77">
        <f>(VLOOKUP($A553,'The List'!$B1:$AH665,24,FALSE)-AVERAGE('The List'!Y2:Y665))/STDEV('The List'!Y2:Y665)</f>
        <v>-0.27335119610323</v>
      </c>
      <c r="M553" s="77">
        <f>(VLOOKUP($A553,'The List'!$B1:$AH665,25,FALSE)-AVERAGE('The List'!Z2:Z665))/STDEV('The List'!Z2:Z665)</f>
        <v>0.00428419412063427</v>
      </c>
      <c r="N553" s="77">
        <f>(VLOOKUP($A553,'The List'!$B1:$AH665,26,FALSE)-AVERAGE('The List'!AA2:AA665))/STDEV('The List'!AA2:AA665)</f>
        <v>1.27565501607492</v>
      </c>
      <c r="O553" s="77">
        <f>(VLOOKUP($A553,'The List'!$B1:$AH665,27,FALSE)-AVERAGE('The List'!AB2:AB665))/STDEV('The List'!AB2:AB665)</f>
        <v>1.58081283765596</v>
      </c>
      <c r="P553" s="77">
        <f>(VLOOKUP($A553,'The List'!$B1:$AH665,28,FALSE)-AVERAGE('The List'!AC2:AC665))/STDEV('The List'!AC2:AC665)</f>
        <v>0.672462869711811</v>
      </c>
      <c r="Q553" s="77">
        <f>(VLOOKUP($A553,'The List'!$B1:$AH665,29,FALSE)-AVERAGE('The List'!AD2:AD665))/STDEV('The List'!AD2:AD665)</f>
        <v>1.63140270312931</v>
      </c>
      <c r="R553" s="77">
        <f>(VLOOKUP($A553,'The List'!$B1:$AH665,30,FALSE)-AVERAGE('The List'!AE2:AE665))/STDEV('The List'!AE2:AE665)</f>
        <v>-0.9646319107939429</v>
      </c>
      <c r="S553" s="77">
        <f>(VLOOKUP($A553,'The List'!$B1:$AH665,31,FALSE)-AVERAGE('The List'!AF2:AF665))/STDEV('The List'!AF2:AF665)</f>
        <v>-0.573894410680004</v>
      </c>
      <c r="T553" s="77">
        <f>(VLOOKUP($A553,'The List'!$B1:$AH665,32,FALSE)-AVERAGE('The List'!AG2:AG665))/STDEV('The List'!AG2:AG665)</f>
        <v>-0.625770787132651</v>
      </c>
      <c r="U553" s="77">
        <f>(VLOOKUP($A553,'The List'!$B1:$AH665,33,FALSE)-AVERAGE('The List'!AH2:AH665))/STDEV('The List'!AH2:AH665)</f>
        <v>-1.23143509451486</v>
      </c>
      <c r="V553" s="77"/>
      <c r="W553" s="79"/>
      <c r="X553" s="77"/>
      <c r="Y553" s="77"/>
      <c r="Z553" s="77"/>
      <c r="AA553" s="77"/>
      <c r="AB553" s="77"/>
      <c r="AC553" s="77"/>
      <c r="AD553" s="77"/>
      <c r="AE553" s="84"/>
    </row>
    <row r="554" ht="21.25" customHeight="1">
      <c r="A554" t="s" s="10">
        <v>791</v>
      </c>
      <c r="B554" t="s" s="86">
        <f>VLOOKUP(A554,'Player Data'!A1:B667,2,FALSE)</f>
        <v>900</v>
      </c>
      <c r="C554" s="74">
        <f>((E554)*'Settings'!$C$12)+(F554*'Settings'!$C$2)+(G554*'Settings'!$C$3)+(H554*'Settings'!$C$4)+(I554*'Settings'!$C$5)+(K554*'Settings'!$C$9)+(N554*'Settings'!$C$6)+(J554*'Settings'!$C$8)+(O554*'Settings'!$C$7)+(P554*'Settings'!$C$14)+(Q554*'Settings'!$C$15)+(R554*'Settings'!$C$16)+(S554*'Settings'!$C$17)+(T554*'Settings'!$C$18)+(U554*'Settings'!$C$19)+(L554*'Settings'!$C$10)+('Settings'!$C$11*M554)</f>
        <v>-4.38292034886796</v>
      </c>
      <c r="D554" s="79">
        <f>IF('Settings'!$E$12="YES",VLOOKUP(A554,'Player Data'!A1:E667,5,FALSE),82)</f>
        <v>69.99250000000001</v>
      </c>
      <c r="E554" s="77">
        <f>(VLOOKUP($A554,'The List'!$B1:$AH665,17,FALSE)-AVERAGE('The List'!R2:R665))/STDEV('The List'!R2:R665)</f>
        <v>-0.433085102561673</v>
      </c>
      <c r="F554" s="77">
        <f>(VLOOKUP($A554,'The List'!$B1:$AH665,18,FALSE)-AVERAGE('The List'!S2:S665))/STDEV('The List'!S2:S665)</f>
        <v>-0.937659960744655</v>
      </c>
      <c r="G554" s="77">
        <f>(VLOOKUP($A554,'The List'!$B1:$AH665,19,FALSE)-AVERAGE('The List'!T2:T665))/STDEV('The List'!T2:T665)</f>
        <v>-0.987462222234751</v>
      </c>
      <c r="H554" s="77">
        <f>(VLOOKUP($A554,'The List'!$B1:$AH665,20,FALSE)-AVERAGE('The List'!U2:U665))/STDEV('The List'!U2:U665)</f>
        <v>-1.03948058586029</v>
      </c>
      <c r="I554" s="77">
        <f>(VLOOKUP($A554,'The List'!$B1:$AH665,21,FALSE)-AVERAGE('The List'!V2:V665))/STDEV('The List'!V2:V665)</f>
        <v>-1.1658667140617</v>
      </c>
      <c r="J554" s="77">
        <f>(VLOOKUP($A554,'The List'!$B1:$AH665,22,FALSE)-AVERAGE('The List'!W2:W665))/STDEV('The List'!W2:W665)</f>
        <v>-0.741760583805149</v>
      </c>
      <c r="K554" s="77">
        <f>(VLOOKUP($A554,'The List'!$B1:$AH665,23,FALSE)-AVERAGE('The List'!X2:X665))/STDEV('The List'!X2:X665)</f>
        <v>-0.818911916488743</v>
      </c>
      <c r="L554" s="77">
        <f>(VLOOKUP($A554,'The List'!$B1:$AH665,24,FALSE)-AVERAGE('The List'!Y2:Y665))/STDEV('The List'!Y2:Y665)</f>
        <v>-0.556094222555842</v>
      </c>
      <c r="M554" s="77">
        <f>(VLOOKUP($A554,'The List'!$B1:$AH665,25,FALSE)-AVERAGE('The List'!Z2:Z665))/STDEV('The List'!Z2:Z665)</f>
        <v>-0.681770650458314</v>
      </c>
      <c r="N554" s="77">
        <f>(VLOOKUP($A554,'The List'!$B1:$AH665,26,FALSE)-AVERAGE('The List'!AA2:AA665))/STDEV('The List'!AA2:AA665)</f>
        <v>0.327965802478582</v>
      </c>
      <c r="O554" s="77">
        <f>(VLOOKUP($A554,'The List'!$B1:$AH665,27,FALSE)-AVERAGE('The List'!AB2:AB665))/STDEV('The List'!AB2:AB665)</f>
        <v>-0.197903480538181</v>
      </c>
      <c r="P554" s="77">
        <f>(VLOOKUP($A554,'The List'!$B1:$AH665,28,FALSE)-AVERAGE('The List'!AC2:AC665))/STDEV('The List'!AC2:AC665)</f>
        <v>-0.800985337816689</v>
      </c>
      <c r="Q554" s="77">
        <f>(VLOOKUP($A554,'The List'!$B1:$AH665,29,FALSE)-AVERAGE('The List'!AD2:AD665))/STDEV('The List'!AD2:AD665)</f>
        <v>-0.07681108367833089</v>
      </c>
      <c r="R554" s="77">
        <f>(VLOOKUP($A554,'The List'!$B1:$AH665,30,FALSE)-AVERAGE('The List'!AE2:AE665))/STDEV('The List'!AE2:AE665)</f>
        <v>-0.891694689548518</v>
      </c>
      <c r="S554" s="77">
        <f>(VLOOKUP($A554,'The List'!$B1:$AH665,31,FALSE)-AVERAGE('The List'!AF2:AF665))/STDEV('The List'!AF2:AF665)</f>
        <v>-0.573894410680004</v>
      </c>
      <c r="T554" s="77">
        <f>(VLOOKUP($A554,'The List'!$B1:$AH665,32,FALSE)-AVERAGE('The List'!AG2:AG665))/STDEV('The List'!AG2:AG665)</f>
        <v>-0.625770787132651</v>
      </c>
      <c r="U554" s="77">
        <f>(VLOOKUP($A554,'The List'!$B1:$AH665,33,FALSE)-AVERAGE('The List'!AH2:AH665))/STDEV('The List'!AH2:AH665)</f>
        <v>-1.23143509451486</v>
      </c>
      <c r="V554" s="77"/>
      <c r="W554" s="89"/>
      <c r="X554" s="79"/>
      <c r="Y554" s="79"/>
      <c r="Z554" s="79"/>
      <c r="AA554" s="79"/>
      <c r="AB554" s="79"/>
      <c r="AC554" s="82"/>
      <c r="AD554" s="83"/>
      <c r="AE554" s="84"/>
    </row>
    <row r="555" ht="21.25" customHeight="1">
      <c r="A555" t="s" s="10">
        <v>721</v>
      </c>
      <c r="B555" t="s" s="86">
        <f>VLOOKUP(A555,'Player Data'!A1:B667,2,FALSE)</f>
        <v>156</v>
      </c>
      <c r="C555" s="74">
        <f>((E555)*'Settings'!$C$12)+(F555*'Settings'!$C$2)+(G555*'Settings'!$C$3)+(H555*'Settings'!$C$4)+(I555*'Settings'!$C$5)+(K555*'Settings'!$C$9)+(N555*'Settings'!$C$6)+(J555*'Settings'!$C$8)+(O555*'Settings'!$C$7)+(P555*'Settings'!$C$14)+(Q555*'Settings'!$C$15)+(R555*'Settings'!$C$16)+(S555*'Settings'!$C$17)+(T555*'Settings'!$C$18)+(U555*'Settings'!$C$19)+(L555*'Settings'!$C$10)+('Settings'!$C$11*M555)</f>
        <v>-3.69802041584377</v>
      </c>
      <c r="D555" s="79">
        <f>IF('Settings'!$E$12="YES",VLOOKUP(A555,'Player Data'!A1:E667,5,FALSE),82)</f>
        <v>74.57250000000001</v>
      </c>
      <c r="E555" s="77">
        <f>(VLOOKUP($A555,'The List'!$B1:$AH665,17,FALSE)-AVERAGE('The List'!R2:R665))/STDEV('The List'!R2:R665)</f>
        <v>-1.34495438599348</v>
      </c>
      <c r="F555" s="77">
        <f>(VLOOKUP($A555,'The List'!$B1:$AH665,18,FALSE)-AVERAGE('The List'!S2:S665))/STDEV('The List'!S2:S665)</f>
        <v>-0.651833855302754</v>
      </c>
      <c r="G555" s="77">
        <f>(VLOOKUP($A555,'The List'!$B1:$AH665,19,FALSE)-AVERAGE('The List'!T2:T665))/STDEV('The List'!T2:T665)</f>
        <v>-1.14432130211407</v>
      </c>
      <c r="H555" s="77">
        <f>(VLOOKUP($A555,'The List'!$B1:$AH665,20,FALSE)-AVERAGE('The List'!U2:U665))/STDEV('The List'!U2:U665)</f>
        <v>-1.00697734302685</v>
      </c>
      <c r="I555" s="77">
        <f>(VLOOKUP($A555,'The List'!$B1:$AH665,21,FALSE)-AVERAGE('The List'!V2:V665))/STDEV('The List'!V2:V665)</f>
        <v>-0.630326417553266</v>
      </c>
      <c r="J555" s="77">
        <f>(VLOOKUP($A555,'The List'!$B1:$AH665,22,FALSE)-AVERAGE('The List'!W2:W665))/STDEV('The List'!W2:W665)</f>
        <v>-0.737390598666563</v>
      </c>
      <c r="K555" s="77">
        <f>(VLOOKUP($A555,'The List'!$B1:$AH665,23,FALSE)-AVERAGE('The List'!X2:X665))/STDEV('The List'!X2:X665)</f>
        <v>-0.821723915003396</v>
      </c>
      <c r="L555" s="77">
        <f>(VLOOKUP($A555,'The List'!$B1:$AH665,24,FALSE)-AVERAGE('The List'!Y2:Y665))/STDEV('The List'!Y2:Y665)</f>
        <v>1.70393149818705</v>
      </c>
      <c r="M555" s="77">
        <f>(VLOOKUP($A555,'The List'!$B1:$AH665,25,FALSE)-AVERAGE('The List'!Z2:Z665))/STDEV('The List'!Z2:Z665)</f>
        <v>0.756966042729923</v>
      </c>
      <c r="N555" s="77">
        <f>(VLOOKUP($A555,'The List'!$B1:$AH665,26,FALSE)-AVERAGE('The List'!AA2:AA665))/STDEV('The List'!AA2:AA665)</f>
        <v>-0.411783477950729</v>
      </c>
      <c r="O555" s="77">
        <f>(VLOOKUP($A555,'The List'!$B1:$AH665,27,FALSE)-AVERAGE('The List'!AB2:AB665))/STDEV('The List'!AB2:AB665)</f>
        <v>0.543413138654449</v>
      </c>
      <c r="P555" s="77">
        <f>(VLOOKUP($A555,'The List'!$B1:$AH665,28,FALSE)-AVERAGE('The List'!AC2:AC665))/STDEV('The List'!AC2:AC665)</f>
        <v>-0.0380314479195505</v>
      </c>
      <c r="Q555" s="77">
        <f>(VLOOKUP($A555,'The List'!$B1:$AH665,29,FALSE)-AVERAGE('The List'!AD2:AD665))/STDEV('The List'!AD2:AD665)</f>
        <v>-1.04025547734265</v>
      </c>
      <c r="R555" s="77">
        <f>(VLOOKUP($A555,'The List'!$B1:$AH665,30,FALSE)-AVERAGE('The List'!AE2:AE665))/STDEV('The List'!AE2:AE665)</f>
        <v>-0.674102582573514</v>
      </c>
      <c r="S555" s="77">
        <f>(VLOOKUP($A555,'The List'!$B1:$AH665,31,FALSE)-AVERAGE('The List'!AF2:AF665))/STDEV('The List'!AF2:AF665)</f>
        <v>-0.272007831256453</v>
      </c>
      <c r="T555" s="77">
        <f>(VLOOKUP($A555,'The List'!$B1:$AH665,32,FALSE)-AVERAGE('The List'!AG2:AG665))/STDEV('The List'!AG2:AG665)</f>
        <v>-0.293786121844804</v>
      </c>
      <c r="U555" s="77">
        <f>(VLOOKUP($A555,'The List'!$B1:$AH665,33,FALSE)-AVERAGE('The List'!AH2:AH665))/STDEV('The List'!AH2:AH665)</f>
        <v>0.997319193155217</v>
      </c>
      <c r="V555" s="77"/>
      <c r="W555" s="89"/>
      <c r="X555" s="79"/>
      <c r="Y555" s="79"/>
      <c r="Z555" s="79"/>
      <c r="AA555" s="79"/>
      <c r="AB555" s="79"/>
      <c r="AC555" s="82"/>
      <c r="AD555" s="83"/>
      <c r="AE555" s="84"/>
    </row>
    <row r="556" ht="21.25" customHeight="1">
      <c r="A556" t="s" s="10">
        <v>774</v>
      </c>
      <c r="B556" t="s" s="86">
        <f>VLOOKUP(A556,'Player Data'!A1:B667,2,FALSE)</f>
        <v>149</v>
      </c>
      <c r="C556" s="74">
        <f>((E556)*'Settings'!$C$12)+(F556*'Settings'!$C$2)+(G556*'Settings'!$C$3)+(H556*'Settings'!$C$4)+(I556*'Settings'!$C$5)+(K556*'Settings'!$C$9)+(N556*'Settings'!$C$6)+(J556*'Settings'!$C$8)+(O556*'Settings'!$C$7)+(P556*'Settings'!$C$14)+(Q556*'Settings'!$C$15)+(R556*'Settings'!$C$16)+(S556*'Settings'!$C$17)+(T556*'Settings'!$C$18)+(U556*'Settings'!$C$19)+(L556*'Settings'!$C$10)+('Settings'!$C$11*M556)</f>
        <v>-5.17482974204947</v>
      </c>
      <c r="D556" s="79">
        <f>IF('Settings'!$E$12="YES",VLOOKUP(A556,'Player Data'!A1:E667,5,FALSE),82)</f>
        <v>72.95999999999999</v>
      </c>
      <c r="E556" s="77">
        <f>(VLOOKUP($A556,'The List'!$B1:$AH665,17,FALSE)-AVERAGE('The List'!R2:R665))/STDEV('The List'!R2:R665)</f>
        <v>-1.95666027029059</v>
      </c>
      <c r="F556" s="77">
        <f>(VLOOKUP($A556,'The List'!$B1:$AH665,18,FALSE)-AVERAGE('The List'!S2:S665))/STDEV('The List'!S2:S665)</f>
        <v>-0.739251299090924</v>
      </c>
      <c r="G556" s="77">
        <f>(VLOOKUP($A556,'The List'!$B1:$AH665,19,FALSE)-AVERAGE('The List'!T2:T665))/STDEV('The List'!T2:T665)</f>
        <v>-1.10981102730976</v>
      </c>
      <c r="H556" s="77">
        <f>(VLOOKUP($A556,'The List'!$B1:$AH665,20,FALSE)-AVERAGE('The List'!U2:U665))/STDEV('The List'!U2:U665)</f>
        <v>-1.02527990541208</v>
      </c>
      <c r="I556" s="77">
        <f>(VLOOKUP($A556,'The List'!$B1:$AH665,21,FALSE)-AVERAGE('The List'!V2:V665))/STDEV('The List'!V2:V665)</f>
        <v>-0.899625996997654</v>
      </c>
      <c r="J556" s="77">
        <f>(VLOOKUP($A556,'The List'!$B1:$AH665,22,FALSE)-AVERAGE('The List'!W2:W665))/STDEV('The List'!W2:W665)</f>
        <v>-0.718179528831673</v>
      </c>
      <c r="K556" s="77">
        <f>(VLOOKUP($A556,'The List'!$B1:$AH665,23,FALSE)-AVERAGE('The List'!X2:X665))/STDEV('The List'!X2:X665)</f>
        <v>-0.810980925080714</v>
      </c>
      <c r="L556" s="77">
        <f>(VLOOKUP($A556,'The List'!$B1:$AH665,24,FALSE)-AVERAGE('The List'!Y2:Y665))/STDEV('The List'!Y2:Y665)</f>
        <v>-0.429103388911681</v>
      </c>
      <c r="M556" s="77">
        <f>(VLOOKUP($A556,'The List'!$B1:$AH665,25,FALSE)-AVERAGE('The List'!Z2:Z665))/STDEV('The List'!Z2:Z665)</f>
        <v>-0.597767959181728</v>
      </c>
      <c r="N556" s="77">
        <f>(VLOOKUP($A556,'The List'!$B1:$AH665,26,FALSE)-AVERAGE('The List'!AA2:AA665))/STDEV('The List'!AA2:AA665)</f>
        <v>-0.789099748794043</v>
      </c>
      <c r="O556" s="77">
        <f>(VLOOKUP($A556,'The List'!$B1:$AH665,27,FALSE)-AVERAGE('The List'!AB2:AB665))/STDEV('The List'!AB2:AB665)</f>
        <v>0.774066547104713</v>
      </c>
      <c r="P556" s="77">
        <f>(VLOOKUP($A556,'The List'!$B1:$AH665,28,FALSE)-AVERAGE('The List'!AC2:AC665))/STDEV('The List'!AC2:AC665)</f>
        <v>-0.82606074477637</v>
      </c>
      <c r="Q556" s="77">
        <f>(VLOOKUP($A556,'The List'!$B1:$AH665,29,FALSE)-AVERAGE('The List'!AD2:AD665))/STDEV('The List'!AD2:AD665)</f>
        <v>0.770253889659033</v>
      </c>
      <c r="R556" s="77">
        <f>(VLOOKUP($A556,'The List'!$B1:$AH665,30,FALSE)-AVERAGE('The List'!AE2:AE665))/STDEV('The List'!AE2:AE665)</f>
        <v>-0.625235243747867</v>
      </c>
      <c r="S556" s="77">
        <f>(VLOOKUP($A556,'The List'!$B1:$AH665,31,FALSE)-AVERAGE('The List'!AF2:AF665))/STDEV('The List'!AF2:AF665)</f>
        <v>-0.545563838860031</v>
      </c>
      <c r="T556" s="77">
        <f>(VLOOKUP($A556,'The List'!$B1:$AH665,32,FALSE)-AVERAGE('The List'!AG2:AG665))/STDEV('The List'!AG2:AG665)</f>
        <v>-0.6041122627164019</v>
      </c>
      <c r="U556" s="77">
        <f>(VLOOKUP($A556,'The List'!$B1:$AH665,33,FALSE)-AVERAGE('The List'!AH2:AH665))/STDEV('The List'!AH2:AH665)</f>
        <v>1.40598312165863</v>
      </c>
      <c r="V556" s="77"/>
      <c r="W556" s="79"/>
      <c r="X556" s="77"/>
      <c r="Y556" s="77"/>
      <c r="Z556" s="77"/>
      <c r="AA556" s="77"/>
      <c r="AB556" s="77"/>
      <c r="AC556" s="77"/>
      <c r="AD556" s="77"/>
      <c r="AE556" s="84"/>
    </row>
    <row r="557" ht="21.25" customHeight="1">
      <c r="A557" t="s" s="10">
        <v>749</v>
      </c>
      <c r="B557" t="s" s="86">
        <f>VLOOKUP(A557,'Player Data'!A1:B667,2,FALSE)</f>
        <v>906</v>
      </c>
      <c r="C557" s="74">
        <f>((E557)*'Settings'!$C$12)+(F557*'Settings'!$C$2)+(G557*'Settings'!$C$3)+(H557*'Settings'!$C$4)+(I557*'Settings'!$C$5)+(K557*'Settings'!$C$9)+(N557*'Settings'!$C$6)+(J557*'Settings'!$C$8)+(O557*'Settings'!$C$7)+(P557*'Settings'!$C$14)+(Q557*'Settings'!$C$15)+(R557*'Settings'!$C$16)+(S557*'Settings'!$C$17)+(T557*'Settings'!$C$18)+(U557*'Settings'!$C$19)+(L557*'Settings'!$C$10)+('Settings'!$C$11*M557)</f>
        <v>-3.31172456632216</v>
      </c>
      <c r="D557" s="79">
        <f>IF('Settings'!$E$12="YES",VLOOKUP(A557,'Player Data'!A1:E667,5,FALSE),82)</f>
        <v>60.85</v>
      </c>
      <c r="E557" s="77">
        <f>(VLOOKUP($A557,'The List'!$B1:$AH665,17,FALSE)-AVERAGE('The List'!R2:R665))/STDEV('The List'!R2:R665)</f>
        <v>-0.431573624935093</v>
      </c>
      <c r="F557" s="77">
        <f>(VLOOKUP($A557,'The List'!$B1:$AH665,18,FALSE)-AVERAGE('The List'!S2:S665))/STDEV('The List'!S2:S665)</f>
        <v>-1.09242681204926</v>
      </c>
      <c r="G557" s="77">
        <f>(VLOOKUP($A557,'The List'!$B1:$AH665,19,FALSE)-AVERAGE('The List'!T2:T665))/STDEV('The List'!T2:T665)</f>
        <v>-1.01731013131696</v>
      </c>
      <c r="H557" s="77">
        <f>(VLOOKUP($A557,'The List'!$B1:$AH665,20,FALSE)-AVERAGE('The List'!U2:U665))/STDEV('The List'!U2:U665)</f>
        <v>-1.12836670626887</v>
      </c>
      <c r="I557" s="77">
        <f>(VLOOKUP($A557,'The List'!$B1:$AH665,21,FALSE)-AVERAGE('The List'!V2:V665))/STDEV('The List'!V2:V665)</f>
        <v>-1.05519507786686</v>
      </c>
      <c r="J557" s="77">
        <f>(VLOOKUP($A557,'The List'!$B1:$AH665,22,FALSE)-AVERAGE('The List'!W2:W665))/STDEV('The List'!W2:W665)</f>
        <v>-0.7405608704844761</v>
      </c>
      <c r="K557" s="77">
        <f>(VLOOKUP($A557,'The List'!$B1:$AH665,23,FALSE)-AVERAGE('The List'!X2:X665))/STDEV('The List'!X2:X665)</f>
        <v>-0.816036329351429</v>
      </c>
      <c r="L557" s="77">
        <f>(VLOOKUP($A557,'The List'!$B1:$AH665,24,FALSE)-AVERAGE('The List'!Y2:Y665))/STDEV('The List'!Y2:Y665)</f>
        <v>-0.539679399291225</v>
      </c>
      <c r="M557" s="77">
        <f>(VLOOKUP($A557,'The List'!$B1:$AH665,25,FALSE)-AVERAGE('The List'!Z2:Z665))/STDEV('The List'!Z2:Z665)</f>
        <v>-0.47426159848799</v>
      </c>
      <c r="N557" s="77">
        <f>(VLOOKUP($A557,'The List'!$B1:$AH665,26,FALSE)-AVERAGE('The List'!AA2:AA665))/STDEV('The List'!AA2:AA665)</f>
        <v>0.452134400148851</v>
      </c>
      <c r="O557" s="77">
        <f>(VLOOKUP($A557,'The List'!$B1:$AH665,27,FALSE)-AVERAGE('The List'!AB2:AB665))/STDEV('The List'!AB2:AB665)</f>
        <v>0.282640352617466</v>
      </c>
      <c r="P557" s="77">
        <f>(VLOOKUP($A557,'The List'!$B1:$AH665,28,FALSE)-AVERAGE('The List'!AC2:AC665))/STDEV('The List'!AC2:AC665)</f>
        <v>0.2171093841135</v>
      </c>
      <c r="Q557" s="77">
        <f>(VLOOKUP($A557,'The List'!$B1:$AH665,29,FALSE)-AVERAGE('The List'!AD2:AD665))/STDEV('The List'!AD2:AD665)</f>
        <v>1.09266322807184</v>
      </c>
      <c r="R557" s="77">
        <f>(VLOOKUP($A557,'The List'!$B1:$AH665,30,FALSE)-AVERAGE('The List'!AE2:AE665))/STDEV('The List'!AE2:AE665)</f>
        <v>-1.01782881274178</v>
      </c>
      <c r="S557" s="77">
        <f>(VLOOKUP($A557,'The List'!$B1:$AH665,31,FALSE)-AVERAGE('The List'!AF2:AF665))/STDEV('The List'!AF2:AF665)</f>
        <v>-0.573894410680004</v>
      </c>
      <c r="T557" s="77">
        <f>(VLOOKUP($A557,'The List'!$B1:$AH665,32,FALSE)-AVERAGE('The List'!AG2:AG665))/STDEV('The List'!AG2:AG665)</f>
        <v>-0.625770787132651</v>
      </c>
      <c r="U557" s="77">
        <f>(VLOOKUP($A557,'The List'!$B1:$AH665,33,FALSE)-AVERAGE('The List'!AH2:AH665))/STDEV('The List'!AH2:AH665)</f>
        <v>-1.23143509451486</v>
      </c>
      <c r="V557" s="77"/>
      <c r="W557" s="79"/>
      <c r="X557" s="77"/>
      <c r="Y557" s="77"/>
      <c r="Z557" s="77"/>
      <c r="AA557" s="77"/>
      <c r="AB557" s="77"/>
      <c r="AC557" s="77"/>
      <c r="AD557" s="77"/>
      <c r="AE557" s="84"/>
    </row>
    <row r="558" ht="21.25" customHeight="1">
      <c r="A558" t="s" s="10">
        <v>850</v>
      </c>
      <c r="B558" t="s" s="86">
        <f>VLOOKUP(A558,'Player Data'!A1:B667,2,FALSE)</f>
        <v>900</v>
      </c>
      <c r="C558" s="74">
        <f>((E558)*'Settings'!$C$12)+(F558*'Settings'!$C$2)+(G558*'Settings'!$C$3)+(H558*'Settings'!$C$4)+(I558*'Settings'!$C$5)+(K558*'Settings'!$C$9)+(N558*'Settings'!$C$6)+(J558*'Settings'!$C$8)+(O558*'Settings'!$C$7)+(P558*'Settings'!$C$14)+(Q558*'Settings'!$C$15)+(R558*'Settings'!$C$16)+(S558*'Settings'!$C$17)+(T558*'Settings'!$C$18)+(U558*'Settings'!$C$19)+(L558*'Settings'!$C$10)+('Settings'!$C$11*M558)</f>
        <v>-4.21211508814111</v>
      </c>
      <c r="D558" s="79">
        <f>IF('Settings'!$E$12="YES",VLOOKUP(A558,'Player Data'!A1:E667,5,FALSE),82)</f>
        <v>55</v>
      </c>
      <c r="E558" s="77">
        <f>(VLOOKUP($A558,'The List'!$B1:$AH665,17,FALSE)-AVERAGE('The List'!R2:R665))/STDEV('The List'!R2:R665)</f>
        <v>-0.794959180040839</v>
      </c>
      <c r="F558" s="77">
        <f>(VLOOKUP($A558,'The List'!$B1:$AH665,18,FALSE)-AVERAGE('The List'!S2:S665))/STDEV('The List'!S2:S665)</f>
        <v>-1.15807066612546</v>
      </c>
      <c r="G558" s="77">
        <f>(VLOOKUP($A558,'The List'!$B1:$AH665,19,FALSE)-AVERAGE('The List'!T2:T665))/STDEV('The List'!T2:T665)</f>
        <v>-1.05979805002714</v>
      </c>
      <c r="H558" s="77">
        <f>(VLOOKUP($A558,'The List'!$B1:$AH665,20,FALSE)-AVERAGE('The List'!U2:U665))/STDEV('The List'!U2:U665)</f>
        <v>-1.18459234478393</v>
      </c>
      <c r="I558" s="77">
        <f>(VLOOKUP($A558,'The List'!$B1:$AH665,21,FALSE)-AVERAGE('The List'!V2:V665))/STDEV('The List'!V2:V665)</f>
        <v>-1.37214266730897</v>
      </c>
      <c r="J558" s="77">
        <f>(VLOOKUP($A558,'The List'!$B1:$AH665,22,FALSE)-AVERAGE('The List'!W2:W665))/STDEV('The List'!W2:W665)</f>
        <v>-0.745543499270837</v>
      </c>
      <c r="K558" s="77">
        <f>(VLOOKUP($A558,'The List'!$B1:$AH665,23,FALSE)-AVERAGE('The List'!X2:X665))/STDEV('The List'!X2:X665)</f>
        <v>-0.82808787726546</v>
      </c>
      <c r="L558" s="77">
        <f>(VLOOKUP($A558,'The List'!$B1:$AH665,24,FALSE)-AVERAGE('The List'!Y2:Y665))/STDEV('The List'!Y2:Y665)</f>
        <v>-0.512789147655607</v>
      </c>
      <c r="M558" s="77">
        <f>(VLOOKUP($A558,'The List'!$B1:$AH665,25,FALSE)-AVERAGE('The List'!Z2:Z665))/STDEV('The List'!Z2:Z665)</f>
        <v>-0.55636659401752</v>
      </c>
      <c r="N558" s="77">
        <f>(VLOOKUP($A558,'The List'!$B1:$AH665,26,FALSE)-AVERAGE('The List'!AA2:AA665))/STDEV('The List'!AA2:AA665)</f>
        <v>-0.169303410141389</v>
      </c>
      <c r="O558" s="77">
        <f>(VLOOKUP($A558,'The List'!$B1:$AH665,27,FALSE)-AVERAGE('The List'!AB2:AB665))/STDEV('The List'!AB2:AB665)</f>
        <v>-0.524386667646189</v>
      </c>
      <c r="P558" s="77">
        <f>(VLOOKUP($A558,'The List'!$B1:$AH665,28,FALSE)-AVERAGE('The List'!AC2:AC665))/STDEV('The List'!AC2:AC665)</f>
        <v>0.375287582727309</v>
      </c>
      <c r="Q558" s="77">
        <f>(VLOOKUP($A558,'The List'!$B1:$AH665,29,FALSE)-AVERAGE('The List'!AD2:AD665))/STDEV('The List'!AD2:AD665)</f>
        <v>-1.04845261728198</v>
      </c>
      <c r="R558" s="77">
        <f>(VLOOKUP($A558,'The List'!$B1:$AH665,30,FALSE)-AVERAGE('The List'!AE2:AE665))/STDEV('The List'!AE2:AE665)</f>
        <v>-1.10514637583175</v>
      </c>
      <c r="S558" s="77">
        <f>(VLOOKUP($A558,'The List'!$B1:$AH665,31,FALSE)-AVERAGE('The List'!AF2:AF665))/STDEV('The List'!AF2:AF665)</f>
        <v>-0.573894410680004</v>
      </c>
      <c r="T558" s="77">
        <f>(VLOOKUP($A558,'The List'!$B1:$AH665,32,FALSE)-AVERAGE('The List'!AG2:AG665))/STDEV('The List'!AG2:AG665)</f>
        <v>-0.625770787132651</v>
      </c>
      <c r="U558" s="77">
        <f>(VLOOKUP($A558,'The List'!$B1:$AH665,33,FALSE)-AVERAGE('The List'!AH2:AH665))/STDEV('The List'!AH2:AH665)</f>
        <v>-1.23143509451486</v>
      </c>
      <c r="V558" s="77"/>
      <c r="W558" s="79"/>
      <c r="X558" s="77"/>
      <c r="Y558" s="77"/>
      <c r="Z558" s="77"/>
      <c r="AA558" s="77"/>
      <c r="AB558" s="77"/>
      <c r="AC558" s="77"/>
      <c r="AD558" s="77"/>
      <c r="AE558" s="84"/>
    </row>
    <row r="559" ht="21.25" customHeight="1">
      <c r="A559" t="s" s="10">
        <v>675</v>
      </c>
      <c r="B559" t="s" s="86">
        <f>VLOOKUP(A559,'Player Data'!A1:B667,2,FALSE)</f>
        <v>904</v>
      </c>
      <c r="C559" s="74">
        <f>((E559)*'Settings'!$C$12)+(F559*'Settings'!$C$2)+(G559*'Settings'!$C$3)+(H559*'Settings'!$C$4)+(I559*'Settings'!$C$5)+(K559*'Settings'!$C$9)+(N559*'Settings'!$C$6)+(J559*'Settings'!$C$8)+(O559*'Settings'!$C$7)+(P559*'Settings'!$C$14)+(Q559*'Settings'!$C$15)+(R559*'Settings'!$C$16)+(S559*'Settings'!$C$17)+(T559*'Settings'!$C$18)+(U559*'Settings'!$C$19)+(L559*'Settings'!$C$10)+('Settings'!$C$11*M559)</f>
        <v>-3.00291151854645</v>
      </c>
      <c r="D559" s="79">
        <f>IF('Settings'!$E$12="YES",VLOOKUP(A559,'Player Data'!A1:E667,5,FALSE),82)</f>
        <v>73.31999999999999</v>
      </c>
      <c r="E559" s="77">
        <f>(VLOOKUP($A559,'The List'!$B1:$AH665,17,FALSE)-AVERAGE('The List'!R2:R665))/STDEV('The List'!R2:R665)</f>
        <v>-1.43717040418653</v>
      </c>
      <c r="F559" s="77">
        <f>(VLOOKUP($A559,'The List'!$B1:$AH665,18,FALSE)-AVERAGE('The List'!S2:S665))/STDEV('The List'!S2:S665)</f>
        <v>-0.704477636479008</v>
      </c>
      <c r="G559" s="77">
        <f>(VLOOKUP($A559,'The List'!$B1:$AH665,19,FALSE)-AVERAGE('The List'!T2:T665))/STDEV('The List'!T2:T665)</f>
        <v>-1.14476840087661</v>
      </c>
      <c r="H559" s="77">
        <f>(VLOOKUP($A559,'The List'!$B1:$AH665,20,FALSE)-AVERAGE('The List'!U2:U665))/STDEV('The List'!U2:U665)</f>
        <v>-1.0311841174023</v>
      </c>
      <c r="I559" s="77">
        <f>(VLOOKUP($A559,'The List'!$B1:$AH665,21,FALSE)-AVERAGE('The List'!V2:V665))/STDEV('The List'!V2:V665)</f>
        <v>-0.167988552820092</v>
      </c>
      <c r="J559" s="77">
        <f>(VLOOKUP($A559,'The List'!$B1:$AH665,22,FALSE)-AVERAGE('The List'!W2:W665))/STDEV('The List'!W2:W665)</f>
        <v>-0.728932154702571</v>
      </c>
      <c r="K559" s="77">
        <f>(VLOOKUP($A559,'The List'!$B1:$AH665,23,FALSE)-AVERAGE('The List'!X2:X665))/STDEV('The List'!X2:X665)</f>
        <v>-0.8150306183843949</v>
      </c>
      <c r="L559" s="77">
        <f>(VLOOKUP($A559,'The List'!$B1:$AH665,24,FALSE)-AVERAGE('The List'!Y2:Y665))/STDEV('The List'!Y2:Y665)</f>
        <v>-0.272533308624902</v>
      </c>
      <c r="M559" s="77">
        <f>(VLOOKUP($A559,'The List'!$B1:$AH665,25,FALSE)-AVERAGE('The List'!Z2:Z665))/STDEV('The List'!Z2:Z665)</f>
        <v>0.0339553673966869</v>
      </c>
      <c r="N559" s="77">
        <f>(VLOOKUP($A559,'The List'!$B1:$AH665,26,FALSE)-AVERAGE('The List'!AA2:AA665))/STDEV('The List'!AA2:AA665)</f>
        <v>-0.693351501402927</v>
      </c>
      <c r="O559" s="77">
        <f>(VLOOKUP($A559,'The List'!$B1:$AH665,27,FALSE)-AVERAGE('The List'!AB2:AB665))/STDEV('The List'!AB2:AB665)</f>
        <v>1.07390695955124</v>
      </c>
      <c r="P559" s="77">
        <f>(VLOOKUP($A559,'The List'!$B1:$AH665,28,FALSE)-AVERAGE('The List'!AC2:AC665))/STDEV('The List'!AC2:AC665)</f>
        <v>0.522705191416582</v>
      </c>
      <c r="Q559" s="77">
        <f>(VLOOKUP($A559,'The List'!$B1:$AH665,29,FALSE)-AVERAGE('The List'!AD2:AD665))/STDEV('The List'!AD2:AD665)</f>
        <v>-0.564408643623312</v>
      </c>
      <c r="R559" s="77">
        <f>(VLOOKUP($A559,'The List'!$B1:$AH665,30,FALSE)-AVERAGE('The List'!AE2:AE665))/STDEV('The List'!AE2:AE665)</f>
        <v>-0.648160213806078</v>
      </c>
      <c r="S559" s="77">
        <f>(VLOOKUP($A559,'The List'!$B1:$AH665,31,FALSE)-AVERAGE('The List'!AF2:AF665))/STDEV('The List'!AF2:AF665)</f>
        <v>-0.515273196453898</v>
      </c>
      <c r="T559" s="77">
        <f>(VLOOKUP($A559,'The List'!$B1:$AH665,32,FALSE)-AVERAGE('The List'!AG2:AG665))/STDEV('The List'!AG2:AG665)</f>
        <v>-0.540347923540173</v>
      </c>
      <c r="U559" s="77">
        <f>(VLOOKUP($A559,'The List'!$B1:$AH665,33,FALSE)-AVERAGE('The List'!AH2:AH665))/STDEV('The List'!AH2:AH665)</f>
        <v>0.681242330272653</v>
      </c>
      <c r="V559" s="77"/>
      <c r="W559" s="89"/>
      <c r="X559" s="79"/>
      <c r="Y559" s="79"/>
      <c r="Z559" s="79"/>
      <c r="AA559" s="79"/>
      <c r="AB559" s="79"/>
      <c r="AC559" s="82"/>
      <c r="AD559" s="83"/>
      <c r="AE559" s="84"/>
    </row>
    <row r="560" ht="21.25" customHeight="1">
      <c r="A560" t="s" s="10">
        <v>466</v>
      </c>
      <c r="B560" t="s" s="86">
        <f>VLOOKUP(A560,'Player Data'!A1:B667,2,FALSE)</f>
        <v>165</v>
      </c>
      <c r="C560" s="74">
        <f>((E560)*'Settings'!$C$12)+(F560*'Settings'!$C$2)+(G560*'Settings'!$C$3)+(H560*'Settings'!$C$4)+(I560*'Settings'!$C$5)+(K560*'Settings'!$C$9)+(N560*'Settings'!$C$6)+(J560*'Settings'!$C$8)+(O560*'Settings'!$C$7)+(P560*'Settings'!$C$14)+(Q560*'Settings'!$C$15)+(R560*'Settings'!$C$16)+(S560*'Settings'!$C$17)+(T560*'Settings'!$C$18)+(U560*'Settings'!$C$19)+(L560*'Settings'!$C$10)+('Settings'!$C$11*M560)</f>
        <v>-2.7573429833078</v>
      </c>
      <c r="D560" s="79">
        <f>IF('Settings'!$E$12="YES",VLOOKUP(A560,'Player Data'!A1:E667,5,FALSE),82)</f>
        <v>75.4075</v>
      </c>
      <c r="E560" s="77">
        <f>(VLOOKUP($A560,'The List'!$B1:$AH665,17,FALSE)-AVERAGE('The List'!R2:R665))/STDEV('The List'!R2:R665)</f>
        <v>-0.444655869092454</v>
      </c>
      <c r="F560" s="77">
        <f>(VLOOKUP($A560,'The List'!$B1:$AH665,18,FALSE)-AVERAGE('The List'!S2:S665))/STDEV('The List'!S2:S665)</f>
        <v>-1.06319437686249</v>
      </c>
      <c r="G560" s="77">
        <f>(VLOOKUP($A560,'The List'!$B1:$AH665,19,FALSE)-AVERAGE('The List'!T2:T665))/STDEV('The List'!T2:T665)</f>
        <v>-0.860275698111172</v>
      </c>
      <c r="H560" s="77">
        <f>(VLOOKUP($A560,'The List'!$B1:$AH665,20,FALSE)-AVERAGE('The List'!U2:U665))/STDEV('The List'!U2:U665)</f>
        <v>-1.0175519621765</v>
      </c>
      <c r="I560" s="77">
        <f>(VLOOKUP($A560,'The List'!$B1:$AH665,21,FALSE)-AVERAGE('The List'!V2:V665))/STDEV('The List'!V2:V665)</f>
        <v>-0.8281721343596929</v>
      </c>
      <c r="J560" s="77">
        <f>(VLOOKUP($A560,'The List'!$B1:$AH665,22,FALSE)-AVERAGE('The List'!W2:W665))/STDEV('The List'!W2:W665)</f>
        <v>-0.742769359244327</v>
      </c>
      <c r="K560" s="77">
        <f>(VLOOKUP($A560,'The List'!$B1:$AH665,23,FALSE)-AVERAGE('The List'!X2:X665))/STDEV('The List'!X2:X665)</f>
        <v>-0.820806492545706</v>
      </c>
      <c r="L560" s="77">
        <f>(VLOOKUP($A560,'The List'!$B1:$AH665,24,FALSE)-AVERAGE('The List'!Y2:Y665))/STDEV('The List'!Y2:Y665)</f>
        <v>-0.529949900460324</v>
      </c>
      <c r="M560" s="77">
        <f>(VLOOKUP($A560,'The List'!$B1:$AH665,25,FALSE)-AVERAGE('The List'!Z2:Z665))/STDEV('The List'!Z2:Z665)</f>
        <v>-0.612273861492312</v>
      </c>
      <c r="N560" s="77">
        <f>(VLOOKUP($A560,'The List'!$B1:$AH665,26,FALSE)-AVERAGE('The List'!AA2:AA665))/STDEV('The List'!AA2:AA665)</f>
        <v>0.682787975453517</v>
      </c>
      <c r="O560" s="77">
        <f>(VLOOKUP($A560,'The List'!$B1:$AH665,27,FALSE)-AVERAGE('The List'!AB2:AB665))/STDEV('The List'!AB2:AB665)</f>
        <v>2.6986713048263</v>
      </c>
      <c r="P560" s="77">
        <f>(VLOOKUP($A560,'The List'!$B1:$AH665,28,FALSE)-AVERAGE('The List'!AC2:AC665))/STDEV('The List'!AC2:AC665)</f>
        <v>0.132317743117747</v>
      </c>
      <c r="Q560" s="77">
        <f>(VLOOKUP($A560,'The List'!$B1:$AH665,29,FALSE)-AVERAGE('The List'!AD2:AD665))/STDEV('The List'!AD2:AD665)</f>
        <v>1.6918745021325</v>
      </c>
      <c r="R560" s="77">
        <f>(VLOOKUP($A560,'The List'!$B1:$AH665,30,FALSE)-AVERAGE('The List'!AE2:AE665))/STDEV('The List'!AE2:AE665)</f>
        <v>-1.02936876147333</v>
      </c>
      <c r="S560" s="77">
        <f>(VLOOKUP($A560,'The List'!$B1:$AH665,31,FALSE)-AVERAGE('The List'!AF2:AF665))/STDEV('The List'!AF2:AF665)</f>
        <v>-0.573894410680004</v>
      </c>
      <c r="T560" s="77">
        <f>(VLOOKUP($A560,'The List'!$B1:$AH665,32,FALSE)-AVERAGE('The List'!AG2:AG665))/STDEV('The List'!AG2:AG665)</f>
        <v>-0.625770787132651</v>
      </c>
      <c r="U560" s="77">
        <f>(VLOOKUP($A560,'The List'!$B1:$AH665,33,FALSE)-AVERAGE('The List'!AH2:AH665))/STDEV('The List'!AH2:AH665)</f>
        <v>-1.23143509451486</v>
      </c>
      <c r="V560" s="77"/>
      <c r="W560" s="79"/>
      <c r="X560" s="77"/>
      <c r="Y560" s="77"/>
      <c r="Z560" s="77"/>
      <c r="AA560" s="77"/>
      <c r="AB560" s="77"/>
      <c r="AC560" s="77"/>
      <c r="AD560" s="77"/>
      <c r="AE560" s="84"/>
    </row>
    <row r="561" ht="21.25" customHeight="1">
      <c r="A561" t="s" s="10">
        <v>846</v>
      </c>
      <c r="B561" t="s" s="86">
        <f>VLOOKUP(A561,'Player Data'!A1:B667,2,FALSE)</f>
        <v>129</v>
      </c>
      <c r="C561" s="74">
        <f>((E561)*'Settings'!$C$12)+(F561*'Settings'!$C$2)+(G561*'Settings'!$C$3)+(H561*'Settings'!$C$4)+(I561*'Settings'!$C$5)+(K561*'Settings'!$C$9)+(N561*'Settings'!$C$6)+(J561*'Settings'!$C$8)+(O561*'Settings'!$C$7)+(P561*'Settings'!$C$14)+(Q561*'Settings'!$C$15)+(R561*'Settings'!$C$16)+(S561*'Settings'!$C$17)+(T561*'Settings'!$C$18)+(U561*'Settings'!$C$19)+(L561*'Settings'!$C$10)+('Settings'!$C$11*M561)</f>
        <v>-3.47389965806944</v>
      </c>
      <c r="D561" s="79">
        <f>IF('Settings'!$E$12="YES",VLOOKUP(A561,'Player Data'!A1:E667,5,FALSE),82)</f>
        <v>76.3775</v>
      </c>
      <c r="E561" s="77">
        <f>(VLOOKUP($A561,'The List'!$B1:$AH665,17,FALSE)-AVERAGE('The List'!R2:R665))/STDEV('The List'!R2:R665)</f>
        <v>-1.33588552192605</v>
      </c>
      <c r="F561" s="77">
        <f>(VLOOKUP($A561,'The List'!$B1:$AH665,18,FALSE)-AVERAGE('The List'!S2:S665))/STDEV('The List'!S2:S665)</f>
        <v>-0.8228780030363541</v>
      </c>
      <c r="G561" s="77">
        <f>(VLOOKUP($A561,'The List'!$B1:$AH665,19,FALSE)-AVERAGE('The List'!T2:T665))/STDEV('The List'!T2:T665)</f>
        <v>-1.02991491917734</v>
      </c>
      <c r="H561" s="77">
        <f>(VLOOKUP($A561,'The List'!$B1:$AH665,20,FALSE)-AVERAGE('The List'!U2:U665))/STDEV('The List'!U2:U665)</f>
        <v>-1.01367224189388</v>
      </c>
      <c r="I561" s="77">
        <f>(VLOOKUP($A561,'The List'!$B1:$AH665,21,FALSE)-AVERAGE('The List'!V2:V665))/STDEV('The List'!V2:V665)</f>
        <v>-0.97067719789351</v>
      </c>
      <c r="J561" s="77">
        <f>(VLOOKUP($A561,'The List'!$B1:$AH665,22,FALSE)-AVERAGE('The List'!W2:W665))/STDEV('The List'!W2:W665)</f>
        <v>-0.73972387967373</v>
      </c>
      <c r="K561" s="77">
        <f>(VLOOKUP($A561,'The List'!$B1:$AH665,23,FALSE)-AVERAGE('The List'!X2:X665))/STDEV('The List'!X2:X665)</f>
        <v>-0.823533711113053</v>
      </c>
      <c r="L561" s="77">
        <f>(VLOOKUP($A561,'The List'!$B1:$AH665,24,FALSE)-AVERAGE('The List'!Y2:Y665))/STDEV('The List'!Y2:Y665)</f>
        <v>1.36198409114854</v>
      </c>
      <c r="M561" s="77">
        <f>(VLOOKUP($A561,'The List'!$B1:$AH665,25,FALSE)-AVERAGE('The List'!Z2:Z665))/STDEV('The List'!Z2:Z665)</f>
        <v>1.0310934576131</v>
      </c>
      <c r="N561" s="77">
        <f>(VLOOKUP($A561,'The List'!$B1:$AH665,26,FALSE)-AVERAGE('The List'!AA2:AA665))/STDEV('The List'!AA2:AA665)</f>
        <v>-0.936713913993827</v>
      </c>
      <c r="O561" s="77">
        <f>(VLOOKUP($A561,'The List'!$B1:$AH665,27,FALSE)-AVERAGE('The List'!AB2:AB665))/STDEV('The List'!AB2:AB665)</f>
        <v>-0.748518619782888</v>
      </c>
      <c r="P561" s="77">
        <f>(VLOOKUP($A561,'The List'!$B1:$AH665,28,FALSE)-AVERAGE('The List'!AC2:AC665))/STDEV('The List'!AC2:AC665)</f>
        <v>1.10981808714464</v>
      </c>
      <c r="Q561" s="77">
        <f>(VLOOKUP($A561,'The List'!$B1:$AH665,29,FALSE)-AVERAGE('The List'!AD2:AD665))/STDEV('The List'!AD2:AD665)</f>
        <v>-0.262976415511451</v>
      </c>
      <c r="R561" s="77">
        <f>(VLOOKUP($A561,'The List'!$B1:$AH665,30,FALSE)-AVERAGE('The List'!AE2:AE665))/STDEV('The List'!AE2:AE665)</f>
        <v>-0.745803153796322</v>
      </c>
      <c r="S561" s="77">
        <f>(VLOOKUP($A561,'The List'!$B1:$AH665,31,FALSE)-AVERAGE('The List'!AF2:AF665))/STDEV('The List'!AF2:AF665)</f>
        <v>-0.433025612019477</v>
      </c>
      <c r="T561" s="77">
        <f>(VLOOKUP($A561,'The List'!$B1:$AH665,32,FALSE)-AVERAGE('The List'!AG2:AG665))/STDEV('The List'!AG2:AG665)</f>
        <v>-0.424564589404663</v>
      </c>
      <c r="U561" s="77">
        <f>(VLOOKUP($A561,'The List'!$B1:$AH665,33,FALSE)-AVERAGE('The List'!AH2:AH665))/STDEV('The List'!AH2:AH665)</f>
        <v>0.703406601922941</v>
      </c>
      <c r="V561" s="77"/>
      <c r="W561" s="89"/>
      <c r="X561" s="79"/>
      <c r="Y561" s="79"/>
      <c r="Z561" s="79"/>
      <c r="AA561" s="79"/>
      <c r="AB561" s="79"/>
      <c r="AC561" s="82"/>
      <c r="AD561" s="83"/>
      <c r="AE561" s="84"/>
    </row>
    <row r="562" ht="21.25" customHeight="1">
      <c r="A562" t="s" s="10">
        <v>627</v>
      </c>
      <c r="B562" t="s" s="86">
        <f>VLOOKUP(A562,'Player Data'!A1:B667,2,FALSE)</f>
        <v>905</v>
      </c>
      <c r="C562" s="74">
        <f>((E562)*'Settings'!$C$12)+(F562*'Settings'!$C$2)+(G562*'Settings'!$C$3)+(H562*'Settings'!$C$4)+(I562*'Settings'!$C$5)+(K562*'Settings'!$C$9)+(N562*'Settings'!$C$6)+(J562*'Settings'!$C$8)+(O562*'Settings'!$C$7)+(P562*'Settings'!$C$14)+(Q562*'Settings'!$C$15)+(R562*'Settings'!$C$16)+(S562*'Settings'!$C$17)+(T562*'Settings'!$C$18)+(U562*'Settings'!$C$19)+(L562*'Settings'!$C$10)+('Settings'!$C$11*M562)</f>
        <v>-1.49002492079708</v>
      </c>
      <c r="D562" s="79">
        <f>IF('Settings'!$E$12="YES",VLOOKUP(A562,'Player Data'!A1:E667,5,FALSE),82)</f>
        <v>70.95</v>
      </c>
      <c r="E562" s="77">
        <f>(VLOOKUP($A562,'The List'!$B1:$AH665,17,FALSE)-AVERAGE('The List'!R2:R665))/STDEV('The List'!R2:R665)</f>
        <v>0.116501459565068</v>
      </c>
      <c r="F562" s="77">
        <f>(VLOOKUP($A562,'The List'!$B1:$AH665,18,FALSE)-AVERAGE('The List'!S2:S665))/STDEV('The List'!S2:S665)</f>
        <v>-1.03116469648727</v>
      </c>
      <c r="G562" s="77">
        <f>(VLOOKUP($A562,'The List'!$B1:$AH665,19,FALSE)-AVERAGE('The List'!T2:T665))/STDEV('The List'!T2:T665)</f>
        <v>-0.954987272624529</v>
      </c>
      <c r="H562" s="77">
        <f>(VLOOKUP($A562,'The List'!$B1:$AH665,20,FALSE)-AVERAGE('The List'!U2:U665))/STDEV('The List'!U2:U665)</f>
        <v>-1.06181416317905</v>
      </c>
      <c r="I562" s="77">
        <f>(VLOOKUP($A562,'The List'!$B1:$AH665,21,FALSE)-AVERAGE('The List'!V2:V665))/STDEV('The List'!V2:V665)</f>
        <v>-1.00522773874789</v>
      </c>
      <c r="J562" s="77">
        <f>(VLOOKUP($A562,'The List'!$B1:$AH665,22,FALSE)-AVERAGE('The List'!W2:W665))/STDEV('The List'!W2:W665)</f>
        <v>-0.743384177113066</v>
      </c>
      <c r="K562" s="77">
        <f>(VLOOKUP($A562,'The List'!$B1:$AH665,23,FALSE)-AVERAGE('The List'!X2:X665))/STDEV('The List'!X2:X665)</f>
        <v>-0.812628724230221</v>
      </c>
      <c r="L562" s="77">
        <f>(VLOOKUP($A562,'The List'!$B1:$AH665,24,FALSE)-AVERAGE('The List'!Y2:Y665))/STDEV('The List'!Y2:Y665)</f>
        <v>-0.554832804703464</v>
      </c>
      <c r="M562" s="77">
        <f>(VLOOKUP($A562,'The List'!$B1:$AH665,25,FALSE)-AVERAGE('The List'!Z2:Z665))/STDEV('The List'!Z2:Z665)</f>
        <v>-0.673372599333125</v>
      </c>
      <c r="N562" s="77">
        <f>(VLOOKUP($A562,'The List'!$B1:$AH665,26,FALSE)-AVERAGE('The List'!AA2:AA665))/STDEV('The List'!AA2:AA665)</f>
        <v>2.44946408407582</v>
      </c>
      <c r="O562" s="77">
        <f>(VLOOKUP($A562,'The List'!$B1:$AH665,27,FALSE)-AVERAGE('The List'!AB2:AB665))/STDEV('The List'!AB2:AB665)</f>
        <v>-0.7527266809980701</v>
      </c>
      <c r="P562" s="77">
        <f>(VLOOKUP($A562,'The List'!$B1:$AH665,28,FALSE)-AVERAGE('The List'!AC2:AC665))/STDEV('The List'!AC2:AC665)</f>
        <v>-0.135480572782987</v>
      </c>
      <c r="Q562" s="77">
        <f>(VLOOKUP($A562,'The List'!$B1:$AH665,29,FALSE)-AVERAGE('The List'!AD2:AD665))/STDEV('The List'!AD2:AD665)</f>
        <v>-1.01712186297605</v>
      </c>
      <c r="R562" s="77">
        <f>(VLOOKUP($A562,'The List'!$B1:$AH665,30,FALSE)-AVERAGE('The List'!AE2:AE665))/STDEV('The List'!AE2:AE665)</f>
        <v>-1.02423493891532</v>
      </c>
      <c r="S562" s="77">
        <f>(VLOOKUP($A562,'The List'!$B1:$AH665,31,FALSE)-AVERAGE('The List'!AF2:AF665))/STDEV('The List'!AF2:AF665)</f>
        <v>-0.573894410680004</v>
      </c>
      <c r="T562" s="77">
        <f>(VLOOKUP($A562,'The List'!$B1:$AH665,32,FALSE)-AVERAGE('The List'!AG2:AG665))/STDEV('The List'!AG2:AG665)</f>
        <v>-0.625770787132651</v>
      </c>
      <c r="U562" s="77">
        <f>(VLOOKUP($A562,'The List'!$B1:$AH665,33,FALSE)-AVERAGE('The List'!AH2:AH665))/STDEV('The List'!AH2:AH665)</f>
        <v>-1.23143509451486</v>
      </c>
      <c r="V562" s="77"/>
      <c r="W562" s="89"/>
      <c r="X562" s="79"/>
      <c r="Y562" s="79"/>
      <c r="Z562" s="79"/>
      <c r="AA562" s="79"/>
      <c r="AB562" s="79"/>
      <c r="AC562" s="82"/>
      <c r="AD562" s="83"/>
      <c r="AE562" s="84"/>
    </row>
    <row r="563" ht="21.25" customHeight="1">
      <c r="A563" t="s" s="10">
        <v>830</v>
      </c>
      <c r="B563" t="s" s="86">
        <f>VLOOKUP(A563,'Player Data'!A1:B667,2,FALSE)</f>
        <v>908</v>
      </c>
      <c r="C563" s="74">
        <f>((E563)*'Settings'!$C$12)+(F563*'Settings'!$C$2)+(G563*'Settings'!$C$3)+(H563*'Settings'!$C$4)+(I563*'Settings'!$C$5)+(K563*'Settings'!$C$9)+(N563*'Settings'!$C$6)+(J563*'Settings'!$C$8)+(O563*'Settings'!$C$7)+(P563*'Settings'!$C$14)+(Q563*'Settings'!$C$15)+(R563*'Settings'!$C$16)+(S563*'Settings'!$C$17)+(T563*'Settings'!$C$18)+(U563*'Settings'!$C$19)+(L563*'Settings'!$C$10)+('Settings'!$C$11*M563)</f>
        <v>-4.12746845375304</v>
      </c>
      <c r="D563" s="79">
        <f>IF('Settings'!$E$12="YES",VLOOKUP(A563,'Player Data'!A1:E667,5,FALSE),82)</f>
        <v>62</v>
      </c>
      <c r="E563" s="77">
        <f>(VLOOKUP($A563,'The List'!$B1:$AH665,17,FALSE)-AVERAGE('The List'!R2:R665))/STDEV('The List'!R2:R665)</f>
        <v>-0.465555251103551</v>
      </c>
      <c r="F563" s="77">
        <f>(VLOOKUP($A563,'The List'!$B1:$AH665,18,FALSE)-AVERAGE('The List'!S2:S665))/STDEV('The List'!S2:S665)</f>
        <v>-1.17451327071855</v>
      </c>
      <c r="G563" s="77">
        <f>(VLOOKUP($A563,'The List'!$B1:$AH665,19,FALSE)-AVERAGE('The List'!T2:T665))/STDEV('The List'!T2:T665)</f>
        <v>-0.971264651194424</v>
      </c>
      <c r="H563" s="77">
        <f>(VLOOKUP($A563,'The List'!$B1:$AH665,20,FALSE)-AVERAGE('The List'!U2:U665))/STDEV('The List'!U2:U665)</f>
        <v>-1.13708207141005</v>
      </c>
      <c r="I563" s="77">
        <f>(VLOOKUP($A563,'The List'!$B1:$AH665,21,FALSE)-AVERAGE('The List'!V2:V665))/STDEV('The List'!V2:V665)</f>
        <v>-1.26112648796147</v>
      </c>
      <c r="J563" s="77">
        <f>(VLOOKUP($A563,'The List'!$B1:$AH665,22,FALSE)-AVERAGE('The List'!W2:W665))/STDEV('The List'!W2:W665)</f>
        <v>-0.746088181559229</v>
      </c>
      <c r="K563" s="77">
        <f>(VLOOKUP($A563,'The List'!$B1:$AH665,23,FALSE)-AVERAGE('The List'!X2:X665))/STDEV('The List'!X2:X665)</f>
        <v>-0.829375461016337</v>
      </c>
      <c r="L563" s="77">
        <f>(VLOOKUP($A563,'The List'!$B1:$AH665,24,FALSE)-AVERAGE('The List'!Y2:Y665))/STDEV('The List'!Y2:Y665)</f>
        <v>-0.580182913902084</v>
      </c>
      <c r="M563" s="77">
        <f>(VLOOKUP($A563,'The List'!$B1:$AH665,25,FALSE)-AVERAGE('The List'!Z2:Z665))/STDEV('The List'!Z2:Z665)</f>
        <v>-0.754036664989997</v>
      </c>
      <c r="N563" s="77">
        <f>(VLOOKUP($A563,'The List'!$B1:$AH665,26,FALSE)-AVERAGE('The List'!AA2:AA665))/STDEV('The List'!AA2:AA665)</f>
        <v>0.304535001287569</v>
      </c>
      <c r="O563" s="77">
        <f>(VLOOKUP($A563,'The List'!$B1:$AH665,27,FALSE)-AVERAGE('The List'!AB2:AB665))/STDEV('The List'!AB2:AB665)</f>
        <v>-0.498850575365043</v>
      </c>
      <c r="P563" s="77">
        <f>(VLOOKUP($A563,'The List'!$B1:$AH665,28,FALSE)-AVERAGE('The List'!AC2:AC665))/STDEV('The List'!AC2:AC665)</f>
        <v>-0.195723584149832</v>
      </c>
      <c r="Q563" s="77">
        <f>(VLOOKUP($A563,'The List'!$B1:$AH665,29,FALSE)-AVERAGE('The List'!AD2:AD665))/STDEV('The List'!AD2:AD665)</f>
        <v>-0.336959260377296</v>
      </c>
      <c r="R563" s="77">
        <f>(VLOOKUP($A563,'The List'!$B1:$AH665,30,FALSE)-AVERAGE('The List'!AE2:AE665))/STDEV('The List'!AE2:AE665)</f>
        <v>-1.12570806119944</v>
      </c>
      <c r="S563" s="77">
        <f>(VLOOKUP($A563,'The List'!$B1:$AH665,31,FALSE)-AVERAGE('The List'!AF2:AF665))/STDEV('The List'!AF2:AF665)</f>
        <v>-0.573894410680004</v>
      </c>
      <c r="T563" s="77">
        <f>(VLOOKUP($A563,'The List'!$B1:$AH665,32,FALSE)-AVERAGE('The List'!AG2:AG665))/STDEV('The List'!AG2:AG665)</f>
        <v>-0.625770787132651</v>
      </c>
      <c r="U563" s="77">
        <f>(VLOOKUP($A563,'The List'!$B1:$AH665,33,FALSE)-AVERAGE('The List'!AH2:AH665))/STDEV('The List'!AH2:AH665)</f>
        <v>-1.23143509451486</v>
      </c>
      <c r="V563" s="77"/>
      <c r="W563" s="89"/>
      <c r="X563" s="79"/>
      <c r="Y563" s="79"/>
      <c r="Z563" s="79"/>
      <c r="AA563" s="79"/>
      <c r="AB563" s="79"/>
      <c r="AC563" s="82"/>
      <c r="AD563" s="83"/>
      <c r="AE563" s="84"/>
    </row>
    <row r="564" ht="21.25" customHeight="1">
      <c r="A564" t="s" s="10">
        <v>754</v>
      </c>
      <c r="B564" t="s" s="86">
        <f>VLOOKUP(A564,'Player Data'!A1:B667,2,FALSE)</f>
        <v>913</v>
      </c>
      <c r="C564" s="74">
        <f>((E564)*'Settings'!$C$12)+(F564*'Settings'!$C$2)+(G564*'Settings'!$C$3)+(H564*'Settings'!$C$4)+(I564*'Settings'!$C$5)+(K564*'Settings'!$C$9)+(N564*'Settings'!$C$6)+(J564*'Settings'!$C$8)+(O564*'Settings'!$C$7)+(P564*'Settings'!$C$14)+(Q564*'Settings'!$C$15)+(R564*'Settings'!$C$16)+(S564*'Settings'!$C$17)+(T564*'Settings'!$C$18)+(U564*'Settings'!$C$19)+(L564*'Settings'!$C$10)+('Settings'!$C$11*M564)</f>
        <v>-5.12925490701485</v>
      </c>
      <c r="D564" s="79">
        <f>IF('Settings'!$E$12="YES",VLOOKUP(A564,'Player Data'!A1:E667,5,FALSE),82)</f>
        <v>76.3425</v>
      </c>
      <c r="E564" s="77">
        <f>(VLOOKUP($A564,'The List'!$B1:$AH665,17,FALSE)-AVERAGE('The List'!R2:R665))/STDEV('The List'!R2:R665)</f>
        <v>-0.38375747539762</v>
      </c>
      <c r="F564" s="77">
        <f>(VLOOKUP($A564,'The List'!$B1:$AH665,18,FALSE)-AVERAGE('The List'!S2:S665))/STDEV('The List'!S2:S665)</f>
        <v>-1.05003384837886</v>
      </c>
      <c r="G564" s="77">
        <f>(VLOOKUP($A564,'The List'!$B1:$AH665,19,FALSE)-AVERAGE('The List'!T2:T665))/STDEV('The List'!T2:T665)</f>
        <v>-0.874447662158427</v>
      </c>
      <c r="H564" s="77">
        <f>(VLOOKUP($A564,'The List'!$B1:$AH665,20,FALSE)-AVERAGE('The List'!U2:U665))/STDEV('The List'!U2:U665)</f>
        <v>-1.02037146294671</v>
      </c>
      <c r="I564" s="77">
        <f>(VLOOKUP($A564,'The List'!$B1:$AH665,21,FALSE)-AVERAGE('The List'!V2:V665))/STDEV('The List'!V2:V665)</f>
        <v>-0.990124586584931</v>
      </c>
      <c r="J564" s="77">
        <f>(VLOOKUP($A564,'The List'!$B1:$AH665,22,FALSE)-AVERAGE('The List'!W2:W665))/STDEV('The List'!W2:W665)</f>
        <v>-0.743697652169464</v>
      </c>
      <c r="K564" s="77">
        <f>(VLOOKUP($A564,'The List'!$B1:$AH665,23,FALSE)-AVERAGE('The List'!X2:X665))/STDEV('The List'!X2:X665)</f>
        <v>-0.823104942033122</v>
      </c>
      <c r="L564" s="77">
        <f>(VLOOKUP($A564,'The List'!$B1:$AH665,24,FALSE)-AVERAGE('The List'!Y2:Y665))/STDEV('The List'!Y2:Y665)</f>
        <v>-0.564746731277553</v>
      </c>
      <c r="M564" s="77">
        <f>(VLOOKUP($A564,'The List'!$B1:$AH665,25,FALSE)-AVERAGE('The List'!Z2:Z665))/STDEV('The List'!Z2:Z665)</f>
        <v>-0.70379797870452</v>
      </c>
      <c r="N564" s="77">
        <f>(VLOOKUP($A564,'The List'!$B1:$AH665,26,FALSE)-AVERAGE('The List'!AA2:AA665))/STDEV('The List'!AA2:AA665)</f>
        <v>1.04964612336957</v>
      </c>
      <c r="O564" s="77">
        <f>(VLOOKUP($A564,'The List'!$B1:$AH665,27,FALSE)-AVERAGE('The List'!AB2:AB665))/STDEV('The List'!AB2:AB665)</f>
        <v>-0.714928021666969</v>
      </c>
      <c r="P564" s="77">
        <f>(VLOOKUP($A564,'The List'!$B1:$AH665,28,FALSE)-AVERAGE('The List'!AC2:AC665))/STDEV('The List'!AC2:AC665)</f>
        <v>-2.44118999122908</v>
      </c>
      <c r="Q564" s="77">
        <f>(VLOOKUP($A564,'The List'!$B1:$AH665,29,FALSE)-AVERAGE('The List'!AD2:AD665))/STDEV('The List'!AD2:AD665)</f>
        <v>-1.07297524614018</v>
      </c>
      <c r="R564" s="77">
        <f>(VLOOKUP($A564,'The List'!$B1:$AH665,30,FALSE)-AVERAGE('The List'!AE2:AE665))/STDEV('The List'!AE2:AE665)</f>
        <v>-1.08068018365628</v>
      </c>
      <c r="S564" s="77">
        <f>(VLOOKUP($A564,'The List'!$B1:$AH665,31,FALSE)-AVERAGE('The List'!AF2:AF665))/STDEV('The List'!AF2:AF665)</f>
        <v>-0.573894410680004</v>
      </c>
      <c r="T564" s="77">
        <f>(VLOOKUP($A564,'The List'!$B1:$AH665,32,FALSE)-AVERAGE('The List'!AG2:AG665))/STDEV('The List'!AG2:AG665)</f>
        <v>-0.625770787132651</v>
      </c>
      <c r="U564" s="77">
        <f>(VLOOKUP($A564,'The List'!$B1:$AH665,33,FALSE)-AVERAGE('The List'!AH2:AH665))/STDEV('The List'!AH2:AH665)</f>
        <v>-1.23143509451486</v>
      </c>
      <c r="V564" s="77"/>
      <c r="W564" s="89"/>
      <c r="X564" s="79"/>
      <c r="Y564" s="79"/>
      <c r="Z564" s="79"/>
      <c r="AA564" s="79"/>
      <c r="AB564" s="79"/>
      <c r="AC564" s="82"/>
      <c r="AD564" s="83"/>
      <c r="AE564" s="84"/>
    </row>
    <row r="565" ht="21.25" customHeight="1">
      <c r="A565" t="s" s="10">
        <v>649</v>
      </c>
      <c r="B565" t="s" s="86">
        <f>VLOOKUP(A565,'Player Data'!A1:B667,2,FALSE)</f>
        <v>871</v>
      </c>
      <c r="C565" s="74">
        <f>((E565)*'Settings'!$C$12)+(F565*'Settings'!$C$2)+(G565*'Settings'!$C$3)+(H565*'Settings'!$C$4)+(I565*'Settings'!$C$5)+(K565*'Settings'!$C$9)+(N565*'Settings'!$C$6)+(J565*'Settings'!$C$8)+(O565*'Settings'!$C$7)+(P565*'Settings'!$C$14)+(Q565*'Settings'!$C$15)+(R565*'Settings'!$C$16)+(S565*'Settings'!$C$17)+(T565*'Settings'!$C$18)+(U565*'Settings'!$C$19)+(L565*'Settings'!$C$10)+('Settings'!$C$11*M565)</f>
        <v>-4.65161804775824</v>
      </c>
      <c r="D565" s="79">
        <f>IF('Settings'!$E$12="YES",VLOOKUP(A565,'Player Data'!A1:E667,5,FALSE),82)</f>
        <v>73.8625</v>
      </c>
      <c r="E565" s="77">
        <f>(VLOOKUP($A565,'The List'!$B1:$AH665,17,FALSE)-AVERAGE('The List'!R2:R665))/STDEV('The List'!R2:R665)</f>
        <v>-1.5662510579228</v>
      </c>
      <c r="F565" s="77">
        <f>(VLOOKUP($A565,'The List'!$B1:$AH665,18,FALSE)-AVERAGE('The List'!S2:S665))/STDEV('The List'!S2:S665)</f>
        <v>-0.7562399546604039</v>
      </c>
      <c r="G565" s="77">
        <f>(VLOOKUP($A565,'The List'!$B1:$AH665,19,FALSE)-AVERAGE('The List'!T2:T665))/STDEV('The List'!T2:T665)</f>
        <v>-1.12596422477749</v>
      </c>
      <c r="H565" s="77">
        <f>(VLOOKUP($A565,'The List'!$B1:$AH665,20,FALSE)-AVERAGE('The List'!U2:U665))/STDEV('The List'!U2:U665)</f>
        <v>-1.04303410079532</v>
      </c>
      <c r="I565" s="77">
        <f>(VLOOKUP($A565,'The List'!$B1:$AH665,21,FALSE)-AVERAGE('The List'!V2:V665))/STDEV('The List'!V2:V665)</f>
        <v>-0.896883279346348</v>
      </c>
      <c r="J565" s="77">
        <f>(VLOOKUP($A565,'The List'!$B1:$AH665,22,FALSE)-AVERAGE('The List'!W2:W665))/STDEV('The List'!W2:W665)</f>
        <v>-0.730378973291176</v>
      </c>
      <c r="K565" s="77">
        <f>(VLOOKUP($A565,'The List'!$B1:$AH665,23,FALSE)-AVERAGE('The List'!X2:X665))/STDEV('The List'!X2:X665)</f>
        <v>-0.815610314929274</v>
      </c>
      <c r="L565" s="77">
        <f>(VLOOKUP($A565,'The List'!$B1:$AH665,24,FALSE)-AVERAGE('The List'!Y2:Y665))/STDEV('The List'!Y2:Y665)</f>
        <v>1.06436354288337</v>
      </c>
      <c r="M565" s="77">
        <f>(VLOOKUP($A565,'The List'!$B1:$AH665,25,FALSE)-AVERAGE('The List'!Z2:Z665))/STDEV('The List'!Z2:Z665)</f>
        <v>1.05617645288477</v>
      </c>
      <c r="N565" s="77">
        <f>(VLOOKUP($A565,'The List'!$B1:$AH665,26,FALSE)-AVERAGE('The List'!AA2:AA665))/STDEV('The List'!AA2:AA665)</f>
        <v>-0.349371769922218</v>
      </c>
      <c r="O565" s="77">
        <f>(VLOOKUP($A565,'The List'!$B1:$AH665,27,FALSE)-AVERAGE('The List'!AB2:AB665))/STDEV('The List'!AB2:AB665)</f>
        <v>1.57906250279661</v>
      </c>
      <c r="P565" s="77">
        <f>(VLOOKUP($A565,'The List'!$B1:$AH665,28,FALSE)-AVERAGE('The List'!AC2:AC665))/STDEV('The List'!AC2:AC665)</f>
        <v>-0.707548504122507</v>
      </c>
      <c r="Q565" s="77">
        <f>(VLOOKUP($A565,'The List'!$B1:$AH665,29,FALSE)-AVERAGE('The List'!AD2:AD665))/STDEV('The List'!AD2:AD665)</f>
        <v>0.284725291093839</v>
      </c>
      <c r="R565" s="77">
        <f>(VLOOKUP($A565,'The List'!$B1:$AH665,30,FALSE)-AVERAGE('The List'!AE2:AE665))/STDEV('The List'!AE2:AE665)</f>
        <v>-0.721432712333413</v>
      </c>
      <c r="S565" s="77">
        <f>(VLOOKUP($A565,'The List'!$B1:$AH665,31,FALSE)-AVERAGE('The List'!AF2:AF665))/STDEV('The List'!AF2:AF665)</f>
        <v>-0.526779701790061</v>
      </c>
      <c r="T565" s="77">
        <f>(VLOOKUP($A565,'The List'!$B1:$AH665,32,FALSE)-AVERAGE('The List'!AG2:AG665))/STDEV('The List'!AG2:AG665)</f>
        <v>-0.49532054050064</v>
      </c>
      <c r="U565" s="77">
        <f>(VLOOKUP($A565,'The List'!$B1:$AH665,33,FALSE)-AVERAGE('The List'!AH2:AH665))/STDEV('The List'!AH2:AH665)</f>
        <v>0.0266624747646504</v>
      </c>
      <c r="V565" s="77"/>
      <c r="W565" s="89"/>
      <c r="X565" s="79"/>
      <c r="Y565" s="79"/>
      <c r="Z565" s="79"/>
      <c r="AA565" s="79"/>
      <c r="AB565" s="79"/>
      <c r="AC565" s="82"/>
      <c r="AD565" s="83"/>
      <c r="AE565" s="84"/>
    </row>
    <row r="566" ht="21.25" customHeight="1">
      <c r="A566" t="s" s="10">
        <v>676</v>
      </c>
      <c r="B566" t="s" s="86">
        <f>VLOOKUP(A566,'Player Data'!A1:B667,2,FALSE)</f>
        <v>904</v>
      </c>
      <c r="C566" s="74">
        <f>((E566)*'Settings'!$C$12)+(F566*'Settings'!$C$2)+(G566*'Settings'!$C$3)+(H566*'Settings'!$C$4)+(I566*'Settings'!$C$5)+(K566*'Settings'!$C$9)+(N566*'Settings'!$C$6)+(J566*'Settings'!$C$8)+(O566*'Settings'!$C$7)+(P566*'Settings'!$C$14)+(Q566*'Settings'!$C$15)+(R566*'Settings'!$C$16)+(S566*'Settings'!$C$17)+(T566*'Settings'!$C$18)+(U566*'Settings'!$C$19)+(L566*'Settings'!$C$10)+('Settings'!$C$11*M566)</f>
        <v>-3.21520318401009</v>
      </c>
      <c r="D566" s="79">
        <f>IF('Settings'!$E$12="YES",VLOOKUP(A566,'Player Data'!A1:E667,5,FALSE),82)</f>
        <v>71.13249999999999</v>
      </c>
      <c r="E566" s="77">
        <f>(VLOOKUP($A566,'The List'!$B1:$AH665,17,FALSE)-AVERAGE('The List'!R2:R665))/STDEV('The List'!R2:R665)</f>
        <v>-0.28014087241714</v>
      </c>
      <c r="F566" s="77">
        <f>(VLOOKUP($A566,'The List'!$B1:$AH665,18,FALSE)-AVERAGE('The List'!S2:S665))/STDEV('The List'!S2:S665)</f>
        <v>-0.946289928017528</v>
      </c>
      <c r="G566" s="77">
        <f>(VLOOKUP($A566,'The List'!$B1:$AH665,19,FALSE)-AVERAGE('The List'!T2:T665))/STDEV('The List'!T2:T665)</f>
        <v>-1.0252818367632</v>
      </c>
      <c r="H566" s="77">
        <f>(VLOOKUP($A566,'The List'!$B1:$AH665,20,FALSE)-AVERAGE('The List'!U2:U665))/STDEV('The List'!U2:U665)</f>
        <v>-1.06689142334884</v>
      </c>
      <c r="I566" s="77">
        <f>(VLOOKUP($A566,'The List'!$B1:$AH665,21,FALSE)-AVERAGE('The List'!V2:V665))/STDEV('The List'!V2:V665)</f>
        <v>-0.683838225331629</v>
      </c>
      <c r="J566" s="77">
        <f>(VLOOKUP($A566,'The List'!$B1:$AH665,22,FALSE)-AVERAGE('The List'!W2:W665))/STDEV('The List'!W2:W665)</f>
        <v>-0.742219441779096</v>
      </c>
      <c r="K566" s="77">
        <f>(VLOOKUP($A566,'The List'!$B1:$AH665,23,FALSE)-AVERAGE('The List'!X2:X665))/STDEV('The List'!X2:X665)</f>
        <v>-0.816957969985644</v>
      </c>
      <c r="L566" s="77">
        <f>(VLOOKUP($A566,'The List'!$B1:$AH665,24,FALSE)-AVERAGE('The List'!Y2:Y665))/STDEV('The List'!Y2:Y665)</f>
        <v>-0.551608492664341</v>
      </c>
      <c r="M566" s="77">
        <f>(VLOOKUP($A566,'The List'!$B1:$AH665,25,FALSE)-AVERAGE('The List'!Z2:Z665))/STDEV('The List'!Z2:Z665)</f>
        <v>-0.298407087138515</v>
      </c>
      <c r="N566" s="77">
        <f>(VLOOKUP($A566,'The List'!$B1:$AH665,26,FALSE)-AVERAGE('The List'!AA2:AA665))/STDEV('The List'!AA2:AA665)</f>
        <v>1.01826457342381</v>
      </c>
      <c r="O566" s="77">
        <f>(VLOOKUP($A566,'The List'!$B1:$AH665,27,FALSE)-AVERAGE('The List'!AB2:AB665))/STDEV('The List'!AB2:AB665)</f>
        <v>0.0187293682330086</v>
      </c>
      <c r="P566" s="77">
        <f>(VLOOKUP($A566,'The List'!$B1:$AH665,28,FALSE)-AVERAGE('The List'!AC2:AC665))/STDEV('The List'!AC2:AC665)</f>
        <v>-0.7610997973358991</v>
      </c>
      <c r="Q566" s="77">
        <f>(VLOOKUP($A566,'The List'!$B1:$AH665,29,FALSE)-AVERAGE('The List'!AD2:AD665))/STDEV('The List'!AD2:AD665)</f>
        <v>0.402002326655677</v>
      </c>
      <c r="R566" s="77">
        <f>(VLOOKUP($A566,'The List'!$B1:$AH665,30,FALSE)-AVERAGE('The List'!AE2:AE665))/STDEV('The List'!AE2:AE665)</f>
        <v>-0.889148333034925</v>
      </c>
      <c r="S566" s="77">
        <f>(VLOOKUP($A566,'The List'!$B1:$AH665,31,FALSE)-AVERAGE('The List'!AF2:AF665))/STDEV('The List'!AF2:AF665)</f>
        <v>-0.573894410680004</v>
      </c>
      <c r="T566" s="77">
        <f>(VLOOKUP($A566,'The List'!$B1:$AH665,32,FALSE)-AVERAGE('The List'!AG2:AG665))/STDEV('The List'!AG2:AG665)</f>
        <v>-0.625770596694183</v>
      </c>
      <c r="U566" s="77">
        <f>(VLOOKUP($A566,'The List'!$B1:$AH665,33,FALSE)-AVERAGE('The List'!AH2:AH665))/STDEV('The List'!AH2:AH665)</f>
        <v>-1.23143509451486</v>
      </c>
      <c r="V566" s="77"/>
      <c r="W566" s="79"/>
      <c r="X566" s="77"/>
      <c r="Y566" s="77"/>
      <c r="Z566" s="77"/>
      <c r="AA566" s="77"/>
      <c r="AB566" s="77"/>
      <c r="AC566" s="77"/>
      <c r="AD566" s="77"/>
      <c r="AE566" s="84"/>
    </row>
    <row r="567" ht="21.25" customHeight="1">
      <c r="A567" t="s" s="10">
        <v>716</v>
      </c>
      <c r="B567" t="s" s="86">
        <f>VLOOKUP(A567,'Player Data'!A1:B667,2,FALSE)</f>
        <v>914</v>
      </c>
      <c r="C567" s="74">
        <f>((E567)*'Settings'!$C$12)+(F567*'Settings'!$C$2)+(G567*'Settings'!$C$3)+(H567*'Settings'!$C$4)+(I567*'Settings'!$C$5)+(K567*'Settings'!$C$9)+(N567*'Settings'!$C$6)+(J567*'Settings'!$C$8)+(O567*'Settings'!$C$7)+(P567*'Settings'!$C$14)+(Q567*'Settings'!$C$15)+(R567*'Settings'!$C$16)+(S567*'Settings'!$C$17)+(T567*'Settings'!$C$18)+(U567*'Settings'!$C$19)+(L567*'Settings'!$C$10)+('Settings'!$C$11*M567)</f>
        <v>-6.17140739192647</v>
      </c>
      <c r="D567" s="79">
        <f>IF('Settings'!$E$12="YES",VLOOKUP(A567,'Player Data'!A1:E667,5,FALSE),82)</f>
        <v>67.66</v>
      </c>
      <c r="E567" s="77">
        <f>(VLOOKUP($A567,'The List'!$B1:$AH665,17,FALSE)-AVERAGE('The List'!R2:R665))/STDEV('The List'!R2:R665)</f>
        <v>-1.79451717608449</v>
      </c>
      <c r="F567" s="77">
        <f>(VLOOKUP($A567,'The List'!$B1:$AH665,18,FALSE)-AVERAGE('The List'!S2:S665))/STDEV('The List'!S2:S665)</f>
        <v>-0.871655612838376</v>
      </c>
      <c r="G567" s="77">
        <f>(VLOOKUP($A567,'The List'!$B1:$AH665,19,FALSE)-AVERAGE('The List'!T2:T665))/STDEV('The List'!T2:T665)</f>
        <v>-1.12731794871798</v>
      </c>
      <c r="H567" s="77">
        <f>(VLOOKUP($A567,'The List'!$B1:$AH665,20,FALSE)-AVERAGE('The List'!U2:U665))/STDEV('The List'!U2:U665)</f>
        <v>-1.0963367422682</v>
      </c>
      <c r="I567" s="77">
        <f>(VLOOKUP($A567,'The List'!$B1:$AH665,21,FALSE)-AVERAGE('The List'!V2:V665))/STDEV('The List'!V2:V665)</f>
        <v>-1.14330960897827</v>
      </c>
      <c r="J567" s="77">
        <f>(VLOOKUP($A567,'The List'!$B1:$AH665,22,FALSE)-AVERAGE('The List'!W2:W665))/STDEV('The List'!W2:W665)</f>
        <v>-0.733447731995659</v>
      </c>
      <c r="K567" s="77">
        <f>(VLOOKUP($A567,'The List'!$B1:$AH665,23,FALSE)-AVERAGE('The List'!X2:X665))/STDEV('The List'!X2:X665)</f>
        <v>-0.818184095037551</v>
      </c>
      <c r="L567" s="77">
        <f>(VLOOKUP($A567,'The List'!$B1:$AH665,24,FALSE)-AVERAGE('The List'!Y2:Y665))/STDEV('The List'!Y2:Y665)</f>
        <v>0.254521829357098</v>
      </c>
      <c r="M567" s="77">
        <f>(VLOOKUP($A567,'The List'!$B1:$AH665,25,FALSE)-AVERAGE('The List'!Z2:Z665))/STDEV('The List'!Z2:Z665)</f>
        <v>-0.170130380913714</v>
      </c>
      <c r="N567" s="77">
        <f>(VLOOKUP($A567,'The List'!$B1:$AH665,26,FALSE)-AVERAGE('The List'!AA2:AA665))/STDEV('The List'!AA2:AA665)</f>
        <v>-0.560165351823582</v>
      </c>
      <c r="O567" s="77">
        <f>(VLOOKUP($A567,'The List'!$B1:$AH665,27,FALSE)-AVERAGE('The List'!AB2:AB665))/STDEV('The List'!AB2:AB665)</f>
        <v>1.44527083386822</v>
      </c>
      <c r="P567" s="77">
        <f>(VLOOKUP($A567,'The List'!$B1:$AH665,28,FALSE)-AVERAGE('The List'!AC2:AC665))/STDEV('The List'!AC2:AC665)</f>
        <v>-1.65077477453071</v>
      </c>
      <c r="Q567" s="77">
        <f>(VLOOKUP($A567,'The List'!$B1:$AH665,29,FALSE)-AVERAGE('The List'!AD2:AD665))/STDEV('The List'!AD2:AD665)</f>
        <v>1.74217525429561</v>
      </c>
      <c r="R567" s="77">
        <f>(VLOOKUP($A567,'The List'!$B1:$AH665,30,FALSE)-AVERAGE('The List'!AE2:AE665))/STDEV('The List'!AE2:AE665)</f>
        <v>-0.947200708759644</v>
      </c>
      <c r="S567" s="77">
        <f>(VLOOKUP($A567,'The List'!$B1:$AH665,31,FALSE)-AVERAGE('The List'!AF2:AF665))/STDEV('The List'!AF2:AF665)</f>
        <v>-0.558896288577708</v>
      </c>
      <c r="T567" s="77">
        <f>(VLOOKUP($A567,'The List'!$B1:$AH665,32,FALSE)-AVERAGE('The List'!AG2:AG665))/STDEV('The List'!AG2:AG665)</f>
        <v>-0.553934606825051</v>
      </c>
      <c r="U567" s="77">
        <f>(VLOOKUP($A567,'The List'!$B1:$AH665,33,FALSE)-AVERAGE('The List'!AH2:AH665))/STDEV('The List'!AH2:AH665)</f>
        <v>-0.407704073347968</v>
      </c>
      <c r="V567" s="77"/>
      <c r="W567" s="89"/>
      <c r="X567" s="79"/>
      <c r="Y567" s="79"/>
      <c r="Z567" s="79"/>
      <c r="AA567" s="79"/>
      <c r="AB567" s="79"/>
      <c r="AC567" s="82"/>
      <c r="AD567" s="83"/>
      <c r="AE567" s="84"/>
    </row>
    <row r="568" ht="21.25" customHeight="1">
      <c r="A568" t="s" s="10">
        <v>842</v>
      </c>
      <c r="B568" t="s" s="86">
        <f>VLOOKUP(A568,'Player Data'!A1:B667,2,FALSE)</f>
        <v>149</v>
      </c>
      <c r="C568" s="74">
        <f>((E568)*'Settings'!$C$12)+(F568*'Settings'!$C$2)+(G568*'Settings'!$C$3)+(H568*'Settings'!$C$4)+(I568*'Settings'!$C$5)+(K568*'Settings'!$C$9)+(N568*'Settings'!$C$6)+(J568*'Settings'!$C$8)+(O568*'Settings'!$C$7)+(P568*'Settings'!$C$14)+(Q568*'Settings'!$C$15)+(R568*'Settings'!$C$16)+(S568*'Settings'!$C$17)+(T568*'Settings'!$C$18)+(U568*'Settings'!$C$19)+(L568*'Settings'!$C$10)+('Settings'!$C$11*M568)</f>
        <v>-4.55399736264745</v>
      </c>
      <c r="D568" s="79">
        <f>IF('Settings'!$E$12="YES",VLOOKUP(A568,'Player Data'!A1:E667,5,FALSE),82)</f>
        <v>70.965</v>
      </c>
      <c r="E568" s="77">
        <f>(VLOOKUP($A568,'The List'!$B1:$AH665,17,FALSE)-AVERAGE('The List'!R2:R665))/STDEV('The List'!R2:R665)</f>
        <v>-1.38999714303048</v>
      </c>
      <c r="F568" s="77">
        <f>(VLOOKUP($A568,'The List'!$B1:$AH665,18,FALSE)-AVERAGE('The List'!S2:S665))/STDEV('The List'!S2:S665)</f>
        <v>-0.931667198119153</v>
      </c>
      <c r="G568" s="77">
        <f>(VLOOKUP($A568,'The List'!$B1:$AH665,19,FALSE)-AVERAGE('The List'!T2:T665))/STDEV('The List'!T2:T665)</f>
        <v>-1.04686280932361</v>
      </c>
      <c r="H568" s="77">
        <f>(VLOOKUP($A568,'The List'!$B1:$AH665,20,FALSE)-AVERAGE('The List'!U2:U665))/STDEV('The List'!U2:U665)</f>
        <v>-1.07364769495329</v>
      </c>
      <c r="I568" s="77">
        <f>(VLOOKUP($A568,'The List'!$B1:$AH665,21,FALSE)-AVERAGE('The List'!V2:V665))/STDEV('The List'!V2:V665)</f>
        <v>-1.00729251405761</v>
      </c>
      <c r="J568" s="77">
        <f>(VLOOKUP($A568,'The List'!$B1:$AH665,22,FALSE)-AVERAGE('The List'!W2:W665))/STDEV('The List'!W2:W665)</f>
        <v>-0.73424831926294</v>
      </c>
      <c r="K568" s="77">
        <f>(VLOOKUP($A568,'The List'!$B1:$AH665,23,FALSE)-AVERAGE('The List'!X2:X665))/STDEV('The List'!X2:X665)</f>
        <v>-0.818208241519608</v>
      </c>
      <c r="L568" s="77">
        <f>(VLOOKUP($A568,'The List'!$B1:$AH665,24,FALSE)-AVERAGE('The List'!Y2:Y665))/STDEV('The List'!Y2:Y665)</f>
        <v>-0.0997240889012328</v>
      </c>
      <c r="M568" s="77">
        <f>(VLOOKUP($A568,'The List'!$B1:$AH665,25,FALSE)-AVERAGE('The List'!Z2:Z665))/STDEV('The List'!Z2:Z665)</f>
        <v>-0.236957531283706</v>
      </c>
      <c r="N568" s="77">
        <f>(VLOOKUP($A568,'The List'!$B1:$AH665,26,FALSE)-AVERAGE('The List'!AA2:AA665))/STDEV('The List'!AA2:AA665)</f>
        <v>-0.7263788655293409</v>
      </c>
      <c r="O568" s="77">
        <f>(VLOOKUP($A568,'The List'!$B1:$AH665,27,FALSE)-AVERAGE('The List'!AB2:AB665))/STDEV('The List'!AB2:AB665)</f>
        <v>-0.3063954317536</v>
      </c>
      <c r="P568" s="77">
        <f>(VLOOKUP($A568,'The List'!$B1:$AH665,28,FALSE)-AVERAGE('The List'!AC2:AC665))/STDEV('The List'!AC2:AC665)</f>
        <v>-0.0235877340981266</v>
      </c>
      <c r="Q568" s="77">
        <f>(VLOOKUP($A568,'The List'!$B1:$AH665,29,FALSE)-AVERAGE('The List'!AD2:AD665))/STDEV('The List'!AD2:AD665)</f>
        <v>-0.514384115131006</v>
      </c>
      <c r="R568" s="77">
        <f>(VLOOKUP($A568,'The List'!$B1:$AH665,30,FALSE)-AVERAGE('The List'!AE2:AE665))/STDEV('The List'!AE2:AE665)</f>
        <v>-0.835641581444914</v>
      </c>
      <c r="S568" s="77">
        <f>(VLOOKUP($A568,'The List'!$B1:$AH665,31,FALSE)-AVERAGE('The List'!AF2:AF665))/STDEV('The List'!AF2:AF665)</f>
        <v>0.806232584799784</v>
      </c>
      <c r="T568" s="77">
        <f>(VLOOKUP($A568,'The List'!$B1:$AH665,32,FALSE)-AVERAGE('The List'!AG2:AG665))/STDEV('The List'!AG2:AG665)</f>
        <v>0.546786075745316</v>
      </c>
      <c r="U568" s="77">
        <f>(VLOOKUP($A568,'The List'!$B1:$AH665,33,FALSE)-AVERAGE('The List'!AH2:AH665))/STDEV('The List'!AH2:AH665)</f>
        <v>1.28866176504205</v>
      </c>
      <c r="V568" s="77"/>
      <c r="W568" s="89"/>
      <c r="X568" s="79"/>
      <c r="Y568" s="79"/>
      <c r="Z568" s="79"/>
      <c r="AA568" s="79"/>
      <c r="AB568" s="79"/>
      <c r="AC568" s="82"/>
      <c r="AD568" s="83"/>
      <c r="AE568" s="84"/>
    </row>
    <row r="569" ht="21.25" customHeight="1">
      <c r="A569" t="s" s="10">
        <v>661</v>
      </c>
      <c r="B569" t="s" s="86">
        <f>VLOOKUP(A569,'Player Data'!A1:B667,2,FALSE)</f>
        <v>901</v>
      </c>
      <c r="C569" s="74">
        <f>((E569)*'Settings'!$C$12)+(F569*'Settings'!$C$2)+(G569*'Settings'!$C$3)+(H569*'Settings'!$C$4)+(I569*'Settings'!$C$5)+(K569*'Settings'!$C$9)+(N569*'Settings'!$C$6)+(J569*'Settings'!$C$8)+(O569*'Settings'!$C$7)+(P569*'Settings'!$C$14)+(Q569*'Settings'!$C$15)+(R569*'Settings'!$C$16)+(S569*'Settings'!$C$17)+(T569*'Settings'!$C$18)+(U569*'Settings'!$C$19)+(L569*'Settings'!$C$10)+('Settings'!$C$11*M569)</f>
        <v>-3.25101596456243</v>
      </c>
      <c r="D569" s="79">
        <f>IF('Settings'!$E$12="YES",VLOOKUP(A569,'Player Data'!A1:E667,5,FALSE),82)</f>
        <v>70.395</v>
      </c>
      <c r="E569" s="77">
        <f>(VLOOKUP($A569,'The List'!$B1:$AH665,17,FALSE)-AVERAGE('The List'!R2:R665))/STDEV('The List'!R2:R665)</f>
        <v>0.0915916729058151</v>
      </c>
      <c r="F569" s="77">
        <f>(VLOOKUP($A569,'The List'!$B1:$AH665,18,FALSE)-AVERAGE('The List'!S2:S665))/STDEV('The List'!S2:S665)</f>
        <v>-1.18861203429626</v>
      </c>
      <c r="G569" s="77">
        <f>(VLOOKUP($A569,'The List'!$B1:$AH665,19,FALSE)-AVERAGE('The List'!T2:T665))/STDEV('The List'!T2:T665)</f>
        <v>-0.874123731881586</v>
      </c>
      <c r="H569" s="77">
        <f>(VLOOKUP($A569,'The List'!$B1:$AH665,20,FALSE)-AVERAGE('The List'!U2:U665))/STDEV('The List'!U2:U665)</f>
        <v>-1.08316065668019</v>
      </c>
      <c r="I569" s="77">
        <f>(VLOOKUP($A569,'The List'!$B1:$AH665,21,FALSE)-AVERAGE('The List'!V2:V665))/STDEV('The List'!V2:V665)</f>
        <v>-1.43905993630492</v>
      </c>
      <c r="J569" s="77">
        <f>(VLOOKUP($A569,'The List'!$B1:$AH665,22,FALSE)-AVERAGE('The List'!W2:W665))/STDEV('The List'!W2:W665)</f>
        <v>-0.740047299964814</v>
      </c>
      <c r="K569" s="77">
        <f>(VLOOKUP($A569,'The List'!$B1:$AH665,23,FALSE)-AVERAGE('The List'!X2:X665))/STDEV('The List'!X2:X665)</f>
        <v>-0.814170901091996</v>
      </c>
      <c r="L569" s="77">
        <f>(VLOOKUP($A569,'The List'!$B1:$AH665,24,FALSE)-AVERAGE('The List'!Y2:Y665))/STDEV('The List'!Y2:Y665)</f>
        <v>-0.516443959034615</v>
      </c>
      <c r="M569" s="77">
        <f>(VLOOKUP($A569,'The List'!$B1:$AH665,25,FALSE)-AVERAGE('The List'!Z2:Z665))/STDEV('The List'!Z2:Z665)</f>
        <v>0.300186381134997</v>
      </c>
      <c r="N569" s="77">
        <f>(VLOOKUP($A569,'The List'!$B1:$AH665,26,FALSE)-AVERAGE('The List'!AA2:AA665))/STDEV('The List'!AA2:AA665)</f>
        <v>1.13154545086502</v>
      </c>
      <c r="O569" s="77">
        <f>(VLOOKUP($A569,'The List'!$B1:$AH665,27,FALSE)-AVERAGE('The List'!AB2:AB665))/STDEV('The List'!AB2:AB665)</f>
        <v>0.577482301675432</v>
      </c>
      <c r="P569" s="77">
        <f>(VLOOKUP($A569,'The List'!$B1:$AH665,28,FALSE)-AVERAGE('The List'!AC2:AC665))/STDEV('The List'!AC2:AC665)</f>
        <v>-0.066594811852684</v>
      </c>
      <c r="Q569" s="77">
        <f>(VLOOKUP($A569,'The List'!$B1:$AH665,29,FALSE)-AVERAGE('The List'!AD2:AD665))/STDEV('The List'!AD2:AD665)</f>
        <v>1.21113376768271</v>
      </c>
      <c r="R569" s="77">
        <f>(VLOOKUP($A569,'The List'!$B1:$AH665,30,FALSE)-AVERAGE('The List'!AE2:AE665))/STDEV('The List'!AE2:AE665)</f>
        <v>-1.11622673402099</v>
      </c>
      <c r="S569" s="77">
        <f>(VLOOKUP($A569,'The List'!$B1:$AH665,31,FALSE)-AVERAGE('The List'!AF2:AF665))/STDEV('The List'!AF2:AF665)</f>
        <v>-0.573894410680004</v>
      </c>
      <c r="T569" s="77">
        <f>(VLOOKUP($A569,'The List'!$B1:$AH665,32,FALSE)-AVERAGE('The List'!AG2:AG665))/STDEV('The List'!AG2:AG665)</f>
        <v>-0.625770787132651</v>
      </c>
      <c r="U569" s="77">
        <f>(VLOOKUP($A569,'The List'!$B1:$AH665,33,FALSE)-AVERAGE('The List'!AH2:AH665))/STDEV('The List'!AH2:AH665)</f>
        <v>-1.23143509451486</v>
      </c>
      <c r="V569" s="77"/>
      <c r="W569" s="79"/>
      <c r="X569" s="77"/>
      <c r="Y569" s="77"/>
      <c r="Z569" s="77"/>
      <c r="AA569" s="77"/>
      <c r="AB569" s="77"/>
      <c r="AC569" s="77"/>
      <c r="AD569" s="77"/>
      <c r="AE569" s="84"/>
    </row>
    <row r="570" ht="21.25" customHeight="1">
      <c r="A570" t="s" s="10">
        <v>724</v>
      </c>
      <c r="B570" t="s" s="86">
        <f>VLOOKUP(A570,'Player Data'!A1:B667,2,FALSE)</f>
        <v>907</v>
      </c>
      <c r="C570" s="74">
        <f>((E570)*'Settings'!$C$12)+(F570*'Settings'!$C$2)+(G570*'Settings'!$C$3)+(H570*'Settings'!$C$4)+(I570*'Settings'!$C$5)+(K570*'Settings'!$C$9)+(N570*'Settings'!$C$6)+(J570*'Settings'!$C$8)+(O570*'Settings'!$C$7)+(P570*'Settings'!$C$14)+(Q570*'Settings'!$C$15)+(R570*'Settings'!$C$16)+(S570*'Settings'!$C$17)+(T570*'Settings'!$C$18)+(U570*'Settings'!$C$19)+(L570*'Settings'!$C$10)+('Settings'!$C$11*M570)</f>
        <v>-1.75502384166082</v>
      </c>
      <c r="D570" s="79">
        <f>IF('Settings'!$E$12="YES",VLOOKUP(A570,'Player Data'!A1:E667,5,FALSE),82)</f>
        <v>82.03</v>
      </c>
      <c r="E570" s="77">
        <f>(VLOOKUP($A570,'The List'!$B1:$AH665,17,FALSE)-AVERAGE('The List'!R2:R665))/STDEV('The List'!R2:R665)</f>
        <v>0.09408969920133051</v>
      </c>
      <c r="F570" s="77">
        <f>(VLOOKUP($A570,'The List'!$B1:$AH665,18,FALSE)-AVERAGE('The List'!S2:S665))/STDEV('The List'!S2:S665)</f>
        <v>-1.17560470106771</v>
      </c>
      <c r="G570" s="77">
        <f>(VLOOKUP($A570,'The List'!$B1:$AH665,19,FALSE)-AVERAGE('The List'!T2:T665))/STDEV('The List'!T2:T665)</f>
        <v>-0.736653500704314</v>
      </c>
      <c r="H570" s="77">
        <f>(VLOOKUP($A570,'The List'!$B1:$AH665,20,FALSE)-AVERAGE('The List'!U2:U665))/STDEV('The List'!U2:U665)</f>
        <v>-0.991871462186716</v>
      </c>
      <c r="I570" s="77">
        <f>(VLOOKUP($A570,'The List'!$B1:$AH665,21,FALSE)-AVERAGE('The List'!V2:V665))/STDEV('The List'!V2:V665)</f>
        <v>-0.884063586035217</v>
      </c>
      <c r="J570" s="77">
        <f>(VLOOKUP($A570,'The List'!$B1:$AH665,22,FALSE)-AVERAGE('The List'!W2:W665))/STDEV('The List'!W2:W665)</f>
        <v>-0.738827025689295</v>
      </c>
      <c r="K570" s="77">
        <f>(VLOOKUP($A570,'The List'!$B1:$AH665,23,FALSE)-AVERAGE('The List'!X2:X665))/STDEV('The List'!X2:X665)</f>
        <v>-0.810701536501324</v>
      </c>
      <c r="L570" s="77">
        <f>(VLOOKUP($A570,'The List'!$B1:$AH665,24,FALSE)-AVERAGE('The List'!Y2:Y665))/STDEV('The List'!Y2:Y665)</f>
        <v>-0.571783471504534</v>
      </c>
      <c r="M570" s="77">
        <f>(VLOOKUP($A570,'The List'!$B1:$AH665,25,FALSE)-AVERAGE('The List'!Z2:Z665))/STDEV('The List'!Z2:Z665)</f>
        <v>-0.512483524553488</v>
      </c>
      <c r="N570" s="77">
        <f>(VLOOKUP($A570,'The List'!$B1:$AH665,26,FALSE)-AVERAGE('The List'!AA2:AA665))/STDEV('The List'!AA2:AA665)</f>
        <v>0.785314753728744</v>
      </c>
      <c r="O570" s="77">
        <f>(VLOOKUP($A570,'The List'!$B1:$AH665,27,FALSE)-AVERAGE('The List'!AB2:AB665))/STDEV('The List'!AB2:AB665)</f>
        <v>-0.221293369852793</v>
      </c>
      <c r="P570" s="77">
        <f>(VLOOKUP($A570,'The List'!$B1:$AH665,28,FALSE)-AVERAGE('The List'!AC2:AC665))/STDEV('The List'!AC2:AC665)</f>
        <v>1.066684728919</v>
      </c>
      <c r="Q570" s="77">
        <f>(VLOOKUP($A570,'The List'!$B1:$AH665,29,FALSE)-AVERAGE('The List'!AD2:AD665))/STDEV('The List'!AD2:AD665)</f>
        <v>-0.395613552430379</v>
      </c>
      <c r="R570" s="77">
        <f>(VLOOKUP($A570,'The List'!$B1:$AH665,30,FALSE)-AVERAGE('The List'!AE2:AE665))/STDEV('The List'!AE2:AE665)</f>
        <v>-1.15300752183225</v>
      </c>
      <c r="S570" s="77">
        <f>(VLOOKUP($A570,'The List'!$B1:$AH665,31,FALSE)-AVERAGE('The List'!AF2:AF665))/STDEV('The List'!AF2:AF665)</f>
        <v>-0.573894410680004</v>
      </c>
      <c r="T570" s="77">
        <f>(VLOOKUP($A570,'The List'!$B1:$AH665,32,FALSE)-AVERAGE('The List'!AG2:AG665))/STDEV('The List'!AG2:AG665)</f>
        <v>-0.625770787132651</v>
      </c>
      <c r="U570" s="77">
        <f>(VLOOKUP($A570,'The List'!$B1:$AH665,33,FALSE)-AVERAGE('The List'!AH2:AH665))/STDEV('The List'!AH2:AH665)</f>
        <v>-1.23143509451486</v>
      </c>
      <c r="V570" s="77"/>
      <c r="W570" s="79"/>
      <c r="X570" s="77"/>
      <c r="Y570" s="77"/>
      <c r="Z570" s="77"/>
      <c r="AA570" s="77"/>
      <c r="AB570" s="77"/>
      <c r="AC570" s="77"/>
      <c r="AD570" s="77"/>
      <c r="AE570" s="84"/>
    </row>
    <row r="571" ht="21.25" customHeight="1">
      <c r="A571" t="s" s="10">
        <v>778</v>
      </c>
      <c r="B571" t="s" s="86">
        <f>VLOOKUP(A571,'Player Data'!A1:B667,2,FALSE)</f>
        <v>156</v>
      </c>
      <c r="C571" s="74">
        <f>((E571)*'Settings'!$C$12)+(F571*'Settings'!$C$2)+(G571*'Settings'!$C$3)+(H571*'Settings'!$C$4)+(I571*'Settings'!$C$5)+(K571*'Settings'!$C$9)+(N571*'Settings'!$C$6)+(J571*'Settings'!$C$8)+(O571*'Settings'!$C$7)+(P571*'Settings'!$C$14)+(Q571*'Settings'!$C$15)+(R571*'Settings'!$C$16)+(S571*'Settings'!$C$17)+(T571*'Settings'!$C$18)+(U571*'Settings'!$C$19)+(L571*'Settings'!$C$10)+('Settings'!$C$11*M571)</f>
        <v>-4.57513602828106</v>
      </c>
      <c r="D571" s="79">
        <f>IF('Settings'!$E$12="YES",VLOOKUP(A571,'Player Data'!A1:E667,5,FALSE),82)</f>
        <v>72.645</v>
      </c>
      <c r="E571" s="77">
        <f>(VLOOKUP($A571,'The List'!$B1:$AH665,17,FALSE)-AVERAGE('The List'!R2:R665))/STDEV('The List'!R2:R665)</f>
        <v>-0.519775114292525</v>
      </c>
      <c r="F571" s="77">
        <f>(VLOOKUP($A571,'The List'!$B1:$AH665,18,FALSE)-AVERAGE('The List'!S2:S665))/STDEV('The List'!S2:S665)</f>
        <v>-1.19627186052384</v>
      </c>
      <c r="G571" s="77">
        <f>(VLOOKUP($A571,'The List'!$B1:$AH665,19,FALSE)-AVERAGE('The List'!T2:T665))/STDEV('The List'!T2:T665)</f>
        <v>-0.850904062822192</v>
      </c>
      <c r="H571" s="77">
        <f>(VLOOKUP($A571,'The List'!$B1:$AH665,20,FALSE)-AVERAGE('The List'!U2:U665))/STDEV('The List'!U2:U665)</f>
        <v>-1.07222169171731</v>
      </c>
      <c r="I571" s="77">
        <f>(VLOOKUP($A571,'The List'!$B1:$AH665,21,FALSE)-AVERAGE('The List'!V2:V665))/STDEV('The List'!V2:V665)</f>
        <v>-1.52952065154633</v>
      </c>
      <c r="J571" s="77">
        <f>(VLOOKUP($A571,'The List'!$B1:$AH665,22,FALSE)-AVERAGE('The List'!W2:W665))/STDEV('The List'!W2:W665)</f>
        <v>-0.742620584894078</v>
      </c>
      <c r="K571" s="77">
        <f>(VLOOKUP($A571,'The List'!$B1:$AH665,23,FALSE)-AVERAGE('The List'!X2:X665))/STDEV('The List'!X2:X665)</f>
        <v>-0.819657383815617</v>
      </c>
      <c r="L571" s="77">
        <f>(VLOOKUP($A571,'The List'!$B1:$AH665,24,FALSE)-AVERAGE('The List'!Y2:Y665))/STDEV('The List'!Y2:Y665)</f>
        <v>-0.450908165210737</v>
      </c>
      <c r="M571" s="77">
        <f>(VLOOKUP($A571,'The List'!$B1:$AH665,25,FALSE)-AVERAGE('The List'!Z2:Z665))/STDEV('The List'!Z2:Z665)</f>
        <v>-0.45375337368717</v>
      </c>
      <c r="N571" s="77">
        <f>(VLOOKUP($A571,'The List'!$B1:$AH665,26,FALSE)-AVERAGE('The List'!AA2:AA665))/STDEV('The List'!AA2:AA665)</f>
        <v>0.379592663726399</v>
      </c>
      <c r="O571" s="77">
        <f>(VLOOKUP($A571,'The List'!$B1:$AH665,27,FALSE)-AVERAGE('The List'!AB2:AB665))/STDEV('The List'!AB2:AB665)</f>
        <v>0.25962289875116</v>
      </c>
      <c r="P571" s="77">
        <f>(VLOOKUP($A571,'The List'!$B1:$AH665,28,FALSE)-AVERAGE('The List'!AC2:AC665))/STDEV('The List'!AC2:AC665)</f>
        <v>-0.55837473329948</v>
      </c>
      <c r="Q571" s="77">
        <f>(VLOOKUP($A571,'The List'!$B1:$AH665,29,FALSE)-AVERAGE('The List'!AD2:AD665))/STDEV('The List'!AD2:AD665)</f>
        <v>-0.178701774496548</v>
      </c>
      <c r="R571" s="77">
        <f>(VLOOKUP($A571,'The List'!$B1:$AH665,30,FALSE)-AVERAGE('The List'!AE2:AE665))/STDEV('The List'!AE2:AE665)</f>
        <v>-1.15405670311012</v>
      </c>
      <c r="S571" s="77">
        <f>(VLOOKUP($A571,'The List'!$B1:$AH665,31,FALSE)-AVERAGE('The List'!AF2:AF665))/STDEV('The List'!AF2:AF665)</f>
        <v>-0.573894410680004</v>
      </c>
      <c r="T571" s="77">
        <f>(VLOOKUP($A571,'The List'!$B1:$AH665,32,FALSE)-AVERAGE('The List'!AG2:AG665))/STDEV('The List'!AG2:AG665)</f>
        <v>-0.625770787132651</v>
      </c>
      <c r="U571" s="77">
        <f>(VLOOKUP($A571,'The List'!$B1:$AH665,33,FALSE)-AVERAGE('The List'!AH2:AH665))/STDEV('The List'!AH2:AH665)</f>
        <v>-1.23143509451486</v>
      </c>
      <c r="V571" s="77"/>
      <c r="W571" s="89"/>
      <c r="X571" s="79"/>
      <c r="Y571" s="79"/>
      <c r="Z571" s="79"/>
      <c r="AA571" s="79"/>
      <c r="AB571" s="79"/>
      <c r="AC571" s="82"/>
      <c r="AD571" s="83"/>
      <c r="AE571" s="84"/>
    </row>
    <row r="572" ht="21.25" customHeight="1">
      <c r="A572" t="s" s="10">
        <v>844</v>
      </c>
      <c r="B572" t="s" s="86">
        <f>VLOOKUP(A572,'Player Data'!A1:B667,2,FALSE)</f>
        <v>900</v>
      </c>
      <c r="C572" s="74">
        <f>((E572)*'Settings'!$C$12)+(F572*'Settings'!$C$2)+(G572*'Settings'!$C$3)+(H572*'Settings'!$C$4)+(I572*'Settings'!$C$5)+(K572*'Settings'!$C$9)+(N572*'Settings'!$C$6)+(J572*'Settings'!$C$8)+(O572*'Settings'!$C$7)+(P572*'Settings'!$C$14)+(Q572*'Settings'!$C$15)+(R572*'Settings'!$C$16)+(S572*'Settings'!$C$17)+(T572*'Settings'!$C$18)+(U572*'Settings'!$C$19)+(L572*'Settings'!$C$10)+('Settings'!$C$11*M572)</f>
        <v>-4.25705646954307</v>
      </c>
      <c r="D572" s="79">
        <f>IF('Settings'!$E$12="YES",VLOOKUP(A572,'Player Data'!A1:E667,5,FALSE),82)</f>
        <v>62.11</v>
      </c>
      <c r="E572" s="77">
        <f>(VLOOKUP($A572,'The List'!$B1:$AH665,17,FALSE)-AVERAGE('The List'!R2:R665))/STDEV('The List'!R2:R665)</f>
        <v>-0.920900053838694</v>
      </c>
      <c r="F572" s="77">
        <f>(VLOOKUP($A572,'The List'!$B1:$AH665,18,FALSE)-AVERAGE('The List'!S2:S665))/STDEV('The List'!S2:S665)</f>
        <v>-1.06039347831867</v>
      </c>
      <c r="G572" s="77">
        <f>(VLOOKUP($A572,'The List'!$B1:$AH665,19,FALSE)-AVERAGE('The List'!T2:T665))/STDEV('The List'!T2:T665)</f>
        <v>-1.08457611923422</v>
      </c>
      <c r="H572" s="77">
        <f>(VLOOKUP($A572,'The List'!$B1:$AH665,20,FALSE)-AVERAGE('The List'!U2:U665))/STDEV('The List'!U2:U665)</f>
        <v>-1.155581994158</v>
      </c>
      <c r="I572" s="77">
        <f>(VLOOKUP($A572,'The List'!$B1:$AH665,21,FALSE)-AVERAGE('The List'!V2:V665))/STDEV('The List'!V2:V665)</f>
        <v>-1.32168326958165</v>
      </c>
      <c r="J572" s="77">
        <f>(VLOOKUP($A572,'The List'!$B1:$AH665,22,FALSE)-AVERAGE('The List'!W2:W665))/STDEV('The List'!W2:W665)</f>
        <v>-0.743315388860927</v>
      </c>
      <c r="K572" s="77">
        <f>(VLOOKUP($A572,'The List'!$B1:$AH665,23,FALSE)-AVERAGE('The List'!X2:X665))/STDEV('The List'!X2:X665)</f>
        <v>-0.82263331800707</v>
      </c>
      <c r="L572" s="77">
        <f>(VLOOKUP($A572,'The List'!$B1:$AH665,24,FALSE)-AVERAGE('The List'!Y2:Y665))/STDEV('The List'!Y2:Y665)</f>
        <v>-0.545572642220029</v>
      </c>
      <c r="M572" s="77">
        <f>(VLOOKUP($A572,'The List'!$B1:$AH665,25,FALSE)-AVERAGE('The List'!Z2:Z665))/STDEV('The List'!Z2:Z665)</f>
        <v>-0.649618868546104</v>
      </c>
      <c r="N572" s="77">
        <f>(VLOOKUP($A572,'The List'!$B1:$AH665,26,FALSE)-AVERAGE('The List'!AA2:AA665))/STDEV('The List'!AA2:AA665)</f>
        <v>0.100753509925526</v>
      </c>
      <c r="O572" s="77">
        <f>(VLOOKUP($A572,'The List'!$B1:$AH665,27,FALSE)-AVERAGE('The List'!AB2:AB665))/STDEV('The List'!AB2:AB665)</f>
        <v>-0.5638184946656341</v>
      </c>
      <c r="P572" s="77">
        <f>(VLOOKUP($A572,'The List'!$B1:$AH665,28,FALSE)-AVERAGE('The List'!AC2:AC665))/STDEV('The List'!AC2:AC665)</f>
        <v>-0.068523794326989</v>
      </c>
      <c r="Q572" s="77">
        <f>(VLOOKUP($A572,'The List'!$B1:$AH665,29,FALSE)-AVERAGE('The List'!AD2:AD665))/STDEV('The List'!AD2:AD665)</f>
        <v>-1.18785354352855</v>
      </c>
      <c r="R572" s="77">
        <f>(VLOOKUP($A572,'The List'!$B1:$AH665,30,FALSE)-AVERAGE('The List'!AE2:AE665))/STDEV('The List'!AE2:AE665)</f>
        <v>-1.01055314628447</v>
      </c>
      <c r="S572" s="77">
        <f>(VLOOKUP($A572,'The List'!$B1:$AH665,31,FALSE)-AVERAGE('The List'!AF2:AF665))/STDEV('The List'!AF2:AF665)</f>
        <v>-0.573894410680004</v>
      </c>
      <c r="T572" s="77">
        <f>(VLOOKUP($A572,'The List'!$B1:$AH665,32,FALSE)-AVERAGE('The List'!AG2:AG665))/STDEV('The List'!AG2:AG665)</f>
        <v>-0.625770787132651</v>
      </c>
      <c r="U572" s="77">
        <f>(VLOOKUP($A572,'The List'!$B1:$AH665,33,FALSE)-AVERAGE('The List'!AH2:AH665))/STDEV('The List'!AH2:AH665)</f>
        <v>-1.23143509451486</v>
      </c>
      <c r="V572" s="77"/>
      <c r="W572" s="89"/>
      <c r="X572" s="79"/>
      <c r="Y572" s="79"/>
      <c r="Z572" s="79"/>
      <c r="AA572" s="79"/>
      <c r="AB572" s="79"/>
      <c r="AC572" s="82"/>
      <c r="AD572" s="83"/>
      <c r="AE572" s="84"/>
    </row>
    <row r="573" ht="21.25" customHeight="1">
      <c r="A573" t="s" s="10">
        <v>459</v>
      </c>
      <c r="B573" t="s" s="86">
        <f>VLOOKUP(A573,'Player Data'!A1:B667,2,FALSE)</f>
        <v>902</v>
      </c>
      <c r="C573" s="74">
        <f>((E573)*'Settings'!$C$12)+(F573*'Settings'!$C$2)+(G573*'Settings'!$C$3)+(H573*'Settings'!$C$4)+(I573*'Settings'!$C$5)+(K573*'Settings'!$C$9)+(N573*'Settings'!$C$6)+(J573*'Settings'!$C$8)+(O573*'Settings'!$C$7)+(P573*'Settings'!$C$14)+(Q573*'Settings'!$C$15)+(R573*'Settings'!$C$16)+(S573*'Settings'!$C$17)+(T573*'Settings'!$C$18)+(U573*'Settings'!$C$19)+(L573*'Settings'!$C$10)+('Settings'!$C$11*M573)</f>
        <v>-2.50769561999338</v>
      </c>
      <c r="D573" s="79">
        <f>IF('Settings'!$E$12="YES",VLOOKUP(A573,'Player Data'!A1:E667,5,FALSE),82)</f>
        <v>78.185</v>
      </c>
      <c r="E573" s="77">
        <f>(VLOOKUP($A573,'The List'!$B1:$AH665,17,FALSE)-AVERAGE('The List'!R2:R665))/STDEV('The List'!R2:R665)</f>
        <v>0.197724227965869</v>
      </c>
      <c r="F573" s="77">
        <f>(VLOOKUP($A573,'The List'!$B1:$AH665,18,FALSE)-AVERAGE('The List'!S2:S665))/STDEV('The List'!S2:S665)</f>
        <v>-1.18366161732348</v>
      </c>
      <c r="G573" s="77">
        <f>(VLOOKUP($A573,'The List'!$B1:$AH665,19,FALSE)-AVERAGE('The List'!T2:T665))/STDEV('The List'!T2:T665)</f>
        <v>-0.7927146944689289</v>
      </c>
      <c r="H573" s="77">
        <f>(VLOOKUP($A573,'The List'!$B1:$AH665,20,FALSE)-AVERAGE('The List'!U2:U665))/STDEV('The List'!U2:U665)</f>
        <v>-1.03035086714395</v>
      </c>
      <c r="I573" s="77">
        <f>(VLOOKUP($A573,'The List'!$B1:$AH665,21,FALSE)-AVERAGE('The List'!V2:V665))/STDEV('The List'!V2:V665)</f>
        <v>-1.3059116109398</v>
      </c>
      <c r="J573" s="77">
        <f>(VLOOKUP($A573,'The List'!$B1:$AH665,22,FALSE)-AVERAGE('The List'!W2:W665))/STDEV('The List'!W2:W665)</f>
        <v>-0.743093251531966</v>
      </c>
      <c r="K573" s="77">
        <f>(VLOOKUP($A573,'The List'!$B1:$AH665,23,FALSE)-AVERAGE('The List'!X2:X665))/STDEV('The List'!X2:X665)</f>
        <v>-0.821312151541295</v>
      </c>
      <c r="L573" s="77">
        <f>(VLOOKUP($A573,'The List'!$B1:$AH665,24,FALSE)-AVERAGE('The List'!Y2:Y665))/STDEV('The List'!Y2:Y665)</f>
        <v>-0.197992413174243</v>
      </c>
      <c r="M573" s="77">
        <f>(VLOOKUP($A573,'The List'!$B1:$AH665,25,FALSE)-AVERAGE('The List'!Z2:Z665))/STDEV('The List'!Z2:Z665)</f>
        <v>-0.020696934072151</v>
      </c>
      <c r="N573" s="77">
        <f>(VLOOKUP($A573,'The List'!$B1:$AH665,26,FALSE)-AVERAGE('The List'!AA2:AA665))/STDEV('The List'!AA2:AA665)</f>
        <v>1.9616095997912</v>
      </c>
      <c r="O573" s="77">
        <f>(VLOOKUP($A573,'The List'!$B1:$AH665,27,FALSE)-AVERAGE('The List'!AB2:AB665))/STDEV('The List'!AB2:AB665)</f>
        <v>1.54788174311066</v>
      </c>
      <c r="P573" s="77">
        <f>(VLOOKUP($A573,'The List'!$B1:$AH665,28,FALSE)-AVERAGE('The List'!AC2:AC665))/STDEV('The List'!AC2:AC665)</f>
        <v>-0.365705145511073</v>
      </c>
      <c r="Q573" s="77">
        <f>(VLOOKUP($A573,'The List'!$B1:$AH665,29,FALSE)-AVERAGE('The List'!AD2:AD665))/STDEV('The List'!AD2:AD665)</f>
        <v>1.05203970963244</v>
      </c>
      <c r="R573" s="77">
        <f>(VLOOKUP($A573,'The List'!$B1:$AH665,30,FALSE)-AVERAGE('The List'!AE2:AE665))/STDEV('The List'!AE2:AE665)</f>
        <v>-1.12123636908478</v>
      </c>
      <c r="S573" s="77">
        <f>(VLOOKUP($A573,'The List'!$B1:$AH665,31,FALSE)-AVERAGE('The List'!AF2:AF665))/STDEV('The List'!AF2:AF665)</f>
        <v>-0.573894410680004</v>
      </c>
      <c r="T573" s="77">
        <f>(VLOOKUP($A573,'The List'!$B1:$AH665,32,FALSE)-AVERAGE('The List'!AG2:AG665))/STDEV('The List'!AG2:AG665)</f>
        <v>-0.625770787132651</v>
      </c>
      <c r="U573" s="77">
        <f>(VLOOKUP($A573,'The List'!$B1:$AH665,33,FALSE)-AVERAGE('The List'!AH2:AH665))/STDEV('The List'!AH2:AH665)</f>
        <v>-1.23143509451486</v>
      </c>
      <c r="V573" s="77"/>
      <c r="W573" s="89"/>
      <c r="X573" s="79"/>
      <c r="Y573" s="79"/>
      <c r="Z573" s="79"/>
      <c r="AA573" s="79"/>
      <c r="AB573" s="79"/>
      <c r="AC573" s="82"/>
      <c r="AD573" s="83"/>
      <c r="AE573" s="84"/>
    </row>
    <row r="574" ht="21.25" customHeight="1">
      <c r="A574" t="s" s="10">
        <v>557</v>
      </c>
      <c r="B574" t="s" s="86">
        <f>VLOOKUP(A574,'Player Data'!A1:B667,2,FALSE)</f>
        <v>899</v>
      </c>
      <c r="C574" s="74">
        <f>((E574)*'Settings'!$C$12)+(F574*'Settings'!$C$2)+(G574*'Settings'!$C$3)+(H574*'Settings'!$C$4)+(I574*'Settings'!$C$5)+(K574*'Settings'!$C$9)+(N574*'Settings'!$C$6)+(J574*'Settings'!$C$8)+(O574*'Settings'!$C$7)+(P574*'Settings'!$C$14)+(Q574*'Settings'!$C$15)+(R574*'Settings'!$C$16)+(S574*'Settings'!$C$17)+(T574*'Settings'!$C$18)+(U574*'Settings'!$C$19)+(L574*'Settings'!$C$10)+('Settings'!$C$11*M574)</f>
        <v>-2.81380902938373</v>
      </c>
      <c r="D574" s="79">
        <f>IF('Settings'!$E$12="YES",VLOOKUP(A574,'Player Data'!A1:E667,5,FALSE),82)</f>
        <v>73.94499999999999</v>
      </c>
      <c r="E574" s="77">
        <f>(VLOOKUP($A574,'The List'!$B1:$AH665,17,FALSE)-AVERAGE('The List'!R2:R665))/STDEV('The List'!R2:R665)</f>
        <v>-0.09739139808868311</v>
      </c>
      <c r="F574" s="77">
        <f>(VLOOKUP($A574,'The List'!$B1:$AH665,18,FALSE)-AVERAGE('The List'!S2:S665))/STDEV('The List'!S2:S665)</f>
        <v>-1.03351259028566</v>
      </c>
      <c r="G574" s="77">
        <f>(VLOOKUP($A574,'The List'!$B1:$AH665,19,FALSE)-AVERAGE('The List'!T2:T665))/STDEV('The List'!T2:T665)</f>
        <v>-0.960772157060059</v>
      </c>
      <c r="H574" s="77">
        <f>(VLOOKUP($A574,'The List'!$B1:$AH665,20,FALSE)-AVERAGE('The List'!U2:U665))/STDEV('The List'!U2:U665)</f>
        <v>-1.06647413102237</v>
      </c>
      <c r="I574" s="77">
        <f>(VLOOKUP($A574,'The List'!$B1:$AH665,21,FALSE)-AVERAGE('The List'!V2:V665))/STDEV('The List'!V2:V665)</f>
        <v>-1.09896802085467</v>
      </c>
      <c r="J574" s="77">
        <f>(VLOOKUP($A574,'The List'!$B1:$AH665,22,FALSE)-AVERAGE('The List'!W2:W665))/STDEV('The List'!W2:W665)</f>
        <v>-0.745486755006089</v>
      </c>
      <c r="K574" s="77">
        <f>(VLOOKUP($A574,'The List'!$B1:$AH665,23,FALSE)-AVERAGE('The List'!X2:X665))/STDEV('The List'!X2:X665)</f>
        <v>-0.827917222602623</v>
      </c>
      <c r="L574" s="77">
        <f>(VLOOKUP($A574,'The List'!$B1:$AH665,24,FALSE)-AVERAGE('The List'!Y2:Y665))/STDEV('The List'!Y2:Y665)</f>
        <v>-0.532544451726448</v>
      </c>
      <c r="M574" s="77">
        <f>(VLOOKUP($A574,'The List'!$B1:$AH665,25,FALSE)-AVERAGE('The List'!Z2:Z665))/STDEV('The List'!Z2:Z665)</f>
        <v>0.00499117645184108</v>
      </c>
      <c r="N574" s="77">
        <f>(VLOOKUP($A574,'The List'!$B1:$AH665,26,FALSE)-AVERAGE('The List'!AA2:AA665))/STDEV('The List'!AA2:AA665)</f>
        <v>1.53781685484695</v>
      </c>
      <c r="O574" s="77">
        <f>(VLOOKUP($A574,'The List'!$B1:$AH665,27,FALSE)-AVERAGE('The List'!AB2:AB665))/STDEV('The List'!AB2:AB665)</f>
        <v>0.977044259855671</v>
      </c>
      <c r="P574" s="77">
        <f>(VLOOKUP($A574,'The List'!$B1:$AH665,28,FALSE)-AVERAGE('The List'!AC2:AC665))/STDEV('The List'!AC2:AC665)</f>
        <v>-0.43045589342767</v>
      </c>
      <c r="Q574" s="77">
        <f>(VLOOKUP($A574,'The List'!$B1:$AH665,29,FALSE)-AVERAGE('The List'!AD2:AD665))/STDEV('The List'!AD2:AD665)</f>
        <v>-0.343535459374027</v>
      </c>
      <c r="R574" s="77">
        <f>(VLOOKUP($A574,'The List'!$B1:$AH665,30,FALSE)-AVERAGE('The List'!AE2:AE665))/STDEV('The List'!AE2:AE665)</f>
        <v>-0.975131409414589</v>
      </c>
      <c r="S574" s="77">
        <f>(VLOOKUP($A574,'The List'!$B1:$AH665,31,FALSE)-AVERAGE('The List'!AF2:AF665))/STDEV('The List'!AF2:AF665)</f>
        <v>-0.573894410680004</v>
      </c>
      <c r="T574" s="77">
        <f>(VLOOKUP($A574,'The List'!$B1:$AH665,32,FALSE)-AVERAGE('The List'!AG2:AG665))/STDEV('The List'!AG2:AG665)</f>
        <v>-0.625770787132651</v>
      </c>
      <c r="U574" s="77">
        <f>(VLOOKUP($A574,'The List'!$B1:$AH665,33,FALSE)-AVERAGE('The List'!AH2:AH665))/STDEV('The List'!AH2:AH665)</f>
        <v>-1.23143509451486</v>
      </c>
      <c r="V574" s="77"/>
      <c r="W574" s="89"/>
      <c r="X574" s="79"/>
      <c r="Y574" s="79"/>
      <c r="Z574" s="79"/>
      <c r="AA574" s="79"/>
      <c r="AB574" s="79"/>
      <c r="AC574" s="82"/>
      <c r="AD574" s="83"/>
      <c r="AE574" s="84"/>
    </row>
    <row r="575" ht="21.25" customHeight="1">
      <c r="A575" t="s" s="10">
        <v>587</v>
      </c>
      <c r="B575" t="s" s="86">
        <f>VLOOKUP(A575,'Player Data'!A1:B667,2,FALSE)</f>
        <v>908</v>
      </c>
      <c r="C575" s="74">
        <f>((E575)*'Settings'!$C$12)+(F575*'Settings'!$C$2)+(G575*'Settings'!$C$3)+(H575*'Settings'!$C$4)+(I575*'Settings'!$C$5)+(K575*'Settings'!$C$9)+(N575*'Settings'!$C$6)+(J575*'Settings'!$C$8)+(O575*'Settings'!$C$7)+(P575*'Settings'!$C$14)+(Q575*'Settings'!$C$15)+(R575*'Settings'!$C$16)+(S575*'Settings'!$C$17)+(T575*'Settings'!$C$18)+(U575*'Settings'!$C$19)+(L575*'Settings'!$C$10)+('Settings'!$C$11*M575)</f>
        <v>-0.592831823523952</v>
      </c>
      <c r="D575" s="79">
        <f>IF('Settings'!$E$12="YES",VLOOKUP(A575,'Player Data'!A1:E667,5,FALSE),82)</f>
        <v>80.06999999999999</v>
      </c>
      <c r="E575" s="77">
        <f>(VLOOKUP($A575,'The List'!$B1:$AH665,17,FALSE)-AVERAGE('The List'!R2:R665))/STDEV('The List'!R2:R665)</f>
        <v>0.463529709343723</v>
      </c>
      <c r="F575" s="77">
        <f>(VLOOKUP($A575,'The List'!$B1:$AH665,18,FALSE)-AVERAGE('The List'!S2:S665))/STDEV('The List'!S2:S665)</f>
        <v>-1.14248705499121</v>
      </c>
      <c r="G575" s="77">
        <f>(VLOOKUP($A575,'The List'!$B1:$AH665,19,FALSE)-AVERAGE('The List'!T2:T665))/STDEV('The List'!T2:T665)</f>
        <v>-0.803732049407</v>
      </c>
      <c r="H575" s="77">
        <f>(VLOOKUP($A575,'The List'!$B1:$AH665,20,FALSE)-AVERAGE('The List'!U2:U665))/STDEV('The List'!U2:U665)</f>
        <v>-1.01847746828152</v>
      </c>
      <c r="I575" s="77">
        <f>(VLOOKUP($A575,'The List'!$B1:$AH665,21,FALSE)-AVERAGE('The List'!V2:V665))/STDEV('The List'!V2:V665)</f>
        <v>-1.01063957710753</v>
      </c>
      <c r="J575" s="77">
        <f>(VLOOKUP($A575,'The List'!$B1:$AH665,22,FALSE)-AVERAGE('The List'!W2:W665))/STDEV('The List'!W2:W665)</f>
        <v>-0.741586456216129</v>
      </c>
      <c r="K575" s="77">
        <f>(VLOOKUP($A575,'The List'!$B1:$AH665,23,FALSE)-AVERAGE('The List'!X2:X665))/STDEV('The List'!X2:X665)</f>
        <v>-0.816301424097272</v>
      </c>
      <c r="L575" s="77">
        <f>(VLOOKUP($A575,'The List'!$B1:$AH665,24,FALSE)-AVERAGE('The List'!Y2:Y665))/STDEV('The List'!Y2:Y665)</f>
        <v>-0.545137001434335</v>
      </c>
      <c r="M575" s="77">
        <f>(VLOOKUP($A575,'The List'!$B1:$AH665,25,FALSE)-AVERAGE('The List'!Z2:Z665))/STDEV('The List'!Z2:Z665)</f>
        <v>-0.500292942854487</v>
      </c>
      <c r="N575" s="77">
        <f>(VLOOKUP($A575,'The List'!$B1:$AH665,26,FALSE)-AVERAGE('The List'!AA2:AA665))/STDEV('The List'!AA2:AA665)</f>
        <v>1.92913624050227</v>
      </c>
      <c r="O575" s="77">
        <f>(VLOOKUP($A575,'The List'!$B1:$AH665,27,FALSE)-AVERAGE('The List'!AB2:AB665))/STDEV('The List'!AB2:AB665)</f>
        <v>0.16175334144529</v>
      </c>
      <c r="P575" s="77">
        <f>(VLOOKUP($A575,'The List'!$B1:$AH665,28,FALSE)-AVERAGE('The List'!AC2:AC665))/STDEV('The List'!AC2:AC665)</f>
        <v>1.25119204157679</v>
      </c>
      <c r="Q575" s="77">
        <f>(VLOOKUP($A575,'The List'!$B1:$AH665,29,FALSE)-AVERAGE('The List'!AD2:AD665))/STDEV('The List'!AD2:AD665)</f>
        <v>2.03104494717712</v>
      </c>
      <c r="R575" s="77">
        <f>(VLOOKUP($A575,'The List'!$B1:$AH665,30,FALSE)-AVERAGE('The List'!AE2:AE665))/STDEV('The List'!AE2:AE665)</f>
        <v>-1.09562770219498</v>
      </c>
      <c r="S575" s="77">
        <f>(VLOOKUP($A575,'The List'!$B1:$AH665,31,FALSE)-AVERAGE('The List'!AF2:AF665))/STDEV('The List'!AF2:AF665)</f>
        <v>-0.573894410680004</v>
      </c>
      <c r="T575" s="77">
        <f>(VLOOKUP($A575,'The List'!$B1:$AH665,32,FALSE)-AVERAGE('The List'!AG2:AG665))/STDEV('The List'!AG2:AG665)</f>
        <v>-0.625770787132651</v>
      </c>
      <c r="U575" s="77">
        <f>(VLOOKUP($A575,'The List'!$B1:$AH665,33,FALSE)-AVERAGE('The List'!AH2:AH665))/STDEV('The List'!AH2:AH665)</f>
        <v>-1.23143509451486</v>
      </c>
      <c r="V575" s="77"/>
      <c r="W575" s="89"/>
      <c r="X575" s="79"/>
      <c r="Y575" s="79"/>
      <c r="Z575" s="79"/>
      <c r="AA575" s="79"/>
      <c r="AB575" s="79"/>
      <c r="AC575" s="82"/>
      <c r="AD575" s="83"/>
      <c r="AE575" s="84"/>
    </row>
    <row r="576" ht="21.25" customHeight="1">
      <c r="A576" t="s" s="10">
        <v>852</v>
      </c>
      <c r="B576" t="s" s="86">
        <f>VLOOKUP(A576,'Player Data'!A1:B667,2,FALSE)</f>
        <v>906</v>
      </c>
      <c r="C576" s="74">
        <f>((E576)*'Settings'!$C$12)+(F576*'Settings'!$C$2)+(G576*'Settings'!$C$3)+(H576*'Settings'!$C$4)+(I576*'Settings'!$C$5)+(K576*'Settings'!$C$9)+(N576*'Settings'!$C$6)+(J576*'Settings'!$C$8)+(O576*'Settings'!$C$7)+(P576*'Settings'!$C$14)+(Q576*'Settings'!$C$15)+(R576*'Settings'!$C$16)+(S576*'Settings'!$C$17)+(T576*'Settings'!$C$18)+(U576*'Settings'!$C$19)+(L576*'Settings'!$C$10)+('Settings'!$C$11*M576)</f>
        <v>-4.84135163082685</v>
      </c>
      <c r="D576" s="79">
        <f>IF('Settings'!$E$12="YES",VLOOKUP(A576,'Player Data'!A1:E667,5,FALSE),82)</f>
        <v>65.14749999999999</v>
      </c>
      <c r="E576" s="77">
        <f>(VLOOKUP($A576,'The List'!$B1:$AH665,17,FALSE)-AVERAGE('The List'!R2:R665))/STDEV('The List'!R2:R665)</f>
        <v>-2.06163411067834</v>
      </c>
      <c r="F576" s="77">
        <f>(VLOOKUP($A576,'The List'!$B1:$AH665,18,FALSE)-AVERAGE('The List'!S2:S665))/STDEV('The List'!S2:S665)</f>
        <v>-0.953877945048101</v>
      </c>
      <c r="G576" s="77">
        <f>(VLOOKUP($A576,'The List'!$B1:$AH665,19,FALSE)-AVERAGE('The List'!T2:T665))/STDEV('The List'!T2:T665)</f>
        <v>-1.140345555551</v>
      </c>
      <c r="H576" s="77">
        <f>(VLOOKUP($A576,'The List'!$B1:$AH665,20,FALSE)-AVERAGE('The List'!U2:U665))/STDEV('The List'!U2:U665)</f>
        <v>-1.14180157695977</v>
      </c>
      <c r="I576" s="77">
        <f>(VLOOKUP($A576,'The List'!$B1:$AH665,21,FALSE)-AVERAGE('The List'!V2:V665))/STDEV('The List'!V2:V665)</f>
        <v>-1.31653410319826</v>
      </c>
      <c r="J576" s="77">
        <f>(VLOOKUP($A576,'The List'!$B1:$AH665,22,FALSE)-AVERAGE('The List'!W2:W665))/STDEV('The List'!W2:W665)</f>
        <v>-0.735776533933246</v>
      </c>
      <c r="K576" s="77">
        <f>(VLOOKUP($A576,'The List'!$B1:$AH665,23,FALSE)-AVERAGE('The List'!X2:X665))/STDEV('The List'!X2:X665)</f>
        <v>-0.820503270741593</v>
      </c>
      <c r="L576" s="77">
        <f>(VLOOKUP($A576,'The List'!$B1:$AH665,24,FALSE)-AVERAGE('The List'!Y2:Y665))/STDEV('The List'!Y2:Y665)</f>
        <v>-0.329139364658365</v>
      </c>
      <c r="M576" s="77">
        <f>(VLOOKUP($A576,'The List'!$B1:$AH665,25,FALSE)-AVERAGE('The List'!Z2:Z665))/STDEV('The List'!Z2:Z665)</f>
        <v>-0.124338678991035</v>
      </c>
      <c r="N576" s="77">
        <f>(VLOOKUP($A576,'The List'!$B1:$AH665,26,FALSE)-AVERAGE('The List'!AA2:AA665))/STDEV('The List'!AA2:AA665)</f>
        <v>-0.805941898875849</v>
      </c>
      <c r="O576" s="77">
        <f>(VLOOKUP($A576,'The List'!$B1:$AH665,27,FALSE)-AVERAGE('The List'!AB2:AB665))/STDEV('The List'!AB2:AB665)</f>
        <v>-0.719054565248489</v>
      </c>
      <c r="P576" s="77">
        <f>(VLOOKUP($A576,'The List'!$B1:$AH665,28,FALSE)-AVERAGE('The List'!AC2:AC665))/STDEV('The List'!AC2:AC665)</f>
        <v>0.195851142587952</v>
      </c>
      <c r="Q576" s="77">
        <f>(VLOOKUP($A576,'The List'!$B1:$AH665,29,FALSE)-AVERAGE('The List'!AD2:AD665))/STDEV('The List'!AD2:AD665)</f>
        <v>-1.65796739580393</v>
      </c>
      <c r="R576" s="77">
        <f>(VLOOKUP($A576,'The List'!$B1:$AH665,30,FALSE)-AVERAGE('The List'!AE2:AE665))/STDEV('The List'!AE2:AE665)</f>
        <v>-0.870003362534154</v>
      </c>
      <c r="S576" s="77">
        <f>(VLOOKUP($A576,'The List'!$B1:$AH665,31,FALSE)-AVERAGE('The List'!AF2:AF665))/STDEV('The List'!AF2:AF665)</f>
        <v>0.216746735167408</v>
      </c>
      <c r="T576" s="77">
        <f>(VLOOKUP($A576,'The List'!$B1:$AH665,32,FALSE)-AVERAGE('The List'!AG2:AG665))/STDEV('The List'!AG2:AG665)</f>
        <v>0.156908699564503</v>
      </c>
      <c r="U576" s="77">
        <f>(VLOOKUP($A576,'The List'!$B1:$AH665,33,FALSE)-AVERAGE('The List'!AH2:AH665))/STDEV('The List'!AH2:AH665)</f>
        <v>1.11645292752701</v>
      </c>
      <c r="V576" s="77"/>
      <c r="W576" s="89"/>
      <c r="X576" s="79"/>
      <c r="Y576" s="79"/>
      <c r="Z576" s="79"/>
      <c r="AA576" s="79"/>
      <c r="AB576" s="79"/>
      <c r="AC576" s="82"/>
      <c r="AD576" s="83"/>
      <c r="AE576" s="84"/>
    </row>
    <row r="577" ht="21.25" customHeight="1">
      <c r="A577" t="s" s="10">
        <v>421</v>
      </c>
      <c r="B577" t="s" s="86">
        <f>VLOOKUP(A577,'Player Data'!A1:B667,2,FALSE)</f>
        <v>132</v>
      </c>
      <c r="C577" s="74">
        <f>((E577)*'Settings'!$C$12)+(F577*'Settings'!$C$2)+(G577*'Settings'!$C$3)+(H577*'Settings'!$C$4)+(I577*'Settings'!$C$5)+(K577*'Settings'!$C$9)+(N577*'Settings'!$C$6)+(J577*'Settings'!$C$8)+(O577*'Settings'!$C$7)+(P577*'Settings'!$C$14)+(Q577*'Settings'!$C$15)+(R577*'Settings'!$C$16)+(S577*'Settings'!$C$17)+(T577*'Settings'!$C$18)+(U577*'Settings'!$C$19)+(L577*'Settings'!$C$10)+('Settings'!$C$11*M577)</f>
        <v>-1.5498875768925</v>
      </c>
      <c r="D577" s="79">
        <f>IF('Settings'!$E$12="YES",VLOOKUP(A577,'Player Data'!A1:E667,5,FALSE),82)</f>
        <v>78.63500000000001</v>
      </c>
      <c r="E577" s="77">
        <f>(VLOOKUP($A577,'The List'!$B1:$AH665,17,FALSE)-AVERAGE('The List'!R2:R665))/STDEV('The List'!R2:R665)</f>
        <v>0.376722483796049</v>
      </c>
      <c r="F577" s="77">
        <f>(VLOOKUP($A577,'The List'!$B1:$AH665,18,FALSE)-AVERAGE('The List'!S2:S665))/STDEV('The List'!S2:S665)</f>
        <v>-0.9770997042656701</v>
      </c>
      <c r="G577" s="77">
        <f>(VLOOKUP($A577,'The List'!$B1:$AH665,19,FALSE)-AVERAGE('The List'!T2:T665))/STDEV('The List'!T2:T665)</f>
        <v>-0.957615587273548</v>
      </c>
      <c r="H577" s="77">
        <f>(VLOOKUP($A577,'The List'!$B1:$AH665,20,FALSE)-AVERAGE('The List'!U2:U665))/STDEV('The List'!U2:U665)</f>
        <v>-1.03887138548118</v>
      </c>
      <c r="I577" s="77">
        <f>(VLOOKUP($A577,'The List'!$B1:$AH665,21,FALSE)-AVERAGE('The List'!V2:V665))/STDEV('The List'!V2:V665)</f>
        <v>-1.02911051159435</v>
      </c>
      <c r="J577" s="77">
        <f>(VLOOKUP($A577,'The List'!$B1:$AH665,22,FALSE)-AVERAGE('The List'!W2:W665))/STDEV('The List'!W2:W665)</f>
        <v>-0.742104866280451</v>
      </c>
      <c r="K577" s="77">
        <f>(VLOOKUP($A577,'The List'!$B1:$AH665,23,FALSE)-AVERAGE('The List'!X2:X665))/STDEV('The List'!X2:X665)</f>
        <v>-0.819568993341229</v>
      </c>
      <c r="L577" s="77">
        <f>(VLOOKUP($A577,'The List'!$B1:$AH665,24,FALSE)-AVERAGE('The List'!Y2:Y665))/STDEV('The List'!Y2:Y665)</f>
        <v>-0.5351037926808671</v>
      </c>
      <c r="M577" s="77">
        <f>(VLOOKUP($A577,'The List'!$B1:$AH665,25,FALSE)-AVERAGE('The List'!Z2:Z665))/STDEV('The List'!Z2:Z665)</f>
        <v>-0.477361186766976</v>
      </c>
      <c r="N577" s="77">
        <f>(VLOOKUP($A577,'The List'!$B1:$AH665,26,FALSE)-AVERAGE('The List'!AA2:AA665))/STDEV('The List'!AA2:AA665)</f>
        <v>1.57914328101386</v>
      </c>
      <c r="O577" s="77">
        <f>(VLOOKUP($A577,'The List'!$B1:$AH665,27,FALSE)-AVERAGE('The List'!AB2:AB665))/STDEV('The List'!AB2:AB665)</f>
        <v>2.31613479000383</v>
      </c>
      <c r="P577" s="77">
        <f>(VLOOKUP($A577,'The List'!$B1:$AH665,28,FALSE)-AVERAGE('The List'!AC2:AC665))/STDEV('The List'!AC2:AC665)</f>
        <v>0.654363938568434</v>
      </c>
      <c r="Q577" s="77">
        <f>(VLOOKUP($A577,'The List'!$B1:$AH665,29,FALSE)-AVERAGE('The List'!AD2:AD665))/STDEV('The List'!AD2:AD665)</f>
        <v>0.7501132700065219</v>
      </c>
      <c r="R577" s="77">
        <f>(VLOOKUP($A577,'The List'!$B1:$AH665,30,FALSE)-AVERAGE('The List'!AE2:AE665))/STDEV('The List'!AE2:AE665)</f>
        <v>-0.909062405894005</v>
      </c>
      <c r="S577" s="77">
        <f>(VLOOKUP($A577,'The List'!$B1:$AH665,31,FALSE)-AVERAGE('The List'!AF2:AF665))/STDEV('The List'!AF2:AF665)</f>
        <v>-0.573894410680004</v>
      </c>
      <c r="T577" s="77">
        <f>(VLOOKUP($A577,'The List'!$B1:$AH665,32,FALSE)-AVERAGE('The List'!AG2:AG665))/STDEV('The List'!AG2:AG665)</f>
        <v>-0.625770787132651</v>
      </c>
      <c r="U577" s="77">
        <f>(VLOOKUP($A577,'The List'!$B1:$AH665,33,FALSE)-AVERAGE('The List'!AH2:AH665))/STDEV('The List'!AH2:AH665)</f>
        <v>-1.23143509451486</v>
      </c>
      <c r="V577" s="77"/>
      <c r="W577" s="89"/>
      <c r="X577" s="79"/>
      <c r="Y577" s="79"/>
      <c r="Z577" s="79"/>
      <c r="AA577" s="79"/>
      <c r="AB577" s="79"/>
      <c r="AC577" s="82"/>
      <c r="AD577" s="83"/>
      <c r="AE577" s="84"/>
    </row>
    <row r="578" ht="21.25" customHeight="1">
      <c r="A578" t="s" s="10">
        <v>643</v>
      </c>
      <c r="B578" t="s" s="86">
        <f>VLOOKUP(A578,'Player Data'!A1:B667,2,FALSE)</f>
        <v>192</v>
      </c>
      <c r="C578" s="74">
        <f>((E578)*'Settings'!$C$12)+(F578*'Settings'!$C$2)+(G578*'Settings'!$C$3)+(H578*'Settings'!$C$4)+(I578*'Settings'!$C$5)+(K578*'Settings'!$C$9)+(N578*'Settings'!$C$6)+(J578*'Settings'!$C$8)+(O578*'Settings'!$C$7)+(P578*'Settings'!$C$14)+(Q578*'Settings'!$C$15)+(R578*'Settings'!$C$16)+(S578*'Settings'!$C$17)+(T578*'Settings'!$C$18)+(U578*'Settings'!$C$19)+(L578*'Settings'!$C$10)+('Settings'!$C$11*M578)</f>
        <v>-4.32373431911973</v>
      </c>
      <c r="D578" s="79">
        <f>IF('Settings'!$E$12="YES",VLOOKUP(A578,'Player Data'!A1:E667,5,FALSE),82)</f>
        <v>77.21250000000001</v>
      </c>
      <c r="E578" s="77">
        <f>(VLOOKUP($A578,'The List'!$B1:$AH665,17,FALSE)-AVERAGE('The List'!R2:R665))/STDEV('The List'!R2:R665)</f>
        <v>-1.6283223515427</v>
      </c>
      <c r="F578" s="77">
        <f>(VLOOKUP($A578,'The List'!$B1:$AH665,18,FALSE)-AVERAGE('The List'!S2:S665))/STDEV('The List'!S2:S665)</f>
        <v>-0.688942499935293</v>
      </c>
      <c r="G578" s="77">
        <f>(VLOOKUP($A578,'The List'!$B1:$AH665,19,FALSE)-AVERAGE('The List'!T2:T665))/STDEV('The List'!T2:T665)</f>
        <v>-1.19065625445156</v>
      </c>
      <c r="H578" s="77">
        <f>(VLOOKUP($A578,'The List'!$B1:$AH665,20,FALSE)-AVERAGE('The List'!U2:U665))/STDEV('The List'!U2:U665)</f>
        <v>-1.05262159665638</v>
      </c>
      <c r="I578" s="77">
        <f>(VLOOKUP($A578,'The List'!$B1:$AH665,21,FALSE)-AVERAGE('The List'!V2:V665))/STDEV('The List'!V2:V665)</f>
        <v>-0.696186820807595</v>
      </c>
      <c r="J578" s="77">
        <f>(VLOOKUP($A578,'The List'!$B1:$AH665,22,FALSE)-AVERAGE('The List'!W2:W665))/STDEV('The List'!W2:W665)</f>
        <v>-0.728800369915799</v>
      </c>
      <c r="K578" s="77">
        <f>(VLOOKUP($A578,'The List'!$B1:$AH665,23,FALSE)-AVERAGE('The List'!X2:X665))/STDEV('The List'!X2:X665)</f>
        <v>-0.8141770230555651</v>
      </c>
      <c r="L578" s="77">
        <f>(VLOOKUP($A578,'The List'!$B1:$AH665,24,FALSE)-AVERAGE('The List'!Y2:Y665))/STDEV('The List'!Y2:Y665)</f>
        <v>1.45721555501714</v>
      </c>
      <c r="M578" s="77">
        <f>(VLOOKUP($A578,'The List'!$B1:$AH665,25,FALSE)-AVERAGE('The List'!Z2:Z665))/STDEV('The List'!Z2:Z665)</f>
        <v>0.659087839931045</v>
      </c>
      <c r="N578" s="77">
        <f>(VLOOKUP($A578,'The List'!$B1:$AH665,26,FALSE)-AVERAGE('The List'!AA2:AA665))/STDEV('The List'!AA2:AA665)</f>
        <v>-0.73079264414538</v>
      </c>
      <c r="O578" s="77">
        <f>(VLOOKUP($A578,'The List'!$B1:$AH665,27,FALSE)-AVERAGE('The List'!AB2:AB665))/STDEV('The List'!AB2:AB665)</f>
        <v>1.95992349001395</v>
      </c>
      <c r="P578" s="77">
        <f>(VLOOKUP($A578,'The List'!$B1:$AH665,28,FALSE)-AVERAGE('The List'!AC2:AC665))/STDEV('The List'!AC2:AC665)</f>
        <v>-0.202979076724339</v>
      </c>
      <c r="Q578" s="77">
        <f>(VLOOKUP($A578,'The List'!$B1:$AH665,29,FALSE)-AVERAGE('The List'!AD2:AD665))/STDEV('The List'!AD2:AD665)</f>
        <v>1.86359903754871</v>
      </c>
      <c r="R578" s="77">
        <f>(VLOOKUP($A578,'The List'!$B1:$AH665,30,FALSE)-AVERAGE('The List'!AE2:AE665))/STDEV('The List'!AE2:AE665)</f>
        <v>-0.687911386803153</v>
      </c>
      <c r="S578" s="77">
        <f>(VLOOKUP($A578,'The List'!$B1:$AH665,31,FALSE)-AVERAGE('The List'!AF2:AF665))/STDEV('The List'!AF2:AF665)</f>
        <v>-0.551395644194133</v>
      </c>
      <c r="T578" s="77">
        <f>(VLOOKUP($A578,'The List'!$B1:$AH665,32,FALSE)-AVERAGE('The List'!AG2:AG665))/STDEV('The List'!AG2:AG665)</f>
        <v>-0.579468438836591</v>
      </c>
      <c r="U578" s="77">
        <f>(VLOOKUP($A578,'The List'!$B1:$AH665,33,FALSE)-AVERAGE('The List'!AH2:AH665))/STDEV('The List'!AH2:AH665)</f>
        <v>0.313126176951745</v>
      </c>
      <c r="V578" s="77"/>
      <c r="W578" s="79"/>
      <c r="X578" s="77"/>
      <c r="Y578" s="77"/>
      <c r="Z578" s="77"/>
      <c r="AA578" s="77"/>
      <c r="AB578" s="77"/>
      <c r="AC578" s="77"/>
      <c r="AD578" s="77"/>
      <c r="AE578" s="84"/>
    </row>
    <row r="579" ht="21.25" customHeight="1">
      <c r="A579" t="s" s="10">
        <v>795</v>
      </c>
      <c r="B579" t="s" s="86">
        <f>VLOOKUP(A579,'Player Data'!A1:B667,2,FALSE)</f>
        <v>259</v>
      </c>
      <c r="C579" s="74">
        <f>((E579)*'Settings'!$C$12)+(F579*'Settings'!$C$2)+(G579*'Settings'!$C$3)+(H579*'Settings'!$C$4)+(I579*'Settings'!$C$5)+(K579*'Settings'!$C$9)+(N579*'Settings'!$C$6)+(J579*'Settings'!$C$8)+(O579*'Settings'!$C$7)+(P579*'Settings'!$C$14)+(Q579*'Settings'!$C$15)+(R579*'Settings'!$C$16)+(S579*'Settings'!$C$17)+(T579*'Settings'!$C$18)+(U579*'Settings'!$C$19)+(L579*'Settings'!$C$10)+('Settings'!$C$11*M579)</f>
        <v>-4.21263060677302</v>
      </c>
      <c r="D579" s="79">
        <f>IF('Settings'!$E$12="YES",VLOOKUP(A579,'Player Data'!A1:E667,5,FALSE),82)</f>
        <v>60</v>
      </c>
      <c r="E579" s="77">
        <f>(VLOOKUP($A579,'The List'!$B1:$AH665,17,FALSE)-AVERAGE('The List'!R2:R665))/STDEV('The List'!R2:R665)</f>
        <v>-0.370939841754932</v>
      </c>
      <c r="F579" s="77">
        <f>(VLOOKUP($A579,'The List'!$B1:$AH665,18,FALSE)-AVERAGE('The List'!S2:S665))/STDEV('The List'!S2:S665)</f>
        <v>-1.12120952345893</v>
      </c>
      <c r="G579" s="77">
        <f>(VLOOKUP($A579,'The List'!$B1:$AH665,19,FALSE)-AVERAGE('The List'!T2:T665))/STDEV('The List'!T2:T665)</f>
        <v>-1.08782817348178</v>
      </c>
      <c r="H579" s="77">
        <f>(VLOOKUP($A579,'The List'!$B1:$AH665,20,FALSE)-AVERAGE('The List'!U2:U665))/STDEV('The List'!U2:U665)</f>
        <v>-1.18524548603754</v>
      </c>
      <c r="I579" s="77">
        <f>(VLOOKUP($A579,'The List'!$B1:$AH665,21,FALSE)-AVERAGE('The List'!V2:V665))/STDEV('The List'!V2:V665)</f>
        <v>-1.26509596359553</v>
      </c>
      <c r="J579" s="77">
        <f>(VLOOKUP($A579,'The List'!$B1:$AH665,22,FALSE)-AVERAGE('The List'!W2:W665))/STDEV('The List'!W2:W665)</f>
        <v>-0.742361439222888</v>
      </c>
      <c r="K579" s="77">
        <f>(VLOOKUP($A579,'The List'!$B1:$AH665,23,FALSE)-AVERAGE('The List'!X2:X665))/STDEV('The List'!X2:X665)</f>
        <v>-0.820412553813741</v>
      </c>
      <c r="L579" s="77">
        <f>(VLOOKUP($A579,'The List'!$B1:$AH665,24,FALSE)-AVERAGE('The List'!Y2:Y665))/STDEV('The List'!Y2:Y665)</f>
        <v>-0.400940687892532</v>
      </c>
      <c r="M579" s="77">
        <f>(VLOOKUP($A579,'The List'!$B1:$AH665,25,FALSE)-AVERAGE('The List'!Z2:Z665))/STDEV('The List'!Z2:Z665)</f>
        <v>-0.282855003087887</v>
      </c>
      <c r="N579" s="77">
        <f>(VLOOKUP($A579,'The List'!$B1:$AH665,26,FALSE)-AVERAGE('The List'!AA2:AA665))/STDEV('The List'!AA2:AA665)</f>
        <v>0.241268630152094</v>
      </c>
      <c r="O579" s="77">
        <f>(VLOOKUP($A579,'The List'!$B1:$AH665,27,FALSE)-AVERAGE('The List'!AB2:AB665))/STDEV('The List'!AB2:AB665)</f>
        <v>0.156452583695395</v>
      </c>
      <c r="P579" s="77">
        <f>(VLOOKUP($A579,'The List'!$B1:$AH665,28,FALSE)-AVERAGE('The List'!AC2:AC665))/STDEV('The List'!AC2:AC665)</f>
        <v>-0.159353022575134</v>
      </c>
      <c r="Q579" s="77">
        <f>(VLOOKUP($A579,'The List'!$B1:$AH665,29,FALSE)-AVERAGE('The List'!AD2:AD665))/STDEV('The List'!AD2:AD665)</f>
        <v>-0.9028175744749311</v>
      </c>
      <c r="R579" s="77">
        <f>(VLOOKUP($A579,'The List'!$B1:$AH665,30,FALSE)-AVERAGE('The List'!AE2:AE665))/STDEV('The List'!AE2:AE665)</f>
        <v>-1.0730363392608</v>
      </c>
      <c r="S579" s="77">
        <f>(VLOOKUP($A579,'The List'!$B1:$AH665,31,FALSE)-AVERAGE('The List'!AF2:AF665))/STDEV('The List'!AF2:AF665)</f>
        <v>-0.573894410680004</v>
      </c>
      <c r="T579" s="77">
        <f>(VLOOKUP($A579,'The List'!$B1:$AH665,32,FALSE)-AVERAGE('The List'!AG2:AG665))/STDEV('The List'!AG2:AG665)</f>
        <v>-0.625770787132651</v>
      </c>
      <c r="U579" s="77">
        <f>(VLOOKUP($A579,'The List'!$B1:$AH665,33,FALSE)-AVERAGE('The List'!AH2:AH665))/STDEV('The List'!AH2:AH665)</f>
        <v>-1.23143509451486</v>
      </c>
      <c r="V579" s="77"/>
      <c r="W579" s="79"/>
      <c r="X579" s="77"/>
      <c r="Y579" s="77"/>
      <c r="Z579" s="77"/>
      <c r="AA579" s="77"/>
      <c r="AB579" s="77"/>
      <c r="AC579" s="77"/>
      <c r="AD579" s="77"/>
      <c r="AE579" s="84"/>
    </row>
    <row r="580" ht="21.25" customHeight="1">
      <c r="A580" t="s" s="10">
        <v>679</v>
      </c>
      <c r="B580" t="s" s="86">
        <f>VLOOKUP(A580,'Player Data'!A1:B667,2,FALSE)</f>
        <v>275</v>
      </c>
      <c r="C580" s="74">
        <f>((E580)*'Settings'!$C$12)+(F580*'Settings'!$C$2)+(G580*'Settings'!$C$3)+(H580*'Settings'!$C$4)+(I580*'Settings'!$C$5)+(K580*'Settings'!$C$9)+(N580*'Settings'!$C$6)+(J580*'Settings'!$C$8)+(O580*'Settings'!$C$7)+(P580*'Settings'!$C$14)+(Q580*'Settings'!$C$15)+(R580*'Settings'!$C$16)+(S580*'Settings'!$C$17)+(T580*'Settings'!$C$18)+(U580*'Settings'!$C$19)+(L580*'Settings'!$C$10)+('Settings'!$C$11*M580)</f>
        <v>-3.20498225644597</v>
      </c>
      <c r="D580" s="79">
        <f>IF('Settings'!$E$12="YES",VLOOKUP(A580,'Player Data'!A1:E667,5,FALSE),82)</f>
        <v>70.66249999999999</v>
      </c>
      <c r="E580" s="77">
        <f>(VLOOKUP($A580,'The List'!$B1:$AH665,17,FALSE)-AVERAGE('The List'!R2:R665))/STDEV('The List'!R2:R665)</f>
        <v>0.104263774757272</v>
      </c>
      <c r="F580" s="77">
        <f>(VLOOKUP($A580,'The List'!$B1:$AH665,18,FALSE)-AVERAGE('The List'!S2:S665))/STDEV('The List'!S2:S665)</f>
        <v>-1.0717505035596</v>
      </c>
      <c r="G580" s="77">
        <f>(VLOOKUP($A580,'The List'!$B1:$AH665,19,FALSE)-AVERAGE('The List'!T2:T665))/STDEV('The List'!T2:T665)</f>
        <v>-0.993495962986005</v>
      </c>
      <c r="H580" s="77">
        <f>(VLOOKUP($A580,'The List'!$B1:$AH665,20,FALSE)-AVERAGE('The List'!U2:U665))/STDEV('The List'!U2:U665)</f>
        <v>-1.1041784036772</v>
      </c>
      <c r="I580" s="77">
        <f>(VLOOKUP($A580,'The List'!$B1:$AH665,21,FALSE)-AVERAGE('The List'!V2:V665))/STDEV('The List'!V2:V665)</f>
        <v>-0.808212043825067</v>
      </c>
      <c r="J580" s="77">
        <f>(VLOOKUP($A580,'The List'!$B1:$AH665,22,FALSE)-AVERAGE('The List'!W2:W665))/STDEV('The List'!W2:W665)</f>
        <v>-0.741178284892055</v>
      </c>
      <c r="K580" s="77">
        <f>(VLOOKUP($A580,'The List'!$B1:$AH665,23,FALSE)-AVERAGE('The List'!X2:X665))/STDEV('The List'!X2:X665)</f>
        <v>-0.816849451690319</v>
      </c>
      <c r="L580" s="77">
        <f>(VLOOKUP($A580,'The List'!$B1:$AH665,24,FALSE)-AVERAGE('The List'!Y2:Y665))/STDEV('The List'!Y2:Y665)</f>
        <v>-0.551261576782505</v>
      </c>
      <c r="M580" s="77">
        <f>(VLOOKUP($A580,'The List'!$B1:$AH665,25,FALSE)-AVERAGE('The List'!Z2:Z665))/STDEV('The List'!Z2:Z665)</f>
        <v>-0.31765456487238</v>
      </c>
      <c r="N580" s="77">
        <f>(VLOOKUP($A580,'The List'!$B1:$AH665,26,FALSE)-AVERAGE('The List'!AA2:AA665))/STDEV('The List'!AA2:AA665)</f>
        <v>0.534822104045122</v>
      </c>
      <c r="O580" s="77">
        <f>(VLOOKUP($A580,'The List'!$B1:$AH665,27,FALSE)-AVERAGE('The List'!AB2:AB665))/STDEV('The List'!AB2:AB665)</f>
        <v>0.70297600270439</v>
      </c>
      <c r="P580" s="77">
        <f>(VLOOKUP($A580,'The List'!$B1:$AH665,28,FALSE)-AVERAGE('The List'!AC2:AC665))/STDEV('The List'!AC2:AC665)</f>
        <v>-0.049496398430097</v>
      </c>
      <c r="Q580" s="77">
        <f>(VLOOKUP($A580,'The List'!$B1:$AH665,29,FALSE)-AVERAGE('The List'!AD2:AD665))/STDEV('The List'!AD2:AD665)</f>
        <v>0.778645577058121</v>
      </c>
      <c r="R580" s="77">
        <f>(VLOOKUP($A580,'The List'!$B1:$AH665,30,FALSE)-AVERAGE('The List'!AE2:AE665))/STDEV('The List'!AE2:AE665)</f>
        <v>-0.997695431727073</v>
      </c>
      <c r="S580" s="77">
        <f>(VLOOKUP($A580,'The List'!$B1:$AH665,31,FALSE)-AVERAGE('The List'!AF2:AF665))/STDEV('The List'!AF2:AF665)</f>
        <v>-0.573675294677801</v>
      </c>
      <c r="T580" s="77">
        <f>(VLOOKUP($A580,'The List'!$B1:$AH665,32,FALSE)-AVERAGE('The List'!AG2:AG665))/STDEV('The List'!AG2:AG665)</f>
        <v>-0.625119671451482</v>
      </c>
      <c r="U580" s="77">
        <f>(VLOOKUP($A580,'The List'!$B1:$AH665,33,FALSE)-AVERAGE('The List'!AH2:AH665))/STDEV('The List'!AH2:AH665)</f>
        <v>-0.0365595585057867</v>
      </c>
      <c r="V580" s="77"/>
      <c r="W580" s="89"/>
      <c r="X580" s="79"/>
      <c r="Y580" s="79"/>
      <c r="Z580" s="79"/>
      <c r="AA580" s="79"/>
      <c r="AB580" s="79"/>
      <c r="AC580" s="82"/>
      <c r="AD580" s="83"/>
      <c r="AE580" s="84"/>
    </row>
    <row r="581" ht="21.25" customHeight="1">
      <c r="A581" t="s" s="10">
        <v>854</v>
      </c>
      <c r="B581" t="s" s="86">
        <f>VLOOKUP(A581,'Player Data'!A1:B667,2,FALSE)</f>
        <v>129</v>
      </c>
      <c r="C581" s="74">
        <f>((E581)*'Settings'!$C$12)+(F581*'Settings'!$C$2)+(G581*'Settings'!$C$3)+(H581*'Settings'!$C$4)+(I581*'Settings'!$C$5)+(K581*'Settings'!$C$9)+(N581*'Settings'!$C$6)+(J581*'Settings'!$C$8)+(O581*'Settings'!$C$7)+(P581*'Settings'!$C$14)+(Q581*'Settings'!$C$15)+(R581*'Settings'!$C$16)+(S581*'Settings'!$C$17)+(T581*'Settings'!$C$18)+(U581*'Settings'!$C$19)+(L581*'Settings'!$C$10)+('Settings'!$C$11*M581)</f>
        <v>-3.76789721854043</v>
      </c>
      <c r="D581" s="79">
        <f>IF('Settings'!$E$12="YES",VLOOKUP(A581,'Player Data'!A1:E667,5,FALSE),82)</f>
        <v>67.55249999999999</v>
      </c>
      <c r="E581" s="77">
        <f>(VLOOKUP($A581,'The List'!$B1:$AH665,17,FALSE)-AVERAGE('The List'!R2:R665))/STDEV('The List'!R2:R665)</f>
        <v>-1.37130634989371</v>
      </c>
      <c r="F581" s="77">
        <f>(VLOOKUP($A581,'The List'!$B1:$AH665,18,FALSE)-AVERAGE('The List'!S2:S665))/STDEV('The List'!S2:S665)</f>
        <v>-0.961257494423958</v>
      </c>
      <c r="G581" s="77">
        <f>(VLOOKUP($A581,'The List'!$B1:$AH665,19,FALSE)-AVERAGE('The List'!T2:T665))/STDEV('The List'!T2:T665)</f>
        <v>-1.118353383302</v>
      </c>
      <c r="H581" s="77">
        <f>(VLOOKUP($A581,'The List'!$B1:$AH665,20,FALSE)-AVERAGE('The List'!U2:U665))/STDEV('The List'!U2:U665)</f>
        <v>-1.13149755738424</v>
      </c>
      <c r="I581" s="77">
        <f>(VLOOKUP($A581,'The List'!$B1:$AH665,21,FALSE)-AVERAGE('The List'!V2:V665))/STDEV('The List'!V2:V665)</f>
        <v>-0.776249816494839</v>
      </c>
      <c r="J581" s="77">
        <f>(VLOOKUP($A581,'The List'!$B1:$AH665,22,FALSE)-AVERAGE('The List'!W2:W665))/STDEV('The List'!W2:W665)</f>
        <v>-0.716641672804626</v>
      </c>
      <c r="K581" s="77">
        <f>(VLOOKUP($A581,'The List'!$B1:$AH665,23,FALSE)-AVERAGE('The List'!X2:X665))/STDEV('The List'!X2:X665)</f>
        <v>-0.772001223110289</v>
      </c>
      <c r="L581" s="77">
        <f>(VLOOKUP($A581,'The List'!$B1:$AH665,24,FALSE)-AVERAGE('The List'!Y2:Y665))/STDEV('The List'!Y2:Y665)</f>
        <v>-0.0915309352233893</v>
      </c>
      <c r="M581" s="77">
        <f>(VLOOKUP($A581,'The List'!$B1:$AH665,25,FALSE)-AVERAGE('The List'!Z2:Z665))/STDEV('The List'!Z2:Z665)</f>
        <v>0.214425378448127</v>
      </c>
      <c r="N581" s="77">
        <f>(VLOOKUP($A581,'The List'!$B1:$AH665,26,FALSE)-AVERAGE('The List'!AA2:AA665))/STDEV('The List'!AA2:AA665)</f>
        <v>-0.970700150728771</v>
      </c>
      <c r="O581" s="77">
        <f>(VLOOKUP($A581,'The List'!$B1:$AH665,27,FALSE)-AVERAGE('The List'!AB2:AB665))/STDEV('The List'!AB2:AB665)</f>
        <v>-1.04620379057319</v>
      </c>
      <c r="P581" s="77">
        <f>(VLOOKUP($A581,'The List'!$B1:$AH665,28,FALSE)-AVERAGE('The List'!AC2:AC665))/STDEV('The List'!AC2:AC665)</f>
        <v>0.830664849519429</v>
      </c>
      <c r="Q581" s="77">
        <f>(VLOOKUP($A581,'The List'!$B1:$AH665,29,FALSE)-AVERAGE('The List'!AD2:AD665))/STDEV('The List'!AD2:AD665)</f>
        <v>-1.56684725341421</v>
      </c>
      <c r="R581" s="77">
        <f>(VLOOKUP($A581,'The List'!$B1:$AH665,30,FALSE)-AVERAGE('The List'!AE2:AE665))/STDEV('The List'!AE2:AE665)</f>
        <v>-0.8892276281040949</v>
      </c>
      <c r="S581" s="77">
        <f>(VLOOKUP($A581,'The List'!$B1:$AH665,31,FALSE)-AVERAGE('The List'!AF2:AF665))/STDEV('The List'!AF2:AF665)</f>
        <v>-0.485550489291691</v>
      </c>
      <c r="T581" s="77">
        <f>(VLOOKUP($A581,'The List'!$B1:$AH665,32,FALSE)-AVERAGE('The List'!AG2:AG665))/STDEV('The List'!AG2:AG665)</f>
        <v>-0.47914622120173</v>
      </c>
      <c r="U581" s="77">
        <f>(VLOOKUP($A581,'The List'!$B1:$AH665,33,FALSE)-AVERAGE('The List'!AH2:AH665))/STDEV('The List'!AH2:AH665)</f>
        <v>0.539020382028257</v>
      </c>
      <c r="V581" s="77"/>
      <c r="W581" s="89"/>
      <c r="X581" s="79"/>
      <c r="Y581" s="79"/>
      <c r="Z581" s="79"/>
      <c r="AA581" s="79"/>
      <c r="AB581" s="79"/>
      <c r="AC581" s="82"/>
      <c r="AD581" s="83"/>
      <c r="AE581" s="84"/>
    </row>
    <row r="582" ht="21.25" customHeight="1">
      <c r="A582" t="s" s="10">
        <v>664</v>
      </c>
      <c r="B582" t="s" s="86">
        <f>VLOOKUP(A582,'Player Data'!A1:B667,2,FALSE)</f>
        <v>901</v>
      </c>
      <c r="C582" s="74">
        <f>((E582)*'Settings'!$C$12)+(F582*'Settings'!$C$2)+(G582*'Settings'!$C$3)+(H582*'Settings'!$C$4)+(I582*'Settings'!$C$5)+(K582*'Settings'!$C$9)+(N582*'Settings'!$C$6)+(J582*'Settings'!$C$8)+(O582*'Settings'!$C$7)+(P582*'Settings'!$C$14)+(Q582*'Settings'!$C$15)+(R582*'Settings'!$C$16)+(S582*'Settings'!$C$17)+(T582*'Settings'!$C$18)+(U582*'Settings'!$C$19)+(L582*'Settings'!$C$10)+('Settings'!$C$11*M582)</f>
        <v>-2.89686499403483</v>
      </c>
      <c r="D582" s="79">
        <f>IF('Settings'!$E$12="YES",VLOOKUP(A582,'Player Data'!A1:E667,5,FALSE),82)</f>
        <v>69.2375</v>
      </c>
      <c r="E582" s="77">
        <f>(VLOOKUP($A582,'The List'!$B1:$AH665,17,FALSE)-AVERAGE('The List'!R2:R665))/STDEV('The List'!R2:R665)</f>
        <v>0.138798564664999</v>
      </c>
      <c r="F582" s="77">
        <f>(VLOOKUP($A582,'The List'!$B1:$AH665,18,FALSE)-AVERAGE('The List'!S2:S665))/STDEV('The List'!S2:S665)</f>
        <v>-1.03532963677893</v>
      </c>
      <c r="G582" s="77">
        <f>(VLOOKUP($A582,'The List'!$B1:$AH665,19,FALSE)-AVERAGE('The List'!T2:T665))/STDEV('The List'!T2:T665)</f>
        <v>-1.04385320939052</v>
      </c>
      <c r="H582" s="77">
        <f>(VLOOKUP($A582,'The List'!$B1:$AH665,20,FALSE)-AVERAGE('The List'!U2:U665))/STDEV('The List'!U2:U665)</f>
        <v>-1.11889807001282</v>
      </c>
      <c r="I582" s="77">
        <f>(VLOOKUP($A582,'The List'!$B1:$AH665,21,FALSE)-AVERAGE('The List'!V2:V665))/STDEV('The List'!V2:V665)</f>
        <v>-1.37198219811426</v>
      </c>
      <c r="J582" s="77">
        <f>(VLOOKUP($A582,'The List'!$B1:$AH665,22,FALSE)-AVERAGE('The List'!W2:W665))/STDEV('The List'!W2:W665)</f>
        <v>-0.743240666094876</v>
      </c>
      <c r="K582" s="77">
        <f>(VLOOKUP($A582,'The List'!$B1:$AH665,23,FALSE)-AVERAGE('The List'!X2:X665))/STDEV('The List'!X2:X665)</f>
        <v>-0.822340579913982</v>
      </c>
      <c r="L582" s="77">
        <f>(VLOOKUP($A582,'The List'!$B1:$AH665,24,FALSE)-AVERAGE('The List'!Y2:Y665))/STDEV('The List'!Y2:Y665)</f>
        <v>0.375677792974548</v>
      </c>
      <c r="M582" s="77">
        <f>(VLOOKUP($A582,'The List'!$B1:$AH665,25,FALSE)-AVERAGE('The List'!Z2:Z665))/STDEV('The List'!Z2:Z665)</f>
        <v>0.12065001805722</v>
      </c>
      <c r="N582" s="77">
        <f>(VLOOKUP($A582,'The List'!$B1:$AH665,26,FALSE)-AVERAGE('The List'!AA2:AA665))/STDEV('The List'!AA2:AA665)</f>
        <v>1.07290522485728</v>
      </c>
      <c r="O582" s="77">
        <f>(VLOOKUP($A582,'The List'!$B1:$AH665,27,FALSE)-AVERAGE('The List'!AB2:AB665))/STDEV('The List'!AB2:AB665)</f>
        <v>0.611658094843317</v>
      </c>
      <c r="P582" s="77">
        <f>(VLOOKUP($A582,'The List'!$B1:$AH665,28,FALSE)-AVERAGE('The List'!AC2:AC665))/STDEV('The List'!AC2:AC665)</f>
        <v>0.303735405305587</v>
      </c>
      <c r="Q582" s="77">
        <f>(VLOOKUP($A582,'The List'!$B1:$AH665,29,FALSE)-AVERAGE('The List'!AD2:AD665))/STDEV('The List'!AD2:AD665)</f>
        <v>-0.098527604469988</v>
      </c>
      <c r="R582" s="77">
        <f>(VLOOKUP($A582,'The List'!$B1:$AH665,30,FALSE)-AVERAGE('The List'!AE2:AE665))/STDEV('The List'!AE2:AE665)</f>
        <v>-0.948206969072366</v>
      </c>
      <c r="S582" s="77">
        <f>(VLOOKUP($A582,'The List'!$B1:$AH665,31,FALSE)-AVERAGE('The List'!AF2:AF665))/STDEV('The List'!AF2:AF665)</f>
        <v>-0.573894410680004</v>
      </c>
      <c r="T582" s="77">
        <f>(VLOOKUP($A582,'The List'!$B1:$AH665,32,FALSE)-AVERAGE('The List'!AG2:AG665))/STDEV('The List'!AG2:AG665)</f>
        <v>-0.625770787132651</v>
      </c>
      <c r="U582" s="77">
        <f>(VLOOKUP($A582,'The List'!$B1:$AH665,33,FALSE)-AVERAGE('The List'!AH2:AH665))/STDEV('The List'!AH2:AH665)</f>
        <v>-1.23143509451486</v>
      </c>
      <c r="V582" s="77"/>
      <c r="W582" s="89"/>
      <c r="X582" s="79"/>
      <c r="Y582" s="79"/>
      <c r="Z582" s="79"/>
      <c r="AA582" s="79"/>
      <c r="AB582" s="79"/>
      <c r="AC582" s="82"/>
      <c r="AD582" s="83"/>
      <c r="AE582" s="84"/>
    </row>
    <row r="583" ht="21.25" customHeight="1">
      <c r="A583" t="s" s="10">
        <v>681</v>
      </c>
      <c r="B583" t="s" s="86">
        <f>VLOOKUP(A583,'Player Data'!A1:B667,2,FALSE)</f>
        <v>174</v>
      </c>
      <c r="C583" s="74">
        <f>((E583)*'Settings'!$C$12)+(F583*'Settings'!$C$2)+(G583*'Settings'!$C$3)+(H583*'Settings'!$C$4)+(I583*'Settings'!$C$5)+(K583*'Settings'!$C$9)+(N583*'Settings'!$C$6)+(J583*'Settings'!$C$8)+(O583*'Settings'!$C$7)+(P583*'Settings'!$C$14)+(Q583*'Settings'!$C$15)+(R583*'Settings'!$C$16)+(S583*'Settings'!$C$17)+(T583*'Settings'!$C$18)+(U583*'Settings'!$C$19)+(L583*'Settings'!$C$10)+('Settings'!$C$11*M583)</f>
        <v>-3.77995623116025</v>
      </c>
      <c r="D583" s="79">
        <f>IF('Settings'!$E$12="YES",VLOOKUP(A583,'Player Data'!A1:E667,5,FALSE),82)</f>
        <v>65.375</v>
      </c>
      <c r="E583" s="77">
        <f>(VLOOKUP($A583,'The List'!$B1:$AH665,17,FALSE)-AVERAGE('The List'!R2:R665))/STDEV('The List'!R2:R665)</f>
        <v>-0.509539011131897</v>
      </c>
      <c r="F583" s="77">
        <f>(VLOOKUP($A583,'The List'!$B1:$AH665,18,FALSE)-AVERAGE('The List'!S2:S665))/STDEV('The List'!S2:S665)</f>
        <v>-1.07738752096255</v>
      </c>
      <c r="G583" s="77">
        <f>(VLOOKUP($A583,'The List'!$B1:$AH665,19,FALSE)-AVERAGE('The List'!T2:T665))/STDEV('The List'!T2:T665)</f>
        <v>-1.06105027956039</v>
      </c>
      <c r="H583" s="77">
        <f>(VLOOKUP($A583,'The List'!$B1:$AH665,20,FALSE)-AVERAGE('The List'!U2:U665))/STDEV('The List'!U2:U665)</f>
        <v>-1.14869572508029</v>
      </c>
      <c r="I583" s="77">
        <f>(VLOOKUP($A583,'The List'!$B1:$AH665,21,FALSE)-AVERAGE('The List'!V2:V665))/STDEV('The List'!V2:V665)</f>
        <v>-1.05216949498225</v>
      </c>
      <c r="J583" s="77">
        <f>(VLOOKUP($A583,'The List'!$B1:$AH665,22,FALSE)-AVERAGE('The List'!W2:W665))/STDEV('The List'!W2:W665)</f>
        <v>-0.743058648447624</v>
      </c>
      <c r="K583" s="77">
        <f>(VLOOKUP($A583,'The List'!$B1:$AH665,23,FALSE)-AVERAGE('The List'!X2:X665))/STDEV('The List'!X2:X665)</f>
        <v>-0.822066761066767</v>
      </c>
      <c r="L583" s="77">
        <f>(VLOOKUP($A583,'The List'!$B1:$AH665,24,FALSE)-AVERAGE('The List'!Y2:Y665))/STDEV('The List'!Y2:Y665)</f>
        <v>-0.505621568585799</v>
      </c>
      <c r="M583" s="77">
        <f>(VLOOKUP($A583,'The List'!$B1:$AH665,25,FALSE)-AVERAGE('The List'!Z2:Z665))/STDEV('The List'!Z2:Z665)</f>
        <v>0.309827906344582</v>
      </c>
      <c r="N583" s="77">
        <f>(VLOOKUP($A583,'The List'!$B1:$AH665,26,FALSE)-AVERAGE('The List'!AA2:AA665))/STDEV('The List'!AA2:AA665)</f>
        <v>0.464738222029349</v>
      </c>
      <c r="O583" s="77">
        <f>(VLOOKUP($A583,'The List'!$B1:$AH665,27,FALSE)-AVERAGE('The List'!AB2:AB665))/STDEV('The List'!AB2:AB665)</f>
        <v>0.934865193778801</v>
      </c>
      <c r="P583" s="77">
        <f>(VLOOKUP($A583,'The List'!$B1:$AH665,28,FALSE)-AVERAGE('The List'!AC2:AC665))/STDEV('The List'!AC2:AC665)</f>
        <v>-0.232020396617639</v>
      </c>
      <c r="Q583" s="77">
        <f>(VLOOKUP($A583,'The List'!$B1:$AH665,29,FALSE)-AVERAGE('The List'!AD2:AD665))/STDEV('The List'!AD2:AD665)</f>
        <v>0.863724450220404</v>
      </c>
      <c r="R583" s="77">
        <f>(VLOOKUP($A583,'The List'!$B1:$AH665,30,FALSE)-AVERAGE('The List'!AE2:AE665))/STDEV('The List'!AE2:AE665)</f>
        <v>-1.03620196651845</v>
      </c>
      <c r="S583" s="77">
        <f>(VLOOKUP($A583,'The List'!$B1:$AH665,31,FALSE)-AVERAGE('The List'!AF2:AF665))/STDEV('The List'!AF2:AF665)</f>
        <v>-0.573894410680004</v>
      </c>
      <c r="T583" s="77">
        <f>(VLOOKUP($A583,'The List'!$B1:$AH665,32,FALSE)-AVERAGE('The List'!AG2:AG665))/STDEV('The List'!AG2:AG665)</f>
        <v>-0.625770787132651</v>
      </c>
      <c r="U583" s="77">
        <f>(VLOOKUP($A583,'The List'!$B1:$AH665,33,FALSE)-AVERAGE('The List'!AH2:AH665))/STDEV('The List'!AH2:AH665)</f>
        <v>-1.23143509451486</v>
      </c>
      <c r="V583" s="77"/>
      <c r="W583" s="89"/>
      <c r="X583" s="79"/>
      <c r="Y583" s="79"/>
      <c r="Z583" s="79"/>
      <c r="AA583" s="79"/>
      <c r="AB583" s="79"/>
      <c r="AC583" s="82"/>
      <c r="AD583" s="83"/>
      <c r="AE583" s="84"/>
    </row>
    <row r="584" ht="21.25" customHeight="1">
      <c r="A584" t="s" s="10">
        <v>831</v>
      </c>
      <c r="B584" t="s" s="86">
        <f>VLOOKUP(A584,'Player Data'!A1:B667,2,FALSE)</f>
        <v>129</v>
      </c>
      <c r="C584" s="74">
        <f>((E584)*'Settings'!$C$12)+(F584*'Settings'!$C$2)+(G584*'Settings'!$C$3)+(H584*'Settings'!$C$4)+(I584*'Settings'!$C$5)+(K584*'Settings'!$C$9)+(N584*'Settings'!$C$6)+(J584*'Settings'!$C$8)+(O584*'Settings'!$C$7)+(P584*'Settings'!$C$14)+(Q584*'Settings'!$C$15)+(R584*'Settings'!$C$16)+(S584*'Settings'!$C$17)+(T584*'Settings'!$C$18)+(U584*'Settings'!$C$19)+(L584*'Settings'!$C$10)+('Settings'!$C$11*M584)</f>
        <v>-3.33462119970347</v>
      </c>
      <c r="D584" s="79">
        <f>IF('Settings'!$E$12="YES",VLOOKUP(A584,'Player Data'!A1:E667,5,FALSE),82)</f>
        <v>78.925</v>
      </c>
      <c r="E584" s="77">
        <f>(VLOOKUP($A584,'The List'!$B1:$AH665,17,FALSE)-AVERAGE('The List'!R2:R665))/STDEV('The List'!R2:R665)</f>
        <v>-1.81801364274531</v>
      </c>
      <c r="F584" s="77">
        <f>(VLOOKUP($A584,'The List'!$B1:$AH665,18,FALSE)-AVERAGE('The List'!S2:S665))/STDEV('The List'!S2:S665)</f>
        <v>-0.658497742968653</v>
      </c>
      <c r="G584" s="77">
        <f>(VLOOKUP($A584,'The List'!$B1:$AH665,19,FALSE)-AVERAGE('The List'!T2:T665))/STDEV('The List'!T2:T665)</f>
        <v>-1.20206014005602</v>
      </c>
      <c r="H584" s="77">
        <f>(VLOOKUP($A584,'The List'!$B1:$AH665,20,FALSE)-AVERAGE('The List'!U2:U665))/STDEV('The List'!U2:U665)</f>
        <v>-1.04586546163892</v>
      </c>
      <c r="I584" s="77">
        <f>(VLOOKUP($A584,'The List'!$B1:$AH665,21,FALSE)-AVERAGE('The List'!V2:V665))/STDEV('The List'!V2:V665)</f>
        <v>-1.12575488605964</v>
      </c>
      <c r="J584" s="77">
        <f>(VLOOKUP($A584,'The List'!$B1:$AH665,22,FALSE)-AVERAGE('The List'!W2:W665))/STDEV('The List'!W2:W665)</f>
        <v>-0.7401149303735109</v>
      </c>
      <c r="K584" s="77">
        <f>(VLOOKUP($A584,'The List'!$B1:$AH665,23,FALSE)-AVERAGE('The List'!X2:X665))/STDEV('The List'!X2:X665)</f>
        <v>-0.82422431387824</v>
      </c>
      <c r="L584" s="77">
        <f>(VLOOKUP($A584,'The List'!$B1:$AH665,24,FALSE)-AVERAGE('The List'!Y2:Y665))/STDEV('The List'!Y2:Y665)</f>
        <v>2.14108220314849</v>
      </c>
      <c r="M584" s="77">
        <f>(VLOOKUP($A584,'The List'!$B1:$AH665,25,FALSE)-AVERAGE('The List'!Z2:Z665))/STDEV('The List'!Z2:Z665)</f>
        <v>1.92566122701115</v>
      </c>
      <c r="N584" s="77">
        <f>(VLOOKUP($A584,'The List'!$B1:$AH665,26,FALSE)-AVERAGE('The List'!AA2:AA665))/STDEV('The List'!AA2:AA665)</f>
        <v>-0.738906452555097</v>
      </c>
      <c r="O584" s="77">
        <f>(VLOOKUP($A584,'The List'!$B1:$AH665,27,FALSE)-AVERAGE('The List'!AB2:AB665))/STDEV('The List'!AB2:AB665)</f>
        <v>-0.546023622225169</v>
      </c>
      <c r="P584" s="77">
        <f>(VLOOKUP($A584,'The List'!$B1:$AH665,28,FALSE)-AVERAGE('The List'!AC2:AC665))/STDEV('The List'!AC2:AC665)</f>
        <v>1.21482233581418</v>
      </c>
      <c r="Q584" s="77">
        <f>(VLOOKUP($A584,'The List'!$B1:$AH665,29,FALSE)-AVERAGE('The List'!AD2:AD665))/STDEV('The List'!AD2:AD665)</f>
        <v>-1.2027880911402</v>
      </c>
      <c r="R584" s="77">
        <f>(VLOOKUP($A584,'The List'!$B1:$AH665,30,FALSE)-AVERAGE('The List'!AE2:AE665))/STDEV('The List'!AE2:AE665)</f>
        <v>-0.575429985414397</v>
      </c>
      <c r="S584" s="77">
        <f>(VLOOKUP($A584,'The List'!$B1:$AH665,31,FALSE)-AVERAGE('The List'!AF2:AF665))/STDEV('The List'!AF2:AF665)</f>
        <v>0.601254949345833</v>
      </c>
      <c r="T584" s="77">
        <f>(VLOOKUP($A584,'The List'!$B1:$AH665,32,FALSE)-AVERAGE('The List'!AG2:AG665))/STDEV('The List'!AG2:AG665)</f>
        <v>0.456198458353413</v>
      </c>
      <c r="U584" s="77">
        <f>(VLOOKUP($A584,'The List'!$B1:$AH665,33,FALSE)-AVERAGE('The List'!AH2:AH665))/STDEV('The List'!AH2:AH665)</f>
        <v>1.198356788016</v>
      </c>
      <c r="V584" s="77"/>
      <c r="W584" s="89"/>
      <c r="X584" s="79"/>
      <c r="Y584" s="79"/>
      <c r="Z584" s="79"/>
      <c r="AA584" s="79"/>
      <c r="AB584" s="79"/>
      <c r="AC584" s="82"/>
      <c r="AD584" s="83"/>
      <c r="AE584" s="84"/>
    </row>
    <row r="585" ht="21.25" customHeight="1">
      <c r="A585" t="s" s="10">
        <v>349</v>
      </c>
      <c r="B585" t="s" s="86">
        <f>VLOOKUP(A585,'Player Data'!A1:B667,2,FALSE)</f>
        <v>165</v>
      </c>
      <c r="C585" s="74">
        <f>((E585)*'Settings'!$C$12)+(F585*'Settings'!$C$2)+(G585*'Settings'!$C$3)+(H585*'Settings'!$C$4)+(I585*'Settings'!$C$5)+(K585*'Settings'!$C$9)+(N585*'Settings'!$C$6)+(J585*'Settings'!$C$8)+(O585*'Settings'!$C$7)+(P585*'Settings'!$C$14)+(Q585*'Settings'!$C$15)+(R585*'Settings'!$C$16)+(S585*'Settings'!$C$17)+(T585*'Settings'!$C$18)+(U585*'Settings'!$C$19)+(L585*'Settings'!$C$10)+('Settings'!$C$11*M585)</f>
        <v>-2.83261251493202</v>
      </c>
      <c r="D585" s="79">
        <f>IF('Settings'!$E$12="YES",VLOOKUP(A585,'Player Data'!A1:E667,5,FALSE),82)</f>
        <v>77.83499999999999</v>
      </c>
      <c r="E585" s="77">
        <f>(VLOOKUP($A585,'The List'!$B1:$AH665,17,FALSE)-AVERAGE('The List'!R2:R665))/STDEV('The List'!R2:R665)</f>
        <v>0.168937398974254</v>
      </c>
      <c r="F585" s="77">
        <f>(VLOOKUP($A585,'The List'!$B1:$AH665,18,FALSE)-AVERAGE('The List'!S2:S665))/STDEV('The List'!S2:S665)</f>
        <v>-0.944041405062865</v>
      </c>
      <c r="G585" s="77">
        <f>(VLOOKUP($A585,'The List'!$B1:$AH665,19,FALSE)-AVERAGE('The List'!T2:T665))/STDEV('The List'!T2:T665)</f>
        <v>-1.00857602221649</v>
      </c>
      <c r="H585" s="77">
        <f>(VLOOKUP($A585,'The List'!$B1:$AH665,20,FALSE)-AVERAGE('The List'!U2:U665))/STDEV('The List'!U2:U665)</f>
        <v>-1.05549411261512</v>
      </c>
      <c r="I585" s="77">
        <f>(VLOOKUP($A585,'The List'!$B1:$AH665,21,FALSE)-AVERAGE('The List'!V2:V665))/STDEV('The List'!V2:V665)</f>
        <v>-0.721811358013675</v>
      </c>
      <c r="J585" s="77">
        <f>(VLOOKUP($A585,'The List'!$B1:$AH665,22,FALSE)-AVERAGE('The List'!W2:W665))/STDEV('The List'!W2:W665)</f>
        <v>-0.739151009486642</v>
      </c>
      <c r="K585" s="77">
        <f>(VLOOKUP($A585,'The List'!$B1:$AH665,23,FALSE)-AVERAGE('The List'!X2:X665))/STDEV('The List'!X2:X665)</f>
        <v>-0.812512620990344</v>
      </c>
      <c r="L585" s="77">
        <f>(VLOOKUP($A585,'The List'!$B1:$AH665,24,FALSE)-AVERAGE('The List'!Y2:Y665))/STDEV('The List'!Y2:Y665)</f>
        <v>-0.525390088430194</v>
      </c>
      <c r="M585" s="77">
        <f>(VLOOKUP($A585,'The List'!$B1:$AH665,25,FALSE)-AVERAGE('The List'!Z2:Z665))/STDEV('The List'!Z2:Z665)</f>
        <v>-0.299726092830916</v>
      </c>
      <c r="N585" s="77">
        <f>(VLOOKUP($A585,'The List'!$B1:$AH665,26,FALSE)-AVERAGE('The List'!AA2:AA665))/STDEV('The List'!AA2:AA665)</f>
        <v>0.918412103239754</v>
      </c>
      <c r="O585" s="77">
        <f>(VLOOKUP($A585,'The List'!$B1:$AH665,27,FALSE)-AVERAGE('The List'!AB2:AB665))/STDEV('The List'!AB2:AB665)</f>
        <v>4.07242593038432</v>
      </c>
      <c r="P585" s="77">
        <f>(VLOOKUP($A585,'The List'!$B1:$AH665,28,FALSE)-AVERAGE('The List'!AC2:AC665))/STDEV('The List'!AC2:AC665)</f>
        <v>-0.264083211888403</v>
      </c>
      <c r="Q585" s="77">
        <f>(VLOOKUP($A585,'The List'!$B1:$AH665,29,FALSE)-AVERAGE('The List'!AD2:AD665))/STDEV('The List'!AD2:AD665)</f>
        <v>3.44353242634821</v>
      </c>
      <c r="R585" s="77">
        <f>(VLOOKUP($A585,'The List'!$B1:$AH665,30,FALSE)-AVERAGE('The List'!AE2:AE665))/STDEV('The List'!AE2:AE665)</f>
        <v>-0.921077869762463</v>
      </c>
      <c r="S585" s="77">
        <f>(VLOOKUP($A585,'The List'!$B1:$AH665,31,FALSE)-AVERAGE('The List'!AF2:AF665))/STDEV('The List'!AF2:AF665)</f>
        <v>-0.573894410680004</v>
      </c>
      <c r="T585" s="77">
        <f>(VLOOKUP($A585,'The List'!$B1:$AH665,32,FALSE)-AVERAGE('The List'!AG2:AG665))/STDEV('The List'!AG2:AG665)</f>
        <v>-0.625770787132651</v>
      </c>
      <c r="U585" s="77">
        <f>(VLOOKUP($A585,'The List'!$B1:$AH665,33,FALSE)-AVERAGE('The List'!AH2:AH665))/STDEV('The List'!AH2:AH665)</f>
        <v>-1.23143509451486</v>
      </c>
      <c r="V585" s="77"/>
      <c r="W585" s="89"/>
      <c r="X585" s="79"/>
      <c r="Y585" s="79"/>
      <c r="Z585" s="79"/>
      <c r="AA585" s="79"/>
      <c r="AB585" s="79"/>
      <c r="AC585" s="82"/>
      <c r="AD585" s="83"/>
      <c r="AE585" s="84"/>
    </row>
    <row r="586" ht="21.25" customHeight="1">
      <c r="A586" t="s" s="10">
        <v>837</v>
      </c>
      <c r="B586" t="s" s="86">
        <f>VLOOKUP(A586,'Player Data'!A1:B667,2,FALSE)</f>
        <v>207</v>
      </c>
      <c r="C586" s="74">
        <f>((E586)*'Settings'!$C$12)+(F586*'Settings'!$C$2)+(G586*'Settings'!$C$3)+(H586*'Settings'!$C$4)+(I586*'Settings'!$C$5)+(K586*'Settings'!$C$9)+(N586*'Settings'!$C$6)+(J586*'Settings'!$C$8)+(O586*'Settings'!$C$7)+(P586*'Settings'!$C$14)+(Q586*'Settings'!$C$15)+(R586*'Settings'!$C$16)+(S586*'Settings'!$C$17)+(T586*'Settings'!$C$18)+(U586*'Settings'!$C$19)+(L586*'Settings'!$C$10)+('Settings'!$C$11*M586)</f>
        <v>-4.02668527668446</v>
      </c>
      <c r="D586" s="79">
        <f>IF('Settings'!$E$12="YES",VLOOKUP(A586,'Player Data'!A1:E667,5,FALSE),82)</f>
        <v>62.11</v>
      </c>
      <c r="E586" s="77">
        <f>(VLOOKUP($A586,'The List'!$B1:$AH665,17,FALSE)-AVERAGE('The List'!R2:R665))/STDEV('The List'!R2:R665)</f>
        <v>-1.02444785979381</v>
      </c>
      <c r="F586" s="77">
        <f>(VLOOKUP($A586,'The List'!$B1:$AH665,18,FALSE)-AVERAGE('The List'!S2:S665))/STDEV('The List'!S2:S665)</f>
        <v>-1.01297549261473</v>
      </c>
      <c r="G586" s="77">
        <f>(VLOOKUP($A586,'The List'!$B1:$AH665,19,FALSE)-AVERAGE('The List'!T2:T665))/STDEV('The List'!T2:T665)</f>
        <v>-1.15024928967784</v>
      </c>
      <c r="H586" s="77">
        <f>(VLOOKUP($A586,'The List'!$B1:$AH665,20,FALSE)-AVERAGE('The List'!U2:U665))/STDEV('The List'!U2:U665)</f>
        <v>-1.17481499722178</v>
      </c>
      <c r="I586" s="77">
        <f>(VLOOKUP($A586,'The List'!$B1:$AH665,21,FALSE)-AVERAGE('The List'!V2:V665))/STDEV('The List'!V2:V665)</f>
        <v>-1.25318614058153</v>
      </c>
      <c r="J586" s="77">
        <f>(VLOOKUP($A586,'The List'!$B1:$AH665,22,FALSE)-AVERAGE('The List'!W2:W665))/STDEV('The List'!W2:W665)</f>
        <v>-0.663899756325433</v>
      </c>
      <c r="K586" s="77">
        <f>(VLOOKUP($A586,'The List'!$B1:$AH665,23,FALSE)-AVERAGE('The List'!X2:X665))/STDEV('The List'!X2:X665)</f>
        <v>-0.755441081527453</v>
      </c>
      <c r="L586" s="77">
        <f>(VLOOKUP($A586,'The List'!$B1:$AH665,24,FALSE)-AVERAGE('The List'!Y2:Y665))/STDEV('The List'!Y2:Y665)</f>
        <v>-0.5668966187483701</v>
      </c>
      <c r="M586" s="77">
        <f>(VLOOKUP($A586,'The List'!$B1:$AH665,25,FALSE)-AVERAGE('The List'!Z2:Z665))/STDEV('The List'!Z2:Z665)</f>
        <v>-0.714004887831718</v>
      </c>
      <c r="N586" s="77">
        <f>(VLOOKUP($A586,'The List'!$B1:$AH665,26,FALSE)-AVERAGE('The List'!AA2:AA665))/STDEV('The List'!AA2:AA665)</f>
        <v>-0.0200486695759631</v>
      </c>
      <c r="O586" s="77">
        <f>(VLOOKUP($A586,'The List'!$B1:$AH665,27,FALSE)-AVERAGE('The List'!AB2:AB665))/STDEV('The List'!AB2:AB665)</f>
        <v>-0.291175119526818</v>
      </c>
      <c r="P586" s="77">
        <f>(VLOOKUP($A586,'The List'!$B1:$AH665,28,FALSE)-AVERAGE('The List'!AC2:AC665))/STDEV('The List'!AC2:AC665)</f>
        <v>0.165215397293053</v>
      </c>
      <c r="Q586" s="77">
        <f>(VLOOKUP($A586,'The List'!$B1:$AH665,29,FALSE)-AVERAGE('The List'!AD2:AD665))/STDEV('The List'!AD2:AD665)</f>
        <v>-1.24569431984255</v>
      </c>
      <c r="R586" s="77">
        <f>(VLOOKUP($A586,'The List'!$B1:$AH665,30,FALSE)-AVERAGE('The List'!AE2:AE665))/STDEV('The List'!AE2:AE665)</f>
        <v>-0.951709334331266</v>
      </c>
      <c r="S586" s="77">
        <f>(VLOOKUP($A586,'The List'!$B1:$AH665,31,FALSE)-AVERAGE('The List'!AF2:AF665))/STDEV('The List'!AF2:AF665)</f>
        <v>-0.573894410680004</v>
      </c>
      <c r="T586" s="77">
        <f>(VLOOKUP($A586,'The List'!$B1:$AH665,32,FALSE)-AVERAGE('The List'!AG2:AG665))/STDEV('The List'!AG2:AG665)</f>
        <v>-0.625770787132651</v>
      </c>
      <c r="U586" s="77">
        <f>(VLOOKUP($A586,'The List'!$B1:$AH665,33,FALSE)-AVERAGE('The List'!AH2:AH665))/STDEV('The List'!AH2:AH665)</f>
        <v>-1.23143509451486</v>
      </c>
      <c r="V586" s="77"/>
      <c r="W586" s="89"/>
      <c r="X586" s="79"/>
      <c r="Y586" s="79"/>
      <c r="Z586" s="79"/>
      <c r="AA586" s="79"/>
      <c r="AB586" s="79"/>
      <c r="AC586" s="82"/>
      <c r="AD586" s="83"/>
      <c r="AE586" s="84"/>
    </row>
    <row r="587" ht="21.25" customHeight="1">
      <c r="A587" t="s" s="10">
        <v>603</v>
      </c>
      <c r="B587" t="s" s="86">
        <f>VLOOKUP(A587,'Player Data'!A1:B667,2,FALSE)</f>
        <v>259</v>
      </c>
      <c r="C587" s="74">
        <f>((E587)*'Settings'!$C$12)+(F587*'Settings'!$C$2)+(G587*'Settings'!$C$3)+(H587*'Settings'!$C$4)+(I587*'Settings'!$C$5)+(K587*'Settings'!$C$9)+(N587*'Settings'!$C$6)+(J587*'Settings'!$C$8)+(O587*'Settings'!$C$7)+(P587*'Settings'!$C$14)+(Q587*'Settings'!$C$15)+(R587*'Settings'!$C$16)+(S587*'Settings'!$C$17)+(T587*'Settings'!$C$18)+(U587*'Settings'!$C$19)+(L587*'Settings'!$C$10)+('Settings'!$C$11*M587)</f>
        <v>-3.90884210978474</v>
      </c>
      <c r="D587" s="79">
        <f>IF('Settings'!$E$12="YES",VLOOKUP(A587,'Player Data'!A1:E667,5,FALSE),82)</f>
        <v>70.34999999999999</v>
      </c>
      <c r="E587" s="77">
        <f>(VLOOKUP($A587,'The List'!$B1:$AH665,17,FALSE)-AVERAGE('The List'!R2:R665))/STDEV('The List'!R2:R665)</f>
        <v>-1.28654622322675</v>
      </c>
      <c r="F587" s="77">
        <f>(VLOOKUP($A587,'The List'!$B1:$AH665,18,FALSE)-AVERAGE('The List'!S2:S665))/STDEV('The List'!S2:S665)</f>
        <v>-0.7199309015619429</v>
      </c>
      <c r="G587" s="77">
        <f>(VLOOKUP($A587,'The List'!$B1:$AH665,19,FALSE)-AVERAGE('The List'!T2:T665))/STDEV('The List'!T2:T665)</f>
        <v>-1.27811140600468</v>
      </c>
      <c r="H587" s="77">
        <f>(VLOOKUP($A587,'The List'!$B1:$AH665,20,FALSE)-AVERAGE('The List'!U2:U665))/STDEV('The List'!U2:U665)</f>
        <v>-1.12102186474538</v>
      </c>
      <c r="I587" s="77">
        <f>(VLOOKUP($A587,'The List'!$B1:$AH665,21,FALSE)-AVERAGE('The List'!V2:V665))/STDEV('The List'!V2:V665)</f>
        <v>-1.01089659775898</v>
      </c>
      <c r="J587" s="77">
        <f>(VLOOKUP($A587,'The List'!$B1:$AH665,22,FALSE)-AVERAGE('The List'!W2:W665))/STDEV('The List'!W2:W665)</f>
        <v>-0.731161383486517</v>
      </c>
      <c r="K587" s="77">
        <f>(VLOOKUP($A587,'The List'!$B1:$AH665,23,FALSE)-AVERAGE('The List'!X2:X665))/STDEV('The List'!X2:X665)</f>
        <v>-0.816408706379019</v>
      </c>
      <c r="L587" s="77">
        <f>(VLOOKUP($A587,'The List'!$B1:$AH665,24,FALSE)-AVERAGE('The List'!Y2:Y665))/STDEV('The List'!Y2:Y665)</f>
        <v>-0.39170032540795</v>
      </c>
      <c r="M587" s="77">
        <f>(VLOOKUP($A587,'The List'!$B1:$AH665,25,FALSE)-AVERAGE('The List'!Z2:Z665))/STDEV('The List'!Z2:Z665)</f>
        <v>0.248153844008175</v>
      </c>
      <c r="N587" s="77">
        <f>(VLOOKUP($A587,'The List'!$B1:$AH665,26,FALSE)-AVERAGE('The List'!AA2:AA665))/STDEV('The List'!AA2:AA665)</f>
        <v>0.406741161922944</v>
      </c>
      <c r="O587" s="77">
        <f>(VLOOKUP($A587,'The List'!$B1:$AH665,27,FALSE)-AVERAGE('The List'!AB2:AB665))/STDEV('The List'!AB2:AB665)</f>
        <v>1.18559199783441</v>
      </c>
      <c r="P587" s="77">
        <f>(VLOOKUP($A587,'The List'!$B1:$AH665,28,FALSE)-AVERAGE('The List'!AC2:AC665))/STDEV('The List'!AC2:AC665)</f>
        <v>-0.490235660003065</v>
      </c>
      <c r="Q587" s="77">
        <f>(VLOOKUP($A587,'The List'!$B1:$AH665,29,FALSE)-AVERAGE('The List'!AD2:AD665))/STDEV('The List'!AD2:AD665)</f>
        <v>-1.05880327450765</v>
      </c>
      <c r="R587" s="77">
        <f>(VLOOKUP($A587,'The List'!$B1:$AH665,30,FALSE)-AVERAGE('The List'!AE2:AE665))/STDEV('The List'!AE2:AE665)</f>
        <v>-0.69121011585712</v>
      </c>
      <c r="S587" s="77">
        <f>(VLOOKUP($A587,'The List'!$B1:$AH665,31,FALSE)-AVERAGE('The List'!AF2:AF665))/STDEV('The List'!AF2:AF665)</f>
        <v>1.08372737242363</v>
      </c>
      <c r="T587" s="77">
        <f>(VLOOKUP($A587,'The List'!$B1:$AH665,32,FALSE)-AVERAGE('The List'!AG2:AG665))/STDEV('The List'!AG2:AG665)</f>
        <v>0.884820955571447</v>
      </c>
      <c r="U587" s="77">
        <f>(VLOOKUP($A587,'The List'!$B1:$AH665,33,FALSE)-AVERAGE('The List'!AH2:AH665))/STDEV('The List'!AH2:AH665)</f>
        <v>1.20993059925502</v>
      </c>
      <c r="V587" s="77"/>
      <c r="W587" s="79"/>
      <c r="X587" s="77"/>
      <c r="Y587" s="77"/>
      <c r="Z587" s="77"/>
      <c r="AA587" s="77"/>
      <c r="AB587" s="77"/>
      <c r="AC587" s="77"/>
      <c r="AD587" s="77"/>
      <c r="AE587" s="84"/>
    </row>
    <row r="588" ht="21.25" customHeight="1">
      <c r="A588" t="s" s="10">
        <v>707</v>
      </c>
      <c r="B588" t="s" s="86">
        <f>VLOOKUP(A588,'Player Data'!A1:B667,2,FALSE)</f>
        <v>267</v>
      </c>
      <c r="C588" s="74">
        <f>((E588)*'Settings'!$C$12)+(F588*'Settings'!$C$2)+(G588*'Settings'!$C$3)+(H588*'Settings'!$C$4)+(I588*'Settings'!$C$5)+(K588*'Settings'!$C$9)+(N588*'Settings'!$C$6)+(J588*'Settings'!$C$8)+(O588*'Settings'!$C$7)+(P588*'Settings'!$C$14)+(Q588*'Settings'!$C$15)+(R588*'Settings'!$C$16)+(S588*'Settings'!$C$17)+(T588*'Settings'!$C$18)+(U588*'Settings'!$C$19)+(L588*'Settings'!$C$10)+('Settings'!$C$11*M588)</f>
        <v>-3.51636195260503</v>
      </c>
      <c r="D588" s="79">
        <f>IF('Settings'!$E$12="YES",VLOOKUP(A588,'Player Data'!A1:E667,5,FALSE),82)</f>
        <v>68.19499999999999</v>
      </c>
      <c r="E588" s="77">
        <f>(VLOOKUP($A588,'The List'!$B1:$AH665,17,FALSE)-AVERAGE('The List'!R2:R665))/STDEV('The List'!R2:R665)</f>
        <v>0.01315344754612</v>
      </c>
      <c r="F588" s="77">
        <f>(VLOOKUP($A588,'The List'!$B1:$AH665,18,FALSE)-AVERAGE('The List'!S2:S665))/STDEV('The List'!S2:S665)</f>
        <v>-1.10125732246802</v>
      </c>
      <c r="G588" s="77">
        <f>(VLOOKUP($A588,'The List'!$B1:$AH665,19,FALSE)-AVERAGE('The List'!T2:T665))/STDEV('The List'!T2:T665)</f>
        <v>-1.02681416784277</v>
      </c>
      <c r="H588" s="77">
        <f>(VLOOKUP($A588,'The List'!$B1:$AH665,20,FALSE)-AVERAGE('The List'!U2:U665))/STDEV('The List'!U2:U665)</f>
        <v>-1.13828313407863</v>
      </c>
      <c r="I588" s="77">
        <f>(VLOOKUP($A588,'The List'!$B1:$AH665,21,FALSE)-AVERAGE('The List'!V2:V665))/STDEV('The List'!V2:V665)</f>
        <v>-1.17207271474515</v>
      </c>
      <c r="J588" s="77">
        <f>(VLOOKUP($A588,'The List'!$B1:$AH665,22,FALSE)-AVERAGE('The List'!W2:W665))/STDEV('The List'!W2:W665)</f>
        <v>-0.742721317314066</v>
      </c>
      <c r="K588" s="77">
        <f>(VLOOKUP($A588,'The List'!$B1:$AH665,23,FALSE)-AVERAGE('The List'!X2:X665))/STDEV('The List'!X2:X665)</f>
        <v>-0.820918405477302</v>
      </c>
      <c r="L588" s="77">
        <f>(VLOOKUP($A588,'The List'!$B1:$AH665,24,FALSE)-AVERAGE('The List'!Y2:Y665))/STDEV('The List'!Y2:Y665)</f>
        <v>-0.526668715928868</v>
      </c>
      <c r="M588" s="77">
        <f>(VLOOKUP($A588,'The List'!$B1:$AH665,25,FALSE)-AVERAGE('The List'!Z2:Z665))/STDEV('The List'!Z2:Z665)</f>
        <v>-0.339333728134657</v>
      </c>
      <c r="N588" s="77">
        <f>(VLOOKUP($A588,'The List'!$B1:$AH665,26,FALSE)-AVERAGE('The List'!AA2:AA665))/STDEV('The List'!AA2:AA665)</f>
        <v>0.887513529231351</v>
      </c>
      <c r="O588" s="77">
        <f>(VLOOKUP($A588,'The List'!$B1:$AH665,27,FALSE)-AVERAGE('The List'!AB2:AB665))/STDEV('The List'!AB2:AB665)</f>
        <v>0.302199547325186</v>
      </c>
      <c r="P588" s="77">
        <f>(VLOOKUP($A588,'The List'!$B1:$AH665,28,FALSE)-AVERAGE('The List'!AC2:AC665))/STDEV('The List'!AC2:AC665)</f>
        <v>-0.282812871303134</v>
      </c>
      <c r="Q588" s="77">
        <f>(VLOOKUP($A588,'The List'!$B1:$AH665,29,FALSE)-AVERAGE('The List'!AD2:AD665))/STDEV('The List'!AD2:AD665)</f>
        <v>0.186843456483303</v>
      </c>
      <c r="R588" s="77">
        <f>(VLOOKUP($A588,'The List'!$B1:$AH665,30,FALSE)-AVERAGE('The List'!AE2:AE665))/STDEV('The List'!AE2:AE665)</f>
        <v>-1.00938934145752</v>
      </c>
      <c r="S588" s="77">
        <f>(VLOOKUP($A588,'The List'!$B1:$AH665,31,FALSE)-AVERAGE('The List'!AF2:AF665))/STDEV('The List'!AF2:AF665)</f>
        <v>-0.573894410680004</v>
      </c>
      <c r="T588" s="77">
        <f>(VLOOKUP($A588,'The List'!$B1:$AH665,32,FALSE)-AVERAGE('The List'!AG2:AG665))/STDEV('The List'!AG2:AG665)</f>
        <v>-0.625770787132651</v>
      </c>
      <c r="U588" s="77">
        <f>(VLOOKUP($A588,'The List'!$B1:$AH665,33,FALSE)-AVERAGE('The List'!AH2:AH665))/STDEV('The List'!AH2:AH665)</f>
        <v>-1.23143509451486</v>
      </c>
      <c r="V588" s="77"/>
      <c r="W588" s="89"/>
      <c r="X588" s="79"/>
      <c r="Y588" s="79"/>
      <c r="Z588" s="79"/>
      <c r="AA588" s="79"/>
      <c r="AB588" s="79"/>
      <c r="AC588" s="82"/>
      <c r="AD588" s="83"/>
      <c r="AE588" s="84"/>
    </row>
    <row r="589" ht="21.25" customHeight="1">
      <c r="A589" t="s" s="10">
        <v>668</v>
      </c>
      <c r="B589" t="s" s="86">
        <f>VLOOKUP(A589,'Player Data'!A1:B667,2,FALSE)</f>
        <v>871</v>
      </c>
      <c r="C589" s="74">
        <f>((E589)*'Settings'!$C$12)+(F589*'Settings'!$C$2)+(G589*'Settings'!$C$3)+(H589*'Settings'!$C$4)+(I589*'Settings'!$C$5)+(K589*'Settings'!$C$9)+(N589*'Settings'!$C$6)+(J589*'Settings'!$C$8)+(O589*'Settings'!$C$7)+(P589*'Settings'!$C$14)+(Q589*'Settings'!$C$15)+(R589*'Settings'!$C$16)+(S589*'Settings'!$C$17)+(T589*'Settings'!$C$18)+(U589*'Settings'!$C$19)+(L589*'Settings'!$C$10)+('Settings'!$C$11*M589)</f>
        <v>-2.85145179207301</v>
      </c>
      <c r="D589" s="79">
        <f>IF('Settings'!$E$12="YES",VLOOKUP(A589,'Player Data'!A1:E667,5,FALSE),82)</f>
        <v>72.66</v>
      </c>
      <c r="E589" s="77">
        <f>(VLOOKUP($A589,'The List'!$B1:$AH665,17,FALSE)-AVERAGE('The List'!R2:R665))/STDEV('The List'!R2:R665)</f>
        <v>-0.0647431799874205</v>
      </c>
      <c r="F589" s="77">
        <f>(VLOOKUP($A589,'The List'!$B1:$AH665,18,FALSE)-AVERAGE('The List'!S2:S665))/STDEV('The List'!S2:S665)</f>
        <v>-1.04343320045627</v>
      </c>
      <c r="G589" s="77">
        <f>(VLOOKUP($A589,'The List'!$B1:$AH665,19,FALSE)-AVERAGE('The List'!T2:T665))/STDEV('The List'!T2:T665)</f>
        <v>-1.03238157331308</v>
      </c>
      <c r="H589" s="77">
        <f>(VLOOKUP($A589,'The List'!$B1:$AH665,20,FALSE)-AVERAGE('The List'!U2:U665))/STDEV('The List'!U2:U665)</f>
        <v>-1.11545699386492</v>
      </c>
      <c r="I589" s="77">
        <f>(VLOOKUP($A589,'The List'!$B1:$AH665,21,FALSE)-AVERAGE('The List'!V2:V665))/STDEV('The List'!V2:V665)</f>
        <v>-0.9889355723953041</v>
      </c>
      <c r="J589" s="77">
        <f>(VLOOKUP($A589,'The List'!$B1:$AH665,22,FALSE)-AVERAGE('The List'!W2:W665))/STDEV('The List'!W2:W665)</f>
        <v>-0.743133751327183</v>
      </c>
      <c r="K589" s="77">
        <f>(VLOOKUP($A589,'The List'!$B1:$AH665,23,FALSE)-AVERAGE('The List'!X2:X665))/STDEV('The List'!X2:X665)</f>
        <v>-0.822016782118031</v>
      </c>
      <c r="L589" s="77">
        <f>(VLOOKUP($A589,'The List'!$B1:$AH665,24,FALSE)-AVERAGE('The List'!Y2:Y665))/STDEV('The List'!Y2:Y665)</f>
        <v>-0.512079120564762</v>
      </c>
      <c r="M589" s="77">
        <f>(VLOOKUP($A589,'The List'!$B1:$AH665,25,FALSE)-AVERAGE('The List'!Z2:Z665))/STDEV('The List'!Z2:Z665)</f>
        <v>-0.568629747954379</v>
      </c>
      <c r="N589" s="77">
        <f>(VLOOKUP($A589,'The List'!$B1:$AH665,26,FALSE)-AVERAGE('The List'!AA2:AA665))/STDEV('The List'!AA2:AA665)</f>
        <v>0.932095353634426</v>
      </c>
      <c r="O589" s="77">
        <f>(VLOOKUP($A589,'The List'!$B1:$AH665,27,FALSE)-AVERAGE('The List'!AB2:AB665))/STDEV('The List'!AB2:AB665)</f>
        <v>0.533300322955697</v>
      </c>
      <c r="P589" s="77">
        <f>(VLOOKUP($A589,'The List'!$B1:$AH665,28,FALSE)-AVERAGE('The List'!AC2:AC665))/STDEV('The List'!AC2:AC665)</f>
        <v>0.103219982575246</v>
      </c>
      <c r="Q589" s="77">
        <f>(VLOOKUP($A589,'The List'!$B1:$AH665,29,FALSE)-AVERAGE('The List'!AD2:AD665))/STDEV('The List'!AD2:AD665)</f>
        <v>-0.22768079563882</v>
      </c>
      <c r="R589" s="77">
        <f>(VLOOKUP($A589,'The List'!$B1:$AH665,30,FALSE)-AVERAGE('The List'!AE2:AE665))/STDEV('The List'!AE2:AE665)</f>
        <v>-0.996856603973028</v>
      </c>
      <c r="S589" s="77">
        <f>(VLOOKUP($A589,'The List'!$B1:$AH665,31,FALSE)-AVERAGE('The List'!AF2:AF665))/STDEV('The List'!AF2:AF665)</f>
        <v>-0.573894410680004</v>
      </c>
      <c r="T589" s="77">
        <f>(VLOOKUP($A589,'The List'!$B1:$AH665,32,FALSE)-AVERAGE('The List'!AG2:AG665))/STDEV('The List'!AG2:AG665)</f>
        <v>-0.625770787132651</v>
      </c>
      <c r="U589" s="77">
        <f>(VLOOKUP($A589,'The List'!$B1:$AH665,33,FALSE)-AVERAGE('The List'!AH2:AH665))/STDEV('The List'!AH2:AH665)</f>
        <v>-1.23143509451486</v>
      </c>
      <c r="V589" s="77"/>
      <c r="W589" s="89"/>
      <c r="X589" s="79"/>
      <c r="Y589" s="79"/>
      <c r="Z589" s="79"/>
      <c r="AA589" s="79"/>
      <c r="AB589" s="79"/>
      <c r="AC589" s="82"/>
      <c r="AD589" s="83"/>
      <c r="AE589" s="84"/>
    </row>
    <row r="590" ht="21.25" customHeight="1">
      <c r="A590" t="s" s="10">
        <v>819</v>
      </c>
      <c r="B590" t="s" s="86">
        <f>VLOOKUP(A590,'Player Data'!A1:B667,2,FALSE)</f>
        <v>905</v>
      </c>
      <c r="C590" s="74">
        <f>((E590)*'Settings'!$C$12)+(F590*'Settings'!$C$2)+(G590*'Settings'!$C$3)+(H590*'Settings'!$C$4)+(I590*'Settings'!$C$5)+(K590*'Settings'!$C$9)+(N590*'Settings'!$C$6)+(J590*'Settings'!$C$8)+(O590*'Settings'!$C$7)+(P590*'Settings'!$C$14)+(Q590*'Settings'!$C$15)+(R590*'Settings'!$C$16)+(S590*'Settings'!$C$17)+(T590*'Settings'!$C$18)+(U590*'Settings'!$C$19)+(L590*'Settings'!$C$10)+('Settings'!$C$11*M590)</f>
        <v>-5.23975023569871</v>
      </c>
      <c r="D590" s="79">
        <f>IF('Settings'!$E$12="YES",VLOOKUP(A590,'Player Data'!A1:E667,5,FALSE),82)</f>
        <v>76.1525</v>
      </c>
      <c r="E590" s="77">
        <f>(VLOOKUP($A590,'The List'!$B1:$AH665,17,FALSE)-AVERAGE('The List'!R2:R665))/STDEV('The List'!R2:R665)</f>
        <v>-1.67771295424798</v>
      </c>
      <c r="F590" s="77">
        <f>(VLOOKUP($A590,'The List'!$B1:$AH665,18,FALSE)-AVERAGE('The List'!S2:S665))/STDEV('The List'!S2:S665)</f>
        <v>-0.970330752060704</v>
      </c>
      <c r="G590" s="77">
        <f>(VLOOKUP($A590,'The List'!$B1:$AH665,19,FALSE)-AVERAGE('The List'!T2:T665))/STDEV('The List'!T2:T665)</f>
        <v>-1.06473431590866</v>
      </c>
      <c r="H590" s="77">
        <f>(VLOOKUP($A590,'The List'!$B1:$AH665,20,FALSE)-AVERAGE('The List'!U2:U665))/STDEV('The List'!U2:U665)</f>
        <v>-1.10232132851639</v>
      </c>
      <c r="I590" s="77">
        <f>(VLOOKUP($A590,'The List'!$B1:$AH665,21,FALSE)-AVERAGE('The List'!V2:V665))/STDEV('The List'!V2:V665)</f>
        <v>-1.06916692952187</v>
      </c>
      <c r="J590" s="77">
        <f>(VLOOKUP($A590,'The List'!$B1:$AH665,22,FALSE)-AVERAGE('The List'!W2:W665))/STDEV('The List'!W2:W665)</f>
        <v>-0.725847376012816</v>
      </c>
      <c r="K590" s="77">
        <f>(VLOOKUP($A590,'The List'!$B1:$AH665,23,FALSE)-AVERAGE('The List'!X2:X665))/STDEV('The List'!X2:X665)</f>
        <v>-0.8060958325286069</v>
      </c>
      <c r="L590" s="77">
        <f>(VLOOKUP($A590,'The List'!$B1:$AH665,24,FALSE)-AVERAGE('The List'!Y2:Y665))/STDEV('The List'!Y2:Y665)</f>
        <v>-0.579879439965625</v>
      </c>
      <c r="M590" s="77">
        <f>(VLOOKUP($A590,'The List'!$B1:$AH665,25,FALSE)-AVERAGE('The List'!Z2:Z665))/STDEV('The List'!Z2:Z665)</f>
        <v>-0.753687678323899</v>
      </c>
      <c r="N590" s="77">
        <f>(VLOOKUP($A590,'The List'!$B1:$AH665,26,FALSE)-AVERAGE('The List'!AA2:AA665))/STDEV('The List'!AA2:AA665)</f>
        <v>-1.0650925114576</v>
      </c>
      <c r="O590" s="77">
        <f>(VLOOKUP($A590,'The List'!$B1:$AH665,27,FALSE)-AVERAGE('The List'!AB2:AB665))/STDEV('The List'!AB2:AB665)</f>
        <v>0.8224054125763079</v>
      </c>
      <c r="P590" s="77">
        <f>(VLOOKUP($A590,'The List'!$B1:$AH665,28,FALSE)-AVERAGE('The List'!AC2:AC665))/STDEV('The List'!AC2:AC665)</f>
        <v>-0.26432989422127</v>
      </c>
      <c r="Q590" s="77">
        <f>(VLOOKUP($A590,'The List'!$B1:$AH665,29,FALSE)-AVERAGE('The List'!AD2:AD665))/STDEV('The List'!AD2:AD665)</f>
        <v>2.21779362275164</v>
      </c>
      <c r="R590" s="77">
        <f>(VLOOKUP($A590,'The List'!$B1:$AH665,30,FALSE)-AVERAGE('The List'!AE2:AE665))/STDEV('The List'!AE2:AE665)</f>
        <v>-0.9737719734711699</v>
      </c>
      <c r="S590" s="77">
        <f>(VLOOKUP($A590,'The List'!$B1:$AH665,31,FALSE)-AVERAGE('The List'!AF2:AF665))/STDEV('The List'!AF2:AF665)</f>
        <v>-0.521132380094761</v>
      </c>
      <c r="T590" s="77">
        <f>(VLOOKUP($A590,'The List'!$B1:$AH665,32,FALSE)-AVERAGE('The List'!AG2:AG665))/STDEV('The List'!AG2:AG665)</f>
        <v>-0.516423518448865</v>
      </c>
      <c r="U590" s="77">
        <f>(VLOOKUP($A590,'The List'!$B1:$AH665,33,FALSE)-AVERAGE('The List'!AH2:AH665))/STDEV('The List'!AH2:AH665)</f>
        <v>0.306001355872721</v>
      </c>
      <c r="V590" s="77"/>
      <c r="W590" s="79"/>
      <c r="X590" s="79"/>
      <c r="Y590" s="79"/>
      <c r="Z590" s="79"/>
      <c r="AA590" s="79"/>
      <c r="AB590" s="79"/>
      <c r="AC590" s="82"/>
      <c r="AD590" s="83"/>
      <c r="AE590" s="84"/>
    </row>
    <row r="591" ht="21.25" customHeight="1">
      <c r="A591" t="s" s="10">
        <v>797</v>
      </c>
      <c r="B591" t="s" s="86">
        <f>VLOOKUP(A591,'Player Data'!A1:B667,2,FALSE)</f>
        <v>906</v>
      </c>
      <c r="C591" s="74">
        <f>((E591)*'Settings'!$C$12)+(F591*'Settings'!$C$2)+(G591*'Settings'!$C$3)+(H591*'Settings'!$C$4)+(I591*'Settings'!$C$5)+(K591*'Settings'!$C$9)+(N591*'Settings'!$C$6)+(J591*'Settings'!$C$8)+(O591*'Settings'!$C$7)+(P591*'Settings'!$C$14)+(Q591*'Settings'!$C$15)+(R591*'Settings'!$C$16)+(S591*'Settings'!$C$17)+(T591*'Settings'!$C$18)+(U591*'Settings'!$C$19)+(L591*'Settings'!$C$10)+('Settings'!$C$11*M591)</f>
        <v>-3.55841598692067</v>
      </c>
      <c r="D591" s="79">
        <f>IF('Settings'!$E$12="YES",VLOOKUP(A591,'Player Data'!A1:E667,5,FALSE),82)</f>
        <v>59.8475</v>
      </c>
      <c r="E591" s="77">
        <f>(VLOOKUP($A591,'The List'!$B1:$AH665,17,FALSE)-AVERAGE('The List'!R2:R665))/STDEV('The List'!R2:R665)</f>
        <v>-0.183980965408484</v>
      </c>
      <c r="F591" s="77">
        <f>(VLOOKUP($A591,'The List'!$B1:$AH665,18,FALSE)-AVERAGE('The List'!S2:S665))/STDEV('The List'!S2:S665)</f>
        <v>-1.11436087389572</v>
      </c>
      <c r="G591" s="77">
        <f>(VLOOKUP($A591,'The List'!$B1:$AH665,19,FALSE)-AVERAGE('The List'!T2:T665))/STDEV('The List'!T2:T665)</f>
        <v>-1.14854092595068</v>
      </c>
      <c r="H591" s="77">
        <f>(VLOOKUP($A591,'The List'!$B1:$AH665,20,FALSE)-AVERAGE('The List'!U2:U665))/STDEV('The List'!U2:U665)</f>
        <v>-1.21983848231537</v>
      </c>
      <c r="I591" s="77">
        <f>(VLOOKUP($A591,'The List'!$B1:$AH665,21,FALSE)-AVERAGE('The List'!V2:V665))/STDEV('The List'!V2:V665)</f>
        <v>-1.07394901323902</v>
      </c>
      <c r="J591" s="77">
        <f>(VLOOKUP($A591,'The List'!$B1:$AH665,22,FALSE)-AVERAGE('The List'!W2:W665))/STDEV('The List'!W2:W665)</f>
        <v>-0.742273429016964</v>
      </c>
      <c r="K591" s="77">
        <f>(VLOOKUP($A591,'The List'!$B1:$AH665,23,FALSE)-AVERAGE('The List'!X2:X665))/STDEV('The List'!X2:X665)</f>
        <v>-0.820050607739307</v>
      </c>
      <c r="L591" s="77">
        <f>(VLOOKUP($A591,'The List'!$B1:$AH665,24,FALSE)-AVERAGE('The List'!Y2:Y665))/STDEV('The List'!Y2:Y665)</f>
        <v>-0.528998059363841</v>
      </c>
      <c r="M591" s="77">
        <f>(VLOOKUP($A591,'The List'!$B1:$AH665,25,FALSE)-AVERAGE('The List'!Z2:Z665))/STDEV('The List'!Z2:Z665)</f>
        <v>-0.598795795538353</v>
      </c>
      <c r="N591" s="77">
        <f>(VLOOKUP($A591,'The List'!$B1:$AH665,26,FALSE)-AVERAGE('The List'!AA2:AA665))/STDEV('The List'!AA2:AA665)</f>
        <v>0.513908480149422</v>
      </c>
      <c r="O591" s="77">
        <f>(VLOOKUP($A591,'The List'!$B1:$AH665,27,FALSE)-AVERAGE('The List'!AB2:AB665))/STDEV('The List'!AB2:AB665)</f>
        <v>-0.195889407251758</v>
      </c>
      <c r="P591" s="77">
        <f>(VLOOKUP($A591,'The List'!$B1:$AH665,28,FALSE)-AVERAGE('The List'!AC2:AC665))/STDEV('The List'!AC2:AC665)</f>
        <v>0.08457695375463981</v>
      </c>
      <c r="Q591" s="77">
        <f>(VLOOKUP($A591,'The List'!$B1:$AH665,29,FALSE)-AVERAGE('The List'!AD2:AD665))/STDEV('The List'!AD2:AD665)</f>
        <v>-0.806155605333112</v>
      </c>
      <c r="R591" s="77">
        <f>(VLOOKUP($A591,'The List'!$B1:$AH665,30,FALSE)-AVERAGE('The List'!AE2:AE665))/STDEV('The List'!AE2:AE665)</f>
        <v>-1.04123147663587</v>
      </c>
      <c r="S591" s="77">
        <f>(VLOOKUP($A591,'The List'!$B1:$AH665,31,FALSE)-AVERAGE('The List'!AF2:AF665))/STDEV('The List'!AF2:AF665)</f>
        <v>-0.573894410680004</v>
      </c>
      <c r="T591" s="77">
        <f>(VLOOKUP($A591,'The List'!$B1:$AH665,32,FALSE)-AVERAGE('The List'!AG2:AG665))/STDEV('The List'!AG2:AG665)</f>
        <v>-0.625770787132651</v>
      </c>
      <c r="U591" s="77">
        <f>(VLOOKUP($A591,'The List'!$B1:$AH665,33,FALSE)-AVERAGE('The List'!AH2:AH665))/STDEV('The List'!AH2:AH665)</f>
        <v>-1.23143509451486</v>
      </c>
      <c r="V591" s="77"/>
      <c r="W591" s="89"/>
      <c r="X591" s="79"/>
      <c r="Y591" s="79"/>
      <c r="Z591" s="79"/>
      <c r="AA591" s="79"/>
      <c r="AB591" s="79"/>
      <c r="AC591" s="82"/>
      <c r="AD591" s="83"/>
      <c r="AE591" s="84"/>
    </row>
    <row r="592" ht="21.25" customHeight="1">
      <c r="A592" t="s" s="10">
        <v>488</v>
      </c>
      <c r="B592" t="s" s="86">
        <f>VLOOKUP(A592,'Player Data'!A1:B667,2,FALSE)</f>
        <v>905</v>
      </c>
      <c r="C592" s="74">
        <f>((E592)*'Settings'!$C$12)+(F592*'Settings'!$C$2)+(G592*'Settings'!$C$3)+(H592*'Settings'!$C$4)+(I592*'Settings'!$C$5)+(K592*'Settings'!$C$9)+(N592*'Settings'!$C$6)+(J592*'Settings'!$C$8)+(O592*'Settings'!$C$7)+(P592*'Settings'!$C$14)+(Q592*'Settings'!$C$15)+(R592*'Settings'!$C$16)+(S592*'Settings'!$C$17)+(T592*'Settings'!$C$18)+(U592*'Settings'!$C$19)+(L592*'Settings'!$C$10)+('Settings'!$C$11*M592)</f>
        <v>-3.80463163738932</v>
      </c>
      <c r="D592" s="79">
        <f>IF('Settings'!$E$12="YES",VLOOKUP(A592,'Player Data'!A1:E667,5,FALSE),82)</f>
        <v>72.86499999999999</v>
      </c>
      <c r="E592" s="77">
        <f>(VLOOKUP($A592,'The List'!$B1:$AH665,17,FALSE)-AVERAGE('The List'!R2:R665))/STDEV('The List'!R2:R665)</f>
        <v>0.533612655952482</v>
      </c>
      <c r="F592" s="77">
        <f>(VLOOKUP($A592,'The List'!$B1:$AH665,18,FALSE)-AVERAGE('The List'!S2:S665))/STDEV('The List'!S2:S665)</f>
        <v>-0.926307855305006</v>
      </c>
      <c r="G592" s="77">
        <f>(VLOOKUP($A592,'The List'!$B1:$AH665,19,FALSE)-AVERAGE('The List'!T2:T665))/STDEV('The List'!T2:T665)</f>
        <v>-1.13764926194278</v>
      </c>
      <c r="H592" s="77">
        <f>(VLOOKUP($A592,'The List'!$B1:$AH665,20,FALSE)-AVERAGE('The List'!U2:U665))/STDEV('The List'!U2:U665)</f>
        <v>-1.12759511072176</v>
      </c>
      <c r="I592" s="77">
        <f>(VLOOKUP($A592,'The List'!$B1:$AH665,21,FALSE)-AVERAGE('The List'!V2:V665))/STDEV('The List'!V2:V665)</f>
        <v>-0.960920804570827</v>
      </c>
      <c r="J592" s="77">
        <f>(VLOOKUP($A592,'The List'!$B1:$AH665,22,FALSE)-AVERAGE('The List'!W2:W665))/STDEV('The List'!W2:W665)</f>
        <v>-0.740782915207998</v>
      </c>
      <c r="K592" s="77">
        <f>(VLOOKUP($A592,'The List'!$B1:$AH665,23,FALSE)-AVERAGE('The List'!X2:X665))/STDEV('The List'!X2:X665)</f>
        <v>-0.816664160698271</v>
      </c>
      <c r="L592" s="77">
        <f>(VLOOKUP($A592,'The List'!$B1:$AH665,24,FALSE)-AVERAGE('The List'!Y2:Y665))/STDEV('The List'!Y2:Y665)</f>
        <v>0.480399913553618</v>
      </c>
      <c r="M592" s="77">
        <f>(VLOOKUP($A592,'The List'!$B1:$AH665,25,FALSE)-AVERAGE('The List'!Z2:Z665))/STDEV('The List'!Z2:Z665)</f>
        <v>0.000861263534075944</v>
      </c>
      <c r="N592" s="77">
        <f>(VLOOKUP($A592,'The List'!$B1:$AH665,26,FALSE)-AVERAGE('The List'!AA2:AA665))/STDEV('The List'!AA2:AA665)</f>
        <v>1.94320537530133</v>
      </c>
      <c r="O592" s="77">
        <f>(VLOOKUP($A592,'The List'!$B1:$AH665,27,FALSE)-AVERAGE('The List'!AB2:AB665))/STDEV('The List'!AB2:AB665)</f>
        <v>1.18603300805127</v>
      </c>
      <c r="P592" s="77">
        <f>(VLOOKUP($A592,'The List'!$B1:$AH665,28,FALSE)-AVERAGE('The List'!AC2:AC665))/STDEV('The List'!AC2:AC665)</f>
        <v>-1.90629493017377</v>
      </c>
      <c r="Q592" s="77">
        <f>(VLOOKUP($A592,'The List'!$B1:$AH665,29,FALSE)-AVERAGE('The List'!AD2:AD665))/STDEV('The List'!AD2:AD665)</f>
        <v>1.43358849837061</v>
      </c>
      <c r="R592" s="77">
        <f>(VLOOKUP($A592,'The List'!$B1:$AH665,30,FALSE)-AVERAGE('The List'!AE2:AE665))/STDEV('The List'!AE2:AE665)</f>
        <v>-0.9372541060424709</v>
      </c>
      <c r="S592" s="77">
        <f>(VLOOKUP($A592,'The List'!$B1:$AH665,31,FALSE)-AVERAGE('The List'!AF2:AF665))/STDEV('The List'!AF2:AF665)</f>
        <v>-0.573894410680004</v>
      </c>
      <c r="T592" s="77">
        <f>(VLOOKUP($A592,'The List'!$B1:$AH665,32,FALSE)-AVERAGE('The List'!AG2:AG665))/STDEV('The List'!AG2:AG665)</f>
        <v>-0.625770787132651</v>
      </c>
      <c r="U592" s="77">
        <f>(VLOOKUP($A592,'The List'!$B1:$AH665,33,FALSE)-AVERAGE('The List'!AH2:AH665))/STDEV('The List'!AH2:AH665)</f>
        <v>-1.23143509451486</v>
      </c>
      <c r="V592" s="77"/>
      <c r="W592" s="89"/>
      <c r="X592" s="79"/>
      <c r="Y592" s="79"/>
      <c r="Z592" s="79"/>
      <c r="AA592" s="79"/>
      <c r="AB592" s="79"/>
      <c r="AC592" s="82"/>
      <c r="AD592" s="83"/>
      <c r="AE592" s="84"/>
    </row>
    <row r="593" ht="21.25" customHeight="1">
      <c r="A593" t="s" s="10">
        <v>757</v>
      </c>
      <c r="B593" t="s" s="86">
        <f>VLOOKUP(A593,'Player Data'!A1:B667,2,FALSE)</f>
        <v>174</v>
      </c>
      <c r="C593" s="74">
        <f>((E593)*'Settings'!$C$12)+(F593*'Settings'!$C$2)+(G593*'Settings'!$C$3)+(H593*'Settings'!$C$4)+(I593*'Settings'!$C$5)+(K593*'Settings'!$C$9)+(N593*'Settings'!$C$6)+(J593*'Settings'!$C$8)+(O593*'Settings'!$C$7)+(P593*'Settings'!$C$14)+(Q593*'Settings'!$C$15)+(R593*'Settings'!$C$16)+(S593*'Settings'!$C$17)+(T593*'Settings'!$C$18)+(U593*'Settings'!$C$19)+(L593*'Settings'!$C$10)+('Settings'!$C$11*M593)</f>
        <v>-3.89716077733282</v>
      </c>
      <c r="D593" s="79">
        <f>IF('Settings'!$E$12="YES",VLOOKUP(A593,'Player Data'!A1:E667,5,FALSE),82)</f>
        <v>78.08750000000001</v>
      </c>
      <c r="E593" s="77">
        <f>(VLOOKUP($A593,'The List'!$B1:$AH665,17,FALSE)-AVERAGE('The List'!R2:R665))/STDEV('The List'!R2:R665)</f>
        <v>-1.98262945323382</v>
      </c>
      <c r="F593" s="77">
        <f>(VLOOKUP($A593,'The List'!$B1:$AH665,18,FALSE)-AVERAGE('The List'!S2:S665))/STDEV('The List'!S2:S665)</f>
        <v>-0.667088641799281</v>
      </c>
      <c r="G593" s="77">
        <f>(VLOOKUP($A593,'The List'!$B1:$AH665,19,FALSE)-AVERAGE('The List'!T2:T665))/STDEV('The List'!T2:T665)</f>
        <v>-1.27447447022838</v>
      </c>
      <c r="H593" s="77">
        <f>(VLOOKUP($A593,'The List'!$B1:$AH665,20,FALSE)-AVERAGE('The List'!U2:U665))/STDEV('The List'!U2:U665)</f>
        <v>-1.0947438042739</v>
      </c>
      <c r="I593" s="77">
        <f>(VLOOKUP($A593,'The List'!$B1:$AH665,21,FALSE)-AVERAGE('The List'!V2:V665))/STDEV('The List'!V2:V665)</f>
        <v>-0.832483319609658</v>
      </c>
      <c r="J593" s="77">
        <f>(VLOOKUP($A593,'The List'!$B1:$AH665,22,FALSE)-AVERAGE('The List'!W2:W665))/STDEV('The List'!W2:W665)</f>
        <v>-0.717545364070875</v>
      </c>
      <c r="K593" s="77">
        <f>(VLOOKUP($A593,'The List'!$B1:$AH665,23,FALSE)-AVERAGE('The List'!X2:X665))/STDEV('The List'!X2:X665)</f>
        <v>-0.810756700802245</v>
      </c>
      <c r="L593" s="77">
        <f>(VLOOKUP($A593,'The List'!$B1:$AH665,24,FALSE)-AVERAGE('The List'!Y2:Y665))/STDEV('The List'!Y2:Y665)</f>
        <v>-0.429304492036826</v>
      </c>
      <c r="M593" s="77">
        <f>(VLOOKUP($A593,'The List'!$B1:$AH665,25,FALSE)-AVERAGE('The List'!Z2:Z665))/STDEV('The List'!Z2:Z665)</f>
        <v>-0.460905377779527</v>
      </c>
      <c r="N593" s="77">
        <f>(VLOOKUP($A593,'The List'!$B1:$AH665,26,FALSE)-AVERAGE('The List'!AA2:AA665))/STDEV('The List'!AA2:AA665)</f>
        <v>-1.00449783834779</v>
      </c>
      <c r="O593" s="77">
        <f>(VLOOKUP($A593,'The List'!$B1:$AH665,27,FALSE)-AVERAGE('The List'!AB2:AB665))/STDEV('The List'!AB2:AB665)</f>
        <v>1.2769796368203</v>
      </c>
      <c r="P593" s="77">
        <f>(VLOOKUP($A593,'The List'!$B1:$AH665,28,FALSE)-AVERAGE('The List'!AC2:AC665))/STDEV('The List'!AC2:AC665)</f>
        <v>0.69214019345453</v>
      </c>
      <c r="Q593" s="77">
        <f>(VLOOKUP($A593,'The List'!$B1:$AH665,29,FALSE)-AVERAGE('The List'!AD2:AD665))/STDEV('The List'!AD2:AD665)</f>
        <v>0.9328751387452</v>
      </c>
      <c r="R593" s="77">
        <f>(VLOOKUP($A593,'The List'!$B1:$AH665,30,FALSE)-AVERAGE('The List'!AE2:AE665))/STDEV('The List'!AE2:AE665)</f>
        <v>-0.6535858350753589</v>
      </c>
      <c r="S593" s="77">
        <f>(VLOOKUP($A593,'The List'!$B1:$AH665,31,FALSE)-AVERAGE('The List'!AF2:AF665))/STDEV('The List'!AF2:AF665)</f>
        <v>-0.543720217388394</v>
      </c>
      <c r="T593" s="77">
        <f>(VLOOKUP($A593,'The List'!$B1:$AH665,32,FALSE)-AVERAGE('The List'!AG2:AG665))/STDEV('The List'!AG2:AG665)</f>
        <v>-0.566017552921513</v>
      </c>
      <c r="U593" s="77">
        <f>(VLOOKUP($A593,'The List'!$B1:$AH665,33,FALSE)-AVERAGE('The List'!AH2:AH665))/STDEV('The List'!AH2:AH665)</f>
        <v>0.352562662193419</v>
      </c>
      <c r="V593" s="77"/>
      <c r="W593" s="89"/>
      <c r="X593" s="79"/>
      <c r="Y593" s="79"/>
      <c r="Z593" s="79"/>
      <c r="AA593" s="79"/>
      <c r="AB593" s="79"/>
      <c r="AC593" s="82"/>
      <c r="AD593" s="83"/>
      <c r="AE593" s="84"/>
    </row>
    <row r="594" ht="21.25" customHeight="1">
      <c r="A594" t="s" s="10">
        <v>839</v>
      </c>
      <c r="B594" t="s" s="86">
        <f>VLOOKUP(A594,'Player Data'!A1:B667,2,FALSE)</f>
        <v>149</v>
      </c>
      <c r="C594" s="74">
        <f>((E594)*'Settings'!$C$12)+(F594*'Settings'!$C$2)+(G594*'Settings'!$C$3)+(H594*'Settings'!$C$4)+(I594*'Settings'!$C$5)+(K594*'Settings'!$C$9)+(N594*'Settings'!$C$6)+(J594*'Settings'!$C$8)+(O594*'Settings'!$C$7)+(P594*'Settings'!$C$14)+(Q594*'Settings'!$C$15)+(R594*'Settings'!$C$16)+(S594*'Settings'!$C$17)+(T594*'Settings'!$C$18)+(U594*'Settings'!$C$19)+(L594*'Settings'!$C$10)+('Settings'!$C$11*M594)</f>
        <v>-4.85674927805336</v>
      </c>
      <c r="D594" s="79">
        <f>IF('Settings'!$E$12="YES",VLOOKUP(A594,'Player Data'!A1:E667,5,FALSE),82)</f>
        <v>64.035</v>
      </c>
      <c r="E594" s="77">
        <f>(VLOOKUP($A594,'The List'!$B1:$AH665,17,FALSE)-AVERAGE('The List'!R2:R665))/STDEV('The List'!R2:R665)</f>
        <v>-2.34043073081989</v>
      </c>
      <c r="F594" s="77">
        <f>(VLOOKUP($A594,'The List'!$B1:$AH665,18,FALSE)-AVERAGE('The List'!S2:S665))/STDEV('The List'!S2:S665)</f>
        <v>-0.9290646574793749</v>
      </c>
      <c r="G594" s="77">
        <f>(VLOOKUP($A594,'The List'!$B1:$AH665,19,FALSE)-AVERAGE('The List'!T2:T665))/STDEV('The List'!T2:T665)</f>
        <v>-1.29418524787558</v>
      </c>
      <c r="H594" s="77">
        <f>(VLOOKUP($A594,'The List'!$B1:$AH665,20,FALSE)-AVERAGE('The List'!U2:U665))/STDEV('The List'!U2:U665)</f>
        <v>-1.22606585733887</v>
      </c>
      <c r="I594" s="77">
        <f>(VLOOKUP($A594,'The List'!$B1:$AH665,21,FALSE)-AVERAGE('The List'!V2:V665))/STDEV('The List'!V2:V665)</f>
        <v>-1.30441022601695</v>
      </c>
      <c r="J594" s="77">
        <f>(VLOOKUP($A594,'The List'!$B1:$AH665,22,FALSE)-AVERAGE('The List'!W2:W665))/STDEV('The List'!W2:W665)</f>
        <v>-0.73045372009779</v>
      </c>
      <c r="K594" s="77">
        <f>(VLOOKUP($A594,'The List'!$B1:$AH665,23,FALSE)-AVERAGE('The List'!X2:X665))/STDEV('The List'!X2:X665)</f>
        <v>-0.815668220896743</v>
      </c>
      <c r="L594" s="77">
        <f>(VLOOKUP($A594,'The List'!$B1:$AH665,24,FALSE)-AVERAGE('The List'!Y2:Y665))/STDEV('The List'!Y2:Y665)</f>
        <v>-0.541859667179026</v>
      </c>
      <c r="M594" s="77">
        <f>(VLOOKUP($A594,'The List'!$B1:$AH665,25,FALSE)-AVERAGE('The List'!Z2:Z665))/STDEV('The List'!Z2:Z665)</f>
        <v>-0.714521586677799</v>
      </c>
      <c r="N594" s="77">
        <f>(VLOOKUP($A594,'The List'!$B1:$AH665,26,FALSE)-AVERAGE('The List'!AA2:AA665))/STDEV('The List'!AA2:AA665)</f>
        <v>-1.04165139917879</v>
      </c>
      <c r="O594" s="77">
        <f>(VLOOKUP($A594,'The List'!$B1:$AH665,27,FALSE)-AVERAGE('The List'!AB2:AB665))/STDEV('The List'!AB2:AB665)</f>
        <v>0.717142809745612</v>
      </c>
      <c r="P594" s="77">
        <f>(VLOOKUP($A594,'The List'!$B1:$AH665,28,FALSE)-AVERAGE('The List'!AC2:AC665))/STDEV('The List'!AC2:AC665)</f>
        <v>0.528230473394075</v>
      </c>
      <c r="Q594" s="77">
        <f>(VLOOKUP($A594,'The List'!$B1:$AH665,29,FALSE)-AVERAGE('The List'!AD2:AD665))/STDEV('The List'!AD2:AD665)</f>
        <v>2.28357831473739</v>
      </c>
      <c r="R594" s="77">
        <f>(VLOOKUP($A594,'The List'!$B1:$AH665,30,FALSE)-AVERAGE('The List'!AE2:AE665))/STDEV('The List'!AE2:AE665)</f>
        <v>-0.832795709313302</v>
      </c>
      <c r="S594" s="77">
        <f>(VLOOKUP($A594,'The List'!$B1:$AH665,31,FALSE)-AVERAGE('The List'!AF2:AF665))/STDEV('The List'!AF2:AF665)</f>
        <v>-0.572346845990614</v>
      </c>
      <c r="T594" s="77">
        <f>(VLOOKUP($A594,'The List'!$B1:$AH665,32,FALSE)-AVERAGE('The List'!AG2:AG665))/STDEV('The List'!AG2:AG665)</f>
        <v>-0.618276213610477</v>
      </c>
      <c r="U594" s="77">
        <f>(VLOOKUP($A594,'The List'!$B1:$AH665,33,FALSE)-AVERAGE('The List'!AH2:AH665))/STDEV('The List'!AH2:AH665)</f>
        <v>-0.415115019704583</v>
      </c>
      <c r="V594" s="77"/>
      <c r="W594" s="79"/>
      <c r="X594" s="77"/>
      <c r="Y594" s="77"/>
      <c r="Z594" s="77"/>
      <c r="AA594" s="77"/>
      <c r="AB594" s="77"/>
      <c r="AC594" s="77"/>
      <c r="AD594" s="77"/>
      <c r="AE594" s="84"/>
    </row>
    <row r="595" ht="21.25" customHeight="1">
      <c r="A595" t="s" s="10">
        <v>706</v>
      </c>
      <c r="B595" t="s" s="86">
        <f>VLOOKUP(A595,'Player Data'!A1:B667,2,FALSE)</f>
        <v>902</v>
      </c>
      <c r="C595" s="74">
        <f>((E595)*'Settings'!$C$12)+(F595*'Settings'!$C$2)+(G595*'Settings'!$C$3)+(H595*'Settings'!$C$4)+(I595*'Settings'!$C$5)+(K595*'Settings'!$C$9)+(N595*'Settings'!$C$6)+(J595*'Settings'!$C$8)+(O595*'Settings'!$C$7)+(P595*'Settings'!$C$14)+(Q595*'Settings'!$C$15)+(R595*'Settings'!$C$16)+(S595*'Settings'!$C$17)+(T595*'Settings'!$C$18)+(U595*'Settings'!$C$19)+(L595*'Settings'!$C$10)+('Settings'!$C$11*M595)</f>
        <v>-3.14380452772603</v>
      </c>
      <c r="D595" s="79">
        <f>IF('Settings'!$E$12="YES",VLOOKUP(A595,'Player Data'!A1:E667,5,FALSE),82)</f>
        <v>71.9325</v>
      </c>
      <c r="E595" s="77">
        <f>(VLOOKUP($A595,'The List'!$B1:$AH665,17,FALSE)-AVERAGE('The List'!R2:R665))/STDEV('The List'!R2:R665)</f>
        <v>-0.437407367570225</v>
      </c>
      <c r="F595" s="77">
        <f>(VLOOKUP($A595,'The List'!$B1:$AH665,18,FALSE)-AVERAGE('The List'!S2:S665))/STDEV('The List'!S2:S665)</f>
        <v>-1.05158423559606</v>
      </c>
      <c r="G595" s="77">
        <f>(VLOOKUP($A595,'The List'!$B1:$AH665,19,FALSE)-AVERAGE('The List'!T2:T665))/STDEV('The List'!T2:T665)</f>
        <v>-1.12214997242298</v>
      </c>
      <c r="H595" s="77">
        <f>(VLOOKUP($A595,'The List'!$B1:$AH665,20,FALSE)-AVERAGE('The List'!U2:U665))/STDEV('The List'!U2:U665)</f>
        <v>-1.17491325014078</v>
      </c>
      <c r="I595" s="77">
        <f>(VLOOKUP($A595,'The List'!$B1:$AH665,21,FALSE)-AVERAGE('The List'!V2:V665))/STDEV('The List'!V2:V665)</f>
        <v>-1.0900432683667</v>
      </c>
      <c r="J595" s="77">
        <f>(VLOOKUP($A595,'The List'!$B1:$AH665,22,FALSE)-AVERAGE('The List'!W2:W665))/STDEV('The List'!W2:W665)</f>
        <v>-0.741534213562852</v>
      </c>
      <c r="K595" s="77">
        <f>(VLOOKUP($A595,'The List'!$B1:$AH665,23,FALSE)-AVERAGE('The List'!X2:X665))/STDEV('The List'!X2:X665)</f>
        <v>-0.818058921692287</v>
      </c>
      <c r="L595" s="77">
        <f>(VLOOKUP($A595,'The List'!$B1:$AH665,24,FALSE)-AVERAGE('The List'!Y2:Y665))/STDEV('The List'!Y2:Y665)</f>
        <v>-0.531093771966704</v>
      </c>
      <c r="M595" s="77">
        <f>(VLOOKUP($A595,'The List'!$B1:$AH665,25,FALSE)-AVERAGE('The List'!Z2:Z665))/STDEV('The List'!Z2:Z665)</f>
        <v>-0.377693860933089</v>
      </c>
      <c r="N595" s="77">
        <f>(VLOOKUP($A595,'The List'!$B1:$AH665,26,FALSE)-AVERAGE('The List'!AA2:AA665))/STDEV('The List'!AA2:AA665)</f>
        <v>0.770113629241676</v>
      </c>
      <c r="O595" s="77">
        <f>(VLOOKUP($A595,'The List'!$B1:$AH665,27,FALSE)-AVERAGE('The List'!AB2:AB665))/STDEV('The List'!AB2:AB665)</f>
        <v>0.491573054207615</v>
      </c>
      <c r="P595" s="77">
        <f>(VLOOKUP($A595,'The List'!$B1:$AH665,28,FALSE)-AVERAGE('The List'!AC2:AC665))/STDEV('The List'!AC2:AC665)</f>
        <v>0.167918241110321</v>
      </c>
      <c r="Q595" s="77">
        <f>(VLOOKUP($A595,'The List'!$B1:$AH665,29,FALSE)-AVERAGE('The List'!AD2:AD665))/STDEV('The List'!AD2:AD665)</f>
        <v>1.74680439275158</v>
      </c>
      <c r="R595" s="77">
        <f>(VLOOKUP($A595,'The List'!$B1:$AH665,30,FALSE)-AVERAGE('The List'!AE2:AE665))/STDEV('The List'!AE2:AE665)</f>
        <v>-0.985663259013524</v>
      </c>
      <c r="S595" s="77">
        <f>(VLOOKUP($A595,'The List'!$B1:$AH665,31,FALSE)-AVERAGE('The List'!AF2:AF665))/STDEV('The List'!AF2:AF665)</f>
        <v>-0.573894410680004</v>
      </c>
      <c r="T595" s="77">
        <f>(VLOOKUP($A595,'The List'!$B1:$AH665,32,FALSE)-AVERAGE('The List'!AG2:AG665))/STDEV('The List'!AG2:AG665)</f>
        <v>-0.625770787132651</v>
      </c>
      <c r="U595" s="77">
        <f>(VLOOKUP($A595,'The List'!$B1:$AH665,33,FALSE)-AVERAGE('The List'!AH2:AH665))/STDEV('The List'!AH2:AH665)</f>
        <v>-1.23143509451486</v>
      </c>
      <c r="V595" s="77"/>
      <c r="W595" s="79"/>
      <c r="X595" s="77"/>
      <c r="Y595" s="77"/>
      <c r="Z595" s="77"/>
      <c r="AA595" s="77"/>
      <c r="AB595" s="77"/>
      <c r="AC595" s="77"/>
      <c r="AD595" s="77"/>
      <c r="AE595" s="84"/>
    </row>
    <row r="596" ht="21.25" customHeight="1">
      <c r="A596" t="s" s="10">
        <v>841</v>
      </c>
      <c r="B596" t="s" s="86">
        <f>VLOOKUP(A596,'Player Data'!A1:B667,2,FALSE)</f>
        <v>871</v>
      </c>
      <c r="C596" s="74">
        <f>((E596)*'Settings'!$C$12)+(F596*'Settings'!$C$2)+(G596*'Settings'!$C$3)+(H596*'Settings'!$C$4)+(I596*'Settings'!$C$5)+(K596*'Settings'!$C$9)+(N596*'Settings'!$C$6)+(J596*'Settings'!$C$8)+(O596*'Settings'!$C$7)+(P596*'Settings'!$C$14)+(Q596*'Settings'!$C$15)+(R596*'Settings'!$C$16)+(S596*'Settings'!$C$17)+(T596*'Settings'!$C$18)+(U596*'Settings'!$C$19)+(L596*'Settings'!$C$10)+('Settings'!$C$11*M596)</f>
        <v>-4.66419324563397</v>
      </c>
      <c r="D596" s="79">
        <f>IF('Settings'!$E$12="YES",VLOOKUP(A596,'Player Data'!A1:E667,5,FALSE),82)</f>
        <v>73.16500000000001</v>
      </c>
      <c r="E596" s="77">
        <f>(VLOOKUP($A596,'The List'!$B1:$AH665,17,FALSE)-AVERAGE('The List'!R2:R665))/STDEV('The List'!R2:R665)</f>
        <v>-1.98316251359876</v>
      </c>
      <c r="F596" s="77">
        <f>(VLOOKUP($A596,'The List'!$B1:$AH665,18,FALSE)-AVERAGE('The List'!S2:S665))/STDEV('The List'!S2:S665)</f>
        <v>-0.874018304022108</v>
      </c>
      <c r="G596" s="77">
        <f>(VLOOKUP($A596,'The List'!$B1:$AH665,19,FALSE)-AVERAGE('The List'!T2:T665))/STDEV('The List'!T2:T665)</f>
        <v>-1.28166181758208</v>
      </c>
      <c r="H596" s="77">
        <f>(VLOOKUP($A596,'The List'!$B1:$AH665,20,FALSE)-AVERAGE('The List'!U2:U665))/STDEV('The List'!U2:U665)</f>
        <v>-1.1932669187482</v>
      </c>
      <c r="I596" s="77">
        <f>(VLOOKUP($A596,'The List'!$B1:$AH665,21,FALSE)-AVERAGE('The List'!V2:V665))/STDEV('The List'!V2:V665)</f>
        <v>-1.10897481858226</v>
      </c>
      <c r="J596" s="77">
        <f>(VLOOKUP($A596,'The List'!$B1:$AH665,22,FALSE)-AVERAGE('The List'!W2:W665))/STDEV('The List'!W2:W665)</f>
        <v>-0.743807767859254</v>
      </c>
      <c r="K596" s="77">
        <f>(VLOOKUP($A596,'The List'!$B1:$AH665,23,FALSE)-AVERAGE('The List'!X2:X665))/STDEV('The List'!X2:X665)</f>
        <v>-0.827358586117188</v>
      </c>
      <c r="L596" s="77">
        <f>(VLOOKUP($A596,'The List'!$B1:$AH665,24,FALSE)-AVERAGE('The List'!Y2:Y665))/STDEV('The List'!Y2:Y665)</f>
        <v>0.0137971050611869</v>
      </c>
      <c r="M596" s="77">
        <f>(VLOOKUP($A596,'The List'!$B1:$AH665,25,FALSE)-AVERAGE('The List'!Z2:Z665))/STDEV('The List'!Z2:Z665)</f>
        <v>-0.313993816928457</v>
      </c>
      <c r="N596" s="77">
        <f>(VLOOKUP($A596,'The List'!$B1:$AH665,26,FALSE)-AVERAGE('The List'!AA2:AA665))/STDEV('The List'!AA2:AA665)</f>
        <v>-0.81788687358055</v>
      </c>
      <c r="O596" s="77">
        <f>(VLOOKUP($A596,'The List'!$B1:$AH665,27,FALSE)-AVERAGE('The List'!AB2:AB665))/STDEV('The List'!AB2:AB665)</f>
        <v>0.213249650943804</v>
      </c>
      <c r="P596" s="77">
        <f>(VLOOKUP($A596,'The List'!$B1:$AH665,28,FALSE)-AVERAGE('The List'!AC2:AC665))/STDEV('The List'!AC2:AC665)</f>
        <v>0.245707154250213</v>
      </c>
      <c r="Q596" s="77">
        <f>(VLOOKUP($A596,'The List'!$B1:$AH665,29,FALSE)-AVERAGE('The List'!AD2:AD665))/STDEV('The List'!AD2:AD665)</f>
        <v>-0.816826614613981</v>
      </c>
      <c r="R596" s="77">
        <f>(VLOOKUP($A596,'The List'!$B1:$AH665,30,FALSE)-AVERAGE('The List'!AE2:AE665))/STDEV('The List'!AE2:AE665)</f>
        <v>-0.834384433193684</v>
      </c>
      <c r="S596" s="77">
        <f>(VLOOKUP($A596,'The List'!$B1:$AH665,31,FALSE)-AVERAGE('The List'!AF2:AF665))/STDEV('The List'!AF2:AF665)</f>
        <v>-0.564635000295177</v>
      </c>
      <c r="T596" s="77">
        <f>(VLOOKUP($A596,'The List'!$B1:$AH665,32,FALSE)-AVERAGE('The List'!AG2:AG665))/STDEV('The List'!AG2:AG665)</f>
        <v>-0.593721636907529</v>
      </c>
      <c r="U596" s="77">
        <f>(VLOOKUP($A596,'The List'!$B1:$AH665,33,FALSE)-AVERAGE('The List'!AH2:AH665))/STDEV('The List'!AH2:AH665)</f>
        <v>-0.16587175617472</v>
      </c>
      <c r="V596" s="77"/>
      <c r="W596" s="89"/>
      <c r="X596" s="79"/>
      <c r="Y596" s="79"/>
      <c r="Z596" s="79"/>
      <c r="AA596" s="79"/>
      <c r="AB596" s="79"/>
      <c r="AC596" s="82"/>
      <c r="AD596" s="83"/>
      <c r="AE596" s="84"/>
    </row>
    <row r="597" ht="21.25" customHeight="1">
      <c r="A597" t="s" s="10">
        <v>481</v>
      </c>
      <c r="B597" t="s" s="86">
        <f>VLOOKUP(A597,'Player Data'!A1:B667,2,FALSE)</f>
        <v>132</v>
      </c>
      <c r="C597" s="74">
        <f>((E597)*'Settings'!$C$12)+(F597*'Settings'!$C$2)+(G597*'Settings'!$C$3)+(H597*'Settings'!$C$4)+(I597*'Settings'!$C$5)+(K597*'Settings'!$C$9)+(N597*'Settings'!$C$6)+(J597*'Settings'!$C$8)+(O597*'Settings'!$C$7)+(P597*'Settings'!$C$14)+(Q597*'Settings'!$C$15)+(R597*'Settings'!$C$16)+(S597*'Settings'!$C$17)+(T597*'Settings'!$C$18)+(U597*'Settings'!$C$19)+(L597*'Settings'!$C$10)+('Settings'!$C$11*M597)</f>
        <v>-2.23761803802941</v>
      </c>
      <c r="D597" s="79">
        <f>IF('Settings'!$E$12="YES",VLOOKUP(A597,'Player Data'!A1:E667,5,FALSE),82)</f>
        <v>75.38500000000001</v>
      </c>
      <c r="E597" s="77">
        <f>(VLOOKUP($A597,'The List'!$B1:$AH665,17,FALSE)-AVERAGE('The List'!R2:R665))/STDEV('The List'!R2:R665)</f>
        <v>0.0537159631637012</v>
      </c>
      <c r="F597" s="77">
        <f>(VLOOKUP($A597,'The List'!$B1:$AH665,18,FALSE)-AVERAGE('The List'!S2:S665))/STDEV('The List'!S2:S665)</f>
        <v>-1.11084235966781</v>
      </c>
      <c r="G597" s="77">
        <f>(VLOOKUP($A597,'The List'!$B1:$AH665,19,FALSE)-AVERAGE('The List'!T2:T665))/STDEV('The List'!T2:T665)</f>
        <v>-1.12580678581026</v>
      </c>
      <c r="H597" s="77">
        <f>(VLOOKUP($A597,'The List'!$B1:$AH665,20,FALSE)-AVERAGE('The List'!U2:U665))/STDEV('The List'!U2:U665)</f>
        <v>-1.20411997102535</v>
      </c>
      <c r="I597" s="77">
        <f>(VLOOKUP($A597,'The List'!$B1:$AH665,21,FALSE)-AVERAGE('The List'!V2:V665))/STDEV('The List'!V2:V665)</f>
        <v>-1.06540994965454</v>
      </c>
      <c r="J597" s="77">
        <f>(VLOOKUP($A597,'The List'!$B1:$AH665,22,FALSE)-AVERAGE('The List'!W2:W665))/STDEV('The List'!W2:W665)</f>
        <v>-0.741363506312658</v>
      </c>
      <c r="K597" s="77">
        <f>(VLOOKUP($A597,'The List'!$B1:$AH665,23,FALSE)-AVERAGE('The List'!X2:X665))/STDEV('The List'!X2:X665)</f>
        <v>-0.817853883305429</v>
      </c>
      <c r="L597" s="77">
        <f>(VLOOKUP($A597,'The List'!$B1:$AH665,24,FALSE)-AVERAGE('The List'!Y2:Y665))/STDEV('The List'!Y2:Y665)</f>
        <v>-0.546292404315076</v>
      </c>
      <c r="M597" s="77">
        <f>(VLOOKUP($A597,'The List'!$B1:$AH665,25,FALSE)-AVERAGE('The List'!Z2:Z665))/STDEV('The List'!Z2:Z665)</f>
        <v>-0.651493422235547</v>
      </c>
      <c r="N597" s="77">
        <f>(VLOOKUP($A597,'The List'!$B1:$AH665,26,FALSE)-AVERAGE('The List'!AA2:AA665))/STDEV('The List'!AA2:AA665)</f>
        <v>1.0300654205115</v>
      </c>
      <c r="O597" s="77">
        <f>(VLOOKUP($A597,'The List'!$B1:$AH665,27,FALSE)-AVERAGE('The List'!AB2:AB665))/STDEV('The List'!AB2:AB665)</f>
        <v>2.69303546732382</v>
      </c>
      <c r="P597" s="77">
        <f>(VLOOKUP($A597,'The List'!$B1:$AH665,28,FALSE)-AVERAGE('The List'!AC2:AC665))/STDEV('The List'!AC2:AC665)</f>
        <v>0.852229519897131</v>
      </c>
      <c r="Q597" s="77">
        <f>(VLOOKUP($A597,'The List'!$B1:$AH665,29,FALSE)-AVERAGE('The List'!AD2:AD665))/STDEV('The List'!AD2:AD665)</f>
        <v>1.03249419711634</v>
      </c>
      <c r="R597" s="77">
        <f>(VLOOKUP($A597,'The List'!$B1:$AH665,30,FALSE)-AVERAGE('The List'!AE2:AE665))/STDEV('The List'!AE2:AE665)</f>
        <v>-1.04639925691562</v>
      </c>
      <c r="S597" s="77">
        <f>(VLOOKUP($A597,'The List'!$B1:$AH665,31,FALSE)-AVERAGE('The List'!AF2:AF665))/STDEV('The List'!AF2:AF665)</f>
        <v>-0.573894410680004</v>
      </c>
      <c r="T597" s="77">
        <f>(VLOOKUP($A597,'The List'!$B1:$AH665,32,FALSE)-AVERAGE('The List'!AG2:AG665))/STDEV('The List'!AG2:AG665)</f>
        <v>-0.625770787132651</v>
      </c>
      <c r="U597" s="77">
        <f>(VLOOKUP($A597,'The List'!$B1:$AH665,33,FALSE)-AVERAGE('The List'!AH2:AH665))/STDEV('The List'!AH2:AH665)</f>
        <v>-1.23143509451486</v>
      </c>
      <c r="V597" s="77"/>
      <c r="W597" s="89"/>
      <c r="X597" s="79"/>
      <c r="Y597" s="79"/>
      <c r="Z597" s="79"/>
      <c r="AA597" s="79"/>
      <c r="AB597" s="79"/>
      <c r="AC597" s="82"/>
      <c r="AD597" s="83"/>
      <c r="AE597" s="84"/>
    </row>
    <row r="598" ht="21.25" customHeight="1">
      <c r="A598" t="s" s="10">
        <v>855</v>
      </c>
      <c r="B598" t="s" s="86">
        <f>VLOOKUP(A598,'Player Data'!A1:B667,2,FALSE)</f>
        <v>878</v>
      </c>
      <c r="C598" s="74">
        <f>((E598)*'Settings'!$C$12)+(F598*'Settings'!$C$2)+(G598*'Settings'!$C$3)+(H598*'Settings'!$C$4)+(I598*'Settings'!$C$5)+(K598*'Settings'!$C$9)+(N598*'Settings'!$C$6)+(J598*'Settings'!$C$8)+(O598*'Settings'!$C$7)+(P598*'Settings'!$C$14)+(Q598*'Settings'!$C$15)+(R598*'Settings'!$C$16)+(S598*'Settings'!$C$17)+(T598*'Settings'!$C$18)+(U598*'Settings'!$C$19)+(L598*'Settings'!$C$10)+('Settings'!$C$11*M598)</f>
        <v>-5.4856967565932</v>
      </c>
      <c r="D598" s="79">
        <f>IF('Settings'!$E$12="YES",VLOOKUP(A598,'Player Data'!A1:E667,5,FALSE),82)</f>
        <v>58.43</v>
      </c>
      <c r="E598" s="77">
        <f>(VLOOKUP($A598,'The List'!$B1:$AH665,17,FALSE)-AVERAGE('The List'!R2:R665))/STDEV('The List'!R2:R665)</f>
        <v>-3.08907419016974</v>
      </c>
      <c r="F598" s="77">
        <f>(VLOOKUP($A598,'The List'!$B1:$AH665,18,FALSE)-AVERAGE('The List'!S2:S665))/STDEV('The List'!S2:S665)</f>
        <v>-0.996800821277998</v>
      </c>
      <c r="G598" s="77">
        <f>(VLOOKUP($A598,'The List'!$B1:$AH665,19,FALSE)-AVERAGE('The List'!T2:T665))/STDEV('The List'!T2:T665)</f>
        <v>-1.36949322155665</v>
      </c>
      <c r="H598" s="77">
        <f>(VLOOKUP($A598,'The List'!$B1:$AH665,20,FALSE)-AVERAGE('The List'!U2:U665))/STDEV('The List'!U2:U665)</f>
        <v>-1.30362564962494</v>
      </c>
      <c r="I598" s="77">
        <f>(VLOOKUP($A598,'The List'!$B1:$AH665,21,FALSE)-AVERAGE('The List'!V2:V665))/STDEV('The List'!V2:V665)</f>
        <v>-1.5851348624038</v>
      </c>
      <c r="J598" s="77">
        <f>(VLOOKUP($A598,'The List'!$B1:$AH665,22,FALSE)-AVERAGE('The List'!W2:W665))/STDEV('The List'!W2:W665)</f>
        <v>-0.73337131188979</v>
      </c>
      <c r="K598" s="77">
        <f>(VLOOKUP($A598,'The List'!$B1:$AH665,23,FALSE)-AVERAGE('The List'!X2:X665))/STDEV('The List'!X2:X665)</f>
        <v>-0.818318722255868</v>
      </c>
      <c r="L598" s="77">
        <f>(VLOOKUP($A598,'The List'!$B1:$AH665,24,FALSE)-AVERAGE('The List'!Y2:Y665))/STDEV('The List'!Y2:Y665)</f>
        <v>-0.578975061316899</v>
      </c>
      <c r="M598" s="77">
        <f>(VLOOKUP($A598,'The List'!$B1:$AH665,25,FALSE)-AVERAGE('The List'!Z2:Z665))/STDEV('The List'!Z2:Z665)</f>
        <v>-0.7528015874651141</v>
      </c>
      <c r="N598" s="77">
        <f>(VLOOKUP($A598,'The List'!$B1:$AH665,26,FALSE)-AVERAGE('The List'!AA2:AA665))/STDEV('The List'!AA2:AA665)</f>
        <v>-1.19362485131774</v>
      </c>
      <c r="O598" s="77">
        <f>(VLOOKUP($A598,'The List'!$B1:$AH665,27,FALSE)-AVERAGE('The List'!AB2:AB665))/STDEV('The List'!AB2:AB665)</f>
        <v>-0.255374617033421</v>
      </c>
      <c r="P598" s="77">
        <f>(VLOOKUP($A598,'The List'!$B1:$AH665,28,FALSE)-AVERAGE('The List'!AC2:AC665))/STDEV('The List'!AC2:AC665)</f>
        <v>0.477675722218855</v>
      </c>
      <c r="Q598" s="77">
        <f>(VLOOKUP($A598,'The List'!$B1:$AH665,29,FALSE)-AVERAGE('The List'!AD2:AD665))/STDEV('The List'!AD2:AD665)</f>
        <v>-0.562585728516506</v>
      </c>
      <c r="R598" s="77">
        <f>(VLOOKUP($A598,'The List'!$B1:$AH665,30,FALSE)-AVERAGE('The List'!AE2:AE665))/STDEV('The List'!AE2:AE665)</f>
        <v>-0.921781680061957</v>
      </c>
      <c r="S598" s="77">
        <f>(VLOOKUP($A598,'The List'!$B1:$AH665,31,FALSE)-AVERAGE('The List'!AF2:AF665))/STDEV('The List'!AF2:AF665)</f>
        <v>-0.507688505419635</v>
      </c>
      <c r="T598" s="77">
        <f>(VLOOKUP($A598,'The List'!$B1:$AH665,32,FALSE)-AVERAGE('The List'!AG2:AG665))/STDEV('The List'!AG2:AG665)</f>
        <v>-0.555351225972178</v>
      </c>
      <c r="U598" s="77">
        <f>(VLOOKUP($A598,'The List'!$B1:$AH665,33,FALSE)-AVERAGE('The List'!AH2:AH665))/STDEV('The List'!AH2:AH665)</f>
        <v>1.03509417916631</v>
      </c>
      <c r="V598" s="77"/>
      <c r="W598" s="89"/>
      <c r="X598" s="79"/>
      <c r="Y598" s="79"/>
      <c r="Z598" s="79"/>
      <c r="AA598" s="79"/>
      <c r="AB598" s="79"/>
      <c r="AC598" s="82"/>
      <c r="AD598" s="83"/>
      <c r="AE598" s="84"/>
    </row>
    <row r="599" ht="21.25" customHeight="1">
      <c r="A599" t="s" s="10">
        <v>836</v>
      </c>
      <c r="B599" t="s" s="86">
        <f>VLOOKUP(A599,'Player Data'!A1:B667,2,FALSE)</f>
        <v>174</v>
      </c>
      <c r="C599" s="74">
        <f>((E599)*'Settings'!$C$12)+(F599*'Settings'!$C$2)+(G599*'Settings'!$C$3)+(H599*'Settings'!$C$4)+(I599*'Settings'!$C$5)+(K599*'Settings'!$C$9)+(N599*'Settings'!$C$6)+(J599*'Settings'!$C$8)+(O599*'Settings'!$C$7)+(P599*'Settings'!$C$14)+(Q599*'Settings'!$C$15)+(R599*'Settings'!$C$16)+(S599*'Settings'!$C$17)+(T599*'Settings'!$C$18)+(U599*'Settings'!$C$19)+(L599*'Settings'!$C$10)+('Settings'!$C$11*M599)</f>
        <v>-5.6626339880688</v>
      </c>
      <c r="D599" s="79">
        <f>IF('Settings'!$E$12="YES",VLOOKUP(A599,'Player Data'!A1:E667,5,FALSE),82)</f>
        <v>62.295</v>
      </c>
      <c r="E599" s="77">
        <f>(VLOOKUP($A599,'The List'!$B1:$AH665,17,FALSE)-AVERAGE('The List'!R2:R665))/STDEV('The List'!R2:R665)</f>
        <v>-1.50748635264459</v>
      </c>
      <c r="F599" s="77">
        <f>(VLOOKUP($A599,'The List'!$B1:$AH665,18,FALSE)-AVERAGE('The List'!S2:S665))/STDEV('The List'!S2:S665)</f>
        <v>-0.949565857221556</v>
      </c>
      <c r="G599" s="77">
        <f>(VLOOKUP($A599,'The List'!$B1:$AH665,19,FALSE)-AVERAGE('The List'!T2:T665))/STDEV('The List'!T2:T665)</f>
        <v>-1.39175567570503</v>
      </c>
      <c r="H599" s="77">
        <f>(VLOOKUP($A599,'The List'!$B1:$AH665,20,FALSE)-AVERAGE('The List'!U2:U665))/STDEV('The List'!U2:U665)</f>
        <v>-1.29598134900517</v>
      </c>
      <c r="I599" s="77">
        <f>(VLOOKUP($A599,'The List'!$B1:$AH665,21,FALSE)-AVERAGE('The List'!V2:V665))/STDEV('The List'!V2:V665)</f>
        <v>-1.29454464089433</v>
      </c>
      <c r="J599" s="77">
        <f>(VLOOKUP($A599,'The List'!$B1:$AH665,22,FALSE)-AVERAGE('The List'!W2:W665))/STDEV('The List'!W2:W665)</f>
        <v>-0.733698524050966</v>
      </c>
      <c r="K599" s="77">
        <f>(VLOOKUP($A599,'The List'!$B1:$AH665,23,FALSE)-AVERAGE('The List'!X2:X665))/STDEV('The List'!X2:X665)</f>
        <v>-0.818445436876416</v>
      </c>
      <c r="L599" s="77">
        <f>(VLOOKUP($A599,'The List'!$B1:$AH665,24,FALSE)-AVERAGE('The List'!Y2:Y665))/STDEV('The List'!Y2:Y665)</f>
        <v>-0.314845469046663</v>
      </c>
      <c r="M599" s="77">
        <f>(VLOOKUP($A599,'The List'!$B1:$AH665,25,FALSE)-AVERAGE('The List'!Z2:Z665))/STDEV('The List'!Z2:Z665)</f>
        <v>-0.431487125372269</v>
      </c>
      <c r="N599" s="77">
        <f>(VLOOKUP($A599,'The List'!$B1:$AH665,26,FALSE)-AVERAGE('The List'!AA2:AA665))/STDEV('The List'!AA2:AA665)</f>
        <v>-0.394579297204599</v>
      </c>
      <c r="O599" s="77">
        <f>(VLOOKUP($A599,'The List'!$B1:$AH665,27,FALSE)-AVERAGE('The List'!AB2:AB665))/STDEV('The List'!AB2:AB665)</f>
        <v>0.206622045666197</v>
      </c>
      <c r="P599" s="77">
        <f>(VLOOKUP($A599,'The List'!$B1:$AH665,28,FALSE)-AVERAGE('The List'!AC2:AC665))/STDEV('The List'!AC2:AC665)</f>
        <v>-0.813743080166873</v>
      </c>
      <c r="Q599" s="77">
        <f>(VLOOKUP($A599,'The List'!$B1:$AH665,29,FALSE)-AVERAGE('The List'!AD2:AD665))/STDEV('The List'!AD2:AD665)</f>
        <v>-1.26792177451108</v>
      </c>
      <c r="R599" s="77">
        <f>(VLOOKUP($A599,'The List'!$B1:$AH665,30,FALSE)-AVERAGE('The List'!AE2:AE665))/STDEV('The List'!AE2:AE665)</f>
        <v>-0.9170043937760251</v>
      </c>
      <c r="S599" s="77">
        <f>(VLOOKUP($A599,'The List'!$B1:$AH665,31,FALSE)-AVERAGE('The List'!AF2:AF665))/STDEV('The List'!AF2:AF665)</f>
        <v>0.264887739954692</v>
      </c>
      <c r="T599" s="77">
        <f>(VLOOKUP($A599,'The List'!$B1:$AH665,32,FALSE)-AVERAGE('The List'!AG2:AG665))/STDEV('The List'!AG2:AG665)</f>
        <v>0.459349512961482</v>
      </c>
      <c r="U599" s="77">
        <f>(VLOOKUP($A599,'The List'!$B1:$AH665,33,FALSE)-AVERAGE('The List'!AH2:AH665))/STDEV('The List'!AH2:AH665)</f>
        <v>0.813914236504985</v>
      </c>
      <c r="V599" s="77"/>
      <c r="W599" s="89"/>
      <c r="X599" s="79"/>
      <c r="Y599" s="79"/>
      <c r="Z599" s="79"/>
      <c r="AA599" s="79"/>
      <c r="AB599" s="79"/>
      <c r="AC599" s="82"/>
      <c r="AD599" s="83"/>
      <c r="AE599" s="84"/>
    </row>
    <row r="600" ht="21.25" customHeight="1">
      <c r="A600" t="s" s="10">
        <v>732</v>
      </c>
      <c r="B600" t="s" s="86">
        <f>VLOOKUP(A600,'Player Data'!A1:B667,2,FALSE)</f>
        <v>866</v>
      </c>
      <c r="C600" s="74">
        <f>((E600)*'Settings'!$C$12)+(F600*'Settings'!$C$2)+(G600*'Settings'!$C$3)+(H600*'Settings'!$C$4)+(I600*'Settings'!$C$5)+(K600*'Settings'!$C$9)+(N600*'Settings'!$C$6)+(J600*'Settings'!$C$8)+(O600*'Settings'!$C$7)+(P600*'Settings'!$C$14)+(Q600*'Settings'!$C$15)+(R600*'Settings'!$C$16)+(S600*'Settings'!$C$17)+(T600*'Settings'!$C$18)+(U600*'Settings'!$C$19)+(L600*'Settings'!$C$10)+('Settings'!$C$11*M600)</f>
        <v>-4.85444273109771</v>
      </c>
      <c r="D600" s="79">
        <f>IF('Settings'!$E$12="YES",VLOOKUP(A600,'Player Data'!A1:E667,5,FALSE),82)</f>
        <v>80.2025</v>
      </c>
      <c r="E600" s="77">
        <f>(VLOOKUP($A600,'The List'!$B1:$AH665,17,FALSE)-AVERAGE('The List'!R2:R665))/STDEV('The List'!R2:R665)</f>
        <v>-1.43869366371612</v>
      </c>
      <c r="F600" s="77">
        <f>(VLOOKUP($A600,'The List'!$B1:$AH665,18,FALSE)-AVERAGE('The List'!S2:S665))/STDEV('The List'!S2:S665)</f>
        <v>-0.757921867647869</v>
      </c>
      <c r="G600" s="77">
        <f>(VLOOKUP($A600,'The List'!$B1:$AH665,19,FALSE)-AVERAGE('The List'!T2:T665))/STDEV('The List'!T2:T665)</f>
        <v>-1.48994740684448</v>
      </c>
      <c r="H600" s="77">
        <f>(VLOOKUP($A600,'The List'!$B1:$AH665,20,FALSE)-AVERAGE('The List'!U2:U665))/STDEV('The List'!U2:U665)</f>
        <v>-1.26985263234734</v>
      </c>
      <c r="I600" s="77">
        <f>(VLOOKUP($A600,'The List'!$B1:$AH665,21,FALSE)-AVERAGE('The List'!V2:V665))/STDEV('The List'!V2:V665)</f>
        <v>-1.11538848505904</v>
      </c>
      <c r="J600" s="77">
        <f>(VLOOKUP($A600,'The List'!$B1:$AH665,22,FALSE)-AVERAGE('The List'!W2:W665))/STDEV('The List'!W2:W665)</f>
        <v>-0.741791537198859</v>
      </c>
      <c r="K600" s="77">
        <f>(VLOOKUP($A600,'The List'!$B1:$AH665,23,FALSE)-AVERAGE('The List'!X2:X665))/STDEV('The List'!X2:X665)</f>
        <v>-0.825895209119516</v>
      </c>
      <c r="L600" s="77">
        <f>(VLOOKUP($A600,'The List'!$B1:$AH665,24,FALSE)-AVERAGE('The List'!Y2:Y665))/STDEV('The List'!Y2:Y665)</f>
        <v>1.05130153980564</v>
      </c>
      <c r="M600" s="77">
        <f>(VLOOKUP($A600,'The List'!$B1:$AH665,25,FALSE)-AVERAGE('The List'!Z2:Z665))/STDEV('The List'!Z2:Z665)</f>
        <v>0.5160713084891561</v>
      </c>
      <c r="N600" s="77">
        <f>(VLOOKUP($A600,'The List'!$B1:$AH665,26,FALSE)-AVERAGE('The List'!AA2:AA665))/STDEV('The List'!AA2:AA665)</f>
        <v>-0.275894123098606</v>
      </c>
      <c r="O600" s="77">
        <f>(VLOOKUP($A600,'The List'!$B1:$AH665,27,FALSE)-AVERAGE('The List'!AB2:AB665))/STDEV('The List'!AB2:AB665)</f>
        <v>0.66895692020245</v>
      </c>
      <c r="P600" s="77">
        <f>(VLOOKUP($A600,'The List'!$B1:$AH665,28,FALSE)-AVERAGE('The List'!AC2:AC665))/STDEV('The List'!AC2:AC665)</f>
        <v>-0.389395639328195</v>
      </c>
      <c r="Q600" s="77">
        <f>(VLOOKUP($A600,'The List'!$B1:$AH665,29,FALSE)-AVERAGE('The List'!AD2:AD665))/STDEV('The List'!AD2:AD665)</f>
        <v>-0.575759271662533</v>
      </c>
      <c r="R600" s="77">
        <f>(VLOOKUP($A600,'The List'!$B1:$AH665,30,FALSE)-AVERAGE('The List'!AE2:AE665))/STDEV('The List'!AE2:AE665)</f>
        <v>-0.692935653390468</v>
      </c>
      <c r="S600" s="77">
        <f>(VLOOKUP($A600,'The List'!$B1:$AH665,31,FALSE)-AVERAGE('The List'!AF2:AF665))/STDEV('The List'!AF2:AF665)</f>
        <v>1.76859431463672</v>
      </c>
      <c r="T600" s="77">
        <f>(VLOOKUP($A600,'The List'!$B1:$AH665,32,FALSE)-AVERAGE('The List'!AG2:AG665))/STDEV('The List'!AG2:AG665)</f>
        <v>1.19967969485662</v>
      </c>
      <c r="U600" s="77">
        <f>(VLOOKUP($A600,'The List'!$B1:$AH665,33,FALSE)-AVERAGE('The List'!AH2:AH665))/STDEV('The List'!AH2:AH665)</f>
        <v>1.38482390952774</v>
      </c>
      <c r="V600" s="77"/>
      <c r="W600" s="89"/>
      <c r="X600" s="79"/>
      <c r="Y600" s="79"/>
      <c r="Z600" s="79"/>
      <c r="AA600" s="79"/>
      <c r="AB600" s="79"/>
      <c r="AC600" s="82"/>
      <c r="AD600" s="83"/>
      <c r="AE600" s="84"/>
    </row>
    <row r="601" ht="21.25" customHeight="1">
      <c r="A601" t="s" s="10">
        <v>853</v>
      </c>
      <c r="B601" t="s" s="86">
        <f>VLOOKUP(A601,'Player Data'!A1:B667,2,FALSE)</f>
        <v>904</v>
      </c>
      <c r="C601" s="74">
        <f>((E601)*'Settings'!$C$12)+(F601*'Settings'!$C$2)+(G601*'Settings'!$C$3)+(H601*'Settings'!$C$4)+(I601*'Settings'!$C$5)+(K601*'Settings'!$C$9)+(N601*'Settings'!$C$6)+(J601*'Settings'!$C$8)+(O601*'Settings'!$C$7)+(P601*'Settings'!$C$14)+(Q601*'Settings'!$C$15)+(R601*'Settings'!$C$16)+(S601*'Settings'!$C$17)+(T601*'Settings'!$C$18)+(U601*'Settings'!$C$19)+(L601*'Settings'!$C$10)+('Settings'!$C$11*M601)</f>
        <v>-6.18564271955263</v>
      </c>
      <c r="D601" s="79">
        <f>IF('Settings'!$E$12="YES",VLOOKUP(A601,'Player Data'!A1:E667,5,FALSE),82)</f>
        <v>68.52500000000001</v>
      </c>
      <c r="E601" s="77">
        <f>(VLOOKUP($A601,'The List'!$B1:$AH665,17,FALSE)-AVERAGE('The List'!R2:R665))/STDEV('The List'!R2:R665)</f>
        <v>-2.88243583605523</v>
      </c>
      <c r="F601" s="77">
        <f>(VLOOKUP($A601,'The List'!$B1:$AH665,18,FALSE)-AVERAGE('The List'!S2:S665))/STDEV('The List'!S2:S665)</f>
        <v>-1.03136693241934</v>
      </c>
      <c r="G601" s="77">
        <f>(VLOOKUP($A601,'The List'!$B1:$AH665,19,FALSE)-AVERAGE('The List'!T2:T665))/STDEV('The List'!T2:T665)</f>
        <v>-1.38204813086508</v>
      </c>
      <c r="H601" s="77">
        <f>(VLOOKUP($A601,'The List'!$B1:$AH665,20,FALSE)-AVERAGE('The List'!U2:U665))/STDEV('The List'!U2:U665)</f>
        <v>-1.32713489481724</v>
      </c>
      <c r="I601" s="77">
        <f>(VLOOKUP($A601,'The List'!$B1:$AH665,21,FALSE)-AVERAGE('The List'!V2:V665))/STDEV('The List'!V2:V665)</f>
        <v>-1.43861951822296</v>
      </c>
      <c r="J601" s="77">
        <f>(VLOOKUP($A601,'The List'!$B1:$AH665,22,FALSE)-AVERAGE('The List'!W2:W665))/STDEV('The List'!W2:W665)</f>
        <v>-0.733495298066058</v>
      </c>
      <c r="K601" s="77">
        <f>(VLOOKUP($A601,'The List'!$B1:$AH665,23,FALSE)-AVERAGE('The List'!X2:X665))/STDEV('The List'!X2:X665)</f>
        <v>-0.818233332295355</v>
      </c>
      <c r="L601" s="77">
        <f>(VLOOKUP($A601,'The List'!$B1:$AH665,24,FALSE)-AVERAGE('The List'!Y2:Y665))/STDEV('The List'!Y2:Y665)</f>
        <v>-0.580182913902084</v>
      </c>
      <c r="M601" s="77">
        <f>(VLOOKUP($A601,'The List'!$B1:$AH665,25,FALSE)-AVERAGE('The List'!Z2:Z665))/STDEV('The List'!Z2:Z665)</f>
        <v>-0.754036664989997</v>
      </c>
      <c r="N601" s="77">
        <f>(VLOOKUP($A601,'The List'!$B1:$AH665,26,FALSE)-AVERAGE('The List'!AA2:AA665))/STDEV('The List'!AA2:AA665)</f>
        <v>-1.11349491243296</v>
      </c>
      <c r="O601" s="77">
        <f>(VLOOKUP($A601,'The List'!$B1:$AH665,27,FALSE)-AVERAGE('The List'!AB2:AB665))/STDEV('The List'!AB2:AB665)</f>
        <v>0.129777215775037</v>
      </c>
      <c r="P601" s="77">
        <f>(VLOOKUP($A601,'The List'!$B1:$AH665,28,FALSE)-AVERAGE('The List'!AC2:AC665))/STDEV('The List'!AC2:AC665)</f>
        <v>-0.401879893316936</v>
      </c>
      <c r="Q601" s="77">
        <f>(VLOOKUP($A601,'The List'!$B1:$AH665,29,FALSE)-AVERAGE('The List'!AD2:AD665))/STDEV('The List'!AD2:AD665)</f>
        <v>0.533612383376891</v>
      </c>
      <c r="R601" s="77">
        <f>(VLOOKUP($A601,'The List'!$B1:$AH665,30,FALSE)-AVERAGE('The List'!AE2:AE665))/STDEV('The List'!AE2:AE665)</f>
        <v>-0.973935368259517</v>
      </c>
      <c r="S601" s="77">
        <f>(VLOOKUP($A601,'The List'!$B1:$AH665,31,FALSE)-AVERAGE('The List'!AF2:AF665))/STDEV('The List'!AF2:AF665)</f>
        <v>-0.466781917123628</v>
      </c>
      <c r="T601" s="77">
        <f>(VLOOKUP($A601,'The List'!$B1:$AH665,32,FALSE)-AVERAGE('The List'!AG2:AG665))/STDEV('The List'!AG2:AG665)</f>
        <v>-0.517064714645221</v>
      </c>
      <c r="U601" s="77">
        <f>(VLOOKUP($A601,'The List'!$B1:$AH665,33,FALSE)-AVERAGE('The List'!AH2:AH665))/STDEV('The List'!AH2:AH665)</f>
        <v>1.08827236500521</v>
      </c>
      <c r="V601" s="77"/>
      <c r="W601" s="89"/>
      <c r="X601" s="79"/>
      <c r="Y601" s="79"/>
      <c r="Z601" s="79"/>
      <c r="AA601" s="79"/>
      <c r="AB601" s="79"/>
      <c r="AC601" s="82"/>
      <c r="AD601" s="83"/>
      <c r="AE601" s="84"/>
    </row>
    <row r="602" ht="21.25" customHeight="1">
      <c r="A602" t="s" s="10">
        <v>834</v>
      </c>
      <c r="B602" t="s" s="86">
        <f>VLOOKUP(A602,'Player Data'!A1:B667,2,FALSE)</f>
        <v>914</v>
      </c>
      <c r="C602" s="74">
        <f>((E602)*'Settings'!$C$12)+(F602*'Settings'!$C$2)+(G602*'Settings'!$C$3)+(H602*'Settings'!$C$4)+(I602*'Settings'!$C$5)+(K602*'Settings'!$C$9)+(N602*'Settings'!$C$6)+(J602*'Settings'!$C$8)+(O602*'Settings'!$C$7)+(P602*'Settings'!$C$14)+(Q602*'Settings'!$C$15)+(R602*'Settings'!$C$16)+(S602*'Settings'!$C$17)+(T602*'Settings'!$C$18)+(U602*'Settings'!$C$19)+(L602*'Settings'!$C$10)+('Settings'!$C$11*M602)</f>
        <v>-3.83557282944596</v>
      </c>
      <c r="D602" s="79">
        <f>IF('Settings'!$E$12="YES",VLOOKUP(A602,'Player Data'!A1:E667,5,FALSE),82)</f>
        <v>81.0125</v>
      </c>
      <c r="E602" s="77">
        <f>(VLOOKUP($A602,'The List'!$B1:$AH665,17,FALSE)-AVERAGE('The List'!R2:R665))/STDEV('The List'!R2:R665)</f>
        <v>-1.0875511908051</v>
      </c>
      <c r="F602" s="77">
        <f>(VLOOKUP($A602,'The List'!$B1:$AH665,18,FALSE)-AVERAGE('The List'!S2:S665))/STDEV('The List'!S2:S665)</f>
        <v>-1.20760320964998</v>
      </c>
      <c r="G602" s="77">
        <f>(VLOOKUP($A602,'The List'!$B1:$AH665,19,FALSE)-AVERAGE('The List'!T2:T665))/STDEV('The List'!T2:T665)</f>
        <v>-1.21520511520253</v>
      </c>
      <c r="H602" s="77">
        <f>(VLOOKUP($A602,'The List'!$B1:$AH665,20,FALSE)-AVERAGE('The List'!U2:U665))/STDEV('The List'!U2:U665)</f>
        <v>-1.3036237660067</v>
      </c>
      <c r="I602" s="77">
        <f>(VLOOKUP($A602,'The List'!$B1:$AH665,21,FALSE)-AVERAGE('The List'!V2:V665))/STDEV('The List'!V2:V665)</f>
        <v>-1.25520640092501</v>
      </c>
      <c r="J602" s="77">
        <f>(VLOOKUP($A602,'The List'!$B1:$AH665,22,FALSE)-AVERAGE('The List'!W2:W665))/STDEV('The List'!W2:W665)</f>
        <v>-0.744436546449095</v>
      </c>
      <c r="K602" s="77">
        <f>(VLOOKUP($A602,'The List'!$B1:$AH665,23,FALSE)-AVERAGE('The List'!X2:X665))/STDEV('The List'!X2:X665)</f>
        <v>-0.824502171898171</v>
      </c>
      <c r="L602" s="77">
        <f>(VLOOKUP($A602,'The List'!$B1:$AH665,24,FALSE)-AVERAGE('The List'!Y2:Y665))/STDEV('The List'!Y2:Y665)</f>
        <v>-0.564298524297803</v>
      </c>
      <c r="M602" s="77">
        <f>(VLOOKUP($A602,'The List'!$B1:$AH665,25,FALSE)-AVERAGE('The List'!Z2:Z665))/STDEV('The List'!Z2:Z665)</f>
        <v>-0.36955417859327</v>
      </c>
      <c r="N602" s="77">
        <f>(VLOOKUP($A602,'The List'!$B1:$AH665,26,FALSE)-AVERAGE('The List'!AA2:AA665))/STDEV('The List'!AA2:AA665)</f>
        <v>0.322177600649171</v>
      </c>
      <c r="O602" s="77">
        <f>(VLOOKUP($A602,'The List'!$B1:$AH665,27,FALSE)-AVERAGE('The List'!AB2:AB665))/STDEV('The List'!AB2:AB665)</f>
        <v>-0.321783497748571</v>
      </c>
      <c r="P602" s="77">
        <f>(VLOOKUP($A602,'The List'!$B1:$AH665,28,FALSE)-AVERAGE('The List'!AC2:AC665))/STDEV('The List'!AC2:AC665)</f>
        <v>0.344766467580559</v>
      </c>
      <c r="Q602" s="77">
        <f>(VLOOKUP($A602,'The List'!$B1:$AH665,29,FALSE)-AVERAGE('The List'!AD2:AD665))/STDEV('The List'!AD2:AD665)</f>
        <v>-0.873818875593232</v>
      </c>
      <c r="R602" s="77">
        <f>(VLOOKUP($A602,'The List'!$B1:$AH665,30,FALSE)-AVERAGE('The List'!AE2:AE665))/STDEV('The List'!AE2:AE665)</f>
        <v>-1.18565822977219</v>
      </c>
      <c r="S602" s="77">
        <f>(VLOOKUP($A602,'The List'!$B1:$AH665,31,FALSE)-AVERAGE('The List'!AF2:AF665))/STDEV('The List'!AF2:AF665)</f>
        <v>-0.573894410680004</v>
      </c>
      <c r="T602" s="77">
        <f>(VLOOKUP($A602,'The List'!$B1:$AH665,32,FALSE)-AVERAGE('The List'!AG2:AG665))/STDEV('The List'!AG2:AG665)</f>
        <v>-0.625149131402994</v>
      </c>
      <c r="U602" s="77">
        <f>(VLOOKUP($A602,'The List'!$B1:$AH665,33,FALSE)-AVERAGE('The List'!AH2:AH665))/STDEV('The List'!AH2:AH665)</f>
        <v>-1.23143509451486</v>
      </c>
      <c r="V602" s="77"/>
      <c r="W602" s="89"/>
      <c r="X602" s="79"/>
      <c r="Y602" s="79"/>
      <c r="Z602" s="79"/>
      <c r="AA602" s="79"/>
      <c r="AB602" s="79"/>
      <c r="AC602" s="82"/>
      <c r="AD602" s="83"/>
      <c r="AE602" s="84"/>
    </row>
    <row r="603" ht="21.25" customHeight="1">
      <c r="A603" s="50"/>
      <c r="B603" s="20"/>
      <c r="C603" s="74"/>
      <c r="D603" s="79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9"/>
      <c r="X603" s="77"/>
      <c r="Y603" s="77"/>
      <c r="Z603" s="77"/>
      <c r="AA603" s="77"/>
      <c r="AB603" s="77"/>
      <c r="AC603" s="77"/>
      <c r="AD603" s="77"/>
      <c r="AE603" s="84"/>
    </row>
    <row r="604" ht="21.25" customHeight="1">
      <c r="A604" t="s" s="10">
        <v>364</v>
      </c>
      <c r="B604" t="s" s="86">
        <f>VLOOKUP(A604,'Player Data'!A1:B667,2,FALSE)</f>
        <v>912</v>
      </c>
      <c r="C604" s="74">
        <f>(W604*'Settings'!$C$29)+(X604*'Settings'!$C$21)+(Y604*'Settings'!$C$22)+(AA604*'Settings'!$C$24)+(AB604*'Settings'!$C$25)+(Z604*'Settings'!$C$23)+(AC604*'Settings'!$C$26)+(AD604*'Settings'!$C$28)</f>
        <v>-4.00049836833651</v>
      </c>
      <c r="D604" s="79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>
        <f>(VLOOKUP($A604,'The List'!$B1:$AR665,35,FALSE)-AVERAGE('The List'!AJ2:AJ665))/STDEV('The List'!AJ2:AJ665)</f>
        <v>0.338499661394755</v>
      </c>
      <c r="X604" s="77">
        <f>(VLOOKUP($A604,'The List'!$B1:$AR665,36,FALSE)-AVERAGE('The List'!AK2:AK665))/STDEV('The List'!AK2:AK665)</f>
        <v>-0.491393287990556</v>
      </c>
      <c r="Y604" s="77">
        <f>(VLOOKUP($A604,'The List'!$B1:$AR665,37,FALSE)-AVERAGE('The List'!AL2:AL665))/STDEV('The List'!AL2:AL665)*-1</f>
        <v>-1.75475769212658</v>
      </c>
      <c r="Z604" s="77">
        <f>(VLOOKUP($A604,'The List'!$B1:$AR665,38,FALSE)-AVERAGE('The List'!AM2:AM665))/STDEV('The List'!AM2:AM665)</f>
        <v>0.338499661394755</v>
      </c>
      <c r="AA604" s="77">
        <f>(VLOOKUP($A604,'The List'!$B1:$AR665,39,FALSE)-AVERAGE('The List'!AN2:AN665))/STDEV('The List'!AN2:AN665)</f>
        <v>-0.825566381834572</v>
      </c>
      <c r="AB604" s="77">
        <f>(VLOOKUP($A604,'The List'!$B1:$AR665,40,FALSE)-AVERAGE('The List'!AO2:AO665))/STDEV('The List'!AO2:AO665)</f>
        <v>0.5326034775330309</v>
      </c>
      <c r="AC604" s="77">
        <f>(VLOOKUP($A604,'The List'!$B1:$AR665,42,FALSE)-AVERAGE('The List'!AQ2:AQ665))/STDEV('The List'!AQ2:AQ665)</f>
        <v>-1.01993847943048</v>
      </c>
      <c r="AD604" s="77">
        <f>(VLOOKUP($A604,'The List'!$B1:$AR665,43,FALSE)-AVERAGE('The List'!AR2:AR665))/STDEV('The List'!AR2:AR665)*-1</f>
        <v>-1.6636002190809</v>
      </c>
      <c r="AE604" s="84"/>
    </row>
    <row r="605" ht="21.25" customHeight="1">
      <c r="A605" t="s" s="10">
        <v>450</v>
      </c>
      <c r="B605" t="s" s="86">
        <f>VLOOKUP(A605,'Player Data'!A1:B667,2,FALSE)</f>
        <v>912</v>
      </c>
      <c r="C605" s="74">
        <f>(W605*'Settings'!$C$29)+(X605*'Settings'!$C$21)+(Y605*'Settings'!$C$22)+(AA605*'Settings'!$C$24)+(AB605*'Settings'!$C$25)+(Z605*'Settings'!$C$23)+(AC605*'Settings'!$C$26)+(AD605*'Settings'!$C$28)</f>
        <v>-3.04724953098512</v>
      </c>
      <c r="D605" s="79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>
        <f>(VLOOKUP($A605,'The List'!$B1:$AR665,35,FALSE)-AVERAGE('The List'!AJ2:AJ665))/STDEV('The List'!AJ2:AJ665)</f>
        <v>-0.307726964904323</v>
      </c>
      <c r="X605" s="77">
        <f>(VLOOKUP($A605,'The List'!$B1:$AR665,36,FALSE)-AVERAGE('The List'!AK2:AK665))/STDEV('The List'!AK2:AK665)</f>
        <v>-0.801224555717252</v>
      </c>
      <c r="Y605" s="77">
        <f>(VLOOKUP($A605,'The List'!$B1:$AR665,37,FALSE)-AVERAGE('The List'!AL2:AL665))/STDEV('The List'!AL2:AL665)*-1</f>
        <v>-0.779845933924617</v>
      </c>
      <c r="Z605" s="77">
        <f>(VLOOKUP($A605,'The List'!$B1:$AR665,38,FALSE)-AVERAGE('The List'!AM2:AM665))/STDEV('The List'!AM2:AM665)</f>
        <v>-0.307726964904323</v>
      </c>
      <c r="AA605" s="77">
        <f>(VLOOKUP($A605,'The List'!$B1:$AR665,39,FALSE)-AVERAGE('The List'!AN2:AN665))/STDEV('The List'!AN2:AN665)</f>
        <v>-0.775701608426378</v>
      </c>
      <c r="AB605" s="77">
        <f>(VLOOKUP($A605,'The List'!$B1:$AR665,40,FALSE)-AVERAGE('The List'!AO2:AO665))/STDEV('The List'!AO2:AO665)</f>
        <v>-0.134530005173803</v>
      </c>
      <c r="AC605" s="77">
        <f>(VLOOKUP($A605,'The List'!$B1:$AR665,42,FALSE)-AVERAGE('The List'!AQ2:AQ665))/STDEV('The List'!AQ2:AQ665)</f>
        <v>-0.331600667904286</v>
      </c>
      <c r="AD605" s="77">
        <f>(VLOOKUP($A605,'The List'!$B1:$AR665,43,FALSE)-AVERAGE('The List'!AR2:AR665))/STDEV('The List'!AR2:AR665)*-1</f>
        <v>-1.1387226989372</v>
      </c>
      <c r="AE605" s="84"/>
    </row>
    <row r="606" ht="21.25" customHeight="1">
      <c r="A606" t="s" s="10">
        <v>263</v>
      </c>
      <c r="B606" t="s" s="86">
        <f>VLOOKUP(A606,'Player Data'!A1:B667,2,FALSE)</f>
        <v>908</v>
      </c>
      <c r="C606" s="74">
        <f>(W606*'Settings'!$C$29)+(X606*'Settings'!$C$21)+(Y606*'Settings'!$C$22)+(AA606*'Settings'!$C$24)+(AB606*'Settings'!$C$25)+(Z606*'Settings'!$C$23)+(AC606*'Settings'!$C$26)+(AD606*'Settings'!$C$28)</f>
        <v>1.58028564586911</v>
      </c>
      <c r="D606" s="79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>
        <f>(VLOOKUP($A606,'The List'!$B1:$AR665,35,FALSE)-AVERAGE('The List'!AJ2:AJ665))/STDEV('The List'!AJ2:AJ665)</f>
        <v>0.661612974544294</v>
      </c>
      <c r="X606" s="77">
        <f>(VLOOKUP($A606,'The List'!$B1:$AR665,36,FALSE)-AVERAGE('The List'!AK2:AK665))/STDEV('The List'!AK2:AK665)</f>
        <v>0.600401234430166</v>
      </c>
      <c r="Y606" s="77">
        <f>(VLOOKUP($A606,'The List'!$B1:$AR665,37,FALSE)-AVERAGE('The List'!AL2:AL665))/STDEV('The List'!AL2:AL665)*-1</f>
        <v>-0.459153258526685</v>
      </c>
      <c r="Z606" s="77">
        <f>(VLOOKUP($A606,'The List'!$B1:$AR665,38,FALSE)-AVERAGE('The List'!AM2:AM665))/STDEV('The List'!AM2:AM665)</f>
        <v>0.661612974544294</v>
      </c>
      <c r="AA606" s="77">
        <f>(VLOOKUP($A606,'The List'!$B1:$AR665,39,FALSE)-AVERAGE('The List'!AN2:AN665))/STDEV('The List'!AN2:AN665)</f>
        <v>0.381193326477886</v>
      </c>
      <c r="AB606" s="77">
        <f>(VLOOKUP($A606,'The List'!$B1:$AR665,40,FALSE)-AVERAGE('The List'!AO2:AO665))/STDEV('The List'!AO2:AO665)</f>
        <v>0.7204971018555349</v>
      </c>
      <c r="AC606" s="77">
        <f>(VLOOKUP($A606,'The List'!$B1:$AR665,42,FALSE)-AVERAGE('The List'!AQ2:AQ665))/STDEV('The List'!AQ2:AQ665)</f>
        <v>0.463708598898481</v>
      </c>
      <c r="AD606" s="77">
        <f>(VLOOKUP($A606,'The List'!$B1:$AR665,43,FALSE)-AVERAGE('The List'!AR2:AR665))/STDEV('The List'!AR2:AR665)*-1</f>
        <v>0.134982486062572</v>
      </c>
      <c r="AE606" s="84"/>
    </row>
    <row r="607" ht="21.25" customHeight="1">
      <c r="A607" t="s" s="10">
        <v>527</v>
      </c>
      <c r="B607" t="s" s="86">
        <f>VLOOKUP(A607,'Player Data'!A1:B667,2,FALSE)</f>
        <v>908</v>
      </c>
      <c r="C607" s="74">
        <f>(W607*'Settings'!$C$29)+(X607*'Settings'!$C$21)+(Y607*'Settings'!$C$22)+(AA607*'Settings'!$C$24)+(AB607*'Settings'!$C$25)+(Z607*'Settings'!$C$23)+(AC607*'Settings'!$C$26)+(AD607*'Settings'!$C$28)</f>
        <v>-3.14268262248046</v>
      </c>
      <c r="D607" s="79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>
        <f>(VLOOKUP($A607,'The List'!$B1:$AR665,35,FALSE)-AVERAGE('The List'!AJ2:AJ665))/STDEV('The List'!AJ2:AJ665)</f>
        <v>-0.630840278053862</v>
      </c>
      <c r="X607" s="77">
        <f>(VLOOKUP($A607,'The List'!$B1:$AR665,36,FALSE)-AVERAGE('The List'!AK2:AK665))/STDEV('The List'!AK2:AK665)</f>
        <v>-0.575478398206542</v>
      </c>
      <c r="Y607" s="77">
        <f>(VLOOKUP($A607,'The List'!$B1:$AR665,37,FALSE)-AVERAGE('The List'!AL2:AL665))/STDEV('The List'!AL2:AL665)*-1</f>
        <v>0.432082383450485</v>
      </c>
      <c r="Z607" s="77">
        <f>(VLOOKUP($A607,'The List'!$B1:$AR665,38,FALSE)-AVERAGE('The List'!AM2:AM665))/STDEV('The List'!AM2:AM665)</f>
        <v>-0.630840278053862</v>
      </c>
      <c r="AA607" s="77">
        <f>(VLOOKUP($A607,'The List'!$B1:$AR665,39,FALSE)-AVERAGE('The List'!AN2:AN665))/STDEV('The List'!AN2:AN665)</f>
        <v>-0.7978764278109191</v>
      </c>
      <c r="AB607" s="77">
        <f>(VLOOKUP($A607,'The List'!$B1:$AR665,40,FALSE)-AVERAGE('The List'!AO2:AO665))/STDEV('The List'!AO2:AO665)</f>
        <v>-0.603944456417058</v>
      </c>
      <c r="AC607" s="77">
        <f>(VLOOKUP($A607,'The List'!$B1:$AR665,42,FALSE)-AVERAGE('The List'!AQ2:AQ665))/STDEV('The List'!AQ2:AQ665)</f>
        <v>-0.906243266810601</v>
      </c>
      <c r="AD607" s="77">
        <f>(VLOOKUP($A607,'The List'!$B1:$AR665,43,FALSE)-AVERAGE('The List'!AR2:AR665))/STDEV('The List'!AR2:AR665)*-1</f>
        <v>-0.8630845296524</v>
      </c>
      <c r="AE607" s="84"/>
    </row>
    <row r="608" ht="21.25" customHeight="1">
      <c r="A608" t="s" s="10">
        <v>200</v>
      </c>
      <c r="B608" t="s" s="86">
        <f>VLOOKUP(A608,'Player Data'!A1:B667,2,FALSE)</f>
        <v>899</v>
      </c>
      <c r="C608" s="74">
        <f>(W608*'Settings'!$C$29)+(X608*'Settings'!$C$21)+(Y608*'Settings'!$C$22)+(AA608*'Settings'!$C$24)+(AB608*'Settings'!$C$25)+(Z608*'Settings'!$C$23)+(AC608*'Settings'!$C$26)+(AD608*'Settings'!$C$28)</f>
        <v>5.84786902265152</v>
      </c>
      <c r="D608" s="79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>
        <f>(VLOOKUP($A608,'The List'!$B1:$AR665,35,FALSE)-AVERAGE('The List'!AJ2:AJ665))/STDEV('The List'!AJ2:AJ665)</f>
        <v>1.1462829442686</v>
      </c>
      <c r="X608" s="77">
        <f>(VLOOKUP($A608,'The List'!$B1:$AR665,36,FALSE)-AVERAGE('The List'!AK2:AK665))/STDEV('The List'!AK2:AK665)</f>
        <v>1.28996018750254</v>
      </c>
      <c r="Y608" s="77">
        <f>(VLOOKUP($A608,'The List'!$B1:$AR665,37,FALSE)-AVERAGE('The List'!AL2:AL665))/STDEV('The List'!AL2:AL665)*-1</f>
        <v>-0.320225332096356</v>
      </c>
      <c r="Z608" s="77">
        <f>(VLOOKUP($A608,'The List'!$B1:$AR665,38,FALSE)-AVERAGE('The List'!AM2:AM665))/STDEV('The List'!AM2:AM665)</f>
        <v>1.1462829442686</v>
      </c>
      <c r="AA608" s="77">
        <f>(VLOOKUP($A608,'The List'!$B1:$AR665,39,FALSE)-AVERAGE('The List'!AN2:AN665))/STDEV('The List'!AN2:AN665)</f>
        <v>1.53697633477314</v>
      </c>
      <c r="AB608" s="77">
        <f>(VLOOKUP($A608,'The List'!$B1:$AR665,40,FALSE)-AVERAGE('The List'!AO2:AO665))/STDEV('The List'!AO2:AO665)</f>
        <v>1.11854925053705</v>
      </c>
      <c r="AC608" s="77">
        <f>(VLOOKUP($A608,'The List'!$B1:$AR665,42,FALSE)-AVERAGE('The List'!AQ2:AQ665))/STDEV('The List'!AQ2:AQ665)</f>
        <v>1.65656728845398</v>
      </c>
      <c r="AD608" s="77">
        <f>(VLOOKUP($A608,'The List'!$B1:$AR665,43,FALSE)-AVERAGE('The List'!AR2:AR665))/STDEV('The List'!AR2:AR665)*-1</f>
        <v>1.36436521192186</v>
      </c>
      <c r="AE608" s="84"/>
    </row>
    <row r="609" ht="21.25" customHeight="1">
      <c r="A609" t="s" s="10">
        <v>648</v>
      </c>
      <c r="B609" t="s" s="86">
        <f>VLOOKUP(A609,'Player Data'!A1:B667,2,FALSE)</f>
        <v>899</v>
      </c>
      <c r="C609" s="74">
        <f>(W609*'Settings'!$C$29)+(X609*'Settings'!$C$21)+(Y609*'Settings'!$C$22)+(AA609*'Settings'!$C$24)+(AB609*'Settings'!$C$25)+(Z609*'Settings'!$C$23)+(AC609*'Settings'!$C$26)+(AD609*'Settings'!$C$28)</f>
        <v>-3.27003227148398</v>
      </c>
      <c r="D609" s="79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>
        <f>(VLOOKUP($A609,'The List'!$B1:$AR665,35,FALSE)-AVERAGE('The List'!AJ2:AJ665))/STDEV('The List'!AJ2:AJ665)</f>
        <v>-1.11551024777817</v>
      </c>
      <c r="X609" s="77">
        <f>(VLOOKUP($A609,'The List'!$B1:$AR665,36,FALSE)-AVERAGE('The List'!AK2:AK665))/STDEV('The List'!AK2:AK665)</f>
        <v>-0.922047993070281</v>
      </c>
      <c r="Y609" s="77">
        <f>(VLOOKUP($A609,'The List'!$B1:$AR665,37,FALSE)-AVERAGE('The List'!AL2:AL665))/STDEV('The List'!AL2:AL665)*-1</f>
        <v>0.945929025611689</v>
      </c>
      <c r="Z609" s="77">
        <f>(VLOOKUP($A609,'The List'!$B1:$AR665,38,FALSE)-AVERAGE('The List'!AM2:AM665))/STDEV('The List'!AM2:AM665)</f>
        <v>-1.11551024777817</v>
      </c>
      <c r="AA609" s="77">
        <f>(VLOOKUP($A609,'The List'!$B1:$AR665,39,FALSE)-AVERAGE('The List'!AN2:AN665))/STDEV('The List'!AN2:AN665)</f>
        <v>-0.879751688979952</v>
      </c>
      <c r="AB609" s="77">
        <f>(VLOOKUP($A609,'The List'!$B1:$AR665,40,FALSE)-AVERAGE('The List'!AO2:AO665))/STDEV('The List'!AO2:AO665)</f>
        <v>-1.14735788220938</v>
      </c>
      <c r="AC609" s="77">
        <f>(VLOOKUP($A609,'The List'!$B1:$AR665,42,FALSE)-AVERAGE('The List'!AQ2:AQ665))/STDEV('The List'!AQ2:AQ665)</f>
        <v>-0.970210941947683</v>
      </c>
      <c r="AD609" s="77">
        <f>(VLOOKUP($A609,'The List'!$B1:$AR665,43,FALSE)-AVERAGE('The List'!AR2:AR665))/STDEV('The List'!AR2:AR665)*-1</f>
        <v>-0.498021647486066</v>
      </c>
      <c r="AE609" s="84"/>
    </row>
    <row r="610" ht="21.25" customHeight="1">
      <c r="A610" t="s" s="10">
        <v>321</v>
      </c>
      <c r="B610" t="s" s="86">
        <f>VLOOKUP(A610,'Player Data'!A1:B667,2,FALSE)</f>
        <v>154</v>
      </c>
      <c r="C610" s="74">
        <f>(W610*'Settings'!$C$29)+(X610*'Settings'!$C$21)+(Y610*'Settings'!$C$22)+(AA610*'Settings'!$C$24)+(AB610*'Settings'!$C$25)+(Z610*'Settings'!$C$23)+(AC610*'Settings'!$C$26)+(AD610*'Settings'!$C$28)</f>
        <v>-0.932841636444697</v>
      </c>
      <c r="D610" s="79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>
        <f>(VLOOKUP($A610,'The List'!$B1:$AR665,35,FALSE)-AVERAGE('The List'!AJ2:AJ665))/STDEV('The List'!AJ2:AJ665)</f>
        <v>0.500056317969524</v>
      </c>
      <c r="X610" s="77">
        <f>(VLOOKUP($A610,'The List'!$B1:$AR665,36,FALSE)-AVERAGE('The List'!AK2:AK665))/STDEV('The List'!AK2:AK665)</f>
        <v>0.156425414342471</v>
      </c>
      <c r="Y610" s="77">
        <f>(VLOOKUP($A610,'The List'!$B1:$AR665,37,FALSE)-AVERAGE('The List'!AL2:AL665))/STDEV('The List'!AL2:AL665)*-1</f>
        <v>-0.912979414067595</v>
      </c>
      <c r="Z610" s="77">
        <f>(VLOOKUP($A610,'The List'!$B1:$AR665,38,FALSE)-AVERAGE('The List'!AM2:AM665))/STDEV('The List'!AM2:AM665)</f>
        <v>0.500056317969524</v>
      </c>
      <c r="AA610" s="77">
        <f>(VLOOKUP($A610,'The List'!$B1:$AR665,39,FALSE)-AVERAGE('The List'!AN2:AN665))/STDEV('The List'!AN2:AN665)</f>
        <v>-0.00774918319769264</v>
      </c>
      <c r="AB610" s="77">
        <f>(VLOOKUP($A610,'The List'!$B1:$AR665,40,FALSE)-AVERAGE('The List'!AO2:AO665))/STDEV('The List'!AO2:AO665)</f>
        <v>0.5231277777685061</v>
      </c>
      <c r="AC610" s="77">
        <f>(VLOOKUP($A610,'The List'!$B1:$AR665,42,FALSE)-AVERAGE('The List'!AQ2:AQ665))/STDEV('The List'!AQ2:AQ665)</f>
        <v>-0.542163302871121</v>
      </c>
      <c r="AD610" s="77">
        <f>(VLOOKUP($A610,'The List'!$B1:$AR665,43,FALSE)-AVERAGE('The List'!AR2:AR665))/STDEV('The List'!AR2:AR665)*-1</f>
        <v>-0.539354564718354</v>
      </c>
      <c r="AE610" s="84"/>
    </row>
    <row r="611" ht="21.25" customHeight="1">
      <c r="A611" t="s" s="10">
        <v>492</v>
      </c>
      <c r="B611" t="s" s="86">
        <f>VLOOKUP(A611,'Player Data'!A1:B667,2,FALSE)</f>
        <v>154</v>
      </c>
      <c r="C611" s="74">
        <f>(W611*'Settings'!$C$29)+(X611*'Settings'!$C$21)+(Y611*'Settings'!$C$22)+(AA611*'Settings'!$C$24)+(AB611*'Settings'!$C$25)+(Z611*'Settings'!$C$23)+(AC611*'Settings'!$C$26)+(AD611*'Settings'!$C$28)</f>
        <v>-3.06017460300695</v>
      </c>
      <c r="D611" s="79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>
        <f>(VLOOKUP($A611,'The List'!$B1:$AR665,35,FALSE)-AVERAGE('The List'!AJ2:AJ665))/STDEV('The List'!AJ2:AJ665)</f>
        <v>-0.469283621479092</v>
      </c>
      <c r="X611" s="77">
        <f>(VLOOKUP($A611,'The List'!$B1:$AR665,36,FALSE)-AVERAGE('The List'!AK2:AK665))/STDEV('The List'!AK2:AK665)</f>
        <v>-0.54056067879694</v>
      </c>
      <c r="Y611" s="77">
        <f>(VLOOKUP($A611,'The List'!$B1:$AR665,37,FALSE)-AVERAGE('The List'!AL2:AL665))/STDEV('The List'!AL2:AL665)*-1</f>
        <v>0.107392474838195</v>
      </c>
      <c r="Z611" s="77">
        <f>(VLOOKUP($A611,'The List'!$B1:$AR665,38,FALSE)-AVERAGE('The List'!AM2:AM665))/STDEV('The List'!AM2:AM665)</f>
        <v>-0.469283621479092</v>
      </c>
      <c r="AA611" s="77">
        <f>(VLOOKUP($A611,'The List'!$B1:$AR665,39,FALSE)-AVERAGE('The List'!AN2:AN665))/STDEV('The List'!AN2:AN665)</f>
        <v>-0.64852240830177</v>
      </c>
      <c r="AB611" s="77">
        <f>(VLOOKUP($A611,'The List'!$B1:$AR665,40,FALSE)-AVERAGE('The List'!AO2:AO665))/STDEV('The List'!AO2:AO665)</f>
        <v>-0.453777807621103</v>
      </c>
      <c r="AC611" s="77">
        <f>(VLOOKUP($A611,'The List'!$B1:$AR665,42,FALSE)-AVERAGE('The List'!AQ2:AQ665))/STDEV('The List'!AQ2:AQ665)</f>
        <v>-0.999226415195469</v>
      </c>
      <c r="AD611" s="77">
        <f>(VLOOKUP($A611,'The List'!$B1:$AR665,43,FALSE)-AVERAGE('The List'!AR2:AR665))/STDEV('The List'!AR2:AR665)*-1</f>
        <v>-0.871865100712774</v>
      </c>
      <c r="AE611" s="84"/>
    </row>
    <row r="612" ht="21.25" customHeight="1">
      <c r="A612" t="s" s="10">
        <v>341</v>
      </c>
      <c r="B612" t="s" s="86">
        <f>VLOOKUP(A612,'Player Data'!A1:B667,2,FALSE)</f>
        <v>342</v>
      </c>
      <c r="C612" s="74">
        <f>(W612*'Settings'!$C$29)+(X612*'Settings'!$C$21)+(Y612*'Settings'!$C$22)+(AA612*'Settings'!$C$24)+(AB612*'Settings'!$C$25)+(Z612*'Settings'!$C$23)+(AC612*'Settings'!$C$26)+(AD612*'Settings'!$C$28)</f>
        <v>3.14655488574503</v>
      </c>
      <c r="D612" s="79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>
        <f>(VLOOKUP($A612,'The List'!$B1:$AR665,35,FALSE)-AVERAGE('The List'!AJ2:AJ665))/STDEV('The List'!AJ2:AJ665)</f>
        <v>0.0961646765326009</v>
      </c>
      <c r="X612" s="77">
        <f>(VLOOKUP($A612,'The List'!$B1:$AR665,36,FALSE)-AVERAGE('The List'!AK2:AK665))/STDEV('The List'!AK2:AK665)</f>
        <v>0.500742299035363</v>
      </c>
      <c r="Y612" s="77">
        <f>(VLOOKUP($A612,'The List'!$B1:$AR665,37,FALSE)-AVERAGE('The List'!AL2:AL665))/STDEV('The List'!AL2:AL665)*-1</f>
        <v>0.720184265641477</v>
      </c>
      <c r="Z612" s="77">
        <f>(VLOOKUP($A612,'The List'!$B1:$AR665,38,FALSE)-AVERAGE('The List'!AM2:AM665))/STDEV('The List'!AM2:AM665)</f>
        <v>0.0961646765326009</v>
      </c>
      <c r="AA612" s="77">
        <f>(VLOOKUP($A612,'The List'!$B1:$AR665,39,FALSE)-AVERAGE('The List'!AN2:AN665))/STDEV('The List'!AN2:AN665)</f>
        <v>0.69619008845662</v>
      </c>
      <c r="AB612" s="77">
        <f>(VLOOKUP($A612,'The List'!$B1:$AR665,40,FALSE)-AVERAGE('The List'!AO2:AO665))/STDEV('The List'!AO2:AO665)</f>
        <v>-0.0539764059169609</v>
      </c>
      <c r="AC612" s="77">
        <f>(VLOOKUP($A612,'The List'!$B1:$AR665,42,FALSE)-AVERAGE('The List'!AQ2:AQ665))/STDEV('The List'!AQ2:AQ665)</f>
        <v>0.738983853695011</v>
      </c>
      <c r="AD612" s="77">
        <f>(VLOOKUP($A612,'The List'!$B1:$AR665,43,FALSE)-AVERAGE('The List'!AR2:AR665))/STDEV('The List'!AR2:AR665)*-1</f>
        <v>1.21063864455804</v>
      </c>
      <c r="AE612" s="84"/>
    </row>
    <row r="613" ht="21.25" customHeight="1">
      <c r="A613" t="s" s="10">
        <v>345</v>
      </c>
      <c r="B613" t="s" s="86">
        <f>VLOOKUP(A613,'Player Data'!A1:B667,2,FALSE)</f>
        <v>342</v>
      </c>
      <c r="C613" s="74">
        <f>(W613*'Settings'!$C$29)+(X613*'Settings'!$C$21)+(Y613*'Settings'!$C$22)+(AA613*'Settings'!$C$24)+(AB613*'Settings'!$C$25)+(Z613*'Settings'!$C$23)+(AC613*'Settings'!$C$26)+(AD613*'Settings'!$C$28)</f>
        <v>2.44537461494246</v>
      </c>
      <c r="D613" s="79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>
        <f>(VLOOKUP($A613,'The List'!$B1:$AR665,35,FALSE)-AVERAGE('The List'!AJ2:AJ665))/STDEV('The List'!AJ2:AJ665)</f>
        <v>0.0961646765326009</v>
      </c>
      <c r="X613" s="77">
        <f>(VLOOKUP($A613,'The List'!$B1:$AR665,36,FALSE)-AVERAGE('The List'!AK2:AK665))/STDEV('The List'!AK2:AK665)</f>
        <v>0.509505945821628</v>
      </c>
      <c r="Y613" s="77">
        <f>(VLOOKUP($A613,'The List'!$B1:$AR665,37,FALSE)-AVERAGE('The List'!AL2:AL665))/STDEV('The List'!AL2:AL665)*-1</f>
        <v>0.736863167226268</v>
      </c>
      <c r="Z613" s="77">
        <f>(VLOOKUP($A613,'The List'!$B1:$AR665,38,FALSE)-AVERAGE('The List'!AM2:AM665))/STDEV('The List'!AM2:AM665)</f>
        <v>0.0961646765326009</v>
      </c>
      <c r="AA613" s="77">
        <f>(VLOOKUP($A613,'The List'!$B1:$AR665,39,FALSE)-AVERAGE('The List'!AN2:AN665))/STDEV('The List'!AN2:AN665)</f>
        <v>0.570557107063505</v>
      </c>
      <c r="AB613" s="77">
        <f>(VLOOKUP($A613,'The List'!$B1:$AR665,40,FALSE)-AVERAGE('The List'!AO2:AO665))/STDEV('The List'!AO2:AO665)</f>
        <v>-0.0596338405291586</v>
      </c>
      <c r="AC613" s="77">
        <f>(VLOOKUP($A613,'The List'!$B1:$AR665,42,FALSE)-AVERAGE('The List'!AQ2:AQ665))/STDEV('The List'!AQ2:AQ665)</f>
        <v>0.391868503784563</v>
      </c>
      <c r="AD613" s="77">
        <f>(VLOOKUP($A613,'The List'!$B1:$AR665,43,FALSE)-AVERAGE('The List'!AR2:AR665))/STDEV('The List'!AR2:AR665)*-1</f>
        <v>0.973443058272764</v>
      </c>
      <c r="AE613" s="84"/>
    </row>
    <row r="614" ht="21.25" customHeight="1">
      <c r="A614" t="s" s="10">
        <v>316</v>
      </c>
      <c r="B614" t="s" s="86">
        <f>VLOOKUP(A614,'Player Data'!A1:B667,2,FALSE)</f>
        <v>914</v>
      </c>
      <c r="C614" s="74">
        <f>(W614*'Settings'!$C$29)+(X614*'Settings'!$C$21)+(Y614*'Settings'!$C$22)+(AA614*'Settings'!$C$24)+(AB614*'Settings'!$C$25)+(Z614*'Settings'!$C$23)+(AC614*'Settings'!$C$26)+(AD614*'Settings'!$C$28)</f>
        <v>-4.3281619845164</v>
      </c>
      <c r="D614" s="79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>
        <f>(VLOOKUP($A614,'The List'!$B1:$AR665,35,FALSE)-AVERAGE('The List'!AJ2:AJ665))/STDEV('The List'!AJ2:AJ665)</f>
        <v>0.661612974544294</v>
      </c>
      <c r="X614" s="77">
        <f>(VLOOKUP($A614,'The List'!$B1:$AR665,36,FALSE)-AVERAGE('The List'!AK2:AK665))/STDEV('The List'!AK2:AK665)</f>
        <v>-0.295597989075527</v>
      </c>
      <c r="Y614" s="77">
        <f>(VLOOKUP($A614,'The List'!$B1:$AR665,37,FALSE)-AVERAGE('The List'!AL2:AL665))/STDEV('The List'!AL2:AL665)*-1</f>
        <v>-2.16441172379519</v>
      </c>
      <c r="Z614" s="77">
        <f>(VLOOKUP($A614,'The List'!$B1:$AR665,38,FALSE)-AVERAGE('The List'!AM2:AM665))/STDEV('The List'!AM2:AM665)</f>
        <v>0.661612974544294</v>
      </c>
      <c r="AA614" s="77">
        <f>(VLOOKUP($A614,'The List'!$B1:$AR665,39,FALSE)-AVERAGE('The List'!AN2:AN665))/STDEV('The List'!AN2:AN665)</f>
        <v>-0.947861012726677</v>
      </c>
      <c r="AB614" s="77">
        <f>(VLOOKUP($A614,'The List'!$B1:$AR665,40,FALSE)-AVERAGE('The List'!AO2:AO665))/STDEV('The List'!AO2:AO665)</f>
        <v>0.9166702768666199</v>
      </c>
      <c r="AC614" s="77">
        <f>(VLOOKUP($A614,'The List'!$B1:$AR665,42,FALSE)-AVERAGE('The List'!AQ2:AQ665))/STDEV('The List'!AQ2:AQ665)</f>
        <v>-1.14007938497748</v>
      </c>
      <c r="AD614" s="77">
        <f>(VLOOKUP($A614,'The List'!$B1:$AR665,43,FALSE)-AVERAGE('The List'!AR2:AR665))/STDEV('The List'!AR2:AR665)*-1</f>
        <v>-1.94462359773672</v>
      </c>
      <c r="AE614" s="84"/>
    </row>
    <row r="615" ht="21.25" customHeight="1">
      <c r="A615" t="s" s="10">
        <v>640</v>
      </c>
      <c r="B615" t="s" s="86">
        <f>VLOOKUP(A615,'Player Data'!A1:B667,2,FALSE)</f>
        <v>914</v>
      </c>
      <c r="C615" s="74">
        <f>(W615*'Settings'!$C$29)+(X615*'Settings'!$C$21)+(Y615*'Settings'!$C$22)+(AA615*'Settings'!$C$24)+(AB615*'Settings'!$C$25)+(Z615*'Settings'!$C$23)+(AC615*'Settings'!$C$26)+(AD615*'Settings'!$C$28)</f>
        <v>-4.47272099782416</v>
      </c>
      <c r="D615" s="79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>
        <f>(VLOOKUP($A615,'The List'!$B1:$AR665,35,FALSE)-AVERAGE('The List'!AJ2:AJ665))/STDEV('The List'!AJ2:AJ665)</f>
        <v>-1.11551024777817</v>
      </c>
      <c r="X615" s="77">
        <f>(VLOOKUP($A615,'The List'!$B1:$AR665,36,FALSE)-AVERAGE('The List'!AK2:AK665))/STDEV('The List'!AK2:AK665)</f>
        <v>-1.26438354681828</v>
      </c>
      <c r="Y615" s="77">
        <f>(VLOOKUP($A615,'The List'!$B1:$AR665,37,FALSE)-AVERAGE('The List'!AL2:AL665))/STDEV('The List'!AL2:AL665)*-1</f>
        <v>0.294398772374314</v>
      </c>
      <c r="Z615" s="77">
        <f>(VLOOKUP($A615,'The List'!$B1:$AR665,38,FALSE)-AVERAGE('The List'!AM2:AM665))/STDEV('The List'!AM2:AM665)</f>
        <v>-1.11551024777817</v>
      </c>
      <c r="AA615" s="77">
        <f>(VLOOKUP($A615,'The List'!$B1:$AR665,39,FALSE)-AVERAGE('The List'!AN2:AN665))/STDEV('The List'!AN2:AN665)</f>
        <v>-1.22372120226032</v>
      </c>
      <c r="AB615" s="77">
        <f>(VLOOKUP($A615,'The List'!$B1:$AR665,40,FALSE)-AVERAGE('The List'!AO2:AO665))/STDEV('The List'!AO2:AO665)</f>
        <v>-0.961556323606667</v>
      </c>
      <c r="AC615" s="77">
        <f>(VLOOKUP($A615,'The List'!$B1:$AR665,42,FALSE)-AVERAGE('The List'!AQ2:AQ665))/STDEV('The List'!AQ2:AQ665)</f>
        <v>-0.51906956512763</v>
      </c>
      <c r="AD615" s="77">
        <f>(VLOOKUP($A615,'The List'!$B1:$AR665,43,FALSE)-AVERAGE('The List'!AR2:AR665))/STDEV('The List'!AR2:AR665)*-1</f>
        <v>-1.46554668361793</v>
      </c>
      <c r="AE615" s="84"/>
    </row>
    <row r="616" ht="21.25" customHeight="1">
      <c r="A616" t="s" s="10">
        <v>371</v>
      </c>
      <c r="B616" t="s" s="86">
        <f>VLOOKUP(A616,'Player Data'!A1:B667,2,FALSE)</f>
        <v>174</v>
      </c>
      <c r="C616" s="74">
        <f>(W616*'Settings'!$C$29)+(X616*'Settings'!$C$21)+(Y616*'Settings'!$C$22)+(AA616*'Settings'!$C$24)+(AB616*'Settings'!$C$25)+(Z616*'Settings'!$C$23)+(AC616*'Settings'!$C$26)+(AD616*'Settings'!$C$28)</f>
        <v>-1.55572505552352</v>
      </c>
      <c r="D616" s="79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>
        <f>(VLOOKUP($A616,'The List'!$B1:$AR665,35,FALSE)-AVERAGE('The List'!AJ2:AJ665))/STDEV('The List'!AJ2:AJ665)</f>
        <v>0.176943004819986</v>
      </c>
      <c r="X616" s="77">
        <f>(VLOOKUP($A616,'The List'!$B1:$AR665,36,FALSE)-AVERAGE('The List'!AK2:AK665))/STDEV('The List'!AK2:AK665)</f>
        <v>-0.222604357266866</v>
      </c>
      <c r="Y616" s="77">
        <f>(VLOOKUP($A616,'The List'!$B1:$AR665,37,FALSE)-AVERAGE('The List'!AL2:AL665))/STDEV('The List'!AL2:AL665)*-1</f>
        <v>-0.852055746771896</v>
      </c>
      <c r="Z616" s="77">
        <f>(VLOOKUP($A616,'The List'!$B1:$AR665,38,FALSE)-AVERAGE('The List'!AM2:AM665))/STDEV('The List'!AM2:AM665)</f>
        <v>0.176943004819986</v>
      </c>
      <c r="AA616" s="77">
        <f>(VLOOKUP($A616,'The List'!$B1:$AR665,39,FALSE)-AVERAGE('The List'!AN2:AN665))/STDEV('The List'!AN2:AN665)</f>
        <v>-0.311036391106504</v>
      </c>
      <c r="AB616" s="77">
        <f>(VLOOKUP($A616,'The List'!$B1:$AR665,40,FALSE)-AVERAGE('The List'!AO2:AO665))/STDEV('The List'!AO2:AO665)</f>
        <v>0.238881960651023</v>
      </c>
      <c r="AC616" s="77">
        <f>(VLOOKUP($A616,'The List'!$B1:$AR665,42,FALSE)-AVERAGE('The List'!AQ2:AQ665))/STDEV('The List'!AQ2:AQ665)</f>
        <v>-0.413892731650641</v>
      </c>
      <c r="AD616" s="77">
        <f>(VLOOKUP($A616,'The List'!$B1:$AR665,43,FALSE)-AVERAGE('The List'!AR2:AR665))/STDEV('The List'!AR2:AR665)*-1</f>
        <v>-0.608191575499504</v>
      </c>
      <c r="AE616" s="84"/>
    </row>
    <row r="617" ht="21.25" customHeight="1">
      <c r="A617" t="s" s="10">
        <v>413</v>
      </c>
      <c r="B617" t="s" s="86">
        <f>VLOOKUP(A617,'Player Data'!A1:B667,2,FALSE)</f>
        <v>174</v>
      </c>
      <c r="C617" s="74">
        <f>(W617*'Settings'!$C$29)+(X617*'Settings'!$C$21)+(Y617*'Settings'!$C$22)+(AA617*'Settings'!$C$24)+(AB617*'Settings'!$C$25)+(Z617*'Settings'!$C$23)+(AC617*'Settings'!$C$26)+(AD617*'Settings'!$C$28)</f>
        <v>-3.98375307241015</v>
      </c>
      <c r="D617" s="79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>
        <f>(VLOOKUP($A617,'The List'!$B1:$AR665,35,FALSE)-AVERAGE('The List'!AJ2:AJ665))/STDEV('The List'!AJ2:AJ665)</f>
        <v>0.0153863482452161</v>
      </c>
      <c r="X617" s="77">
        <f>(VLOOKUP($A617,'The List'!$B1:$AR665,36,FALSE)-AVERAGE('The List'!AK2:AK665))/STDEV('The List'!AK2:AK665)</f>
        <v>-0.406506489668138</v>
      </c>
      <c r="Y617" s="77">
        <f>(VLOOKUP($A617,'The List'!$B1:$AR665,37,FALSE)-AVERAGE('The List'!AL2:AL665))/STDEV('The List'!AL2:AL665)*-1</f>
        <v>-0.8109117663057051</v>
      </c>
      <c r="Z617" s="77">
        <f>(VLOOKUP($A617,'The List'!$B1:$AR665,38,FALSE)-AVERAGE('The List'!AM2:AM665))/STDEV('The List'!AM2:AM665)</f>
        <v>0.0153863482452161</v>
      </c>
      <c r="AA617" s="77">
        <f>(VLOOKUP($A617,'The List'!$B1:$AR665,39,FALSE)-AVERAGE('The List'!AN2:AN665))/STDEV('The List'!AN2:AN665)</f>
        <v>-0.779273686163794</v>
      </c>
      <c r="AB617" s="77">
        <f>(VLOOKUP($A617,'The List'!$B1:$AR665,40,FALSE)-AVERAGE('The List'!AO2:AO665))/STDEV('The List'!AO2:AO665)</f>
        <v>0.0577772866080232</v>
      </c>
      <c r="AC617" s="77">
        <f>(VLOOKUP($A617,'The List'!$B1:$AR665,42,FALSE)-AVERAGE('The List'!AQ2:AQ665))/STDEV('The List'!AQ2:AQ665)</f>
        <v>-1.43828458453608</v>
      </c>
      <c r="AD617" s="77">
        <f>(VLOOKUP($A617,'The List'!$B1:$AR665,43,FALSE)-AVERAGE('The List'!AR2:AR665))/STDEV('The List'!AR2:AR665)*-1</f>
        <v>-1.35968831204214</v>
      </c>
      <c r="AE617" s="84"/>
    </row>
    <row r="618" ht="21.25" customHeight="1">
      <c r="A618" t="s" s="10">
        <v>398</v>
      </c>
      <c r="B618" t="s" s="86">
        <f>VLOOKUP(A618,'Player Data'!A1:B667,2,FALSE)</f>
        <v>905</v>
      </c>
      <c r="C618" s="74">
        <f>(W618*'Settings'!$C$29)+(X618*'Settings'!$C$21)+(Y618*'Settings'!$C$22)+(AA618*'Settings'!$C$24)+(AB618*'Settings'!$C$25)+(Z618*'Settings'!$C$23)+(AC618*'Settings'!$C$26)+(AD618*'Settings'!$C$28)</f>
        <v>-1.18994980170994</v>
      </c>
      <c r="D618" s="79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>
        <f>(VLOOKUP($A618,'The List'!$B1:$AR665,35,FALSE)-AVERAGE('The List'!AJ2:AJ665))/STDEV('The List'!AJ2:AJ665)</f>
        <v>0.0153863482452161</v>
      </c>
      <c r="X618" s="77">
        <f>(VLOOKUP($A618,'The List'!$B1:$AR665,36,FALSE)-AVERAGE('The List'!AK2:AK665))/STDEV('The List'!AK2:AK665)</f>
        <v>-0.60050598858613</v>
      </c>
      <c r="Y618" s="77">
        <f>(VLOOKUP($A618,'The List'!$B1:$AR665,37,FALSE)-AVERAGE('The List'!AL2:AL665))/STDEV('The List'!AL2:AL665)*-1</f>
        <v>-1.18013004139906</v>
      </c>
      <c r="Z618" s="77">
        <f>(VLOOKUP($A618,'The List'!$B1:$AR665,38,FALSE)-AVERAGE('The List'!AM2:AM665))/STDEV('The List'!AM2:AM665)</f>
        <v>0.0153863482452161</v>
      </c>
      <c r="AA618" s="77">
        <f>(VLOOKUP($A618,'The List'!$B1:$AR665,39,FALSE)-AVERAGE('The List'!AN2:AN665))/STDEV('The List'!AN2:AN665)</f>
        <v>-0.246983250651568</v>
      </c>
      <c r="AB618" s="77">
        <f>(VLOOKUP($A618,'The List'!$B1:$AR665,40,FALSE)-AVERAGE('The List'!AO2:AO665))/STDEV('The List'!AO2:AO665)</f>
        <v>0.0748513068960559</v>
      </c>
      <c r="AC618" s="77">
        <f>(VLOOKUP($A618,'The List'!$B1:$AR665,42,FALSE)-AVERAGE('The List'!AQ2:AQ665))/STDEV('The List'!AQ2:AQ665)</f>
        <v>-0.0395437592137658</v>
      </c>
      <c r="AD618" s="77">
        <f>(VLOOKUP($A618,'The List'!$B1:$AR665,43,FALSE)-AVERAGE('The List'!AR2:AR665))/STDEV('The List'!AR2:AR665)*-1</f>
        <v>-0.302916803258472</v>
      </c>
      <c r="AE618" s="84"/>
    </row>
    <row r="619" ht="21.25" customHeight="1">
      <c r="A619" t="s" s="10">
        <v>435</v>
      </c>
      <c r="B619" t="s" s="86">
        <f>VLOOKUP(A619,'Player Data'!A1:B667,2,FALSE)</f>
        <v>905</v>
      </c>
      <c r="C619" s="74">
        <f>(W619*'Settings'!$C$29)+(X619*'Settings'!$C$21)+(Y619*'Settings'!$C$22)+(AA619*'Settings'!$C$24)+(AB619*'Settings'!$C$25)+(Z619*'Settings'!$C$23)+(AC619*'Settings'!$C$26)+(AD619*'Settings'!$C$28)</f>
        <v>0.489080450461831</v>
      </c>
      <c r="D619" s="79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>
        <f>(VLOOKUP($A619,'The List'!$B1:$AR665,35,FALSE)-AVERAGE('The List'!AJ2:AJ665))/STDEV('The List'!AJ2:AJ665)</f>
        <v>-0.307726964904323</v>
      </c>
      <c r="X619" s="77">
        <f>(VLOOKUP($A619,'The List'!$B1:$AR665,36,FALSE)-AVERAGE('The List'!AK2:AK665))/STDEV('The List'!AK2:AK665)</f>
        <v>-0.7261775087500419</v>
      </c>
      <c r="Y619" s="77">
        <f>(VLOOKUP($A619,'The List'!$B1:$AR665,37,FALSE)-AVERAGE('The List'!AL2:AL665))/STDEV('The List'!AL2:AL665)*-1</f>
        <v>-0.63701700196023</v>
      </c>
      <c r="Z619" s="77">
        <f>(VLOOKUP($A619,'The List'!$B1:$AR665,38,FALSE)-AVERAGE('The List'!AM2:AM665))/STDEV('The List'!AM2:AM665)</f>
        <v>-0.307726964904323</v>
      </c>
      <c r="AA619" s="77">
        <f>(VLOOKUP($A619,'The List'!$B1:$AR665,39,FALSE)-AVERAGE('The List'!AN2:AN665))/STDEV('The List'!AN2:AN665)</f>
        <v>0.0152386508205545</v>
      </c>
      <c r="AB619" s="77">
        <f>(VLOOKUP($A619,'The List'!$B1:$AR665,40,FALSE)-AVERAGE('The List'!AO2:AO665))/STDEV('The List'!AO2:AO665)</f>
        <v>-0.270357571668974</v>
      </c>
      <c r="AC619" s="77">
        <f>(VLOOKUP($A619,'The List'!$B1:$AR665,42,FALSE)-AVERAGE('The List'!AQ2:AQ665))/STDEV('The List'!AQ2:AQ665)</f>
        <v>0.7670564479365209</v>
      </c>
      <c r="AD619" s="77">
        <f>(VLOOKUP($A619,'The List'!$B1:$AR665,43,FALSE)-AVERAGE('The List'!AR2:AR665))/STDEV('The List'!AR2:AR665)*-1</f>
        <v>0.432962860454797</v>
      </c>
      <c r="AE619" s="84"/>
    </row>
    <row r="620" ht="21.25" customHeight="1">
      <c r="A620" t="s" s="10">
        <v>211</v>
      </c>
      <c r="B620" t="s" s="86">
        <f>VLOOKUP(A620,'Player Data'!A1:B667,2,FALSE)</f>
        <v>871</v>
      </c>
      <c r="C620" s="74">
        <f>(W620*'Settings'!$C$29)+(X620*'Settings'!$C$21)+(Y620*'Settings'!$C$22)+(AA620*'Settings'!$C$24)+(AB620*'Settings'!$C$25)+(Z620*'Settings'!$C$23)+(AC620*'Settings'!$C$26)+(AD620*'Settings'!$C$28)</f>
        <v>2.58406821701141</v>
      </c>
      <c r="D620" s="79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>
        <f>(VLOOKUP($A620,'The List'!$B1:$AR665,35,FALSE)-AVERAGE('The List'!AJ2:AJ665))/STDEV('The List'!AJ2:AJ665)</f>
        <v>1.1462829442686</v>
      </c>
      <c r="X620" s="77">
        <f>(VLOOKUP($A620,'The List'!$B1:$AR665,36,FALSE)-AVERAGE('The List'!AK2:AK665))/STDEV('The List'!AK2:AK665)</f>
        <v>1.28756107474641</v>
      </c>
      <c r="Y620" s="77">
        <f>(VLOOKUP($A620,'The List'!$B1:$AR665,37,FALSE)-AVERAGE('The List'!AL2:AL665))/STDEV('The List'!AL2:AL665)*-1</f>
        <v>-0.32479130406283</v>
      </c>
      <c r="Z620" s="77">
        <f>(VLOOKUP($A620,'The List'!$B1:$AR665,38,FALSE)-AVERAGE('The List'!AM2:AM665))/STDEV('The List'!AM2:AM665)</f>
        <v>1.1462829442686</v>
      </c>
      <c r="AA620" s="77">
        <f>(VLOOKUP($A620,'The List'!$B1:$AR665,39,FALSE)-AVERAGE('The List'!AN2:AN665))/STDEV('The List'!AN2:AN665)</f>
        <v>0.676693485971376</v>
      </c>
      <c r="AB620" s="77">
        <f>(VLOOKUP($A620,'The List'!$B1:$AR665,40,FALSE)-AVERAGE('The List'!AO2:AO665))/STDEV('The List'!AO2:AO665)</f>
        <v>1.15744112753084</v>
      </c>
      <c r="AC620" s="77">
        <f>(VLOOKUP($A620,'The List'!$B1:$AR665,42,FALSE)-AVERAGE('The List'!AQ2:AQ665))/STDEV('The List'!AQ2:AQ665)</f>
        <v>0.38002937137148</v>
      </c>
      <c r="AD620" s="77">
        <f>(VLOOKUP($A620,'The List'!$B1:$AR665,43,FALSE)-AVERAGE('The List'!AR2:AR665))/STDEV('The List'!AR2:AR665)*-1</f>
        <v>0.239784284922139</v>
      </c>
      <c r="AE620" s="84"/>
    </row>
    <row r="621" ht="21.25" customHeight="1">
      <c r="A621" t="s" s="10">
        <v>612</v>
      </c>
      <c r="B621" t="s" s="86">
        <f>VLOOKUP(A621,'Player Data'!A1:B667,2,FALSE)</f>
        <v>871</v>
      </c>
      <c r="C621" s="74">
        <f>(W621*'Settings'!$C$29)+(X621*'Settings'!$C$21)+(Y621*'Settings'!$C$22)+(AA621*'Settings'!$C$24)+(AB621*'Settings'!$C$25)+(Z621*'Settings'!$C$23)+(AC621*'Settings'!$C$26)+(AD621*'Settings'!$C$28)</f>
        <v>-1.49303436805349</v>
      </c>
      <c r="D621" s="79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>
        <f>(VLOOKUP($A621,'The List'!$B1:$AR665,35,FALSE)-AVERAGE('The List'!AJ2:AJ665))/STDEV('The List'!AJ2:AJ665)</f>
        <v>-1.11551024777817</v>
      </c>
      <c r="X621" s="77">
        <f>(VLOOKUP($A621,'The List'!$B1:$AR665,36,FALSE)-AVERAGE('The List'!AK2:AK665))/STDEV('The List'!AK2:AK665)</f>
        <v>-0.655581892145</v>
      </c>
      <c r="Y621" s="77">
        <f>(VLOOKUP($A621,'The List'!$B1:$AR665,37,FALSE)-AVERAGE('The List'!AL2:AL665))/STDEV('The List'!AL2:AL665)*-1</f>
        <v>1.45306515072133</v>
      </c>
      <c r="Z621" s="77">
        <f>(VLOOKUP($A621,'The List'!$B1:$AR665,38,FALSE)-AVERAGE('The List'!AM2:AM665))/STDEV('The List'!AM2:AM665)</f>
        <v>-1.11551024777817</v>
      </c>
      <c r="AA621" s="77">
        <f>(VLOOKUP($A621,'The List'!$B1:$AR665,39,FALSE)-AVERAGE('The List'!AN2:AN665))/STDEV('The List'!AN2:AN665)</f>
        <v>-0.761624597171073</v>
      </c>
      <c r="AB621" s="77">
        <f>(VLOOKUP($A621,'The List'!$B1:$AR665,40,FALSE)-AVERAGE('The List'!AO2:AO665))/STDEV('The List'!AO2:AO665)</f>
        <v>-1.10486803529311</v>
      </c>
      <c r="AC621" s="77">
        <f>(VLOOKUP($A621,'The List'!$B1:$AR665,42,FALSE)-AVERAGE('The List'!AQ2:AQ665))/STDEV('The List'!AQ2:AQ665)</f>
        <v>-0.0243818483042515</v>
      </c>
      <c r="AD621" s="77">
        <f>(VLOOKUP($A621,'The List'!$B1:$AR665,43,FALSE)-AVERAGE('The List'!AR2:AR665))/STDEV('The List'!AR2:AR665)*-1</f>
        <v>-0.051446030433164</v>
      </c>
      <c r="AE621" s="84"/>
    </row>
    <row r="622" ht="21.25" customHeight="1">
      <c r="A622" t="s" s="10">
        <v>175</v>
      </c>
      <c r="B622" t="s" s="86">
        <f>VLOOKUP(A622,'Player Data'!A1:B667,2,FALSE)</f>
        <v>902</v>
      </c>
      <c r="C622" s="74">
        <f>(W622*'Settings'!$C$29)+(X622*'Settings'!$C$21)+(Y622*'Settings'!$C$22)+(AA622*'Settings'!$C$24)+(AB622*'Settings'!$C$25)+(Z622*'Settings'!$C$23)+(AC622*'Settings'!$C$26)+(AD622*'Settings'!$C$28)</f>
        <v>6.50022133116328</v>
      </c>
      <c r="D622" s="79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>
        <f>(VLOOKUP($A622,'The List'!$B1:$AR665,35,FALSE)-AVERAGE('The List'!AJ2:AJ665))/STDEV('The List'!AJ2:AJ665)</f>
        <v>1.63095291399291</v>
      </c>
      <c r="X622" s="77">
        <f>(VLOOKUP($A622,'The List'!$B1:$AR665,36,FALSE)-AVERAGE('The List'!AK2:AK665))/STDEV('The List'!AK2:AK665)</f>
        <v>1.93824538833062</v>
      </c>
      <c r="Y622" s="77">
        <f>(VLOOKUP($A622,'The List'!$B1:$AR665,37,FALSE)-AVERAGE('The List'!AL2:AL665))/STDEV('The List'!AL2:AL665)*-1</f>
        <v>-0.259849276651567</v>
      </c>
      <c r="Z622" s="77">
        <f>(VLOOKUP($A622,'The List'!$B1:$AR665,38,FALSE)-AVERAGE('The List'!AM2:AM665))/STDEV('The List'!AM2:AM665)</f>
        <v>1.63095291399291</v>
      </c>
      <c r="AA622" s="77">
        <f>(VLOOKUP($A622,'The List'!$B1:$AR665,39,FALSE)-AVERAGE('The List'!AN2:AN665))/STDEV('The List'!AN2:AN665)</f>
        <v>1.9434819597921</v>
      </c>
      <c r="AB622" s="77">
        <f>(VLOOKUP($A622,'The List'!$B1:$AR665,40,FALSE)-AVERAGE('The List'!AO2:AO665))/STDEV('The List'!AO2:AO665)</f>
        <v>1.43099032611488</v>
      </c>
      <c r="AC622" s="77">
        <f>(VLOOKUP($A622,'The List'!$B1:$AR665,42,FALSE)-AVERAGE('The List'!AQ2:AQ665))/STDEV('The List'!AQ2:AQ665)</f>
        <v>1.16667386707056</v>
      </c>
      <c r="AD622" s="77">
        <f>(VLOOKUP($A622,'The List'!$B1:$AR665,43,FALSE)-AVERAGE('The List'!AR2:AR665))/STDEV('The List'!AR2:AR665)*-1</f>
        <v>1.451820115970</v>
      </c>
      <c r="AE622" s="84"/>
    </row>
    <row r="623" ht="21.25" customHeight="1">
      <c r="A623" t="s" s="10">
        <v>336</v>
      </c>
      <c r="B623" t="s" s="86">
        <f>VLOOKUP(A623,'Player Data'!A1:B667,2,FALSE)</f>
        <v>156</v>
      </c>
      <c r="C623" s="74">
        <f>(W623*'Settings'!$C$29)+(X623*'Settings'!$C$21)+(Y623*'Settings'!$C$22)+(AA623*'Settings'!$C$24)+(AB623*'Settings'!$C$25)+(Z623*'Settings'!$C$23)+(AC623*'Settings'!$C$26)+(AD623*'Settings'!$C$28)</f>
        <v>-0.721686517414117</v>
      </c>
      <c r="D623" s="79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>
        <f>(VLOOKUP($A623,'The List'!$B1:$AR665,35,FALSE)-AVERAGE('The List'!AJ2:AJ665))/STDEV('The List'!AJ2:AJ665)</f>
        <v>0.338499661394755</v>
      </c>
      <c r="X623" s="77">
        <f>(VLOOKUP($A623,'The List'!$B1:$AR665,36,FALSE)-AVERAGE('The List'!AK2:AK665))/STDEV('The List'!AK2:AK665)</f>
        <v>-0.203838020521044</v>
      </c>
      <c r="Y623" s="77">
        <f>(VLOOKUP($A623,'The List'!$B1:$AR665,37,FALSE)-AVERAGE('The List'!AL2:AL665))/STDEV('The List'!AL2:AL665)*-1</f>
        <v>-1.20748483605606</v>
      </c>
      <c r="Z623" s="77">
        <f>(VLOOKUP($A623,'The List'!$B1:$AR665,38,FALSE)-AVERAGE('The List'!AM2:AM665))/STDEV('The List'!AM2:AM665)</f>
        <v>0.338499661394755</v>
      </c>
      <c r="AA623" s="77">
        <f>(VLOOKUP($A623,'The List'!$B1:$AR665,39,FALSE)-AVERAGE('The List'!AN2:AN665))/STDEV('The List'!AN2:AN665)</f>
        <v>-0.0339041992071737</v>
      </c>
      <c r="AB623" s="77">
        <f>(VLOOKUP($A623,'The List'!$B1:$AR665,40,FALSE)-AVERAGE('The List'!AO2:AO665))/STDEV('The List'!AO2:AO665)</f>
        <v>0.413897334710117</v>
      </c>
      <c r="AC623" s="77">
        <f>(VLOOKUP($A623,'The List'!$B1:$AR665,42,FALSE)-AVERAGE('The List'!AQ2:AQ665))/STDEV('The List'!AQ2:AQ665)</f>
        <v>-0.09084392041283861</v>
      </c>
      <c r="AD623" s="77">
        <f>(VLOOKUP($A623,'The List'!$B1:$AR665,43,FALSE)-AVERAGE('The List'!AR2:AR665))/STDEV('The List'!AR2:AR665)*-1</f>
        <v>-0.393100377273061</v>
      </c>
      <c r="AE623" s="84"/>
    </row>
    <row r="624" ht="21.25" customHeight="1">
      <c r="A624" t="s" s="10">
        <v>472</v>
      </c>
      <c r="B624" t="s" s="86">
        <f>VLOOKUP(A624,'Player Data'!A1:B667,2,FALSE)</f>
        <v>156</v>
      </c>
      <c r="C624" s="74">
        <f>(W624*'Settings'!$C$29)+(X624*'Settings'!$C$21)+(Y624*'Settings'!$C$22)+(AA624*'Settings'!$C$24)+(AB624*'Settings'!$C$25)+(Z624*'Settings'!$C$23)+(AC624*'Settings'!$C$26)+(AD624*'Settings'!$C$28)</f>
        <v>-1.78480798183971</v>
      </c>
      <c r="D624" s="79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>
        <f>(VLOOKUP($A624,'The List'!$B1:$AR665,35,FALSE)-AVERAGE('The List'!AJ2:AJ665))/STDEV('The List'!AJ2:AJ665)</f>
        <v>-0.469283621479092</v>
      </c>
      <c r="X624" s="77">
        <f>(VLOOKUP($A624,'The List'!$B1:$AR665,36,FALSE)-AVERAGE('The List'!AK2:AK665))/STDEV('The List'!AK2:AK665)</f>
        <v>-0.634735954716604</v>
      </c>
      <c r="Y624" s="77">
        <f>(VLOOKUP($A624,'The List'!$B1:$AR665,37,FALSE)-AVERAGE('The List'!AL2:AL665))/STDEV('The List'!AL2:AL665)*-1</f>
        <v>-0.0718411475444946</v>
      </c>
      <c r="Z624" s="77">
        <f>(VLOOKUP($A624,'The List'!$B1:$AR665,38,FALSE)-AVERAGE('The List'!AM2:AM665))/STDEV('The List'!AM2:AM665)</f>
        <v>-0.469283621479092</v>
      </c>
      <c r="AA624" s="77">
        <f>(VLOOKUP($A624,'The List'!$B1:$AR665,39,FALSE)-AVERAGE('The List'!AN2:AN665))/STDEV('The List'!AN2:AN665)</f>
        <v>-0.593486982514573</v>
      </c>
      <c r="AB624" s="77">
        <f>(VLOOKUP($A624,'The List'!$B1:$AR665,40,FALSE)-AVERAGE('The List'!AO2:AO665))/STDEV('The List'!AO2:AO665)</f>
        <v>-0.377425442668944</v>
      </c>
      <c r="AC624" s="77">
        <f>(VLOOKUP($A624,'The List'!$B1:$AR665,42,FALSE)-AVERAGE('The List'!AQ2:AQ665))/STDEV('The List'!AQ2:AQ665)</f>
        <v>-0.0450302265901388</v>
      </c>
      <c r="AD624" s="77">
        <f>(VLOOKUP($A624,'The List'!$B1:$AR665,43,FALSE)-AVERAGE('The List'!AR2:AR665))/STDEV('The List'!AR2:AR665)*-1</f>
        <v>-0.511554818018393</v>
      </c>
      <c r="AE624" s="84"/>
    </row>
    <row r="625" ht="21.25" customHeight="1">
      <c r="A625" t="s" s="10">
        <v>187</v>
      </c>
      <c r="B625" t="s" s="86">
        <f>VLOOKUP(A625,'Player Data'!A1:B667,2,FALSE)</f>
        <v>129</v>
      </c>
      <c r="C625" s="74">
        <f>(W625*'Settings'!$C$29)+(X625*'Settings'!$C$21)+(Y625*'Settings'!$C$22)+(AA625*'Settings'!$C$24)+(AB625*'Settings'!$C$25)+(Z625*'Settings'!$C$23)+(AC625*'Settings'!$C$26)+(AD625*'Settings'!$C$28)</f>
        <v>4.35321430039172</v>
      </c>
      <c r="D625" s="79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>
        <f>(VLOOKUP($A625,'The List'!$B1:$AR665,35,FALSE)-AVERAGE('The List'!AJ2:AJ665))/STDEV('The List'!AJ2:AJ665)</f>
        <v>1.30783960084337</v>
      </c>
      <c r="X625" s="77">
        <f>(VLOOKUP($A625,'The List'!$B1:$AR665,36,FALSE)-AVERAGE('The List'!AK2:AK665))/STDEV('The List'!AK2:AK665)</f>
        <v>1.93861470259323</v>
      </c>
      <c r="Y625" s="77">
        <f>(VLOOKUP($A625,'The List'!$B1:$AR665,37,FALSE)-AVERAGE('The List'!AL2:AL665))/STDEV('The List'!AL2:AL665)*-1</f>
        <v>0.523143658033573</v>
      </c>
      <c r="Z625" s="77">
        <f>(VLOOKUP($A625,'The List'!$B1:$AR665,38,FALSE)-AVERAGE('The List'!AM2:AM665))/STDEV('The List'!AM2:AM665)</f>
        <v>1.30783960084337</v>
      </c>
      <c r="AA625" s="77">
        <f>(VLOOKUP($A625,'The List'!$B1:$AR665,39,FALSE)-AVERAGE('The List'!AN2:AN665))/STDEV('The List'!AN2:AN665)</f>
        <v>0.971151057310179</v>
      </c>
      <c r="AB625" s="77">
        <f>(VLOOKUP($A625,'The List'!$B1:$AR665,40,FALSE)-AVERAGE('The List'!AO2:AO665))/STDEV('The List'!AO2:AO665)</f>
        <v>1.28599928047178</v>
      </c>
      <c r="AC625" s="77">
        <f>(VLOOKUP($A625,'The List'!$B1:$AR665,42,FALSE)-AVERAGE('The List'!AQ2:AQ665))/STDEV('The List'!AQ2:AQ665)</f>
        <v>0.783476366384218</v>
      </c>
      <c r="AD625" s="77">
        <f>(VLOOKUP($A625,'The List'!$B1:$AR665,43,FALSE)-AVERAGE('The List'!AR2:AR665))/STDEV('The List'!AR2:AR665)*-1</f>
        <v>0.659972174104088</v>
      </c>
      <c r="AE625" s="84"/>
    </row>
    <row r="626" ht="21.25" customHeight="1">
      <c r="A626" t="s" s="10">
        <v>658</v>
      </c>
      <c r="B626" t="s" s="86">
        <f>VLOOKUP(A626,'Player Data'!A1:B667,2,FALSE)</f>
        <v>129</v>
      </c>
      <c r="C626" s="74">
        <f>(W626*'Settings'!$C$29)+(X626*'Settings'!$C$21)+(Y626*'Settings'!$C$22)+(AA626*'Settings'!$C$24)+(AB626*'Settings'!$C$25)+(Z626*'Settings'!$C$23)+(AC626*'Settings'!$C$26)+(AD626*'Settings'!$C$28)</f>
        <v>-2.51287273413409</v>
      </c>
      <c r="D626" s="79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>
        <f>(VLOOKUP($A626,'The List'!$B1:$AR665,35,FALSE)-AVERAGE('The List'!AJ2:AJ665))/STDEV('The List'!AJ2:AJ665)</f>
        <v>-1.27706690435294</v>
      </c>
      <c r="X626" s="77">
        <f>(VLOOKUP($A626,'The List'!$B1:$AR665,36,FALSE)-AVERAGE('The List'!AK2:AK665))/STDEV('The List'!AK2:AK665)</f>
        <v>-0.718399903762288</v>
      </c>
      <c r="Y626" s="77">
        <f>(VLOOKUP($A626,'The List'!$B1:$AR665,37,FALSE)-AVERAGE('The List'!AL2:AL665))/STDEV('The List'!AL2:AL665)*-1</f>
        <v>1.72465544917495</v>
      </c>
      <c r="Z626" s="77">
        <f>(VLOOKUP($A626,'The List'!$B1:$AR665,38,FALSE)-AVERAGE('The List'!AM2:AM665))/STDEV('The List'!AM2:AM665)</f>
        <v>-1.27706690435294</v>
      </c>
      <c r="AA626" s="77">
        <f>(VLOOKUP($A626,'The List'!$B1:$AR665,39,FALSE)-AVERAGE('The List'!AN2:AN665))/STDEV('The List'!AN2:AN665)</f>
        <v>-0.973116847089983</v>
      </c>
      <c r="AB626" s="77">
        <f>(VLOOKUP($A626,'The List'!$B1:$AR665,40,FALSE)-AVERAGE('The List'!AO2:AO665))/STDEV('The List'!AO2:AO665)</f>
        <v>-1.2889311133271</v>
      </c>
      <c r="AC626" s="77">
        <f>(VLOOKUP($A626,'The List'!$B1:$AR665,42,FALSE)-AVERAGE('The List'!AQ2:AQ665))/STDEV('The List'!AQ2:AQ665)</f>
        <v>-0.5383264548597539</v>
      </c>
      <c r="AD626" s="77">
        <f>(VLOOKUP($A626,'The List'!$B1:$AR665,43,FALSE)-AVERAGE('The List'!AR2:AR665))/STDEV('The List'!AR2:AR665)*-1</f>
        <v>-0.283029528422067</v>
      </c>
      <c r="AE626" s="84"/>
    </row>
    <row r="627" ht="21.25" customHeight="1">
      <c r="A627" t="s" s="10">
        <v>205</v>
      </c>
      <c r="B627" t="s" s="86">
        <f>VLOOKUP(A627,'Player Data'!A1:B667,2,FALSE)</f>
        <v>149</v>
      </c>
      <c r="C627" s="74">
        <f>(W627*'Settings'!$C$29)+(X627*'Settings'!$C$21)+(Y627*'Settings'!$C$22)+(AA627*'Settings'!$C$24)+(AB627*'Settings'!$C$25)+(Z627*'Settings'!$C$23)+(AC627*'Settings'!$C$26)+(AD627*'Settings'!$C$28)</f>
        <v>5.19336945528848</v>
      </c>
      <c r="D627" s="79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>
        <f>(VLOOKUP($A627,'The List'!$B1:$AR665,35,FALSE)-AVERAGE('The List'!AJ2:AJ665))/STDEV('The List'!AJ2:AJ665)</f>
        <v>1.30783960084337</v>
      </c>
      <c r="X627" s="77">
        <f>(VLOOKUP($A627,'The List'!$B1:$AR665,36,FALSE)-AVERAGE('The List'!AK2:AK665))/STDEV('The List'!AK2:AK665)</f>
        <v>1.64974543748908</v>
      </c>
      <c r="Y627" s="77">
        <f>(VLOOKUP($A627,'The List'!$B1:$AR665,37,FALSE)-AVERAGE('The List'!AL2:AL665))/STDEV('The List'!AL2:AL665)*-1</f>
        <v>-0.026629987692821</v>
      </c>
      <c r="Z627" s="77">
        <f>(VLOOKUP($A627,'The List'!$B1:$AR665,38,FALSE)-AVERAGE('The List'!AM2:AM665))/STDEV('The List'!AM2:AM665)</f>
        <v>1.30783960084337</v>
      </c>
      <c r="AA627" s="77">
        <f>(VLOOKUP($A627,'The List'!$B1:$AR665,39,FALSE)-AVERAGE('The List'!AN2:AN665))/STDEV('The List'!AN2:AN665)</f>
        <v>1.56510181337289</v>
      </c>
      <c r="AB627" s="77">
        <f>(VLOOKUP($A627,'The List'!$B1:$AR665,40,FALSE)-AVERAGE('The List'!AO2:AO665))/STDEV('The List'!AO2:AO665)</f>
        <v>1.06333475757706</v>
      </c>
      <c r="AC627" s="77">
        <f>(VLOOKUP($A627,'The List'!$B1:$AR665,42,FALSE)-AVERAGE('The List'!AQ2:AQ665))/STDEV('The List'!AQ2:AQ665)</f>
        <v>0.698001551073672</v>
      </c>
      <c r="AD627" s="77">
        <f>(VLOOKUP($A627,'The List'!$B1:$AR665,43,FALSE)-AVERAGE('The List'!AR2:AR665))/STDEV('The List'!AR2:AR665)*-1</f>
        <v>1.28052065335284</v>
      </c>
      <c r="AE627" s="84"/>
    </row>
    <row r="628" ht="21.25" customHeight="1">
      <c r="A628" t="s" s="10">
        <v>709</v>
      </c>
      <c r="B628" t="s" s="86">
        <f>VLOOKUP(A628,'Player Data'!A1:B667,2,FALSE)</f>
        <v>149</v>
      </c>
      <c r="C628" s="74">
        <f>(W628*'Settings'!$C$29)+(X628*'Settings'!$C$21)+(Y628*'Settings'!$C$22)+(AA628*'Settings'!$C$24)+(AB628*'Settings'!$C$25)+(Z628*'Settings'!$C$23)+(AC628*'Settings'!$C$26)+(AD628*'Settings'!$C$28)</f>
        <v>-2.54405205385678</v>
      </c>
      <c r="D628" s="79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>
        <f>(VLOOKUP($A628,'The List'!$B1:$AR665,35,FALSE)-AVERAGE('The List'!AJ2:AJ665))/STDEV('The List'!AJ2:AJ665)</f>
        <v>-1.43862356092771</v>
      </c>
      <c r="X628" s="77">
        <f>(VLOOKUP($A628,'The List'!$B1:$AR665,36,FALSE)-AVERAGE('The List'!AK2:AK665))/STDEV('The List'!AK2:AK665)</f>
        <v>-0.934266494314707</v>
      </c>
      <c r="Y628" s="77">
        <f>(VLOOKUP($A628,'The List'!$B1:$AR665,37,FALSE)-AVERAGE('The List'!AL2:AL665))/STDEV('The List'!AL2:AL665)*-1</f>
        <v>1.70496493177551</v>
      </c>
      <c r="Z628" s="77">
        <f>(VLOOKUP($A628,'The List'!$B1:$AR665,38,FALSE)-AVERAGE('The List'!AM2:AM665))/STDEV('The List'!AM2:AM665)</f>
        <v>-1.43862356092771</v>
      </c>
      <c r="AA628" s="77">
        <f>(VLOOKUP($A628,'The List'!$B1:$AR665,39,FALSE)-AVERAGE('The List'!AN2:AN665))/STDEV('The List'!AN2:AN665)</f>
        <v>-0.859774692137906</v>
      </c>
      <c r="AB628" s="77">
        <f>(VLOOKUP($A628,'The List'!$B1:$AR665,40,FALSE)-AVERAGE('The List'!AO2:AO665))/STDEV('The List'!AO2:AO665)</f>
        <v>-1.53746406530794</v>
      </c>
      <c r="AC628" s="77">
        <f>(VLOOKUP($A628,'The List'!$B1:$AR665,42,FALSE)-AVERAGE('The List'!AQ2:AQ665))/STDEV('The List'!AQ2:AQ665)</f>
        <v>-0.927782541251411</v>
      </c>
      <c r="AD628" s="77">
        <f>(VLOOKUP($A628,'The List'!$B1:$AR665,43,FALSE)-AVERAGE('The List'!AR2:AR665))/STDEV('The List'!AR2:AR665)*-1</f>
        <v>0.177771673847242</v>
      </c>
      <c r="AE628" s="84"/>
    </row>
    <row r="629" ht="21.25" customHeight="1">
      <c r="A629" t="s" s="10">
        <v>266</v>
      </c>
      <c r="B629" t="s" s="86">
        <f>VLOOKUP(A629,'Player Data'!A1:B667,2,FALSE)</f>
        <v>267</v>
      </c>
      <c r="C629" s="74">
        <f>(W629*'Settings'!$C$29)+(X629*'Settings'!$C$21)+(Y629*'Settings'!$C$22)+(AA629*'Settings'!$C$24)+(AB629*'Settings'!$C$25)+(Z629*'Settings'!$C$23)+(AC629*'Settings'!$C$26)+(AD629*'Settings'!$C$28)</f>
        <v>2.61908552057971</v>
      </c>
      <c r="D629" s="79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>
        <f>(VLOOKUP($A629,'The List'!$B1:$AR665,35,FALSE)-AVERAGE('The List'!AJ2:AJ665))/STDEV('The List'!AJ2:AJ665)</f>
        <v>0.823169631119063</v>
      </c>
      <c r="X629" s="77">
        <f>(VLOOKUP($A629,'The List'!$B1:$AR665,36,FALSE)-AVERAGE('The List'!AK2:AK665))/STDEV('The List'!AK2:AK665)</f>
        <v>0.814628054575014</v>
      </c>
      <c r="Y629" s="77">
        <f>(VLOOKUP($A629,'The List'!$B1:$AR665,37,FALSE)-AVERAGE('The List'!AL2:AL665))/STDEV('The List'!AL2:AL665)*-1</f>
        <v>-0.442583538886049</v>
      </c>
      <c r="Z629" s="77">
        <f>(VLOOKUP($A629,'The List'!$B1:$AR665,38,FALSE)-AVERAGE('The List'!AM2:AM665))/STDEV('The List'!AM2:AM665)</f>
        <v>0.823169631119063</v>
      </c>
      <c r="AA629" s="77">
        <f>(VLOOKUP($A629,'The List'!$B1:$AR665,39,FALSE)-AVERAGE('The List'!AN2:AN665))/STDEV('The List'!AN2:AN665)</f>
        <v>0.892789473254605</v>
      </c>
      <c r="AB629" s="77">
        <f>(VLOOKUP($A629,'The List'!$B1:$AR665,40,FALSE)-AVERAGE('The List'!AO2:AO665))/STDEV('The List'!AO2:AO665)</f>
        <v>0.605502502629514</v>
      </c>
      <c r="AC629" s="77">
        <f>(VLOOKUP($A629,'The List'!$B1:$AR665,42,FALSE)-AVERAGE('The List'!AQ2:AQ665))/STDEV('The List'!AQ2:AQ665)</f>
        <v>0.0852105555785652</v>
      </c>
      <c r="AD629" s="77">
        <f>(VLOOKUP($A629,'The List'!$B1:$AR665,43,FALSE)-AVERAGE('The List'!AR2:AR665))/STDEV('The List'!AR2:AR665)*-1</f>
        <v>0.826457437171527</v>
      </c>
      <c r="AE629" s="84"/>
    </row>
    <row r="630" ht="21.25" customHeight="1">
      <c r="A630" t="s" s="10">
        <v>646</v>
      </c>
      <c r="B630" t="s" s="86">
        <f>VLOOKUP(A630,'Player Data'!A1:B667,2,FALSE)</f>
        <v>267</v>
      </c>
      <c r="C630" s="74">
        <f>(W630*'Settings'!$C$29)+(X630*'Settings'!$C$21)+(Y630*'Settings'!$C$22)+(AA630*'Settings'!$C$24)+(AB630*'Settings'!$C$25)+(Z630*'Settings'!$C$23)+(AC630*'Settings'!$C$26)+(AD630*'Settings'!$C$28)</f>
        <v>-0.304245161611584</v>
      </c>
      <c r="D630" s="79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>
        <f>(VLOOKUP($A630,'The List'!$B1:$AR665,35,FALSE)-AVERAGE('The List'!AJ2:AJ665))/STDEV('The List'!AJ2:AJ665)</f>
        <v>-1.19628857606555</v>
      </c>
      <c r="X630" s="77">
        <f>(VLOOKUP($A630,'The List'!$B1:$AR665,36,FALSE)-AVERAGE('The List'!AK2:AK665))/STDEV('The List'!AK2:AK665)</f>
        <v>-0.81049778398365</v>
      </c>
      <c r="Y630" s="77">
        <f>(VLOOKUP($A630,'The List'!$B1:$AR665,37,FALSE)-AVERAGE('The List'!AL2:AL665))/STDEV('The List'!AL2:AL665)*-1</f>
        <v>1.35380299476703</v>
      </c>
      <c r="Z630" s="77">
        <f>(VLOOKUP($A630,'The List'!$B1:$AR665,38,FALSE)-AVERAGE('The List'!AM2:AM665))/STDEV('The List'!AM2:AM665)</f>
        <v>-1.19628857606555</v>
      </c>
      <c r="AA630" s="77">
        <f>(VLOOKUP($A630,'The List'!$B1:$AR665,39,FALSE)-AVERAGE('The List'!AN2:AN665))/STDEV('The List'!AN2:AN665)</f>
        <v>-0.494479080999541</v>
      </c>
      <c r="AB630" s="77">
        <f>(VLOOKUP($A630,'The List'!$B1:$AR665,40,FALSE)-AVERAGE('The List'!AO2:AO665))/STDEV('The List'!AO2:AO665)</f>
        <v>-1.29526859829706</v>
      </c>
      <c r="AC630" s="77">
        <f>(VLOOKUP($A630,'The List'!$B1:$AR665,42,FALSE)-AVERAGE('The List'!AQ2:AQ665))/STDEV('The List'!AQ2:AQ665)</f>
        <v>0.138218133209998</v>
      </c>
      <c r="AD630" s="77">
        <f>(VLOOKUP($A630,'The List'!$B1:$AR665,43,FALSE)-AVERAGE('The List'!AR2:AR665))/STDEV('The List'!AR2:AR665)*-1</f>
        <v>0.862513570161609</v>
      </c>
      <c r="AE630" s="84"/>
    </row>
    <row r="631" ht="21.25" customHeight="1">
      <c r="A631" t="s" s="10">
        <v>274</v>
      </c>
      <c r="B631" t="s" s="86">
        <f>VLOOKUP(A631,'Player Data'!A1:B667,2,FALSE)</f>
        <v>275</v>
      </c>
      <c r="C631" s="74">
        <f>(W631*'Settings'!$C$29)+(X631*'Settings'!$C$21)+(Y631*'Settings'!$C$22)+(AA631*'Settings'!$C$24)+(AB631*'Settings'!$C$25)+(Z631*'Settings'!$C$23)+(AC631*'Settings'!$C$26)+(AD631*'Settings'!$C$28)</f>
        <v>4.26114802858507</v>
      </c>
      <c r="D631" s="79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>
        <f>(VLOOKUP($A631,'The List'!$B1:$AR665,35,FALSE)-AVERAGE('The List'!AJ2:AJ665))/STDEV('The List'!AJ2:AJ665)</f>
        <v>0.823169631119063</v>
      </c>
      <c r="X631" s="77">
        <f>(VLOOKUP($A631,'The List'!$B1:$AR665,36,FALSE)-AVERAGE('The List'!AK2:AK665))/STDEV('The List'!AK2:AK665)</f>
        <v>0.576304292171523</v>
      </c>
      <c r="Y631" s="77">
        <f>(VLOOKUP($A631,'The List'!$B1:$AR665,37,FALSE)-AVERAGE('The List'!AL2:AL665))/STDEV('The List'!AL2:AL665)*-1</f>
        <v>-0.896159393252411</v>
      </c>
      <c r="Z631" s="77">
        <f>(VLOOKUP($A631,'The List'!$B1:$AR665,38,FALSE)-AVERAGE('The List'!AM2:AM665))/STDEV('The List'!AM2:AM665)</f>
        <v>0.823169631119063</v>
      </c>
      <c r="AA631" s="77">
        <f>(VLOOKUP($A631,'The List'!$B1:$AR665,39,FALSE)-AVERAGE('The List'!AN2:AN665))/STDEV('The List'!AN2:AN665)</f>
        <v>1.50615794405391</v>
      </c>
      <c r="AB631" s="77">
        <f>(VLOOKUP($A631,'The List'!$B1:$AR665,40,FALSE)-AVERAGE('The List'!AO2:AO665))/STDEV('The List'!AO2:AO665)</f>
        <v>0.500486108704579</v>
      </c>
      <c r="AC631" s="77">
        <f>(VLOOKUP($A631,'The List'!$B1:$AR665,42,FALSE)-AVERAGE('The List'!AQ2:AQ665))/STDEV('The List'!AQ2:AQ665)</f>
        <v>0.600795261587968</v>
      </c>
      <c r="AD631" s="77">
        <f>(VLOOKUP($A631,'The List'!$B1:$AR665,43,FALSE)-AVERAGE('The List'!AR2:AR665))/STDEV('The List'!AR2:AR665)*-1</f>
        <v>1.57789053077167</v>
      </c>
      <c r="AE631" s="84"/>
    </row>
    <row r="632" ht="21.25" customHeight="1">
      <c r="A632" t="s" s="10">
        <v>586</v>
      </c>
      <c r="B632" t="s" s="86">
        <f>VLOOKUP(A632,'Player Data'!A1:B667,2,FALSE)</f>
        <v>275</v>
      </c>
      <c r="C632" s="74">
        <f>(W632*'Settings'!$C$29)+(X632*'Settings'!$C$21)+(Y632*'Settings'!$C$22)+(AA632*'Settings'!$C$24)+(AB632*'Settings'!$C$25)+(Z632*'Settings'!$C$23)+(AC632*'Settings'!$C$26)+(AD632*'Settings'!$C$28)</f>
        <v>-0.625796214152372</v>
      </c>
      <c r="D632" s="79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>
        <f>(VLOOKUP($A632,'The List'!$B1:$AR665,35,FALSE)-AVERAGE('The List'!AJ2:AJ665))/STDEV('The List'!AJ2:AJ665)</f>
        <v>-0.792396934628631</v>
      </c>
      <c r="X632" s="77">
        <f>(VLOOKUP($A632,'The List'!$B1:$AR665,36,FALSE)-AVERAGE('The List'!AK2:AK665))/STDEV('The List'!AK2:AK665)</f>
        <v>-0.739260108326969</v>
      </c>
      <c r="Y632" s="77">
        <f>(VLOOKUP($A632,'The List'!$B1:$AR665,37,FALSE)-AVERAGE('The List'!AL2:AL665))/STDEV('The List'!AL2:AL665)*-1</f>
        <v>0.511519388641567</v>
      </c>
      <c r="Z632" s="77">
        <f>(VLOOKUP($A632,'The List'!$B1:$AR665,38,FALSE)-AVERAGE('The List'!AM2:AM665))/STDEV('The List'!AM2:AM665)</f>
        <v>-0.792396934628631</v>
      </c>
      <c r="AA632" s="77">
        <f>(VLOOKUP($A632,'The List'!$B1:$AR665,39,FALSE)-AVERAGE('The List'!AN2:AN665))/STDEV('The List'!AN2:AN665)</f>
        <v>-0.238698156342386</v>
      </c>
      <c r="AB632" s="77">
        <f>(VLOOKUP($A632,'The List'!$B1:$AR665,40,FALSE)-AVERAGE('The List'!AO2:AO665))/STDEV('The List'!AO2:AO665)</f>
        <v>-0.967375837478872</v>
      </c>
      <c r="AC632" s="77">
        <f>(VLOOKUP($A632,'The List'!$B1:$AR665,42,FALSE)-AVERAGE('The List'!AQ2:AQ665))/STDEV('The List'!AQ2:AQ665)</f>
        <v>-0.415280805747758</v>
      </c>
      <c r="AD632" s="77">
        <f>(VLOOKUP($A632,'The List'!$B1:$AR665,43,FALSE)-AVERAGE('The List'!AR2:AR665))/STDEV('The List'!AR2:AR665)*-1</f>
        <v>0.767442856264741</v>
      </c>
      <c r="AE632" s="84"/>
    </row>
    <row r="633" ht="21.25" customHeight="1">
      <c r="A633" t="s" s="10">
        <v>276</v>
      </c>
      <c r="B633" t="s" s="86">
        <f>VLOOKUP(A633,'Player Data'!A1:B667,2,FALSE)</f>
        <v>909</v>
      </c>
      <c r="C633" s="74">
        <f>(W633*'Settings'!$C$29)+(X633*'Settings'!$C$21)+(Y633*'Settings'!$C$22)+(AA633*'Settings'!$C$24)+(AB633*'Settings'!$C$25)+(Z633*'Settings'!$C$23)+(AC633*'Settings'!$C$26)+(AD633*'Settings'!$C$28)</f>
        <v>-1.78922076776141</v>
      </c>
      <c r="D633" s="79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>
        <f>(VLOOKUP($A633,'The List'!$B1:$AR665,35,FALSE)-AVERAGE('The List'!AJ2:AJ665))/STDEV('The List'!AJ2:AJ665)</f>
        <v>0.823169631119063</v>
      </c>
      <c r="X633" s="77">
        <f>(VLOOKUP($A633,'The List'!$B1:$AR665,36,FALSE)-AVERAGE('The List'!AK2:AK665))/STDEV('The List'!AK2:AK665)</f>
        <v>0.194772520155201</v>
      </c>
      <c r="Y633" s="77">
        <f>(VLOOKUP($A633,'The List'!$B1:$AR665,37,FALSE)-AVERAGE('The List'!AL2:AL665))/STDEV('The List'!AL2:AL665)*-1</f>
        <v>-1.62228757163871</v>
      </c>
      <c r="Z633" s="77">
        <f>(VLOOKUP($A633,'The List'!$B1:$AR665,38,FALSE)-AVERAGE('The List'!AM2:AM665))/STDEV('The List'!AM2:AM665)</f>
        <v>0.823169631119063</v>
      </c>
      <c r="AA633" s="77">
        <f>(VLOOKUP($A633,'The List'!$B1:$AR665,39,FALSE)-AVERAGE('The List'!AN2:AN665))/STDEV('The List'!AN2:AN665)</f>
        <v>-0.213172966465073</v>
      </c>
      <c r="AB633" s="77">
        <f>(VLOOKUP($A633,'The List'!$B1:$AR665,40,FALSE)-AVERAGE('The List'!AO2:AO665))/STDEV('The List'!AO2:AO665)</f>
        <v>0.992675784758956</v>
      </c>
      <c r="AC633" s="77">
        <f>(VLOOKUP($A633,'The List'!$B1:$AR665,42,FALSE)-AVERAGE('The List'!AQ2:AQ665))/STDEV('The List'!AQ2:AQ665)</f>
        <v>-0.623081002026892</v>
      </c>
      <c r="AD633" s="77">
        <f>(VLOOKUP($A633,'The List'!$B1:$AR665,43,FALSE)-AVERAGE('The List'!AR2:AR665))/STDEV('The List'!AR2:AR665)*-1</f>
        <v>-1.14773931942465</v>
      </c>
      <c r="AE633" s="84"/>
    </row>
    <row r="634" ht="21.25" customHeight="1">
      <c r="A634" t="s" s="10">
        <v>601</v>
      </c>
      <c r="B634" t="s" s="86">
        <f>VLOOKUP(A634,'Player Data'!A1:B667,2,FALSE)</f>
        <v>909</v>
      </c>
      <c r="C634" s="74">
        <f>(W634*'Settings'!$C$29)+(X634*'Settings'!$C$21)+(Y634*'Settings'!$C$22)+(AA634*'Settings'!$C$24)+(AB634*'Settings'!$C$25)+(Z634*'Settings'!$C$23)+(AC634*'Settings'!$C$26)+(AD634*'Settings'!$C$28)</f>
        <v>-4.1878140731878</v>
      </c>
      <c r="D634" s="79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>
        <f>(VLOOKUP($A634,'The List'!$B1:$AR665,35,FALSE)-AVERAGE('The List'!AJ2:AJ665))/STDEV('The List'!AJ2:AJ665)</f>
        <v>-0.953953591203401</v>
      </c>
      <c r="X634" s="77">
        <f>(VLOOKUP($A634,'The List'!$B1:$AR665,36,FALSE)-AVERAGE('The List'!AK2:AK665))/STDEV('The List'!AK2:AK665)</f>
        <v>-1.01554036583728</v>
      </c>
      <c r="Y634" s="77">
        <f>(VLOOKUP($A634,'The List'!$B1:$AR665,37,FALSE)-AVERAGE('The List'!AL2:AL665))/STDEV('The List'!AL2:AL665)*-1</f>
        <v>0.376850069592303</v>
      </c>
      <c r="Z634" s="77">
        <f>(VLOOKUP($A634,'The List'!$B1:$AR665,38,FALSE)-AVERAGE('The List'!AM2:AM665))/STDEV('The List'!AM2:AM665)</f>
        <v>-0.953953591203401</v>
      </c>
      <c r="AA634" s="77">
        <f>(VLOOKUP($A634,'The List'!$B1:$AR665,39,FALSE)-AVERAGE('The List'!AN2:AN665))/STDEV('The List'!AN2:AN665)</f>
        <v>-1.10723714798558</v>
      </c>
      <c r="AB634" s="77">
        <f>(VLOOKUP($A634,'The List'!$B1:$AR665,40,FALSE)-AVERAGE('The List'!AO2:AO665))/STDEV('The List'!AO2:AO665)</f>
        <v>-0.827798284610379</v>
      </c>
      <c r="AC634" s="77">
        <f>(VLOOKUP($A634,'The List'!$B1:$AR665,42,FALSE)-AVERAGE('The List'!AQ2:AQ665))/STDEV('The List'!AQ2:AQ665)</f>
        <v>-0.699775919085577</v>
      </c>
      <c r="AD634" s="77">
        <f>(VLOOKUP($A634,'The List'!$B1:$AR665,43,FALSE)-AVERAGE('The List'!AR2:AR665))/STDEV('The List'!AR2:AR665)*-1</f>
        <v>-1.36526064027936</v>
      </c>
      <c r="AE634" s="84"/>
    </row>
    <row r="635" ht="21.25" customHeight="1">
      <c r="A635" t="s" s="10">
        <v>199</v>
      </c>
      <c r="B635" t="s" s="86">
        <f>VLOOKUP(A635,'Player Data'!A1:B667,2,FALSE)</f>
        <v>900</v>
      </c>
      <c r="C635" s="74">
        <f>(W635*'Settings'!$C$29)+(X635*'Settings'!$C$21)+(Y635*'Settings'!$C$22)+(AA635*'Settings'!$C$24)+(AB635*'Settings'!$C$25)+(Z635*'Settings'!$C$23)+(AC635*'Settings'!$C$26)+(AD635*'Settings'!$C$28)</f>
        <v>4.45834260129722</v>
      </c>
      <c r="D635" s="79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>
        <f>(VLOOKUP($A635,'The List'!$B1:$AR665,35,FALSE)-AVERAGE('The List'!AJ2:AJ665))/STDEV('The List'!AJ2:AJ665)</f>
        <v>1.1462829442686</v>
      </c>
      <c r="X635" s="77">
        <f>(VLOOKUP($A635,'The List'!$B1:$AR665,36,FALSE)-AVERAGE('The List'!AK2:AK665))/STDEV('The List'!AK2:AK665)</f>
        <v>1.45973968861622</v>
      </c>
      <c r="Y635" s="77">
        <f>(VLOOKUP($A635,'The List'!$B1:$AR665,37,FALSE)-AVERAGE('The List'!AL2:AL665))/STDEV('The List'!AL2:AL665)*-1</f>
        <v>0.00289763933926577</v>
      </c>
      <c r="Z635" s="77">
        <f>(VLOOKUP($A635,'The List'!$B1:$AR665,38,FALSE)-AVERAGE('The List'!AM2:AM665))/STDEV('The List'!AM2:AM665)</f>
        <v>1.1462829442686</v>
      </c>
      <c r="AA635" s="77">
        <f>(VLOOKUP($A635,'The List'!$B1:$AR665,39,FALSE)-AVERAGE('The List'!AN2:AN665))/STDEV('The List'!AN2:AN665)</f>
        <v>0.999481826307095</v>
      </c>
      <c r="AB635" s="77">
        <f>(VLOOKUP($A635,'The List'!$B1:$AR665,40,FALSE)-AVERAGE('The List'!AO2:AO665))/STDEV('The List'!AO2:AO665)</f>
        <v>1.19756398367385</v>
      </c>
      <c r="AC635" s="77">
        <f>(VLOOKUP($A635,'The List'!$B1:$AR665,42,FALSE)-AVERAGE('The List'!AQ2:AQ665))/STDEV('The List'!AQ2:AQ665)</f>
        <v>1.220050913257</v>
      </c>
      <c r="AD635" s="77">
        <f>(VLOOKUP($A635,'The List'!$B1:$AR665,43,FALSE)-AVERAGE('The List'!AR2:AR665))/STDEV('The List'!AR2:AR665)*-1</f>
        <v>0.779070173116902</v>
      </c>
      <c r="AE635" s="84"/>
    </row>
    <row r="636" ht="21.25" customHeight="1">
      <c r="A636" t="s" s="10">
        <v>667</v>
      </c>
      <c r="B636" t="s" s="86">
        <f>VLOOKUP(A636,'Player Data'!A1:B667,2,FALSE)</f>
        <v>900</v>
      </c>
      <c r="C636" s="74">
        <f>(W636*'Settings'!$C$29)+(X636*'Settings'!$C$21)+(Y636*'Settings'!$C$22)+(AA636*'Settings'!$C$24)+(AB636*'Settings'!$C$25)+(Z636*'Settings'!$C$23)+(AC636*'Settings'!$C$26)+(AD636*'Settings'!$C$28)</f>
        <v>-2.63106969410259</v>
      </c>
      <c r="D636" s="79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>
        <f>(VLOOKUP($A636,'The List'!$B1:$AR665,35,FALSE)-AVERAGE('The List'!AJ2:AJ665))/STDEV('The List'!AJ2:AJ665)</f>
        <v>-1.27706690435294</v>
      </c>
      <c r="X636" s="77">
        <f>(VLOOKUP($A636,'The List'!$B1:$AR665,36,FALSE)-AVERAGE('The List'!AK2:AK665))/STDEV('The List'!AK2:AK665)</f>
        <v>-0.937656790382602</v>
      </c>
      <c r="Y636" s="77">
        <f>(VLOOKUP($A636,'The List'!$B1:$AR665,37,FALSE)-AVERAGE('The List'!AL2:AL665))/STDEV('The List'!AL2:AL665)*-1</f>
        <v>1.30736751837204</v>
      </c>
      <c r="Z636" s="77">
        <f>(VLOOKUP($A636,'The List'!$B1:$AR665,38,FALSE)-AVERAGE('The List'!AM2:AM665))/STDEV('The List'!AM2:AM665)</f>
        <v>-1.27706690435294</v>
      </c>
      <c r="AA636" s="77">
        <f>(VLOOKUP($A636,'The List'!$B1:$AR665,39,FALSE)-AVERAGE('The List'!AN2:AN665))/STDEV('The List'!AN2:AN665)</f>
        <v>-0.9000140591600641</v>
      </c>
      <c r="AB636" s="77">
        <f>(VLOOKUP($A636,'The List'!$B1:$AR665,40,FALSE)-AVERAGE('The List'!AO2:AO665))/STDEV('The List'!AO2:AO665)</f>
        <v>-1.2807560238048</v>
      </c>
      <c r="AC636" s="77">
        <f>(VLOOKUP($A636,'The List'!$B1:$AR665,42,FALSE)-AVERAGE('The List'!AQ2:AQ665))/STDEV('The List'!AQ2:AQ665)</f>
        <v>-0.48757104447937</v>
      </c>
      <c r="AD636" s="77">
        <f>(VLOOKUP($A636,'The List'!$B1:$AR665,43,FALSE)-AVERAGE('The List'!AR2:AR665))/STDEV('The List'!AR2:AR665)*-1</f>
        <v>-0.305827800080552</v>
      </c>
      <c r="AE636" s="84"/>
    </row>
    <row r="637" ht="21.25" customHeight="1">
      <c r="A637" t="s" s="10">
        <v>164</v>
      </c>
      <c r="B637" t="s" s="86">
        <f>VLOOKUP(A637,'Player Data'!A1:B667,2,FALSE)</f>
        <v>165</v>
      </c>
      <c r="C637" s="74">
        <f>(W637*'Settings'!$C$29)+(X637*'Settings'!$C$21)+(Y637*'Settings'!$C$22)+(AA637*'Settings'!$C$24)+(AB637*'Settings'!$C$25)+(Z637*'Settings'!$C$23)+(AC637*'Settings'!$C$26)+(AD637*'Settings'!$C$28)</f>
        <v>6.45407082273785</v>
      </c>
      <c r="D637" s="79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>
        <f>(VLOOKUP($A637,'The List'!$B1:$AR665,35,FALSE)-AVERAGE('The List'!AJ2:AJ665))/STDEV('The List'!AJ2:AJ665)</f>
        <v>1.63095291399291</v>
      </c>
      <c r="X637" s="77">
        <f>(VLOOKUP($A637,'The List'!$B1:$AR665,36,FALSE)-AVERAGE('The List'!AK2:AK665))/STDEV('The List'!AK2:AK665)</f>
        <v>1.87429963621282</v>
      </c>
      <c r="Y637" s="77">
        <f>(VLOOKUP($A637,'The List'!$B1:$AR665,37,FALSE)-AVERAGE('The List'!AL2:AL665))/STDEV('The List'!AL2:AL665)*-1</f>
        <v>-0.381550314170546</v>
      </c>
      <c r="Z637" s="77">
        <f>(VLOOKUP($A637,'The List'!$B1:$AR665,38,FALSE)-AVERAGE('The List'!AM2:AM665))/STDEV('The List'!AM2:AM665)</f>
        <v>1.63095291399291</v>
      </c>
      <c r="AA637" s="77">
        <f>(VLOOKUP($A637,'The List'!$B1:$AR665,39,FALSE)-AVERAGE('The List'!AN2:AN665))/STDEV('The List'!AN2:AN665)</f>
        <v>1.58488196064183</v>
      </c>
      <c r="AB637" s="77">
        <f>(VLOOKUP($A637,'The List'!$B1:$AR665,40,FALSE)-AVERAGE('The List'!AO2:AO665))/STDEV('The List'!AO2:AO665)</f>
        <v>1.73217383263383</v>
      </c>
      <c r="AC637" s="77">
        <f>(VLOOKUP($A637,'The List'!$B1:$AR665,42,FALSE)-AVERAGE('The List'!AQ2:AQ665))/STDEV('The List'!AQ2:AQ665)</f>
        <v>1.84550564511507</v>
      </c>
      <c r="AD637" s="77">
        <f>(VLOOKUP($A637,'The List'!$B1:$AR665,43,FALSE)-AVERAGE('The List'!AR2:AR665))/STDEV('The List'!AR2:AR665)*-1</f>
        <v>1.14938358076813</v>
      </c>
      <c r="AE637" s="84"/>
    </row>
    <row r="638" ht="21.25" customHeight="1">
      <c r="A638" t="s" s="10">
        <v>753</v>
      </c>
      <c r="B638" t="s" s="86">
        <f>VLOOKUP(A638,'Player Data'!A1:B667,2,FALSE)</f>
        <v>165</v>
      </c>
      <c r="C638" s="74">
        <f>(W638*'Settings'!$C$29)+(X638*'Settings'!$C$21)+(Y638*'Settings'!$C$22)+(AA638*'Settings'!$C$24)+(AB638*'Settings'!$C$25)+(Z638*'Settings'!$C$23)+(AC638*'Settings'!$C$26)+(AD638*'Settings'!$C$28)</f>
        <v>-4.47488174973814</v>
      </c>
      <c r="D638" s="79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>
        <f>(VLOOKUP($A638,'The List'!$B1:$AR665,35,FALSE)-AVERAGE('The List'!AJ2:AJ665))/STDEV('The List'!AJ2:AJ665)</f>
        <v>-1.60018021750248</v>
      </c>
      <c r="X638" s="77">
        <f>(VLOOKUP($A638,'The List'!$B1:$AR665,36,FALSE)-AVERAGE('The List'!AK2:AK665))/STDEV('The List'!AK2:AK665)</f>
        <v>-1.27252558041154</v>
      </c>
      <c r="Y638" s="77">
        <f>(VLOOKUP($A638,'The List'!$B1:$AR665,37,FALSE)-AVERAGE('The List'!AL2:AL665))/STDEV('The List'!AL2:AL665)*-1</f>
        <v>1.45233800814143</v>
      </c>
      <c r="Z638" s="77">
        <f>(VLOOKUP($A638,'The List'!$B1:$AR665,38,FALSE)-AVERAGE('The List'!AM2:AM665))/STDEV('The List'!AM2:AM665)</f>
        <v>-1.60018021750248</v>
      </c>
      <c r="AA638" s="77">
        <f>(VLOOKUP($A638,'The List'!$B1:$AR665,39,FALSE)-AVERAGE('The List'!AN2:AN665))/STDEV('The List'!AN2:AN665)</f>
        <v>-1.22279047013787</v>
      </c>
      <c r="AB638" s="77">
        <f>(VLOOKUP($A638,'The List'!$B1:$AR665,40,FALSE)-AVERAGE('The List'!AO2:AO665))/STDEV('The List'!AO2:AO665)</f>
        <v>-1.5956539785054</v>
      </c>
      <c r="AC638" s="77">
        <f>(VLOOKUP($A638,'The List'!$B1:$AR665,42,FALSE)-AVERAGE('The List'!AQ2:AQ665))/STDEV('The List'!AQ2:AQ665)</f>
        <v>-1.12418566829693</v>
      </c>
      <c r="AD638" s="77">
        <f>(VLOOKUP($A638,'The List'!$B1:$AR665,43,FALSE)-AVERAGE('The List'!AR2:AR665))/STDEV('The List'!AR2:AR665)*-1</f>
        <v>-0.855380030891796</v>
      </c>
      <c r="AE638" s="84"/>
    </row>
    <row r="639" ht="21.25" customHeight="1">
      <c r="A639" t="s" s="10">
        <v>206</v>
      </c>
      <c r="B639" t="s" s="86">
        <f>VLOOKUP(A639,'Player Data'!A1:B667,2,FALSE)</f>
        <v>207</v>
      </c>
      <c r="C639" s="74">
        <f>(W639*'Settings'!$C$29)+(X639*'Settings'!$C$21)+(Y639*'Settings'!$C$22)+(AA639*'Settings'!$C$24)+(AB639*'Settings'!$C$25)+(Z639*'Settings'!$C$23)+(AC639*'Settings'!$C$26)+(AD639*'Settings'!$C$28)</f>
        <v>6.5167520794243</v>
      </c>
      <c r="D639" s="79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>
        <f>(VLOOKUP($A639,'The List'!$B1:$AR665,35,FALSE)-AVERAGE('The List'!AJ2:AJ665))/STDEV('The List'!AJ2:AJ665)</f>
        <v>1.1462829442686</v>
      </c>
      <c r="X639" s="77">
        <f>(VLOOKUP($A639,'The List'!$B1:$AR665,36,FALSE)-AVERAGE('The List'!AK2:AK665))/STDEV('The List'!AK2:AK665)</f>
        <v>1.18541517883576</v>
      </c>
      <c r="Y639" s="77">
        <f>(VLOOKUP($A639,'The List'!$B1:$AR665,37,FALSE)-AVERAGE('The List'!AL2:AL665))/STDEV('The List'!AL2:AL665)*-1</f>
        <v>-0.519194545856453</v>
      </c>
      <c r="Z639" s="77">
        <f>(VLOOKUP($A639,'The List'!$B1:$AR665,38,FALSE)-AVERAGE('The List'!AM2:AM665))/STDEV('The List'!AM2:AM665)</f>
        <v>1.1462829442686</v>
      </c>
      <c r="AA639" s="77">
        <f>(VLOOKUP($A639,'The List'!$B1:$AR665,39,FALSE)-AVERAGE('The List'!AN2:AN665))/STDEV('The List'!AN2:AN665)</f>
        <v>1.78088896221807</v>
      </c>
      <c r="AB639" s="77">
        <f>(VLOOKUP($A639,'The List'!$B1:$AR665,40,FALSE)-AVERAGE('The List'!AO2:AO665))/STDEV('The List'!AO2:AO665)</f>
        <v>1.0505279426294</v>
      </c>
      <c r="AC639" s="77">
        <f>(VLOOKUP($A639,'The List'!$B1:$AR665,42,FALSE)-AVERAGE('The List'!AQ2:AQ665))/STDEV('The List'!AQ2:AQ665)</f>
        <v>1.83998083055443</v>
      </c>
      <c r="AD639" s="77">
        <f>(VLOOKUP($A639,'The List'!$B1:$AR665,43,FALSE)-AVERAGE('The List'!AR2:AR665))/STDEV('The List'!AR2:AR665)*-1</f>
        <v>1.71046710781604</v>
      </c>
      <c r="AE639" s="84"/>
    </row>
    <row r="640" ht="21.25" customHeight="1">
      <c r="A640" t="s" s="10">
        <v>621</v>
      </c>
      <c r="B640" t="s" s="86">
        <f>VLOOKUP(A640,'Player Data'!A1:B667,2,FALSE)</f>
        <v>207</v>
      </c>
      <c r="C640" s="74">
        <f>(W640*'Settings'!$C$29)+(X640*'Settings'!$C$21)+(Y640*'Settings'!$C$22)+(AA640*'Settings'!$C$24)+(AB640*'Settings'!$C$25)+(Z640*'Settings'!$C$23)+(AC640*'Settings'!$C$26)+(AD640*'Settings'!$C$28)</f>
        <v>0.505337543900471</v>
      </c>
      <c r="D640" s="79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>
        <f>(VLOOKUP($A640,'The List'!$B1:$AR665,35,FALSE)-AVERAGE('The List'!AJ2:AJ665))/STDEV('The List'!AJ2:AJ665)</f>
        <v>-1.11551024777817</v>
      </c>
      <c r="X640" s="77">
        <f>(VLOOKUP($A640,'The List'!$B1:$AR665,36,FALSE)-AVERAGE('The List'!AK2:AK665))/STDEV('The List'!AK2:AK665)</f>
        <v>-0.849317992317854</v>
      </c>
      <c r="Y640" s="77">
        <f>(VLOOKUP($A640,'The List'!$B1:$AR665,37,FALSE)-AVERAGE('The List'!AL2:AL665))/STDEV('The List'!AL2:AL665)*-1</f>
        <v>1.0843481739864</v>
      </c>
      <c r="Z640" s="77">
        <f>(VLOOKUP($A640,'The List'!$B1:$AR665,38,FALSE)-AVERAGE('The List'!AM2:AM665))/STDEV('The List'!AM2:AM665)</f>
        <v>-1.11551024777817</v>
      </c>
      <c r="AA640" s="77">
        <f>(VLOOKUP($A640,'The List'!$B1:$AR665,39,FALSE)-AVERAGE('The List'!AN2:AN665))/STDEV('The List'!AN2:AN665)</f>
        <v>-0.38311212520128</v>
      </c>
      <c r="AB640" s="77">
        <f>(VLOOKUP($A640,'The List'!$B1:$AR665,40,FALSE)-AVERAGE('The List'!AO2:AO665))/STDEV('The List'!AO2:AO665)</f>
        <v>-1.16320233788182</v>
      </c>
      <c r="AC640" s="77">
        <f>(VLOOKUP($A640,'The List'!$B1:$AR665,42,FALSE)-AVERAGE('The List'!AQ2:AQ665))/STDEV('The List'!AQ2:AQ665)</f>
        <v>0.771917490466654</v>
      </c>
      <c r="AD640" s="77">
        <f>(VLOOKUP($A640,'The List'!$B1:$AR665,43,FALSE)-AVERAGE('The List'!AR2:AR665))/STDEV('The List'!AR2:AR665)*-1</f>
        <v>0.965850170952951</v>
      </c>
      <c r="AE640" s="84"/>
    </row>
    <row r="641" ht="21.25" customHeight="1">
      <c r="A641" t="s" s="10">
        <v>160</v>
      </c>
      <c r="B641" t="s" s="86">
        <f>VLOOKUP(A641,'Player Data'!A1:B667,2,FALSE)</f>
        <v>878</v>
      </c>
      <c r="C641" s="74">
        <f>(W641*'Settings'!$C$29)+(X641*'Settings'!$C$21)+(Y641*'Settings'!$C$22)+(AA641*'Settings'!$C$24)+(AB641*'Settings'!$C$25)+(Z641*'Settings'!$C$23)+(AC641*'Settings'!$C$26)+(AD641*'Settings'!$C$28)</f>
        <v>7.99203548487177</v>
      </c>
      <c r="D641" s="79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>
        <f>(VLOOKUP($A641,'The List'!$B1:$AR665,35,FALSE)-AVERAGE('The List'!AJ2:AJ665))/STDEV('The List'!AJ2:AJ665)</f>
        <v>1.63095291399291</v>
      </c>
      <c r="X641" s="77">
        <f>(VLOOKUP($A641,'The List'!$B1:$AR665,36,FALSE)-AVERAGE('The List'!AK2:AK665))/STDEV('The List'!AK2:AK665)</f>
        <v>2.11706618822855</v>
      </c>
      <c r="Y641" s="77">
        <f>(VLOOKUP($A641,'The List'!$B1:$AR665,37,FALSE)-AVERAGE('The List'!AL2:AL665))/STDEV('The List'!AL2:AL665)*-1</f>
        <v>0.08048102140263411</v>
      </c>
      <c r="Z641" s="77">
        <f>(VLOOKUP($A641,'The List'!$B1:$AR665,38,FALSE)-AVERAGE('The List'!AM2:AM665))/STDEV('The List'!AM2:AM665)</f>
        <v>1.63095291399291</v>
      </c>
      <c r="AA641" s="77">
        <f>(VLOOKUP($A641,'The List'!$B1:$AR665,39,FALSE)-AVERAGE('The List'!AN2:AN665))/STDEV('The List'!AN2:AN665)</f>
        <v>2.04913057900571</v>
      </c>
      <c r="AB641" s="77">
        <f>(VLOOKUP($A641,'The List'!$B1:$AR665,40,FALSE)-AVERAGE('The List'!AO2:AO665))/STDEV('The List'!AO2:AO665)</f>
        <v>1.61166068423902</v>
      </c>
      <c r="AC641" s="77">
        <f>(VLOOKUP($A641,'The List'!$B1:$AR665,42,FALSE)-AVERAGE('The List'!AQ2:AQ665))/STDEV('The List'!AQ2:AQ665)</f>
        <v>2.13044590165009</v>
      </c>
      <c r="AD641" s="77">
        <f>(VLOOKUP($A641,'The List'!$B1:$AR665,43,FALSE)-AVERAGE('The List'!AR2:AR665))/STDEV('The List'!AR2:AR665)*-1</f>
        <v>1.69539281598742</v>
      </c>
      <c r="AE641" s="84"/>
    </row>
    <row r="642" ht="21.25" customHeight="1">
      <c r="A642" t="s" s="10">
        <v>755</v>
      </c>
      <c r="B642" t="s" s="86">
        <f>VLOOKUP(A642,'Player Data'!A1:B667,2,FALSE)</f>
        <v>878</v>
      </c>
      <c r="C642" s="74">
        <f>(W642*'Settings'!$C$29)+(X642*'Settings'!$C$21)+(Y642*'Settings'!$C$22)+(AA642*'Settings'!$C$24)+(AB642*'Settings'!$C$25)+(Z642*'Settings'!$C$23)+(AC642*'Settings'!$C$26)+(AD642*'Settings'!$C$28)</f>
        <v>-4.31514392697818</v>
      </c>
      <c r="D642" s="79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>
        <f>(VLOOKUP($A642,'The List'!$B1:$AR665,35,FALSE)-AVERAGE('The List'!AJ2:AJ665))/STDEV('The List'!AJ2:AJ665)</f>
        <v>-1.60018021750248</v>
      </c>
      <c r="X642" s="77">
        <f>(VLOOKUP($A642,'The List'!$B1:$AR665,36,FALSE)-AVERAGE('The List'!AK2:AK665))/STDEV('The List'!AK2:AK665)</f>
        <v>-1.19876677401097</v>
      </c>
      <c r="Y642" s="77">
        <f>(VLOOKUP($A642,'The List'!$B1:$AR665,37,FALSE)-AVERAGE('The List'!AL2:AL665))/STDEV('The List'!AL2:AL665)*-1</f>
        <v>1.59271517109315</v>
      </c>
      <c r="Z642" s="77">
        <f>(VLOOKUP($A642,'The List'!$B1:$AR665,38,FALSE)-AVERAGE('The List'!AM2:AM665))/STDEV('The List'!AM2:AM665)</f>
        <v>-1.60018021750248</v>
      </c>
      <c r="AA642" s="77">
        <f>(VLOOKUP($A642,'The List'!$B1:$AR665,39,FALSE)-AVERAGE('The List'!AN2:AN665))/STDEV('The List'!AN2:AN665)</f>
        <v>-1.14887530998634</v>
      </c>
      <c r="AB642" s="77">
        <f>(VLOOKUP($A642,'The List'!$B1:$AR665,40,FALSE)-AVERAGE('The List'!AO2:AO665))/STDEV('The List'!AO2:AO665)</f>
        <v>-1.63899529161015</v>
      </c>
      <c r="AC642" s="77">
        <f>(VLOOKUP($A642,'The List'!$B1:$AR665,42,FALSE)-AVERAGE('The List'!AQ2:AQ665))/STDEV('The List'!AQ2:AQ665)</f>
        <v>-1.34993604838793</v>
      </c>
      <c r="AD642" s="77">
        <f>(VLOOKUP($A642,'The List'!$B1:$AR665,43,FALSE)-AVERAGE('The List'!AR2:AR665))/STDEV('The List'!AR2:AR665)*-1</f>
        <v>-0.617565794592943</v>
      </c>
      <c r="AE642" s="84"/>
    </row>
    <row r="643" ht="21.25" customHeight="1">
      <c r="A643" t="s" s="10">
        <v>245</v>
      </c>
      <c r="B643" t="s" s="86">
        <f>VLOOKUP(A643,'Player Data'!A1:B667,2,FALSE)</f>
        <v>904</v>
      </c>
      <c r="C643" s="74">
        <f>(W643*'Settings'!$C$29)+(X643*'Settings'!$C$21)+(Y643*'Settings'!$C$22)+(AA643*'Settings'!$C$24)+(AB643*'Settings'!$C$25)+(Z643*'Settings'!$C$23)+(AC643*'Settings'!$C$26)+(AD643*'Settings'!$C$28)</f>
        <v>4.09437853361395</v>
      </c>
      <c r="D643" s="79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>
        <f>(VLOOKUP($A643,'The List'!$B1:$AR665,35,FALSE)-AVERAGE('The List'!AJ2:AJ665))/STDEV('The List'!AJ2:AJ665)</f>
        <v>0.661612974544294</v>
      </c>
      <c r="X643" s="77">
        <f>(VLOOKUP($A643,'The List'!$B1:$AR665,36,FALSE)-AVERAGE('The List'!AK2:AK665))/STDEV('The List'!AK2:AK665)</f>
        <v>0.630944035690317</v>
      </c>
      <c r="Y643" s="77">
        <f>(VLOOKUP($A643,'The List'!$B1:$AR665,37,FALSE)-AVERAGE('The List'!AL2:AL665))/STDEV('The List'!AL2:AL665)*-1</f>
        <v>-0.401024446541666</v>
      </c>
      <c r="Z643" s="77">
        <f>(VLOOKUP($A643,'The List'!$B1:$AR665,38,FALSE)-AVERAGE('The List'!AM2:AM665))/STDEV('The List'!AM2:AM665)</f>
        <v>0.661612974544294</v>
      </c>
      <c r="AA643" s="77">
        <f>(VLOOKUP($A643,'The List'!$B1:$AR665,39,FALSE)-AVERAGE('The List'!AN2:AN665))/STDEV('The List'!AN2:AN665)</f>
        <v>0.877592834481227</v>
      </c>
      <c r="AB643" s="77">
        <f>(VLOOKUP($A643,'The List'!$B1:$AR665,40,FALSE)-AVERAGE('The List'!AO2:AO665))/STDEV('The List'!AO2:AO665)</f>
        <v>0.755031699726604</v>
      </c>
      <c r="AC643" s="77">
        <f>(VLOOKUP($A643,'The List'!$B1:$AR665,42,FALSE)-AVERAGE('The List'!AQ2:AQ665))/STDEV('The List'!AQ2:AQ665)</f>
        <v>1.63447770157783</v>
      </c>
      <c r="AD643" s="77">
        <f>(VLOOKUP($A643,'The List'!$B1:$AR665,43,FALSE)-AVERAGE('The List'!AR2:AR665))/STDEV('The List'!AR2:AR665)*-1</f>
        <v>0.9513639618645769</v>
      </c>
      <c r="AE643" s="84"/>
    </row>
    <row r="644" ht="21.25" customHeight="1">
      <c r="A644" t="s" s="10">
        <v>534</v>
      </c>
      <c r="B644" t="s" s="86">
        <f>VLOOKUP(A644,'Player Data'!A1:B667,2,FALSE)</f>
        <v>904</v>
      </c>
      <c r="C644" s="74">
        <f>(W644*'Settings'!$C$29)+(X644*'Settings'!$C$21)+(Y644*'Settings'!$C$22)+(AA644*'Settings'!$C$24)+(AB644*'Settings'!$C$25)+(Z644*'Settings'!$C$23)+(AC644*'Settings'!$C$26)+(AD644*'Settings'!$C$28)</f>
        <v>-3.62611600747979</v>
      </c>
      <c r="D644" s="79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>
        <f>(VLOOKUP($A644,'The List'!$B1:$AR665,35,FALSE)-AVERAGE('The List'!AJ2:AJ665))/STDEV('The List'!AJ2:AJ665)</f>
        <v>-0.630840278053862</v>
      </c>
      <c r="X644" s="77">
        <f>(VLOOKUP($A644,'The List'!$B1:$AR665,36,FALSE)-AVERAGE('The List'!AK2:AK665))/STDEV('The List'!AK2:AK665)</f>
        <v>-0.687928011055268</v>
      </c>
      <c r="Y644" s="77">
        <f>(VLOOKUP($A644,'The List'!$B1:$AR665,37,FALSE)-AVERAGE('The List'!AL2:AL665))/STDEV('The List'!AL2:AL665)*-1</f>
        <v>0.218069191032535</v>
      </c>
      <c r="Z644" s="77">
        <f>(VLOOKUP($A644,'The List'!$B1:$AR665,38,FALSE)-AVERAGE('The List'!AM2:AM665))/STDEV('The List'!AM2:AM665)</f>
        <v>-0.630840278053862</v>
      </c>
      <c r="AA644" s="77">
        <f>(VLOOKUP($A644,'The List'!$B1:$AR665,39,FALSE)-AVERAGE('The List'!AN2:AN665))/STDEV('The List'!AN2:AN665)</f>
        <v>-0.871819109906986</v>
      </c>
      <c r="AB644" s="77">
        <f>(VLOOKUP($A644,'The List'!$B1:$AR665,40,FALSE)-AVERAGE('The List'!AO2:AO665))/STDEV('The List'!AO2:AO665)</f>
        <v>-0.598900731542364</v>
      </c>
      <c r="AC644" s="77">
        <f>(VLOOKUP($A644,'The List'!$B1:$AR665,42,FALSE)-AVERAGE('The List'!AQ2:AQ665))/STDEV('The List'!AQ2:AQ665)</f>
        <v>-1.05384917174331</v>
      </c>
      <c r="AD644" s="77">
        <f>(VLOOKUP($A644,'The List'!$B1:$AR665,43,FALSE)-AVERAGE('The List'!AR2:AR665))/STDEV('The List'!AR2:AR665)*-1</f>
        <v>-1.01251971477423</v>
      </c>
      <c r="AE644" s="84"/>
    </row>
    <row r="645" ht="21.25" customHeight="1">
      <c r="A645" t="s" s="10">
        <v>323</v>
      </c>
      <c r="B645" t="s" s="86">
        <f>VLOOKUP(A645,'Player Data'!A1:B667,2,FALSE)</f>
        <v>910</v>
      </c>
      <c r="C645" s="74">
        <f>(W645*'Settings'!$C$29)+(X645*'Settings'!$C$21)+(Y645*'Settings'!$C$22)+(AA645*'Settings'!$C$24)+(AB645*'Settings'!$C$25)+(Z645*'Settings'!$C$23)+(AC645*'Settings'!$C$26)+(AD645*'Settings'!$C$28)</f>
        <v>-0.8597280897976179</v>
      </c>
      <c r="D645" s="79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>
        <f>(VLOOKUP($A645,'The List'!$B1:$AR665,35,FALSE)-AVERAGE('The List'!AJ2:AJ665))/STDEV('The List'!AJ2:AJ665)</f>
        <v>0.661612974544294</v>
      </c>
      <c r="X645" s="77">
        <f>(VLOOKUP($A645,'The List'!$B1:$AR665,36,FALSE)-AVERAGE('The List'!AK2:AK665))/STDEV('The List'!AK2:AK665)</f>
        <v>0.230835316709168</v>
      </c>
      <c r="Y645" s="77">
        <f>(VLOOKUP($A645,'The List'!$B1:$AR665,37,FALSE)-AVERAGE('The List'!AL2:AL665))/STDEV('The List'!AL2:AL665)*-1</f>
        <v>-1.16250811993238</v>
      </c>
      <c r="Z645" s="77">
        <f>(VLOOKUP($A645,'The List'!$B1:$AR665,38,FALSE)-AVERAGE('The List'!AM2:AM665))/STDEV('The List'!AM2:AM665)</f>
        <v>0.661612974544294</v>
      </c>
      <c r="AA645" s="77">
        <f>(VLOOKUP($A645,'The List'!$B1:$AR665,39,FALSE)-AVERAGE('The List'!AN2:AN665))/STDEV('The List'!AN2:AN665)</f>
        <v>0.189803360303159</v>
      </c>
      <c r="AB645" s="77">
        <f>(VLOOKUP($A645,'The List'!$B1:$AR665,40,FALSE)-AVERAGE('The List'!AO2:AO665))/STDEV('The List'!AO2:AO665)</f>
        <v>0.479955381571785</v>
      </c>
      <c r="AC645" s="77">
        <f>(VLOOKUP($A645,'The List'!$B1:$AR665,42,FALSE)-AVERAGE('The List'!AQ2:AQ665))/STDEV('The List'!AQ2:AQ665)</f>
        <v>-1.10319074873468</v>
      </c>
      <c r="AD645" s="77">
        <f>(VLOOKUP($A645,'The List'!$B1:$AR665,43,FALSE)-AVERAGE('The List'!AR2:AR665))/STDEV('The List'!AR2:AR665)*-1</f>
        <v>-0.177176018075265</v>
      </c>
      <c r="AE645" s="84"/>
    </row>
    <row r="646" ht="21.25" customHeight="1">
      <c r="A646" t="s" s="10">
        <v>623</v>
      </c>
      <c r="B646" t="s" s="86">
        <f>VLOOKUP(A646,'Player Data'!A1:B667,2,FALSE)</f>
        <v>910</v>
      </c>
      <c r="C646" s="74">
        <f>(W646*'Settings'!$C$29)+(X646*'Settings'!$C$21)+(Y646*'Settings'!$C$22)+(AA646*'Settings'!$C$24)+(AB646*'Settings'!$C$25)+(Z646*'Settings'!$C$23)+(AC646*'Settings'!$C$26)+(AD646*'Settings'!$C$28)</f>
        <v>-4.69934094306016</v>
      </c>
      <c r="D646" s="79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>
        <f>(VLOOKUP($A646,'The List'!$B1:$AR665,35,FALSE)-AVERAGE('The List'!AJ2:AJ665))/STDEV('The List'!AJ2:AJ665)</f>
        <v>-0.792396934628631</v>
      </c>
      <c r="X646" s="77">
        <f>(VLOOKUP($A646,'The List'!$B1:$AR665,36,FALSE)-AVERAGE('The List'!AK2:AK665))/STDEV('The List'!AK2:AK665)</f>
        <v>-0.8617558962115101</v>
      </c>
      <c r="Y646" s="77">
        <f>(VLOOKUP($A646,'The List'!$B1:$AR665,37,FALSE)-AVERAGE('The List'!AL2:AL665))/STDEV('The List'!AL2:AL665)*-1</f>
        <v>0.278386397261779</v>
      </c>
      <c r="Z646" s="77">
        <f>(VLOOKUP($A646,'The List'!$B1:$AR665,38,FALSE)-AVERAGE('The List'!AM2:AM665))/STDEV('The List'!AM2:AM665)</f>
        <v>-0.792396934628631</v>
      </c>
      <c r="AA646" s="77">
        <f>(VLOOKUP($A646,'The List'!$B1:$AR665,39,FALSE)-AVERAGE('The List'!AN2:AN665))/STDEV('The List'!AN2:AN665)</f>
        <v>-0.866013830722861</v>
      </c>
      <c r="AB646" s="77">
        <f>(VLOOKUP($A646,'The List'!$B1:$AR665,40,FALSE)-AVERAGE('The List'!AO2:AO665))/STDEV('The List'!AO2:AO665)</f>
        <v>-0.910980653063891</v>
      </c>
      <c r="AC646" s="77">
        <f>(VLOOKUP($A646,'The List'!$B1:$AR665,42,FALSE)-AVERAGE('The List'!AQ2:AQ665))/STDEV('The List'!AQ2:AQ665)</f>
        <v>-2.10424793403963</v>
      </c>
      <c r="AD646" s="77">
        <f>(VLOOKUP($A646,'The List'!$B1:$AR665,43,FALSE)-AVERAGE('The List'!AR2:AR665))/STDEV('The List'!AR2:AR665)*-1</f>
        <v>-0.8673232820861591</v>
      </c>
      <c r="AE646" s="84"/>
    </row>
    <row r="647" ht="21.25" customHeight="1">
      <c r="A647" t="s" s="10">
        <v>258</v>
      </c>
      <c r="B647" t="s" s="86">
        <f>VLOOKUP(A647,'Player Data'!A1:B667,2,FALSE)</f>
        <v>259</v>
      </c>
      <c r="C647" s="74">
        <f>(W647*'Settings'!$C$29)+(X647*'Settings'!$C$21)+(Y647*'Settings'!$C$22)+(AA647*'Settings'!$C$24)+(AB647*'Settings'!$C$25)+(Z647*'Settings'!$C$23)+(AC647*'Settings'!$C$26)+(AD647*'Settings'!$C$28)</f>
        <v>1.22209559434073</v>
      </c>
      <c r="D647" s="79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>
        <f>(VLOOKUP($A647,'The List'!$B1:$AR665,35,FALSE)-AVERAGE('The List'!AJ2:AJ665))/STDEV('The List'!AJ2:AJ665)</f>
        <v>0.661612974544294</v>
      </c>
      <c r="X647" s="77">
        <f>(VLOOKUP($A647,'The List'!$B1:$AR665,36,FALSE)-AVERAGE('The List'!AK2:AK665))/STDEV('The List'!AK2:AK665)</f>
        <v>0.522715470731866</v>
      </c>
      <c r="Y647" s="77">
        <f>(VLOOKUP($A647,'The List'!$B1:$AR665,37,FALSE)-AVERAGE('The List'!AL2:AL665))/STDEV('The List'!AL2:AL665)*-1</f>
        <v>-0.607004174802098</v>
      </c>
      <c r="Z647" s="77">
        <f>(VLOOKUP($A647,'The List'!$B1:$AR665,38,FALSE)-AVERAGE('The List'!AM2:AM665))/STDEV('The List'!AM2:AM665)</f>
        <v>0.661612974544294</v>
      </c>
      <c r="AA647" s="77">
        <f>(VLOOKUP($A647,'The List'!$B1:$AR665,39,FALSE)-AVERAGE('The List'!AN2:AN665))/STDEV('The List'!AN2:AN665)</f>
        <v>0.339776586878065</v>
      </c>
      <c r="AB647" s="77">
        <f>(VLOOKUP($A647,'The List'!$B1:$AR665,40,FALSE)-AVERAGE('The List'!AO2:AO665))/STDEV('The List'!AO2:AO665)</f>
        <v>0.790932072961183</v>
      </c>
      <c r="AC647" s="77">
        <f>(VLOOKUP($A647,'The List'!$B1:$AR665,42,FALSE)-AVERAGE('The List'!AQ2:AQ665))/STDEV('The List'!AQ2:AQ665)</f>
        <v>0.473653285468473</v>
      </c>
      <c r="AD647" s="77">
        <f>(VLOOKUP($A647,'The List'!$B1:$AR665,43,FALSE)-AVERAGE('The List'!AR2:AR665))/STDEV('The List'!AR2:AR665)*-1</f>
        <v>-0.114049748737676</v>
      </c>
      <c r="AE647" s="84"/>
    </row>
    <row r="648" ht="21.25" customHeight="1">
      <c r="A648" t="s" s="10">
        <v>547</v>
      </c>
      <c r="B648" t="s" s="86">
        <f>VLOOKUP(A648,'Player Data'!A1:B667,2,FALSE)</f>
        <v>259</v>
      </c>
      <c r="C648" s="74">
        <f>(W648*'Settings'!$C$29)+(X648*'Settings'!$C$21)+(Y648*'Settings'!$C$22)+(AA648*'Settings'!$C$24)+(AB648*'Settings'!$C$25)+(Z648*'Settings'!$C$23)+(AC648*'Settings'!$C$26)+(AD648*'Settings'!$C$28)</f>
        <v>-3.1304411405233</v>
      </c>
      <c r="D648" s="79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>
        <f>(VLOOKUP($A648,'The List'!$B1:$AR665,35,FALSE)-AVERAGE('The List'!AJ2:AJ665))/STDEV('The List'!AJ2:AJ665)</f>
        <v>-0.792396934628631</v>
      </c>
      <c r="X648" s="77">
        <f>(VLOOKUP($A648,'The List'!$B1:$AR665,36,FALSE)-AVERAGE('The List'!AK2:AK665))/STDEV('The List'!AK2:AK665)</f>
        <v>-0.703123410345651</v>
      </c>
      <c r="Y648" s="77">
        <f>(VLOOKUP($A648,'The List'!$B1:$AR665,37,FALSE)-AVERAGE('The List'!AL2:AL665))/STDEV('The List'!AL2:AL665)*-1</f>
        <v>0.580294459560031</v>
      </c>
      <c r="Z648" s="77">
        <f>(VLOOKUP($A648,'The List'!$B1:$AR665,38,FALSE)-AVERAGE('The List'!AM2:AM665))/STDEV('The List'!AM2:AM665)</f>
        <v>-0.792396934628631</v>
      </c>
      <c r="AA648" s="77">
        <f>(VLOOKUP($A648,'The List'!$B1:$AR665,39,FALSE)-AVERAGE('The List'!AN2:AN665))/STDEV('The List'!AN2:AN665)</f>
        <v>-0.825152213214027</v>
      </c>
      <c r="AB648" s="77">
        <f>(VLOOKUP($A648,'The List'!$B1:$AR665,40,FALSE)-AVERAGE('The List'!AO2:AO665))/STDEV('The List'!AO2:AO665)</f>
        <v>-0.71915437481346</v>
      </c>
      <c r="AC648" s="77">
        <f>(VLOOKUP($A648,'The List'!$B1:$AR665,42,FALSE)-AVERAGE('The List'!AQ2:AQ665))/STDEV('The List'!AQ2:AQ665)</f>
        <v>-0.652763145841061</v>
      </c>
      <c r="AD648" s="77">
        <f>(VLOOKUP($A648,'The List'!$B1:$AR665,43,FALSE)-AVERAGE('The List'!AR2:AR665))/STDEV('The List'!AR2:AR665)*-1</f>
        <v>-0.949402371122563</v>
      </c>
      <c r="AE648" s="84"/>
    </row>
    <row r="649" ht="21.25" customHeight="1">
      <c r="A649" t="s" s="10">
        <v>320</v>
      </c>
      <c r="B649" t="s" s="86">
        <f>VLOOKUP(A649,'Player Data'!A1:B667,2,FALSE)</f>
        <v>911</v>
      </c>
      <c r="C649" s="74">
        <f>(W649*'Settings'!$C$29)+(X649*'Settings'!$C$21)+(Y649*'Settings'!$C$22)+(AA649*'Settings'!$C$24)+(AB649*'Settings'!$C$25)+(Z649*'Settings'!$C$23)+(AC649*'Settings'!$C$26)+(AD649*'Settings'!$C$28)</f>
        <v>2.42446335346392</v>
      </c>
      <c r="D649" s="79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>
        <f>(VLOOKUP($A649,'The List'!$B1:$AR665,35,FALSE)-AVERAGE('The List'!AJ2:AJ665))/STDEV('The List'!AJ2:AJ665)</f>
        <v>0.41927798968214</v>
      </c>
      <c r="X649" s="77">
        <f>(VLOOKUP($A649,'The List'!$B1:$AR665,36,FALSE)-AVERAGE('The List'!AK2:AK665))/STDEV('The List'!AK2:AK665)</f>
        <v>0.239300209853951</v>
      </c>
      <c r="Y649" s="77">
        <f>(VLOOKUP($A649,'The List'!$B1:$AR665,37,FALSE)-AVERAGE('The List'!AL2:AL665))/STDEV('The List'!AL2:AL665)*-1</f>
        <v>-0.559680259779596</v>
      </c>
      <c r="Z649" s="77">
        <f>(VLOOKUP($A649,'The List'!$B1:$AR665,38,FALSE)-AVERAGE('The List'!AM2:AM665))/STDEV('The List'!AM2:AM665)</f>
        <v>0.41927798968214</v>
      </c>
      <c r="AA649" s="77">
        <f>(VLOOKUP($A649,'The List'!$B1:$AR665,39,FALSE)-AVERAGE('The List'!AN2:AN665))/STDEV('The List'!AN2:AN665)</f>
        <v>0.698148084757151</v>
      </c>
      <c r="AB649" s="77">
        <f>(VLOOKUP($A649,'The List'!$B1:$AR665,40,FALSE)-AVERAGE('The List'!AO2:AO665))/STDEV('The List'!AO2:AO665)</f>
        <v>0.297238174163344</v>
      </c>
      <c r="AC649" s="77">
        <f>(VLOOKUP($A649,'The List'!$B1:$AR665,42,FALSE)-AVERAGE('The List'!AQ2:AQ665))/STDEV('The List'!AQ2:AQ665)</f>
        <v>0.57345332854891</v>
      </c>
      <c r="AD649" s="77">
        <f>(VLOOKUP($A649,'The List'!$B1:$AR665,43,FALSE)-AVERAGE('The List'!AR2:AR665))/STDEV('The List'!AR2:AR665)*-1</f>
        <v>0.913561730303904</v>
      </c>
      <c r="AE649" s="84"/>
    </row>
    <row r="650" ht="21.25" customHeight="1">
      <c r="A650" t="s" s="10">
        <v>487</v>
      </c>
      <c r="B650" t="s" s="86">
        <f>VLOOKUP(A650,'Player Data'!A1:B667,2,FALSE)</f>
        <v>911</v>
      </c>
      <c r="C650" s="74">
        <f>(W650*'Settings'!$C$29)+(X650*'Settings'!$C$21)+(Y650*'Settings'!$C$22)+(AA650*'Settings'!$C$24)+(AB650*'Settings'!$C$25)+(Z650*'Settings'!$C$23)+(AC650*'Settings'!$C$26)+(AD650*'Settings'!$C$28)</f>
        <v>-1.67014490434556</v>
      </c>
      <c r="D650" s="79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>
        <f>(VLOOKUP($A650,'The List'!$B1:$AR665,35,FALSE)-AVERAGE('The List'!AJ2:AJ665))/STDEV('The List'!AJ2:AJ665)</f>
        <v>-0.388505293191707</v>
      </c>
      <c r="X650" s="77">
        <f>(VLOOKUP($A650,'The List'!$B1:$AR665,36,FALSE)-AVERAGE('The List'!AK2:AK665))/STDEV('The List'!AK2:AK665)</f>
        <v>-0.510914735125171</v>
      </c>
      <c r="Y650" s="77">
        <f>(VLOOKUP($A650,'The List'!$B1:$AR665,37,FALSE)-AVERAGE('The List'!AL2:AL665))/STDEV('The List'!AL2:AL665)*-1</f>
        <v>-0.0317581199680604</v>
      </c>
      <c r="Z650" s="77">
        <f>(VLOOKUP($A650,'The List'!$B1:$AR665,38,FALSE)-AVERAGE('The List'!AM2:AM665))/STDEV('The List'!AM2:AM665)</f>
        <v>-0.388505293191707</v>
      </c>
      <c r="AA650" s="77">
        <f>(VLOOKUP($A650,'The List'!$B1:$AR665,39,FALSE)-AVERAGE('The List'!AN2:AN665))/STDEV('The List'!AN2:AN665)</f>
        <v>-0.315952134025674</v>
      </c>
      <c r="AB650" s="77">
        <f>(VLOOKUP($A650,'The List'!$B1:$AR665,40,FALSE)-AVERAGE('The List'!AO2:AO665))/STDEV('The List'!AO2:AO665)</f>
        <v>-0.498696380450578</v>
      </c>
      <c r="AC650" s="77">
        <f>(VLOOKUP($A650,'The List'!$B1:$AR665,42,FALSE)-AVERAGE('The List'!AQ2:AQ665))/STDEV('The List'!AQ2:AQ665)</f>
        <v>-0.803172842969807</v>
      </c>
      <c r="AD650" s="77">
        <f>(VLOOKUP($A650,'The List'!$B1:$AR665,43,FALSE)-AVERAGE('The List'!AR2:AR665))/STDEV('The List'!AR2:AR665)*-1</f>
        <v>-0.0401051922249108</v>
      </c>
      <c r="AE650" s="84"/>
    </row>
    <row r="651" ht="21.25" customHeight="1">
      <c r="A651" t="s" s="10">
        <v>571</v>
      </c>
      <c r="B651" t="s" s="86">
        <f>VLOOKUP(A651,'Player Data'!A1:B667,2,FALSE)</f>
        <v>913</v>
      </c>
      <c r="C651" s="74">
        <f>(W651*'Settings'!$C$29)+(X651*'Settings'!$C$21)+(Y651*'Settings'!$C$22)+(AA651*'Settings'!$C$24)+(AB651*'Settings'!$C$25)+(Z651*'Settings'!$C$23)+(AC651*'Settings'!$C$26)+(AD651*'Settings'!$C$28)</f>
        <v>-4.44197600115909</v>
      </c>
      <c r="D651" s="79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>
        <f>(VLOOKUP($A651,'The List'!$B1:$AR665,35,FALSE)-AVERAGE('The List'!AJ2:AJ665))/STDEV('The List'!AJ2:AJ665)</f>
        <v>-0.792396934628631</v>
      </c>
      <c r="X651" s="77">
        <f>(VLOOKUP($A651,'The List'!$B1:$AR665,36,FALSE)-AVERAGE('The List'!AK2:AK665))/STDEV('The List'!AK2:AK665)</f>
        <v>-1.25121867067788</v>
      </c>
      <c r="Y651" s="77">
        <f>(VLOOKUP($A651,'The List'!$B1:$AR665,37,FALSE)-AVERAGE('The List'!AL2:AL665))/STDEV('The List'!AL2:AL665)*-1</f>
        <v>-0.462836000752403</v>
      </c>
      <c r="Z651" s="77">
        <f>(VLOOKUP($A651,'The List'!$B1:$AR665,38,FALSE)-AVERAGE('The List'!AM2:AM665))/STDEV('The List'!AM2:AM665)</f>
        <v>-0.792396934628631</v>
      </c>
      <c r="AA651" s="77">
        <f>(VLOOKUP($A651,'The List'!$B1:$AR665,39,FALSE)-AVERAGE('The List'!AN2:AN665))/STDEV('The List'!AN2:AN665)</f>
        <v>-1.09930497441627</v>
      </c>
      <c r="AB651" s="77">
        <f>(VLOOKUP($A651,'The List'!$B1:$AR665,40,FALSE)-AVERAGE('The List'!AO2:AO665))/STDEV('The List'!AO2:AO665)</f>
        <v>-0.591110819741251</v>
      </c>
      <c r="AC651" s="77">
        <f>(VLOOKUP($A651,'The List'!$B1:$AR665,42,FALSE)-AVERAGE('The List'!AQ2:AQ665))/STDEV('The List'!AQ2:AQ665)</f>
        <v>-0.4886591740917</v>
      </c>
      <c r="AD651" s="77">
        <f>(VLOOKUP($A651,'The List'!$B1:$AR665,43,FALSE)-AVERAGE('The List'!AR2:AR665))/STDEV('The List'!AR2:AR665)*-1</f>
        <v>-1.60279318197324</v>
      </c>
      <c r="AE651" s="84"/>
    </row>
    <row r="652" ht="21.25" customHeight="1">
      <c r="A652" t="s" s="10">
        <v>332</v>
      </c>
      <c r="B652" t="s" s="86">
        <f>VLOOKUP(A652,'Player Data'!A1:B667,2,FALSE)</f>
        <v>913</v>
      </c>
      <c r="C652" s="74">
        <f>(W652*'Settings'!$C$29)+(X652*'Settings'!$C$21)+(Y652*'Settings'!$C$22)+(AA652*'Settings'!$C$24)+(AB652*'Settings'!$C$25)+(Z652*'Settings'!$C$23)+(AC652*'Settings'!$C$26)+(AD652*'Settings'!$C$28)</f>
        <v>-3.28613153862981</v>
      </c>
      <c r="D652" s="79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>
        <f>(VLOOKUP($A652,'The List'!$B1:$AR665,35,FALSE)-AVERAGE('The List'!AJ2:AJ665))/STDEV('The List'!AJ2:AJ665)</f>
        <v>0.41927798968214</v>
      </c>
      <c r="X652" s="77">
        <f>(VLOOKUP($A652,'The List'!$B1:$AR665,36,FALSE)-AVERAGE('The List'!AK2:AK665))/STDEV('The List'!AK2:AK665)</f>
        <v>-0.589680810867841</v>
      </c>
      <c r="Y652" s="77">
        <f>(VLOOKUP($A652,'The List'!$B1:$AR665,37,FALSE)-AVERAGE('The List'!AL2:AL665))/STDEV('The List'!AL2:AL665)*-1</f>
        <v>-2.1373902243059</v>
      </c>
      <c r="Z652" s="77">
        <f>(VLOOKUP($A652,'The List'!$B1:$AR665,38,FALSE)-AVERAGE('The List'!AM2:AM665))/STDEV('The List'!AM2:AM665)</f>
        <v>0.41927798968214</v>
      </c>
      <c r="AA652" s="77">
        <f>(VLOOKUP($A652,'The List'!$B1:$AR665,39,FALSE)-AVERAGE('The List'!AN2:AN665))/STDEV('The List'!AN2:AN665)</f>
        <v>-0.984501058185032</v>
      </c>
      <c r="AB652" s="77">
        <f>(VLOOKUP($A652,'The List'!$B1:$AR665,40,FALSE)-AVERAGE('The List'!AO2:AO665))/STDEV('The List'!AO2:AO665)</f>
        <v>0.716229091051091</v>
      </c>
      <c r="AC652" s="77">
        <f>(VLOOKUP($A652,'The List'!$B1:$AR665,42,FALSE)-AVERAGE('The List'!AQ2:AQ665))/STDEV('The List'!AQ2:AQ665)</f>
        <v>-0.275366169874223</v>
      </c>
      <c r="AD652" s="77">
        <f>(VLOOKUP($A652,'The List'!$B1:$AR665,43,FALSE)-AVERAGE('The List'!AR2:AR665))/STDEV('The List'!AR2:AR665)*-1</f>
        <v>-1.43658349970271</v>
      </c>
      <c r="AE652" s="84"/>
    </row>
    <row r="653" ht="21.25" customHeight="1">
      <c r="A653" t="s" s="10">
        <v>217</v>
      </c>
      <c r="B653" t="s" s="86">
        <f>VLOOKUP(A653,'Player Data'!A1:B667,2,FALSE)</f>
        <v>907</v>
      </c>
      <c r="C653" s="74">
        <f>(W653*'Settings'!$C$29)+(X653*'Settings'!$C$21)+(Y653*'Settings'!$C$22)+(AA653*'Settings'!$C$24)+(AB653*'Settings'!$C$25)+(Z653*'Settings'!$C$23)+(AC653*'Settings'!$C$26)+(AD653*'Settings'!$C$28)</f>
        <v>0.35596349728074</v>
      </c>
      <c r="D653" s="79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>
        <f>(VLOOKUP($A653,'The List'!$B1:$AR665,35,FALSE)-AVERAGE('The List'!AJ2:AJ665))/STDEV('The List'!AJ2:AJ665)</f>
        <v>1.1462829442686</v>
      </c>
      <c r="X653" s="77">
        <f>(VLOOKUP($A653,'The List'!$B1:$AR665,36,FALSE)-AVERAGE('The List'!AK2:AK665))/STDEV('The List'!AK2:AK665)</f>
        <v>0.462820484528058</v>
      </c>
      <c r="Y653" s="77">
        <f>(VLOOKUP($A653,'The List'!$B1:$AR665,37,FALSE)-AVERAGE('The List'!AL2:AL665))/STDEV('The List'!AL2:AL665)*-1</f>
        <v>-1.89443091559923</v>
      </c>
      <c r="Z653" s="77">
        <f>(VLOOKUP($A653,'The List'!$B1:$AR665,38,FALSE)-AVERAGE('The List'!AM2:AM665))/STDEV('The List'!AM2:AM665)</f>
        <v>1.1462829442686</v>
      </c>
      <c r="AA653" s="77">
        <f>(VLOOKUP($A653,'The List'!$B1:$AR665,39,FALSE)-AVERAGE('The List'!AN2:AN665))/STDEV('The List'!AN2:AN665)</f>
        <v>0.26321953162313</v>
      </c>
      <c r="AB653" s="77">
        <f>(VLOOKUP($A653,'The List'!$B1:$AR665,40,FALSE)-AVERAGE('The List'!AO2:AO665))/STDEV('The List'!AO2:AO665)</f>
        <v>1.39187517137983</v>
      </c>
      <c r="AC653" s="77">
        <f>(VLOOKUP($A653,'The List'!$B1:$AR665,42,FALSE)-AVERAGE('The List'!AQ2:AQ665))/STDEV('The List'!AQ2:AQ665)</f>
        <v>0.257288722467901</v>
      </c>
      <c r="AD653" s="77">
        <f>(VLOOKUP($A653,'The List'!$B1:$AR665,43,FALSE)-AVERAGE('The List'!AR2:AR665))/STDEV('The List'!AR2:AR665)*-1</f>
        <v>-0.627365241338349</v>
      </c>
      <c r="AE653" s="84"/>
    </row>
    <row r="654" ht="21.25" customHeight="1">
      <c r="A654" t="s" s="10">
        <v>629</v>
      </c>
      <c r="B654" t="s" s="86">
        <f>VLOOKUP(A654,'Player Data'!A1:B667,2,FALSE)</f>
        <v>907</v>
      </c>
      <c r="C654" s="74">
        <f>(W654*'Settings'!$C$29)+(X654*'Settings'!$C$21)+(Y654*'Settings'!$C$22)+(AA654*'Settings'!$C$24)+(AB654*'Settings'!$C$25)+(Z654*'Settings'!$C$23)+(AC654*'Settings'!$C$26)+(AD654*'Settings'!$C$28)</f>
        <v>-3.00446946055047</v>
      </c>
      <c r="D654" s="79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>
        <f>(VLOOKUP($A654,'The List'!$B1:$AR665,35,FALSE)-AVERAGE('The List'!AJ2:AJ665))/STDEV('The List'!AJ2:AJ665)</f>
        <v>-1.11551024777817</v>
      </c>
      <c r="X654" s="77">
        <f>(VLOOKUP($A654,'The List'!$B1:$AR665,36,FALSE)-AVERAGE('The List'!AK2:AK665))/STDEV('The List'!AK2:AK665)</f>
        <v>-1.08716730892645</v>
      </c>
      <c r="Y654" s="77">
        <f>(VLOOKUP($A654,'The List'!$B1:$AR665,37,FALSE)-AVERAGE('The List'!AL2:AL665))/STDEV('The List'!AL2:AL665)*-1</f>
        <v>0.631675281014244</v>
      </c>
      <c r="Z654" s="77">
        <f>(VLOOKUP($A654,'The List'!$B1:$AR665,38,FALSE)-AVERAGE('The List'!AM2:AM665))/STDEV('The List'!AM2:AM665)</f>
        <v>-1.11551024777817</v>
      </c>
      <c r="AA654" s="77">
        <f>(VLOOKUP($A654,'The List'!$B1:$AR665,39,FALSE)-AVERAGE('The List'!AN2:AN665))/STDEV('The List'!AN2:AN665)</f>
        <v>-0.94791783610472</v>
      </c>
      <c r="AB654" s="77">
        <f>(VLOOKUP($A654,'The List'!$B1:$AR665,40,FALSE)-AVERAGE('The List'!AO2:AO665))/STDEV('The List'!AO2:AO665)</f>
        <v>-0.991499955776444</v>
      </c>
      <c r="AC654" s="77">
        <f>(VLOOKUP($A654,'The List'!$B1:$AR665,42,FALSE)-AVERAGE('The List'!AQ2:AQ665))/STDEV('The List'!AQ2:AQ665)</f>
        <v>-0.08334550484962</v>
      </c>
      <c r="AD654" s="77">
        <f>(VLOOKUP($A654,'The List'!$B1:$AR665,43,FALSE)-AVERAGE('The List'!AR2:AR665))/STDEV('The List'!AR2:AR665)*-1</f>
        <v>-0.886038810669678</v>
      </c>
      <c r="AE654" s="84"/>
    </row>
    <row r="655" ht="21.25" customHeight="1">
      <c r="A655" t="s" s="10">
        <v>180</v>
      </c>
      <c r="B655" t="s" s="86">
        <f>VLOOKUP(A655,'Player Data'!A1:B667,2,FALSE)</f>
        <v>866</v>
      </c>
      <c r="C655" s="74">
        <f>(W655*'Settings'!$C$29)+(X655*'Settings'!$C$21)+(Y655*'Settings'!$C$22)+(AA655*'Settings'!$C$24)+(AB655*'Settings'!$C$25)+(Z655*'Settings'!$C$23)+(AC655*'Settings'!$C$26)+(AD655*'Settings'!$C$28)</f>
        <v>4.3290374029114</v>
      </c>
      <c r="D655" s="79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>
        <f>(VLOOKUP($A655,'The List'!$B1:$AR665,35,FALSE)-AVERAGE('The List'!AJ2:AJ665))/STDEV('The List'!AJ2:AJ665)</f>
        <v>1.63095291399291</v>
      </c>
      <c r="X655" s="77">
        <f>(VLOOKUP($A655,'The List'!$B1:$AR665,36,FALSE)-AVERAGE('The List'!AK2:AK665))/STDEV('The List'!AK2:AK665)</f>
        <v>1.5277259038976</v>
      </c>
      <c r="Y655" s="77">
        <f>(VLOOKUP($A655,'The List'!$B1:$AR665,37,FALSE)-AVERAGE('The List'!AL2:AL665))/STDEV('The List'!AL2:AL665)*-1</f>
        <v>-1.04114663453105</v>
      </c>
      <c r="Z655" s="77">
        <f>(VLOOKUP($A655,'The List'!$B1:$AR665,38,FALSE)-AVERAGE('The List'!AM2:AM665))/STDEV('The List'!AM2:AM665)</f>
        <v>1.63095291399291</v>
      </c>
      <c r="AA655" s="77">
        <f>(VLOOKUP($A655,'The List'!$B1:$AR665,39,FALSE)-AVERAGE('The List'!AN2:AN665))/STDEV('The List'!AN2:AN665)</f>
        <v>1.33344142276706</v>
      </c>
      <c r="AB655" s="77">
        <f>(VLOOKUP($A655,'The List'!$B1:$AR665,40,FALSE)-AVERAGE('The List'!AO2:AO665))/STDEV('The List'!AO2:AO665)</f>
        <v>1.64383856498529</v>
      </c>
      <c r="AC655" s="77">
        <f>(VLOOKUP($A655,'The List'!$B1:$AR665,42,FALSE)-AVERAGE('The List'!AQ2:AQ665))/STDEV('The List'!AQ2:AQ665)</f>
        <v>0.857375051623783</v>
      </c>
      <c r="AD655" s="77">
        <f>(VLOOKUP($A655,'The List'!$B1:$AR665,43,FALSE)-AVERAGE('The List'!AR2:AR665))/STDEV('The List'!AR2:AR665)*-1</f>
        <v>0.610495024622956</v>
      </c>
      <c r="AE655" s="84"/>
    </row>
    <row r="656" ht="21.25" customHeight="1">
      <c r="A656" t="s" s="10">
        <v>759</v>
      </c>
      <c r="B656" t="s" s="86">
        <f>VLOOKUP(A656,'Player Data'!A1:B667,2,FALSE)</f>
        <v>866</v>
      </c>
      <c r="C656" s="74">
        <f>(W656*'Settings'!$C$29)+(X656*'Settings'!$C$21)+(Y656*'Settings'!$C$22)+(AA656*'Settings'!$C$24)+(AB656*'Settings'!$C$25)+(Z656*'Settings'!$C$23)+(AC656*'Settings'!$C$26)+(AD656*'Settings'!$C$28)</f>
        <v>-5.29339824977014</v>
      </c>
      <c r="D656" s="79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>
        <f>(VLOOKUP($A656,'The List'!$B1:$AR665,35,FALSE)-AVERAGE('The List'!AJ2:AJ665))/STDEV('The List'!AJ2:AJ665)</f>
        <v>-1.60018021750248</v>
      </c>
      <c r="X656" s="77">
        <f>(VLOOKUP($A656,'The List'!$B1:$AR665,36,FALSE)-AVERAGE('The List'!AK2:AK665))/STDEV('The List'!AK2:AK665)</f>
        <v>-1.26985256128565</v>
      </c>
      <c r="Y656" s="77">
        <f>(VLOOKUP($A656,'The List'!$B1:$AR665,37,FALSE)-AVERAGE('The List'!AL2:AL665))/STDEV('The List'!AL2:AL665)*-1</f>
        <v>1.45742527649242</v>
      </c>
      <c r="Z656" s="77">
        <f>(VLOOKUP($A656,'The List'!$B1:$AR665,38,FALSE)-AVERAGE('The List'!AM2:AM665))/STDEV('The List'!AM2:AM665)</f>
        <v>-1.60018021750248</v>
      </c>
      <c r="AA656" s="77">
        <f>(VLOOKUP($A656,'The List'!$B1:$AR665,39,FALSE)-AVERAGE('The List'!AN2:AN665))/STDEV('The List'!AN2:AN665)</f>
        <v>-1.28465921399135</v>
      </c>
      <c r="AB656" s="77">
        <f>(VLOOKUP($A656,'The List'!$B1:$AR665,40,FALSE)-AVERAGE('The List'!AO2:AO665))/STDEV('The List'!AO2:AO665)</f>
        <v>-1.6039136586747</v>
      </c>
      <c r="AC656" s="77">
        <f>(VLOOKUP($A656,'The List'!$B1:$AR665,42,FALSE)-AVERAGE('The List'!AQ2:AQ665))/STDEV('The List'!AQ2:AQ665)</f>
        <v>-1.59021674580422</v>
      </c>
      <c r="AD656" s="77">
        <f>(VLOOKUP($A656,'The List'!$B1:$AR665,43,FALSE)-AVERAGE('The List'!AR2:AR665))/STDEV('The List'!AR2:AR665)*-1</f>
        <v>-1.14866972868892</v>
      </c>
      <c r="AE656" s="84"/>
    </row>
    <row r="657" ht="21.25" customHeight="1">
      <c r="A657" t="s" s="10">
        <v>284</v>
      </c>
      <c r="B657" t="s" s="86">
        <f>VLOOKUP(A657,'Player Data'!A1:B667,2,FALSE)</f>
        <v>132</v>
      </c>
      <c r="C657" s="74">
        <f>(W657*'Settings'!$C$29)+(X657*'Settings'!$C$21)+(Y657*'Settings'!$C$22)+(AA657*'Settings'!$C$24)+(AB657*'Settings'!$C$25)+(Z657*'Settings'!$C$23)+(AC657*'Settings'!$C$26)+(AD657*'Settings'!$C$28)</f>
        <v>3.09779323042567</v>
      </c>
      <c r="D657" s="79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>
        <f>(VLOOKUP($A657,'The List'!$B1:$AR665,35,FALSE)-AVERAGE('The List'!AJ2:AJ665))/STDEV('The List'!AJ2:AJ665)</f>
        <v>0.338499661394755</v>
      </c>
      <c r="X657" s="77">
        <f>(VLOOKUP($A657,'The List'!$B1:$AR665,36,FALSE)-AVERAGE('The List'!AK2:AK665))/STDEV('The List'!AK2:AK665)</f>
        <v>0.977337873181819</v>
      </c>
      <c r="Y657" s="77">
        <f>(VLOOKUP($A657,'The List'!$B1:$AR665,37,FALSE)-AVERAGE('The List'!AL2:AL665))/STDEV('The List'!AL2:AL665)*-1</f>
        <v>1.04051955821907</v>
      </c>
      <c r="Z657" s="77">
        <f>(VLOOKUP($A657,'The List'!$B1:$AR665,38,FALSE)-AVERAGE('The List'!AM2:AM665))/STDEV('The List'!AM2:AM665)</f>
        <v>0.338499661394755</v>
      </c>
      <c r="AA657" s="77">
        <f>(VLOOKUP($A657,'The List'!$B1:$AR665,39,FALSE)-AVERAGE('The List'!AN2:AN665))/STDEV('The List'!AN2:AN665)</f>
        <v>0.438410845765257</v>
      </c>
      <c r="AB657" s="77">
        <f>(VLOOKUP($A657,'The List'!$B1:$AR665,40,FALSE)-AVERAGE('The List'!AO2:AO665))/STDEV('The List'!AO2:AO665)</f>
        <v>0.338743291402895</v>
      </c>
      <c r="AC657" s="77">
        <f>(VLOOKUP($A657,'The List'!$B1:$AR665,42,FALSE)-AVERAGE('The List'!AQ2:AQ665))/STDEV('The List'!AQ2:AQ665)</f>
        <v>0.94632185814692</v>
      </c>
      <c r="AD657" s="77">
        <f>(VLOOKUP($A657,'The List'!$B1:$AR665,43,FALSE)-AVERAGE('The List'!AR2:AR665))/STDEV('The List'!AR2:AR665)*-1</f>
        <v>0.735722653331675</v>
      </c>
      <c r="AE657" s="84"/>
    </row>
    <row r="658" ht="21.25" customHeight="1">
      <c r="A658" t="s" s="10">
        <v>396</v>
      </c>
      <c r="B658" t="s" s="86">
        <f>VLOOKUP(A658,'Player Data'!A1:B667,2,FALSE)</f>
        <v>132</v>
      </c>
      <c r="C658" s="74">
        <f>(W658*'Settings'!$C$29)+(X658*'Settings'!$C$21)+(Y658*'Settings'!$C$22)+(AA658*'Settings'!$C$24)+(AB658*'Settings'!$C$25)+(Z658*'Settings'!$C$23)+(AC658*'Settings'!$C$26)+(AD658*'Settings'!$C$28)</f>
        <v>1.72774269358278</v>
      </c>
      <c r="D658" s="79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>
        <f>(VLOOKUP($A658,'The List'!$B1:$AR665,35,FALSE)-AVERAGE('The List'!AJ2:AJ665))/STDEV('The List'!AJ2:AJ665)</f>
        <v>-0.307726964904323</v>
      </c>
      <c r="X658" s="77">
        <f>(VLOOKUP($A658,'The List'!$B1:$AR665,36,FALSE)-AVERAGE('The List'!AK2:AK665))/STDEV('The List'!AK2:AK665)</f>
        <v>0.247168698423855</v>
      </c>
      <c r="Y658" s="77">
        <f>(VLOOKUP($A658,'The List'!$B1:$AR665,37,FALSE)-AVERAGE('The List'!AL2:AL665))/STDEV('The List'!AL2:AL665)*-1</f>
        <v>1.21544761617427</v>
      </c>
      <c r="Z658" s="77">
        <f>(VLOOKUP($A658,'The List'!$B1:$AR665,38,FALSE)-AVERAGE('The List'!AM2:AM665))/STDEV('The List'!AM2:AM665)</f>
        <v>-0.307726964904323</v>
      </c>
      <c r="AA658" s="77">
        <f>(VLOOKUP($A658,'The List'!$B1:$AR665,39,FALSE)-AVERAGE('The List'!AN2:AN665))/STDEV('The List'!AN2:AN665)</f>
        <v>0.07743895371929579</v>
      </c>
      <c r="AB658" s="77">
        <f>(VLOOKUP($A658,'The List'!$B1:$AR665,40,FALSE)-AVERAGE('The List'!AO2:AO665))/STDEV('The List'!AO2:AO665)</f>
        <v>-0.33694528464669</v>
      </c>
      <c r="AC658" s="77">
        <f>(VLOOKUP($A658,'The List'!$B1:$AR665,42,FALSE)-AVERAGE('The List'!AQ2:AQ665))/STDEV('The List'!AQ2:AQ665)</f>
        <v>0.702129632316749</v>
      </c>
      <c r="AD658" s="77">
        <f>(VLOOKUP($A658,'The List'!$B1:$AR665,43,FALSE)-AVERAGE('The List'!AR2:AR665))/STDEV('The List'!AR2:AR665)*-1</f>
        <v>0.701005409122881</v>
      </c>
      <c r="AE658" s="84"/>
    </row>
    <row r="659" ht="21.25" customHeight="1">
      <c r="A659" t="s" s="10">
        <v>197</v>
      </c>
      <c r="B659" t="s" s="86">
        <f>VLOOKUP(A659,'Player Data'!A1:B667,2,FALSE)</f>
        <v>901</v>
      </c>
      <c r="C659" s="74">
        <f>(W659*'Settings'!$C$29)+(X659*'Settings'!$C$21)+(Y659*'Settings'!$C$22)+(AA659*'Settings'!$C$24)+(AB659*'Settings'!$C$25)+(Z659*'Settings'!$C$23)+(AC659*'Settings'!$C$26)+(AD659*'Settings'!$C$28)</f>
        <v>5.94325775775848</v>
      </c>
      <c r="D659" s="79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>
        <f>(VLOOKUP($A659,'The List'!$B1:$AR665,35,FALSE)-AVERAGE('The List'!AJ2:AJ665))/STDEV('The List'!AJ2:AJ665)</f>
        <v>1.30783960084337</v>
      </c>
      <c r="X659" s="77">
        <f>(VLOOKUP($A659,'The List'!$B1:$AR665,36,FALSE)-AVERAGE('The List'!AK2:AK665))/STDEV('The List'!AK2:AK665)</f>
        <v>1.66303962718648</v>
      </c>
      <c r="Y659" s="77">
        <f>(VLOOKUP($A659,'The List'!$B1:$AR665,37,FALSE)-AVERAGE('The List'!AL2:AL665))/STDEV('The List'!AL2:AL665)*-1</f>
        <v>-0.00132859353346903</v>
      </c>
      <c r="Z659" s="77">
        <f>(VLOOKUP($A659,'The List'!$B1:$AR665,38,FALSE)-AVERAGE('The List'!AM2:AM665))/STDEV('The List'!AM2:AM665)</f>
        <v>1.30783960084337</v>
      </c>
      <c r="AA659" s="77">
        <f>(VLOOKUP($A659,'The List'!$B1:$AR665,39,FALSE)-AVERAGE('The List'!AN2:AN665))/STDEV('The List'!AN2:AN665)</f>
        <v>1.70576447693148</v>
      </c>
      <c r="AB659" s="77">
        <f>(VLOOKUP($A659,'The List'!$B1:$AR665,40,FALSE)-AVERAGE('The List'!AO2:AO665))/STDEV('The List'!AO2:AO665)</f>
        <v>1.12416006618394</v>
      </c>
      <c r="AC659" s="77">
        <f>(VLOOKUP($A659,'The List'!$B1:$AR665,42,FALSE)-AVERAGE('The List'!AQ2:AQ665))/STDEV('The List'!AQ2:AQ665)</f>
        <v>1.14448851053617</v>
      </c>
      <c r="AD659" s="77">
        <f>(VLOOKUP($A659,'The List'!$B1:$AR665,43,FALSE)-AVERAGE('The List'!AR2:AR665))/STDEV('The List'!AR2:AR665)*-1</f>
        <v>1.42996514310435</v>
      </c>
      <c r="AE659" s="84"/>
    </row>
    <row r="660" ht="21.25" customHeight="1">
      <c r="A660" t="s" s="10">
        <v>712</v>
      </c>
      <c r="B660" t="s" s="86">
        <f>VLOOKUP(A660,'Player Data'!A1:B667,2,FALSE)</f>
        <v>901</v>
      </c>
      <c r="C660" s="74">
        <f>(W660*'Settings'!$C$29)+(X660*'Settings'!$C$21)+(Y660*'Settings'!$C$22)+(AA660*'Settings'!$C$24)+(AB660*'Settings'!$C$25)+(Z660*'Settings'!$C$23)+(AC660*'Settings'!$C$26)+(AD660*'Settings'!$C$28)</f>
        <v>-3.22448446838536</v>
      </c>
      <c r="D660" s="79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>
        <f>(VLOOKUP($A660,'The List'!$B1:$AR665,35,FALSE)-AVERAGE('The List'!AJ2:AJ665))/STDEV('The List'!AJ2:AJ665)</f>
        <v>-1.43862356092771</v>
      </c>
      <c r="X660" s="77">
        <f>(VLOOKUP($A660,'The List'!$B1:$AR665,36,FALSE)-AVERAGE('The List'!AK2:AK665))/STDEV('The List'!AK2:AK665)</f>
        <v>-0.987138713918802</v>
      </c>
      <c r="Y660" s="77">
        <f>(VLOOKUP($A660,'The List'!$B1:$AR665,37,FALSE)-AVERAGE('The List'!AL2:AL665))/STDEV('The List'!AL2:AL665)*-1</f>
        <v>1.60433895164949</v>
      </c>
      <c r="Z660" s="77">
        <f>(VLOOKUP($A660,'The List'!$B1:$AR665,38,FALSE)-AVERAGE('The List'!AM2:AM665))/STDEV('The List'!AM2:AM665)</f>
        <v>-1.43862356092771</v>
      </c>
      <c r="AA660" s="77">
        <f>(VLOOKUP($A660,'The List'!$B1:$AR665,39,FALSE)-AVERAGE('The List'!AN2:AN665))/STDEV('The List'!AN2:AN665)</f>
        <v>-0.93945332274257</v>
      </c>
      <c r="AB660" s="77">
        <f>(VLOOKUP($A660,'The List'!$B1:$AR665,40,FALSE)-AVERAGE('The List'!AO2:AO665))/STDEV('The List'!AO2:AO665)</f>
        <v>-1.51962650079566</v>
      </c>
      <c r="AC660" s="77">
        <f>(VLOOKUP($A660,'The List'!$B1:$AR665,42,FALSE)-AVERAGE('The List'!AQ2:AQ665))/STDEV('The List'!AQ2:AQ665)</f>
        <v>-1.15175668718094</v>
      </c>
      <c r="AD660" s="77">
        <f>(VLOOKUP($A660,'The List'!$B1:$AR665,43,FALSE)-AVERAGE('The List'!AR2:AR665))/STDEV('The List'!AR2:AR665)*-1</f>
        <v>-0.146135744543046</v>
      </c>
      <c r="AE660" s="84"/>
    </row>
    <row r="661" ht="21.25" customHeight="1">
      <c r="A661" t="s" s="10">
        <v>265</v>
      </c>
      <c r="B661" t="s" s="86">
        <f>VLOOKUP(A661,'Player Data'!A1:B667,2,FALSE)</f>
        <v>903</v>
      </c>
      <c r="C661" s="74">
        <f>(W661*'Settings'!$C$29)+(X661*'Settings'!$C$21)+(Y661*'Settings'!$C$22)+(AA661*'Settings'!$C$24)+(AB661*'Settings'!$C$25)+(Z661*'Settings'!$C$23)+(AC661*'Settings'!$C$26)+(AD661*'Settings'!$C$28)</f>
        <v>3.26122340790232</v>
      </c>
      <c r="D661" s="79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>
        <f>(VLOOKUP($A661,'The List'!$B1:$AR665,35,FALSE)-AVERAGE('The List'!AJ2:AJ665))/STDEV('The List'!AJ2:AJ665)</f>
        <v>0.661612974544294</v>
      </c>
      <c r="X661" s="77">
        <f>(VLOOKUP($A661,'The List'!$B1:$AR665,36,FALSE)-AVERAGE('The List'!AK2:AK665))/STDEV('The List'!AK2:AK665)</f>
        <v>0.698516526790472</v>
      </c>
      <c r="Y661" s="77">
        <f>(VLOOKUP($A661,'The List'!$B1:$AR665,37,FALSE)-AVERAGE('The List'!AL2:AL665))/STDEV('The List'!AL2:AL665)*-1</f>
        <v>-0.272421028765279</v>
      </c>
      <c r="Z661" s="77">
        <f>(VLOOKUP($A661,'The List'!$B1:$AR665,38,FALSE)-AVERAGE('The List'!AM2:AM665))/STDEV('The List'!AM2:AM665)</f>
        <v>0.661612974544294</v>
      </c>
      <c r="AA661" s="77">
        <f>(VLOOKUP($A661,'The List'!$B1:$AR665,39,FALSE)-AVERAGE('The List'!AN2:AN665))/STDEV('The List'!AN2:AN665)</f>
        <v>0.865100994584012</v>
      </c>
      <c r="AB661" s="77">
        <f>(VLOOKUP($A661,'The List'!$B1:$AR665,40,FALSE)-AVERAGE('The List'!AO2:AO665))/STDEV('The List'!AO2:AO665)</f>
        <v>0.5824726450724</v>
      </c>
      <c r="AC661" s="77">
        <f>(VLOOKUP($A661,'The List'!$B1:$AR665,42,FALSE)-AVERAGE('The List'!AQ2:AQ665))/STDEV('The List'!AQ2:AQ665)</f>
        <v>0.799255016257049</v>
      </c>
      <c r="AD661" s="77">
        <f>(VLOOKUP($A661,'The List'!$B1:$AR665,43,FALSE)-AVERAGE('The List'!AR2:AR665))/STDEV('The List'!AR2:AR665)*-1</f>
        <v>0.898350870270788</v>
      </c>
      <c r="AE661" s="84"/>
    </row>
    <row r="662" ht="21.25" customHeight="1">
      <c r="A662" t="s" s="10">
        <v>541</v>
      </c>
      <c r="B662" t="s" s="86">
        <f>VLOOKUP(A662,'Player Data'!A1:B667,2,FALSE)</f>
        <v>903</v>
      </c>
      <c r="C662" s="74">
        <f>(W662*'Settings'!$C$29)+(X662*'Settings'!$C$21)+(Y662*'Settings'!$C$22)+(AA662*'Settings'!$C$24)+(AB662*'Settings'!$C$25)+(Z662*'Settings'!$C$23)+(AC662*'Settings'!$C$26)+(AD662*'Settings'!$C$28)</f>
        <v>-0.737141575746573</v>
      </c>
      <c r="D662" s="79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>
        <f>(VLOOKUP($A662,'The List'!$B1:$AR665,35,FALSE)-AVERAGE('The List'!AJ2:AJ665))/STDEV('The List'!AJ2:AJ665)</f>
        <v>-0.792396934628631</v>
      </c>
      <c r="X662" s="77">
        <f>(VLOOKUP($A662,'The List'!$B1:$AR665,36,FALSE)-AVERAGE('The List'!AK2:AK665))/STDEV('The List'!AK2:AK665)</f>
        <v>-0.556593800823218</v>
      </c>
      <c r="Y662" s="77">
        <f>(VLOOKUP($A662,'The List'!$B1:$AR665,37,FALSE)-AVERAGE('The List'!AL2:AL665))/STDEV('The List'!AL2:AL665)*-1</f>
        <v>0.859168425625506</v>
      </c>
      <c r="Z662" s="77">
        <f>(VLOOKUP($A662,'The List'!$B1:$AR665,38,FALSE)-AVERAGE('The List'!AM2:AM665))/STDEV('The List'!AM2:AM665)</f>
        <v>-0.792396934628631</v>
      </c>
      <c r="AA662" s="77">
        <f>(VLOOKUP($A662,'The List'!$B1:$AR665,39,FALSE)-AVERAGE('The List'!AN2:AN665))/STDEV('The List'!AN2:AN665)</f>
        <v>-0.410622010235702</v>
      </c>
      <c r="AB662" s="77">
        <f>(VLOOKUP($A662,'The List'!$B1:$AR665,40,FALSE)-AVERAGE('The List'!AO2:AO665))/STDEV('The List'!AO2:AO665)</f>
        <v>-0.845423368691995</v>
      </c>
      <c r="AC662" s="77">
        <f>(VLOOKUP($A662,'The List'!$B1:$AR665,42,FALSE)-AVERAGE('The List'!AQ2:AQ665))/STDEV('The List'!AQ2:AQ665)</f>
        <v>-0.0631612952684399</v>
      </c>
      <c r="AD662" s="77">
        <f>(VLOOKUP($A662,'The List'!$B1:$AR665,43,FALSE)-AVERAGE('The List'!AR2:AR665))/STDEV('The List'!AR2:AR665)*-1</f>
        <v>0.293235530580787</v>
      </c>
      <c r="AE662" s="84"/>
    </row>
    <row r="663" ht="21.25" customHeight="1">
      <c r="A663" t="s" s="10">
        <v>167</v>
      </c>
      <c r="B663" t="s" s="86">
        <f>VLOOKUP(A663,'Player Data'!A1:B667,2,FALSE)</f>
        <v>906</v>
      </c>
      <c r="C663" s="74">
        <f>(W663*'Settings'!$C$29)+(X663*'Settings'!$C$21)+(Y663*'Settings'!$C$22)+(AA663*'Settings'!$C$24)+(AB663*'Settings'!$C$25)+(Z663*'Settings'!$C$23)+(AC663*'Settings'!$C$26)+(AD663*'Settings'!$C$28)</f>
        <v>8.663630351956311</v>
      </c>
      <c r="D663" s="79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>
        <f>(VLOOKUP($A663,'The List'!$B1:$AR665,35,FALSE)-AVERAGE('The List'!AJ2:AJ665))/STDEV('The List'!AJ2:AJ665)</f>
        <v>1.63095291399291</v>
      </c>
      <c r="X663" s="77">
        <f>(VLOOKUP($A663,'The List'!$B1:$AR665,36,FALSE)-AVERAGE('The List'!AK2:AK665))/STDEV('The List'!AK2:AK665)</f>
        <v>1.74777677051904</v>
      </c>
      <c r="Y663" s="77">
        <f>(VLOOKUP($A663,'The List'!$B1:$AR665,37,FALSE)-AVERAGE('The List'!AL2:AL665))/STDEV('The List'!AL2:AL665)*-1</f>
        <v>-0.622347607420619</v>
      </c>
      <c r="Z663" s="77">
        <f>(VLOOKUP($A663,'The List'!$B1:$AR665,38,FALSE)-AVERAGE('The List'!AM2:AM665))/STDEV('The List'!AM2:AM665)</f>
        <v>1.63095291399291</v>
      </c>
      <c r="AA663" s="77">
        <f>(VLOOKUP($A663,'The List'!$B1:$AR665,39,FALSE)-AVERAGE('The List'!AN2:AN665))/STDEV('The List'!AN2:AN665)</f>
        <v>2.45444587458869</v>
      </c>
      <c r="AB663" s="77">
        <f>(VLOOKUP($A663,'The List'!$B1:$AR665,40,FALSE)-AVERAGE('The List'!AO2:AO665))/STDEV('The List'!AO2:AO665)</f>
        <v>1.55932760453495</v>
      </c>
      <c r="AC663" s="77">
        <f>(VLOOKUP($A663,'The List'!$B1:$AR665,42,FALSE)-AVERAGE('The List'!AQ2:AQ665))/STDEV('The List'!AQ2:AQ665)</f>
        <v>2.41191673997402</v>
      </c>
      <c r="AD663" s="77">
        <f>(VLOOKUP($A663,'The List'!$B1:$AR665,43,FALSE)-AVERAGE('The List'!AR2:AR665))/STDEV('The List'!AR2:AR665)*-1</f>
        <v>2.04949096687456</v>
      </c>
      <c r="AE663" s="84"/>
    </row>
    <row r="664" ht="21.25" customHeight="1">
      <c r="A664" t="s" s="10">
        <v>768</v>
      </c>
      <c r="B664" t="s" s="86">
        <f>VLOOKUP(A664,'Player Data'!A1:B667,2,FALSE)</f>
        <v>906</v>
      </c>
      <c r="C664" s="74">
        <f>(W664*'Settings'!$C$29)+(X664*'Settings'!$C$21)+(Y664*'Settings'!$C$22)+(AA664*'Settings'!$C$24)+(AB664*'Settings'!$C$25)+(Z664*'Settings'!$C$23)+(AC664*'Settings'!$C$26)+(AD664*'Settings'!$C$28)</f>
        <v>-4.78802717211452</v>
      </c>
      <c r="D664" s="79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>
        <f>(VLOOKUP($A664,'The List'!$B1:$AR665,35,FALSE)-AVERAGE('The List'!AJ2:AJ665))/STDEV('The List'!AJ2:AJ665)</f>
        <v>-1.60018021750248</v>
      </c>
      <c r="X664" s="77">
        <f>(VLOOKUP($A664,'The List'!$B1:$AR665,36,FALSE)-AVERAGE('The List'!AK2:AK665))/STDEV('The List'!AK2:AK665)</f>
        <v>-1.33818549469522</v>
      </c>
      <c r="Y664" s="77">
        <f>(VLOOKUP($A664,'The List'!$B1:$AR665,37,FALSE)-AVERAGE('The List'!AL2:AL665))/STDEV('The List'!AL2:AL665)*-1</f>
        <v>1.32737459107175</v>
      </c>
      <c r="Z664" s="77">
        <f>(VLOOKUP($A664,'The List'!$B1:$AR665,38,FALSE)-AVERAGE('The List'!AM2:AM665))/STDEV('The List'!AM2:AM665)</f>
        <v>-1.60018021750248</v>
      </c>
      <c r="AA664" s="77">
        <f>(VLOOKUP($A664,'The List'!$B1:$AR665,39,FALSE)-AVERAGE('The List'!AN2:AN665))/STDEV('The List'!AN2:AN665)</f>
        <v>-1.17623229474162</v>
      </c>
      <c r="AB664" s="77">
        <f>(VLOOKUP($A664,'The List'!$B1:$AR665,40,FALSE)-AVERAGE('The List'!AO2:AO665))/STDEV('The List'!AO2:AO665)</f>
        <v>-1.64389726299022</v>
      </c>
      <c r="AC664" s="77">
        <f>(VLOOKUP($A664,'The List'!$B1:$AR665,42,FALSE)-AVERAGE('The List'!AQ2:AQ665))/STDEV('The List'!AQ2:AQ665)</f>
        <v>-1.5485954175085</v>
      </c>
      <c r="AD664" s="77">
        <f>(VLOOKUP($A664,'The List'!$B1:$AR665,43,FALSE)-AVERAGE('The List'!AR2:AR665))/STDEV('The List'!AR2:AR665)*-1</f>
        <v>-0.725013965169184</v>
      </c>
      <c r="AE664" s="84"/>
    </row>
    <row r="665" ht="21.25" customHeight="1">
      <c r="A665" t="s" s="10">
        <v>311</v>
      </c>
      <c r="B665" t="s" s="86">
        <f>VLOOKUP(A665,'Player Data'!A1:B667,2,FALSE)</f>
        <v>192</v>
      </c>
      <c r="C665" s="74">
        <f>(W665*'Settings'!$C$29)+(X665*'Settings'!$C$21)+(Y665*'Settings'!$C$22)+(AA665*'Settings'!$C$24)+(AB665*'Settings'!$C$25)+(Z665*'Settings'!$C$23)+(AC665*'Settings'!$C$26)+(AD665*'Settings'!$C$28)</f>
        <v>0.735503937622939</v>
      </c>
      <c r="D665" s="79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>
        <f>(VLOOKUP($A665,'The List'!$B1:$AR665,35,FALSE)-AVERAGE('The List'!AJ2:AJ665))/STDEV('The List'!AJ2:AJ665)</f>
        <v>0.41927798968214</v>
      </c>
      <c r="X665" s="77">
        <f>(VLOOKUP($A665,'The List'!$B1:$AR665,36,FALSE)-AVERAGE('The List'!AK2:AK665))/STDEV('The List'!AK2:AK665)</f>
        <v>0.125350231605624</v>
      </c>
      <c r="Y665" s="77">
        <f>(VLOOKUP($A665,'The List'!$B1:$AR665,37,FALSE)-AVERAGE('The List'!AL2:AL665))/STDEV('The List'!AL2:AL665)*-1</f>
        <v>-0.776548935474253</v>
      </c>
      <c r="Z665" s="77">
        <f>(VLOOKUP($A665,'The List'!$B1:$AR665,38,FALSE)-AVERAGE('The List'!AM2:AM665))/STDEV('The List'!AM2:AM665)</f>
        <v>0.41927798968214</v>
      </c>
      <c r="AA665" s="77">
        <f>(VLOOKUP($A665,'The List'!$B1:$AR665,39,FALSE)-AVERAGE('The List'!AN2:AN665))/STDEV('The List'!AN2:AN665)</f>
        <v>0.179211448525631</v>
      </c>
      <c r="AB665" s="77">
        <f>(VLOOKUP($A665,'The List'!$B1:$AR665,40,FALSE)-AVERAGE('The List'!AO2:AO665))/STDEV('The List'!AO2:AO665)</f>
        <v>0.471323490064516</v>
      </c>
      <c r="AC665" s="77">
        <f>(VLOOKUP($A665,'The List'!$B1:$AR665,42,FALSE)-AVERAGE('The List'!AQ2:AQ665))/STDEV('The List'!AQ2:AQ665)</f>
        <v>0.361289159881974</v>
      </c>
      <c r="AD665" s="77">
        <f>(VLOOKUP($A665,'The List'!$B1:$AR665,43,FALSE)-AVERAGE('The List'!AR2:AR665))/STDEV('The List'!AR2:AR665)*-1</f>
        <v>0.0696530976097099</v>
      </c>
      <c r="AE665" s="84"/>
    </row>
    <row r="666" ht="21.25" customHeight="1">
      <c r="A666" t="s" s="10">
        <v>456</v>
      </c>
      <c r="B666" t="s" s="86">
        <f>VLOOKUP(A666,'Player Data'!A1:B667,2,FALSE)</f>
        <v>192</v>
      </c>
      <c r="C666" s="74">
        <f>(W666*'Settings'!$C$29)+(X666*'Settings'!$C$21)+(Y666*'Settings'!$C$22)+(AA666*'Settings'!$C$24)+(AB666*'Settings'!$C$25)+(Z666*'Settings'!$C$23)+(AC666*'Settings'!$C$26)+(AD666*'Settings'!$C$28)</f>
        <v>-1.67208502666591</v>
      </c>
      <c r="D666" s="79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>
        <f>(VLOOKUP($A666,'The List'!$B1:$AR665,35,FALSE)-AVERAGE('The List'!AJ2:AJ665))/STDEV('The List'!AJ2:AJ665)</f>
        <v>-0.388505293191707</v>
      </c>
      <c r="X666" s="77">
        <f>(VLOOKUP($A666,'The List'!$B1:$AR665,36,FALSE)-AVERAGE('The List'!AK2:AK665))/STDEV('The List'!AK2:AK665)</f>
        <v>-0.506530523595135</v>
      </c>
      <c r="Y666" s="77">
        <f>(VLOOKUP($A666,'The List'!$B1:$AR665,37,FALSE)-AVERAGE('The List'!AL2:AL665))/STDEV('The List'!AL2:AL665)*-1</f>
        <v>-0.0234141240928527</v>
      </c>
      <c r="Z666" s="77">
        <f>(VLOOKUP($A666,'The List'!$B1:$AR665,38,FALSE)-AVERAGE('The List'!AM2:AM665))/STDEV('The List'!AM2:AM665)</f>
        <v>-0.388505293191707</v>
      </c>
      <c r="AA666" s="77">
        <f>(VLOOKUP($A666,'The List'!$B1:$AR665,39,FALSE)-AVERAGE('The List'!AN2:AN665))/STDEV('The List'!AN2:AN665)</f>
        <v>-0.496311110297826</v>
      </c>
      <c r="AB666" s="77">
        <f>(VLOOKUP($A666,'The List'!$B1:$AR665,40,FALSE)-AVERAGE('The List'!AO2:AO665))/STDEV('The List'!AO2:AO665)</f>
        <v>-0.353317064371563</v>
      </c>
      <c r="AC666" s="77">
        <f>(VLOOKUP($A666,'The List'!$B1:$AR665,42,FALSE)-AVERAGE('The List'!AQ2:AQ665))/STDEV('The List'!AQ2:AQ665)</f>
        <v>-0.275366169873799</v>
      </c>
      <c r="AD666" s="77">
        <f>(VLOOKUP($A666,'The List'!$B1:$AR665,43,FALSE)-AVERAGE('The List'!AR2:AR665))/STDEV('The List'!AR2:AR665)*-1</f>
        <v>-0.393877222899153</v>
      </c>
      <c r="AE666" s="84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S665"/>
  <sheetViews>
    <sheetView workbookViewId="0" showGridLines="0" defaultGridColor="1"/>
  </sheetViews>
  <sheetFormatPr defaultColWidth="8" defaultRowHeight="16.25" customHeight="1" outlineLevelRow="0" outlineLevelCol="0"/>
  <cols>
    <col min="1" max="1" width="4.67188" style="57" customWidth="1"/>
    <col min="2" max="2" width="28.3516" style="57" customWidth="1"/>
    <col min="3" max="4" width="7.17188" style="57" customWidth="1"/>
    <col min="5" max="5" width="6" style="57" customWidth="1"/>
    <col min="6" max="14" width="8.35156" style="57" customWidth="1"/>
    <col min="15" max="15" width="3.5" style="57" customWidth="1"/>
    <col min="16" max="34" width="7.17188" style="57" customWidth="1"/>
    <col min="35" max="35" width="2.35156" style="57" customWidth="1"/>
    <col min="36" max="44" width="7.17188" style="57" customWidth="1"/>
    <col min="45" max="45" width="2.35156" style="57" customWidth="1"/>
    <col min="46" max="16384" width="8" style="57" customWidth="1"/>
  </cols>
  <sheetData>
    <row r="1" ht="49" customHeight="1">
      <c r="A1" t="s" s="58">
        <v>88</v>
      </c>
      <c r="B1" t="s" s="59">
        <v>89</v>
      </c>
      <c r="C1" t="s" s="60">
        <v>90</v>
      </c>
      <c r="D1" t="s" s="60">
        <v>91</v>
      </c>
      <c r="E1" s="61"/>
      <c r="F1" t="s" s="62">
        <v>92</v>
      </c>
      <c r="G1" t="s" s="60">
        <v>93</v>
      </c>
      <c r="H1" t="s" s="60">
        <v>94</v>
      </c>
      <c r="I1" t="s" s="63">
        <v>95</v>
      </c>
      <c r="J1" t="s" s="60">
        <v>96</v>
      </c>
      <c r="K1" t="s" s="63">
        <v>97</v>
      </c>
      <c r="L1" t="s" s="63">
        <v>98</v>
      </c>
      <c r="M1" t="s" s="63">
        <v>99</v>
      </c>
      <c r="N1" t="s" s="63">
        <v>100</v>
      </c>
      <c r="O1" s="64"/>
      <c r="P1" t="s" s="65">
        <v>101</v>
      </c>
      <c r="Q1" t="s" s="66">
        <v>102</v>
      </c>
      <c r="R1" t="s" s="66">
        <v>55</v>
      </c>
      <c r="S1" t="s" s="66">
        <v>103</v>
      </c>
      <c r="T1" t="s" s="66">
        <v>104</v>
      </c>
      <c r="U1" t="s" s="66">
        <v>105</v>
      </c>
      <c r="V1" t="s" s="66">
        <v>106</v>
      </c>
      <c r="W1" t="s" s="66">
        <v>107</v>
      </c>
      <c r="X1" t="s" s="66">
        <v>63</v>
      </c>
      <c r="Y1" t="s" s="66">
        <v>108</v>
      </c>
      <c r="Z1" t="s" s="66">
        <v>109</v>
      </c>
      <c r="AA1" t="s" s="66">
        <v>110</v>
      </c>
      <c r="AB1" t="s" s="66">
        <v>111</v>
      </c>
      <c r="AC1" t="s" s="66">
        <v>112</v>
      </c>
      <c r="AD1" t="s" s="66">
        <v>113</v>
      </c>
      <c r="AE1" t="s" s="66">
        <v>114</v>
      </c>
      <c r="AF1" t="s" s="66">
        <v>115</v>
      </c>
      <c r="AG1" t="s" s="66">
        <v>116</v>
      </c>
      <c r="AH1" t="s" s="66">
        <v>117</v>
      </c>
      <c r="AI1" s="64"/>
      <c r="AJ1" t="s" s="66">
        <v>102</v>
      </c>
      <c r="AK1" t="s" s="66">
        <v>118</v>
      </c>
      <c r="AL1" t="s" s="66">
        <v>119</v>
      </c>
      <c r="AM1" t="s" s="66">
        <v>120</v>
      </c>
      <c r="AN1" t="s" s="66">
        <v>121</v>
      </c>
      <c r="AO1" t="s" s="66">
        <v>122</v>
      </c>
      <c r="AP1" t="s" s="66">
        <v>123</v>
      </c>
      <c r="AQ1" t="s" s="66">
        <v>124</v>
      </c>
      <c r="AR1" t="s" s="66">
        <v>125</v>
      </c>
      <c r="AS1" s="67"/>
    </row>
    <row r="2" ht="21.25" customHeight="1">
      <c r="A2" s="68">
        <f>RANK(K2,K$1:K$665)</f>
        <v>1</v>
      </c>
      <c r="B2" t="s" s="16">
        <v>126</v>
      </c>
      <c r="C2" t="s" s="69">
        <v>127</v>
      </c>
      <c r="D2" t="s" s="70">
        <f>VLOOKUP(B2,'Player Data'!A1:D667,4,FALSE)</f>
        <v>128</v>
      </c>
      <c r="E2" s="71">
        <f>VLOOKUP(B2,'C'!A1:C206,3,FALSE)</f>
        <v>1</v>
      </c>
      <c r="F2" t="s" s="72">
        <f>VLOOKUP(B2,'Player Data'!A1:B667,2,FALSE)</f>
        <v>129</v>
      </c>
      <c r="G2" s="11">
        <f>VLOOKUP(B2,'Player Data'!A1:D667,3,FALSE)</f>
        <v>27</v>
      </c>
      <c r="H2" s="73">
        <f>_xlfn.IFERROR(VLOOKUP(B2,'ADP'!A1:G665,7,FALSE)/1000000,VLOOKUP(B2,'ADP'!A1:G665,7,FALSE))</f>
        <v>12.5</v>
      </c>
      <c r="I2" s="74">
        <f>IF('Settings'!$E$15="POINTS",((R2*Q2)*'Settings'!$B$12)+(S2*'Settings'!$B$2)+(T2*'Settings'!$B$3)+(U2*'Settings'!$B$4)+(V2*'Settings'!$B$5)+(X2*'Settings'!$B$9)+(AA2*'Settings'!$B$6)+(W2*'Settings'!$B$8)+(AB2*'Settings'!$B$7)+(AC2*'Settings'!$B$14)+(AD2*'Settings'!$B$15)+(AE2*'Settings'!$B$16)+(AF2*'Settings'!$B$17)+(AG2*'Settings'!$B$18)+(Y2*'Settings'!$B$10)+(Z2*'Settings'!$B$11),VLOOKUP(B2,'Standard Deviations'!A1:C666,3,FALSE))</f>
        <v>538.262931176885</v>
      </c>
      <c r="J2" s="75">
        <f>IF(D2="G",I2/AJ2,I2/Q2)</f>
        <v>6.66455681516604</v>
      </c>
      <c r="K2" s="74">
        <f>IF('Settings'!$E$18="C/LW/RW",VLOOKUP(B2,'C'!A1:F206,6,FALSE),VLOOKUP(B2,'F'!A1:F392,6,FALSE))</f>
        <v>208.571037095707</v>
      </c>
      <c r="L2" s="76">
        <f>_xlfn.IFERROR(K2/H2,"N/A")</f>
        <v>16.6856829676566</v>
      </c>
      <c r="M2" s="77">
        <f>IF('Settings'!$E$9="YAHOO",VLOOKUP(B2,'ADP'!A1:E665,2,FALSE),IF('Settings'!$E$9="ESPN",VLOOKUP(B2,'ADP'!A1:E665,3,FALSE),IF('Settings'!$E$9="FANTRAX",VLOOKUP(B2,'ADP'!A1:E665,4,FALSE),VLOOKUP(B2,'ADP'!A1:E665,5,FALSE))))</f>
        <v>0</v>
      </c>
      <c r="N2" s="77">
        <f>_xlfn.IFERROR(M2-A2,"N/A")</f>
        <v>-1</v>
      </c>
      <c r="O2" s="77"/>
      <c r="P2" t="s" s="78">
        <f>IF('Settings'!$E$27="ON",VLOOKUP(B2,'ADP'!A1:H665,8,FALSE)," ")</f>
        <v>130</v>
      </c>
      <c r="Q2" s="79">
        <f>IF('Settings'!$E$12="YES",VLOOKUP(B2,'Player Data'!A1:E667,5,FALSE),82)</f>
        <v>80.765</v>
      </c>
      <c r="R2" s="77">
        <f>VLOOKUP(B2,'Player Data'!$A1:$AE667,6,FALSE)</f>
        <v>21.6129883297758</v>
      </c>
      <c r="S2" s="79">
        <f>VLOOKUP(B2,'Player Data'!$A1:$AE667,7,FALSE)*$Q2*_xlfn.IFERROR((VLOOKUP(P2,'Settings'!$E$28:$F$33,2,FALSE)+1),1)</f>
        <v>45.6906800009808</v>
      </c>
      <c r="T2" s="79">
        <f>VLOOKUP(B2,'Player Data'!$A1:$AE667,8,FALSE)*$Q2*_xlfn.IFERROR((VLOOKUP(P2,'Settings'!$E$28:$F$33,2,FALSE)+1),1)</f>
        <v>93.7926898751446</v>
      </c>
      <c r="U2" s="79">
        <f>SUM(S2:T2)</f>
        <v>139.483369876125</v>
      </c>
      <c r="V2" s="79">
        <f>VLOOKUP(B2,'Player Data'!$A1:$AE667,10,FALSE)*$Q2*_xlfn.IFERROR(((VLOOKUP(P2,'Settings'!$E$28:$F$33,2,FALSE)/2)+1),1)</f>
        <v>304.179987392462</v>
      </c>
      <c r="W2" s="79">
        <f>VLOOKUP(B2,'Player Data'!$A1:$AE667,11,FALSE)*$Q2*_xlfn.IFERROR((VLOOKUP(P2,'Settings'!$E$28:$F$33,2,FALSE)+1),1)</f>
        <v>11.8157139425623</v>
      </c>
      <c r="X2" s="80">
        <f>VLOOKUP(B2,'Player Data'!$A1:$AE667,12,FALSE)*$Q2*_xlfn.IFERROR((VLOOKUP(P2,'Settings'!$E$28:$F$33,2,FALSE)+1),1)</f>
        <v>51.8528328856009</v>
      </c>
      <c r="Y2" s="79">
        <f>VLOOKUP(B2,'Player Data'!$A1:$AE667,13,FALSE)*$Q2</f>
        <v>0.895206772085864</v>
      </c>
      <c r="Z2" s="79">
        <f>VLOOKUP(B2,'Player Data'!$A1:$AE667,14,FALSE)*$Q2</f>
        <v>1.58230114068738</v>
      </c>
      <c r="AA2" s="79">
        <f>VLOOKUP(B2,'Player Data'!$A1:$AE667,15,FALSE)*$Q2</f>
        <v>40.3513477512772</v>
      </c>
      <c r="AB2" s="79">
        <f>VLOOKUP(B2,'Player Data'!$A1:$AE667,16,FALSE)*$Q2</f>
        <v>107.669457836909</v>
      </c>
      <c r="AC2" s="79">
        <f>VLOOKUP(B2,'Player Data'!$A1:$AE667,17,FALSE)*$Q2*_xlfn.IFERROR((VLOOKUP(P2,'Settings'!$E$28:$F$33,2,FALSE)+1),1)</f>
        <v>13.534564702728</v>
      </c>
      <c r="AD2" s="79">
        <f>VLOOKUP(B2,'Player Data'!$A1:$AE667,18,FALSE)*$Q2</f>
        <v>35.5561953791529</v>
      </c>
      <c r="AE2" s="79">
        <f>VLOOKUP(B2,'Player Data'!$A1:$AE667,19,FALSE)*$Q2*_xlfn.IFERROR((VLOOKUP(P2,'Settings'!$E$28:$F$33,2,FALSE)+1),1)</f>
        <v>7.37790974991004</v>
      </c>
      <c r="AF2" s="79">
        <f>VLOOKUP(B2,'Player Data'!$A1:$AE667,20,FALSE)*$Q2</f>
        <v>494.765604354688</v>
      </c>
      <c r="AG2" s="79">
        <f>VLOOKUP(B2,'Player Data'!$A1:$AE667,21,FALSE)*$Q2</f>
        <v>456.391649697303</v>
      </c>
      <c r="AH2" s="81">
        <f>VLOOKUP(B2,'Player Data'!$A1:$AE667,22,FALSE)</f>
        <v>0.520172245174975</v>
      </c>
      <c r="AI2" s="77"/>
      <c r="AJ2" s="79"/>
      <c r="AK2" s="79"/>
      <c r="AL2" s="79"/>
      <c r="AM2" s="79"/>
      <c r="AN2" s="79"/>
      <c r="AO2" s="79"/>
      <c r="AP2" s="79"/>
      <c r="AQ2" s="82"/>
      <c r="AR2" s="83"/>
      <c r="AS2" s="84"/>
    </row>
    <row r="3" ht="21.25" customHeight="1">
      <c r="A3" s="85">
        <f>RANK(K3,K$1:K$665)</f>
        <v>2</v>
      </c>
      <c r="B3" t="s" s="16">
        <v>131</v>
      </c>
      <c r="C3" t="s" s="69">
        <v>127</v>
      </c>
      <c r="D3" t="s" s="70">
        <f>VLOOKUP(B3,'Player Data'!A1:D667,4,FALSE)</f>
        <v>128</v>
      </c>
      <c r="E3" s="71">
        <f>VLOOKUP(B3,'C'!A1:C206,3,FALSE)</f>
        <v>2</v>
      </c>
      <c r="F3" t="s" s="86">
        <f>VLOOKUP(B3,'Player Data'!A1:B667,2,FALSE)</f>
        <v>132</v>
      </c>
      <c r="G3" s="11">
        <f>VLOOKUP(B3,'Player Data'!A1:D667,3,FALSE)</f>
        <v>26</v>
      </c>
      <c r="H3" s="73">
        <f>_xlfn.IFERROR(VLOOKUP(B3,'ADP'!A1:G665,7,FALSE)/1000000,VLOOKUP(B3,'ADP'!A1:G665,7,FALSE))</f>
        <v>13.25</v>
      </c>
      <c r="I3" s="74">
        <f>IF('Settings'!$E$15="POINTS",((R3*Q3)*'Settings'!$B$12)+(S3*'Settings'!$B$2)+(T3*'Settings'!$B$3)+(U3*'Settings'!$B$4)+(V3*'Settings'!$B$5)+(X3*'Settings'!$B$9)+(AA3*'Settings'!$B$6)+(W3*'Settings'!$B$8)+(AB3*'Settings'!$B$7)+(AC3*'Settings'!$B$14)+(AD3*'Settings'!$B$15)+(AE3*'Settings'!$B$16)+(AF3*'Settings'!$B$17)+(AG3*'Settings'!$B$18)+(Y3*'Settings'!$B$10)+(Z3*'Settings'!$B$11),VLOOKUP(B3,'Standard Deviations'!A1:C666,3,FALSE))</f>
        <v>515.437788085147</v>
      </c>
      <c r="J3" s="75">
        <f>IF(D3="G",I3/AJ3,I3/Q3)</f>
        <v>6.45487352412444</v>
      </c>
      <c r="K3" s="74">
        <f>IF('Settings'!$E$18="C/LW/RW",VLOOKUP(B3,'C'!A1:F206,6,FALSE),VLOOKUP(B3,'F'!A1:F392,6,FALSE))</f>
        <v>185.745894003969</v>
      </c>
      <c r="L3" s="76">
        <f>_xlfn.IFERROR(K3/H3,"N/A")</f>
        <v>14.0185580380354</v>
      </c>
      <c r="M3" s="77">
        <f>IF('Settings'!$E$9="YAHOO",VLOOKUP(B3,'ADP'!A1:E665,2,FALSE),IF('Settings'!$E$9="ESPN",VLOOKUP(B3,'ADP'!A1:E665,3,FALSE),IF('Settings'!$E$9="FANTRAX",VLOOKUP(B3,'ADP'!A1:E665,4,FALSE),VLOOKUP(B3,'ADP'!A1:E665,5,FALSE))))</f>
        <v>0</v>
      </c>
      <c r="N3" s="77">
        <f>_xlfn.IFERROR(M3-A3,"N/A")</f>
        <v>-2</v>
      </c>
      <c r="O3" s="77"/>
      <c r="P3" t="s" s="78">
        <f>IF('Settings'!$E$27="ON",VLOOKUP(B3,'ADP'!A1:H665,8,FALSE)," ")</f>
        <v>130</v>
      </c>
      <c r="Q3" s="79">
        <f>IF('Settings'!$E$12="YES",VLOOKUP(B3,'Player Data'!A1:E667,5,FALSE),82)</f>
        <v>79.85250000000001</v>
      </c>
      <c r="R3" s="77">
        <f>VLOOKUP(B3,'Player Data'!$A1:$AE667,6,FALSE)</f>
        <v>21.0873947009791</v>
      </c>
      <c r="S3" s="79">
        <f>VLOOKUP(B3,'Player Data'!$A1:$AE667,7,FALSE)*$Q3*_xlfn.IFERROR((VLOOKUP(P3,'Settings'!$E$28:$F$33,2,FALSE)+1),1)</f>
        <v>61.6350397581241</v>
      </c>
      <c r="T3" s="79">
        <f>VLOOKUP(B3,'Player Data'!$A1:$AE667,8,FALSE)*$Q3*_xlfn.IFERROR((VLOOKUP(P3,'Settings'!$E$28:$F$33,2,FALSE)+1),1)</f>
        <v>47.6682266348479</v>
      </c>
      <c r="U3" s="79">
        <f>SUM(S3:T3)</f>
        <v>109.303266392972</v>
      </c>
      <c r="V3" s="79">
        <f>VLOOKUP(B3,'Player Data'!$A1:$AE667,10,FALSE)*$Q3*_xlfn.IFERROR(((VLOOKUP(P3,'Settings'!$E$28:$F$33,2,FALSE)/2)+1),1)</f>
        <v>370.959027204788</v>
      </c>
      <c r="W3" s="79">
        <f>VLOOKUP(B3,'Player Data'!$A1:$AE667,11,FALSE)*$Q3*_xlfn.IFERROR((VLOOKUP(P3,'Settings'!$E$28:$F$33,2,FALSE)+1),1)</f>
        <v>17.951951823979</v>
      </c>
      <c r="X3" s="80">
        <f>VLOOKUP(B3,'Player Data'!$A1:$AE667,12,FALSE)*$Q3*_xlfn.IFERROR((VLOOKUP(P3,'Settings'!$E$28:$F$33,2,FALSE)+1),1)</f>
        <v>33.693352361886</v>
      </c>
      <c r="Y3" s="79">
        <f>VLOOKUP(B3,'Player Data'!$A1:$AE667,13,FALSE)*$Q3</f>
        <v>0.0943826827212017</v>
      </c>
      <c r="Z3" s="79">
        <f>VLOOKUP(B3,'Player Data'!$A1:$AE667,14,FALSE)*$Q3</f>
        <v>0.57049281155012</v>
      </c>
      <c r="AA3" s="79">
        <f>VLOOKUP(B3,'Player Data'!$A1:$AE667,15,FALSE)*$Q3</f>
        <v>86.54427031038411</v>
      </c>
      <c r="AB3" s="79">
        <f>VLOOKUP(B3,'Player Data'!$A1:$AE667,16,FALSE)*$Q3</f>
        <v>86.02958560674701</v>
      </c>
      <c r="AC3" s="79">
        <f>VLOOKUP(B3,'Player Data'!$A1:$AE667,17,FALSE)*$Q3*_xlfn.IFERROR((VLOOKUP(P3,'Settings'!$E$28:$F$33,2,FALSE)+1),1)</f>
        <v>12.7664758088769</v>
      </c>
      <c r="AD3" s="79">
        <f>VLOOKUP(B3,'Player Data'!$A1:$AE667,18,FALSE)*$Q3</f>
        <v>20.8090681540771</v>
      </c>
      <c r="AE3" s="79">
        <f>VLOOKUP(B3,'Player Data'!$A1:$AE667,19,FALSE)*$Q3*_xlfn.IFERROR((VLOOKUP(P3,'Settings'!$E$28:$F$33,2,FALSE)+1),1)</f>
        <v>9.86050151614576</v>
      </c>
      <c r="AF3" s="79">
        <f>VLOOKUP(B3,'Player Data'!$A1:$AE667,20,FALSE)*$Q3</f>
        <v>698.7102318845421</v>
      </c>
      <c r="AG3" s="79">
        <f>VLOOKUP(B3,'Player Data'!$A1:$AE667,21,FALSE)*$Q3</f>
        <v>600.583117338819</v>
      </c>
      <c r="AH3" s="81">
        <f>VLOOKUP(B3,'Player Data'!$A1:$AE667,22,FALSE)</f>
        <v>0.53776172432668</v>
      </c>
      <c r="AI3" s="77"/>
      <c r="AJ3" s="79"/>
      <c r="AK3" s="79"/>
      <c r="AL3" s="79"/>
      <c r="AM3" s="79"/>
      <c r="AN3" s="79"/>
      <c r="AO3" s="79"/>
      <c r="AP3" s="79"/>
      <c r="AQ3" s="82"/>
      <c r="AR3" s="83"/>
      <c r="AS3" s="84"/>
    </row>
    <row r="4" ht="21.25" customHeight="1">
      <c r="A4" s="85">
        <f>RANK(K4,K$1:K$665)</f>
        <v>3</v>
      </c>
      <c r="B4" t="s" s="16">
        <v>133</v>
      </c>
      <c r="C4" t="s" s="69">
        <v>127</v>
      </c>
      <c r="D4" t="s" s="70">
        <f>VLOOKUP(B4,'Player Data'!A1:D667,4,FALSE)</f>
        <v>128</v>
      </c>
      <c r="E4" s="71">
        <f>VLOOKUP(B4,'C'!A1:C206,3,FALSE)</f>
        <v>3</v>
      </c>
      <c r="F4" t="s" s="78">
        <f>VLOOKUP(B4,'Player Data'!A1:B667,2,FALSE)</f>
        <v>134</v>
      </c>
      <c r="G4" s="11">
        <f>VLOOKUP(B4,'Player Data'!A1:D667,3,FALSE)</f>
        <v>29</v>
      </c>
      <c r="H4" s="73">
        <f>_xlfn.IFERROR(VLOOKUP(B4,'ADP'!A1:G665,7,FALSE)/1000000,VLOOKUP(B4,'ADP'!A1:G665,7,FALSE))</f>
        <v>12.6</v>
      </c>
      <c r="I4" s="74">
        <f>IF('Settings'!$E$15="POINTS",((R4*Q4)*'Settings'!$B$12)+(S4*'Settings'!$B$2)+(T4*'Settings'!$B$3)+(U4*'Settings'!$B$4)+(V4*'Settings'!$B$5)+(X4*'Settings'!$B$9)+(AA4*'Settings'!$B$6)+(W4*'Settings'!$B$8)+(AB4*'Settings'!$B$7)+(AC4*'Settings'!$B$14)+(AD4*'Settings'!$B$15)+(AE4*'Settings'!$B$16)+(AF4*'Settings'!$B$17)+(AG4*'Settings'!$B$18)+(Y4*'Settings'!$B$10)+(Z4*'Settings'!$B$11),VLOOKUP(B4,'Standard Deviations'!A1:C666,3,FALSE))</f>
        <v>493.067142317071</v>
      </c>
      <c r="J4" s="75">
        <f>IF(D4="G",I4/AJ4,I4/Q4)</f>
        <v>6.25580794007766</v>
      </c>
      <c r="K4" s="74">
        <f>IF('Settings'!$E$18="C/LW/RW",VLOOKUP(B4,'C'!A1:F206,6,FALSE),VLOOKUP(B4,'F'!A1:F392,6,FALSE))</f>
        <v>163.375248235893</v>
      </c>
      <c r="L4" s="76">
        <f>_xlfn.IFERROR(K4/H4,"N/A")</f>
        <v>12.9662895425312</v>
      </c>
      <c r="M4" s="77">
        <f>IF('Settings'!$E$9="YAHOO",VLOOKUP(B4,'ADP'!A1:E665,2,FALSE),IF('Settings'!$E$9="ESPN",VLOOKUP(B4,'ADP'!A1:E665,3,FALSE),IF('Settings'!$E$9="FANTRAX",VLOOKUP(B4,'ADP'!A1:E665,4,FALSE),VLOOKUP(B4,'ADP'!A1:E665,5,FALSE))))</f>
        <v>0</v>
      </c>
      <c r="N4" s="77">
        <f>_xlfn.IFERROR(M4-A4,"N/A")</f>
        <v>-3</v>
      </c>
      <c r="O4" s="77"/>
      <c r="P4" t="s" s="78">
        <f>IF('Settings'!$E$27="ON",VLOOKUP(B4,'ADP'!A1:H665,8,FALSE)," ")</f>
        <v>130</v>
      </c>
      <c r="Q4" s="79">
        <f>IF('Settings'!$E$12="YES",VLOOKUP(B4,'Player Data'!A1:E667,5,FALSE),82)</f>
        <v>78.8175</v>
      </c>
      <c r="R4" s="77">
        <f>VLOOKUP(B4,'Player Data'!$A1:$AE667,6,FALSE)</f>
        <v>22.3139064883523</v>
      </c>
      <c r="S4" s="79">
        <f>VLOOKUP(B4,'Player Data'!$A1:$AE667,7,FALSE)*$Q4*_xlfn.IFERROR((VLOOKUP(P4,'Settings'!$E$28:$F$33,2,FALSE)+1),1)</f>
        <v>46.0345419326275</v>
      </c>
      <c r="T4" s="79">
        <f>VLOOKUP(B4,'Player Data'!$A1:$AE667,8,FALSE)*$Q4*_xlfn.IFERROR((VLOOKUP(P4,'Settings'!$E$28:$F$33,2,FALSE)+1),1)</f>
        <v>78.4937068352862</v>
      </c>
      <c r="U4" s="79">
        <f>SUM(S4:T4)</f>
        <v>124.528248767914</v>
      </c>
      <c r="V4" s="79">
        <f>VLOOKUP(B4,'Player Data'!$A1:$AE667,10,FALSE)*$Q4*_xlfn.IFERROR(((VLOOKUP(P4,'Settings'!$E$28:$F$33,2,FALSE)/2)+1),1)</f>
        <v>383.820819446546</v>
      </c>
      <c r="W4" s="79">
        <f>VLOOKUP(B4,'Player Data'!$A1:$AE667,11,FALSE)*$Q4*_xlfn.IFERROR((VLOOKUP(P4,'Settings'!$E$28:$F$33,2,FALSE)+1),1)</f>
        <v>10.1018531897457</v>
      </c>
      <c r="X4" s="80">
        <f>VLOOKUP(B4,'Player Data'!$A1:$AE667,12,FALSE)*$Q4*_xlfn.IFERROR((VLOOKUP(P4,'Settings'!$E$28:$F$33,2,FALSE)+1),1)</f>
        <v>39.0002985018864</v>
      </c>
      <c r="Y4" s="79">
        <f>VLOOKUP(B4,'Player Data'!$A1:$AE667,13,FALSE)*$Q4</f>
        <v>0.0218853585325636</v>
      </c>
      <c r="Z4" s="79">
        <f>VLOOKUP(B4,'Player Data'!$A1:$AE667,14,FALSE)*$Q4</f>
        <v>0.0371004714991595</v>
      </c>
      <c r="AA4" s="79">
        <f>VLOOKUP(B4,'Player Data'!$A1:$AE667,15,FALSE)*$Q4</f>
        <v>58.644524851442</v>
      </c>
      <c r="AB4" s="79">
        <f>VLOOKUP(B4,'Player Data'!$A1:$AE667,16,FALSE)*$Q4</f>
        <v>56.3391651906773</v>
      </c>
      <c r="AC4" s="79">
        <f>VLOOKUP(B4,'Player Data'!$A1:$AE667,17,FALSE)*$Q4*_xlfn.IFERROR((VLOOKUP(P4,'Settings'!$E$28:$F$33,2,FALSE)+1),1)</f>
        <v>9.29749274524112</v>
      </c>
      <c r="AD4" s="79">
        <f>VLOOKUP(B4,'Player Data'!$A1:$AE667,18,FALSE)*$Q4</f>
        <v>38.4025597991281</v>
      </c>
      <c r="AE4" s="79">
        <f>VLOOKUP(B4,'Player Data'!$A1:$AE667,19,FALSE)*$Q4*_xlfn.IFERROR((VLOOKUP(P4,'Settings'!$E$28:$F$33,2,FALSE)+1),1)</f>
        <v>6.8780510459016</v>
      </c>
      <c r="AF4" s="79">
        <f>VLOOKUP(B4,'Player Data'!$A1:$AE667,20,FALSE)*$Q4</f>
        <v>557.320084873350</v>
      </c>
      <c r="AG4" s="79">
        <f>VLOOKUP(B4,'Player Data'!$A1:$AE667,21,FALSE)*$Q4</f>
        <v>668.889256179914</v>
      </c>
      <c r="AH4" s="81">
        <f>VLOOKUP(B4,'Player Data'!$A1:$AE667,22,FALSE)</f>
        <v>0.454506474722036</v>
      </c>
      <c r="AI4" s="77"/>
      <c r="AJ4" s="79"/>
      <c r="AK4" s="79"/>
      <c r="AL4" s="79"/>
      <c r="AM4" s="79"/>
      <c r="AN4" s="79"/>
      <c r="AO4" s="79"/>
      <c r="AP4" s="79"/>
      <c r="AQ4" s="82"/>
      <c r="AR4" s="83"/>
      <c r="AS4" s="84"/>
    </row>
    <row r="5" ht="21.25" customHeight="1">
      <c r="A5" s="85">
        <f>RANK(K5,K$1:K$665)</f>
        <v>4</v>
      </c>
      <c r="B5" t="s" s="16">
        <v>135</v>
      </c>
      <c r="C5" t="s" s="69">
        <v>127</v>
      </c>
      <c r="D5" t="s" s="70">
        <f>VLOOKUP(B5,'Player Data'!A1:D667,4,FALSE)</f>
        <v>136</v>
      </c>
      <c r="E5" s="87">
        <f>VLOOKUP(B5,'LW'!A1:C152,3,FALSE)</f>
        <v>1</v>
      </c>
      <c r="F5" t="s" s="88">
        <f>VLOOKUP(B5,'Player Data'!A1:B667,2,FALSE)</f>
        <v>137</v>
      </c>
      <c r="G5" s="11">
        <f>VLOOKUP(B5,'Player Data'!A1:D667,3,FALSE)</f>
        <v>24</v>
      </c>
      <c r="H5" s="73">
        <f>_xlfn.IFERROR(VLOOKUP(B5,'ADP'!A1:G665,7,FALSE)/1000000,VLOOKUP(B5,'ADP'!A1:G665,7,FALSE))</f>
        <v>8.205714</v>
      </c>
      <c r="I5" s="74">
        <f>IF('Settings'!$E$15="POINTS",((R5*Q5)*'Settings'!$B$12)+(S5*'Settings'!$B$2)+(T5*'Settings'!$B$3)+(U5*'Settings'!$B$4)+(V5*'Settings'!$B$5)+(X5*'Settings'!$B$9)+(AA5*'Settings'!$B$6)+(W5*'Settings'!$B$8)+(AB5*'Settings'!$B$7)+(AC5*'Settings'!$B$14)+(AD5*'Settings'!$B$15)+(AE5*'Settings'!$B$16)+(AF5*'Settings'!$B$17)+(AG5*'Settings'!$B$18)+(Y5*'Settings'!$B$10)+(Z5*'Settings'!$B$11),VLOOKUP(B5,'Standard Deviations'!A1:C666,3,FALSE))</f>
        <v>447.701484892705</v>
      </c>
      <c r="J5" s="75">
        <f>IF(D5="G",I5/AJ5,I5/Q5)</f>
        <v>5.4897334219393</v>
      </c>
      <c r="K5" s="74">
        <f>IF('Settings'!$E$18="C/LW/RW",VLOOKUP(B5,'LW'!A1:F152,6,FALSE),VLOOKUP(B5,'F'!A1:F392,6,FALSE))</f>
        <v>115.981373126493</v>
      </c>
      <c r="L5" s="76">
        <f>_xlfn.IFERROR(K5/H5,"N/A")</f>
        <v>14.1342207547683</v>
      </c>
      <c r="M5" s="77">
        <f>IF('Settings'!$E$9="YAHOO",VLOOKUP(B5,'ADP'!A1:E665,2,FALSE),IF('Settings'!$E$9="ESPN",VLOOKUP(B5,'ADP'!A1:E665,3,FALSE),IF('Settings'!$E$9="FANTRAX",VLOOKUP(B5,'ADP'!A1:E665,4,FALSE),VLOOKUP(B5,'ADP'!A1:E665,5,FALSE))))</f>
        <v>0</v>
      </c>
      <c r="N5" s="77">
        <f>_xlfn.IFERROR(M5-A5,"N/A")</f>
        <v>-4</v>
      </c>
      <c r="O5" s="77"/>
      <c r="P5" t="s" s="78">
        <f>IF('Settings'!$E$27="ON",VLOOKUP(B5,'ADP'!A1:H665,8,FALSE)," ")</f>
        <v>138</v>
      </c>
      <c r="Q5" s="79">
        <f>IF('Settings'!$E$12="YES",VLOOKUP(B5,'Player Data'!A1:E667,5,FALSE),82)</f>
        <v>81.55249999999999</v>
      </c>
      <c r="R5" s="77">
        <f>VLOOKUP(B5,'Player Data'!$A1:$AE667,6,FALSE)</f>
        <v>18.6435907241008</v>
      </c>
      <c r="S5" s="79">
        <f>VLOOKUP(B5,'Player Data'!$A1:$AE667,7,FALSE)*$Q5*_xlfn.IFERROR((VLOOKUP(P5,'Settings'!$E$28:$F$33,2,FALSE)+1),1)</f>
        <v>34.220631144308</v>
      </c>
      <c r="T5" s="79">
        <f>VLOOKUP(B5,'Player Data'!$A1:$AE667,8,FALSE)*$Q5*_xlfn.IFERROR((VLOOKUP(P5,'Settings'!$E$28:$F$33,2,FALSE)+1),1)</f>
        <v>40.6119804557873</v>
      </c>
      <c r="U5" s="79">
        <f>SUM(S5:T5)</f>
        <v>74.8326116000953</v>
      </c>
      <c r="V5" s="79">
        <f>VLOOKUP(B5,'Player Data'!$A1:$AE667,10,FALSE)*$Q5*_xlfn.IFERROR(((VLOOKUP(P5,'Settings'!$E$28:$F$33,2,FALSE)/2)+1),1)</f>
        <v>327.988292486382</v>
      </c>
      <c r="W5" s="79">
        <f>VLOOKUP(B5,'Player Data'!$A1:$AE667,11,FALSE)*$Q5*_xlfn.IFERROR((VLOOKUP(P5,'Settings'!$E$28:$F$33,2,FALSE)+1),1)</f>
        <v>9.03133792997812</v>
      </c>
      <c r="X5" s="80">
        <f>VLOOKUP(B5,'Player Data'!$A1:$AE667,12,FALSE)*$Q5*_xlfn.IFERROR((VLOOKUP(P5,'Settings'!$E$28:$F$33,2,FALSE)+1),1)</f>
        <v>19.302007060893</v>
      </c>
      <c r="Y5" s="79">
        <f>VLOOKUP(B5,'Player Data'!$A1:$AE667,13,FALSE)*$Q5</f>
        <v>0.0179102170811217</v>
      </c>
      <c r="Z5" s="79">
        <f>VLOOKUP(B5,'Player Data'!$A1:$AE667,14,FALSE)*$Q5</f>
        <v>0.0302074547273751</v>
      </c>
      <c r="AA5" s="79">
        <f>VLOOKUP(B5,'Player Data'!$A1:$AE667,15,FALSE)*$Q5</f>
        <v>28.5794740559038</v>
      </c>
      <c r="AB5" s="79">
        <f>VLOOKUP(B5,'Player Data'!$A1:$AE667,16,FALSE)*$Q5</f>
        <v>258.799446510638</v>
      </c>
      <c r="AC5" s="79">
        <f>VLOOKUP(B5,'Player Data'!$A1:$AE667,17,FALSE)*$Q5*_xlfn.IFERROR((VLOOKUP(P5,'Settings'!$E$28:$F$33,2,FALSE)+1),1)</f>
        <v>1.92679987744376</v>
      </c>
      <c r="AD5" s="79">
        <f>VLOOKUP(B5,'Player Data'!$A1:$AE667,18,FALSE)*$Q5</f>
        <v>82.6241170658877</v>
      </c>
      <c r="AE5" s="79">
        <f>VLOOKUP(B5,'Player Data'!$A1:$AE667,19,FALSE)*$Q5*_xlfn.IFERROR((VLOOKUP(P5,'Settings'!$E$28:$F$33,2,FALSE)+1),1)</f>
        <v>5.31324026144489</v>
      </c>
      <c r="AF5" s="79">
        <f>VLOOKUP(B5,'Player Data'!$A1:$AE667,20,FALSE)*$Q5</f>
        <v>222.109177718253</v>
      </c>
      <c r="AG5" s="79">
        <f>VLOOKUP(B5,'Player Data'!$A1:$AE667,21,FALSE)*$Q5</f>
        <v>217.087852650975</v>
      </c>
      <c r="AH5" s="81">
        <f>VLOOKUP(B5,'Player Data'!$A1:$AE667,22,FALSE)</f>
        <v>0.505716483400464</v>
      </c>
      <c r="AI5" s="77"/>
      <c r="AJ5" s="89"/>
      <c r="AK5" s="79"/>
      <c r="AL5" s="79"/>
      <c r="AM5" s="79"/>
      <c r="AN5" s="79"/>
      <c r="AO5" s="79"/>
      <c r="AP5" s="79"/>
      <c r="AQ5" s="82"/>
      <c r="AR5" s="83"/>
      <c r="AS5" s="84"/>
    </row>
    <row r="6" ht="21.25" customHeight="1">
      <c r="A6" s="85">
        <f>RANK(K6,K$1:K$665)</f>
        <v>5</v>
      </c>
      <c r="B6" t="s" s="16">
        <v>139</v>
      </c>
      <c r="C6" t="s" s="69">
        <v>127</v>
      </c>
      <c r="D6" t="s" s="70">
        <f>VLOOKUP(B6,'Player Data'!A1:D667,4,FALSE)</f>
        <v>140</v>
      </c>
      <c r="E6" s="90">
        <f>VLOOKUP(B6,'RW'!A1:F136,3,FALSE)</f>
        <v>1</v>
      </c>
      <c r="F6" t="s" s="88">
        <f>VLOOKUP(B6,'Player Data'!A1:B667,2,FALSE)</f>
        <v>141</v>
      </c>
      <c r="G6" s="91">
        <f>VLOOKUP(B6,'Player Data'!A1:D667,3,FALSE)</f>
        <v>31</v>
      </c>
      <c r="H6" s="73">
        <f>_xlfn.IFERROR(VLOOKUP(B6,'ADP'!A1:G665,7,FALSE)/1000000,VLOOKUP(B6,'ADP'!A1:G665,7,FALSE))</f>
        <v>9.5</v>
      </c>
      <c r="I6" s="74">
        <f>IF('Settings'!$E$15="POINTS",((R6*Q6)*'Settings'!$B$12)+(S6*'Settings'!$B$2)+(T6*'Settings'!$B$3)+(U6*'Settings'!$B$4)+(V6*'Settings'!$B$5)+(X6*'Settings'!$B$9)+(AA6*'Settings'!$B$6)+(W6*'Settings'!$B$8)+(AB6*'Settings'!$B$7)+(AC6*'Settings'!$B$14)+(AD6*'Settings'!$B$15)+(AE6*'Settings'!$B$16)+(AF6*'Settings'!$B$17)+(AG6*'Settings'!$B$18)+(Y6*'Settings'!$B$10)+(Z6*'Settings'!$B$11),VLOOKUP(B6,'Standard Deviations'!A1:C666,3,FALSE))</f>
        <v>443.587937119207</v>
      </c>
      <c r="J6" s="75">
        <f>IF(D6="G",I6/AJ6,I6/Q6)</f>
        <v>5.66143948335033</v>
      </c>
      <c r="K6" s="74">
        <f>IF('Settings'!$E$18="C/LW/RW",VLOOKUP(B6,'RW'!A1:F136,6,FALSE),VLOOKUP(B6,'F'!A1:F392,6,FALSE))</f>
        <v>113.896043038029</v>
      </c>
      <c r="L6" s="76">
        <f>_xlfn.IFERROR(K6/H6,"N/A")</f>
        <v>11.9890571618978</v>
      </c>
      <c r="M6" s="77">
        <f>IF('Settings'!$E$9="YAHOO",VLOOKUP(B6,'ADP'!A1:E665,2,FALSE),IF('Settings'!$E$9="ESPN",VLOOKUP(B6,'ADP'!A1:E665,3,FALSE),IF('Settings'!$E$9="FANTRAX",VLOOKUP(B6,'ADP'!A1:E665,4,FALSE),VLOOKUP(B6,'ADP'!A1:E665,5,FALSE))))</f>
        <v>0</v>
      </c>
      <c r="N6" s="77">
        <f>_xlfn.IFERROR(M6-A6,"N/A")</f>
        <v>-5</v>
      </c>
      <c r="O6" s="77"/>
      <c r="P6" t="s" s="78">
        <f>IF('Settings'!$E$27="ON",VLOOKUP(B6,'ADP'!A1:H665,8,FALSE)," ")</f>
        <v>138</v>
      </c>
      <c r="Q6" s="79">
        <f>IF('Settings'!$E$12="YES",VLOOKUP(B6,'Player Data'!A1:E667,5,FALSE),82)</f>
        <v>78.35250000000001</v>
      </c>
      <c r="R6" s="77">
        <f>VLOOKUP(B6,'Player Data'!$A1:$AE667,6,FALSE)</f>
        <v>21.6773910862217</v>
      </c>
      <c r="S6" s="79">
        <f>VLOOKUP(B6,'Player Data'!$A1:$AE667,7,FALSE)*$Q6*_xlfn.IFERROR((VLOOKUP(P6,'Settings'!$E$28:$F$33,2,FALSE)+1),1)</f>
        <v>37.3737836348773</v>
      </c>
      <c r="T6" s="79">
        <f>VLOOKUP(B6,'Player Data'!$A1:$AE667,8,FALSE)*$Q6*_xlfn.IFERROR((VLOOKUP(P6,'Settings'!$E$28:$F$33,2,FALSE)+1),1)</f>
        <v>84.81952652727909</v>
      </c>
      <c r="U6" s="79">
        <f>SUM(S6:T6)</f>
        <v>122.193310162156</v>
      </c>
      <c r="V6" s="79">
        <f>VLOOKUP(B6,'Player Data'!$A1:$AE667,10,FALSE)*$Q6*_xlfn.IFERROR(((VLOOKUP(P6,'Settings'!$E$28:$F$33,2,FALSE)/2)+1),1)</f>
        <v>288.474118554596</v>
      </c>
      <c r="W6" s="79">
        <f>VLOOKUP(B6,'Player Data'!$A1:$AE667,11,FALSE)*$Q6*_xlfn.IFERROR((VLOOKUP(P6,'Settings'!$E$28:$F$33,2,FALSE)+1),1)</f>
        <v>10.2388453138638</v>
      </c>
      <c r="X6" s="80">
        <f>VLOOKUP(B6,'Player Data'!$A1:$AE667,12,FALSE)*$Q6*_xlfn.IFERROR((VLOOKUP(P6,'Settings'!$E$28:$F$33,2,FALSE)+1),1)</f>
        <v>45.7485337231125</v>
      </c>
      <c r="Y6" s="79">
        <f>VLOOKUP(B6,'Player Data'!$A1:$AE667,13,FALSE)*$Q6</f>
        <v>0.0035410258580855</v>
      </c>
      <c r="Z6" s="79">
        <f>VLOOKUP(B6,'Player Data'!$A1:$AE667,14,FALSE)*$Q6</f>
        <v>0.00607069924292582</v>
      </c>
      <c r="AA6" s="79">
        <f>VLOOKUP(B6,'Player Data'!$A1:$AE667,15,FALSE)*$Q6</f>
        <v>32.7692602388885</v>
      </c>
      <c r="AB6" s="79">
        <f>VLOOKUP(B6,'Player Data'!$A1:$AE667,16,FALSE)*$Q6</f>
        <v>51.2727646900772</v>
      </c>
      <c r="AC6" s="79">
        <f>VLOOKUP(B6,'Player Data'!$A1:$AE667,17,FALSE)*$Q6*_xlfn.IFERROR((VLOOKUP(P6,'Settings'!$E$28:$F$33,2,FALSE)+1),1)</f>
        <v>4.36905720982565</v>
      </c>
      <c r="AD6" s="79">
        <f>VLOOKUP(B6,'Player Data'!$A1:$AE667,18,FALSE)*$Q6</f>
        <v>32.1873674325966</v>
      </c>
      <c r="AE6" s="79">
        <f>VLOOKUP(B6,'Player Data'!$A1:$AE667,19,FALSE)*$Q6*_xlfn.IFERROR((VLOOKUP(P6,'Settings'!$E$28:$F$33,2,FALSE)+1),1)</f>
        <v>5.88867396904526</v>
      </c>
      <c r="AF6" s="79">
        <f>VLOOKUP(B6,'Player Data'!$A1:$AE667,20,FALSE)*$Q6</f>
        <v>2.61097986769164</v>
      </c>
      <c r="AG6" s="79">
        <f>VLOOKUP(B6,'Player Data'!$A1:$AE667,21,FALSE)*$Q6</f>
        <v>0.818128933800816</v>
      </c>
      <c r="AH6" s="81">
        <f>VLOOKUP(B6,'Player Data'!$A1:$AE667,22,FALSE)</f>
        <v>0.761416455072892</v>
      </c>
      <c r="AI6" s="77"/>
      <c r="AJ6" s="89"/>
      <c r="AK6" s="79"/>
      <c r="AL6" s="79"/>
      <c r="AM6" s="79"/>
      <c r="AN6" s="79"/>
      <c r="AO6" s="79"/>
      <c r="AP6" s="79"/>
      <c r="AQ6" s="82"/>
      <c r="AR6" s="83"/>
      <c r="AS6" s="84"/>
    </row>
    <row r="7" ht="21.25" customHeight="1">
      <c r="A7" s="85">
        <f>RANK(K7,K$1:K$665)</f>
        <v>6</v>
      </c>
      <c r="B7" t="s" s="16">
        <v>142</v>
      </c>
      <c r="C7" t="s" s="69">
        <v>127</v>
      </c>
      <c r="D7" t="s" s="70">
        <f>VLOOKUP(B7,'Player Data'!A1:D667,4,FALSE)</f>
        <v>140</v>
      </c>
      <c r="E7" s="90">
        <f>VLOOKUP(B7,'RW'!A1:F136,3,FALSE)</f>
        <v>2</v>
      </c>
      <c r="F7" t="s" s="88">
        <f>VLOOKUP(B7,'Player Data'!A1:B667,2,FALSE)</f>
        <v>143</v>
      </c>
      <c r="G7" s="11">
        <f>VLOOKUP(B7,'Player Data'!A1:D667,3,FALSE)</f>
        <v>28</v>
      </c>
      <c r="H7" s="73">
        <f>_xlfn.IFERROR(VLOOKUP(B7,'ADP'!A1:G665,7,FALSE)/1000000,VLOOKUP(B7,'ADP'!A1:G665,7,FALSE))</f>
        <v>11.25</v>
      </c>
      <c r="I7" s="74">
        <f>IF('Settings'!$E$15="POINTS",((R7*Q7)*'Settings'!$B$12)+(S7*'Settings'!$B$2)+(T7*'Settings'!$B$3)+(U7*'Settings'!$B$4)+(V7*'Settings'!$B$5)+(X7*'Settings'!$B$9)+(AA7*'Settings'!$B$6)+(W7*'Settings'!$B$8)+(AB7*'Settings'!$B$7)+(AC7*'Settings'!$B$14)+(AD7*'Settings'!$B$15)+(AE7*'Settings'!$B$16)+(AF7*'Settings'!$B$17)+(AG7*'Settings'!$B$18)+(Y7*'Settings'!$B$10)+(Z7*'Settings'!$B$11),VLOOKUP(B7,'Standard Deviations'!A1:C666,3,FALSE))</f>
        <v>441.322544136839</v>
      </c>
      <c r="J7" s="75">
        <f>IF(D7="G",I7/AJ7,I7/Q7)</f>
        <v>5.44640928220214</v>
      </c>
      <c r="K7" s="74">
        <f>IF('Settings'!$E$18="C/LW/RW",VLOOKUP(B7,'RW'!A1:F136,6,FALSE),VLOOKUP(B7,'F'!A1:F392,6,FALSE))</f>
        <v>111.630650055661</v>
      </c>
      <c r="L7" s="76">
        <f>_xlfn.IFERROR(K7/H7,"N/A")</f>
        <v>9.92272444939209</v>
      </c>
      <c r="M7" s="77">
        <f>IF('Settings'!$E$9="YAHOO",VLOOKUP(B7,'ADP'!A1:E665,2,FALSE),IF('Settings'!$E$9="ESPN",VLOOKUP(B7,'ADP'!A1:E665,3,FALSE),IF('Settings'!$E$9="FANTRAX",VLOOKUP(B7,'ADP'!A1:E665,4,FALSE),VLOOKUP(B7,'ADP'!A1:E665,5,FALSE))))</f>
        <v>0</v>
      </c>
      <c r="N7" s="77">
        <f>_xlfn.IFERROR(M7-A7,"N/A")</f>
        <v>-6</v>
      </c>
      <c r="O7" s="77"/>
      <c r="P7" t="s" s="78">
        <f>IF('Settings'!$E$27="ON",VLOOKUP(B7,'ADP'!A1:H665,8,FALSE)," ")</f>
        <v>138</v>
      </c>
      <c r="Q7" s="79">
        <f>IF('Settings'!$E$12="YES",VLOOKUP(B7,'Player Data'!A1:E667,5,FALSE),82)</f>
        <v>81.03</v>
      </c>
      <c r="R7" s="77">
        <f>VLOOKUP(B7,'Player Data'!$A1:$AE667,6,FALSE)</f>
        <v>20.0245255372701</v>
      </c>
      <c r="S7" s="79">
        <f>VLOOKUP(B7,'Player Data'!$A1:$AE667,7,FALSE)*$Q7*_xlfn.IFERROR((VLOOKUP(P7,'Settings'!$E$28:$F$33,2,FALSE)+1),1)</f>
        <v>49.4740641260071</v>
      </c>
      <c r="T7" s="79">
        <f>VLOOKUP(B7,'Player Data'!$A1:$AE667,8,FALSE)*$Q7*_xlfn.IFERROR((VLOOKUP(P7,'Settings'!$E$28:$F$33,2,FALSE)+1),1)</f>
        <v>56.015027506338</v>
      </c>
      <c r="U7" s="79">
        <f>SUM(S7:T7)</f>
        <v>105.489091632345</v>
      </c>
      <c r="V7" s="79">
        <f>VLOOKUP(B7,'Player Data'!$A1:$AE667,10,FALSE)*$Q7*_xlfn.IFERROR(((VLOOKUP(P7,'Settings'!$E$28:$F$33,2,FALSE)/2)+1),1)</f>
        <v>375.555903617741</v>
      </c>
      <c r="W7" s="79">
        <f>VLOOKUP(B7,'Player Data'!$A1:$AE667,11,FALSE)*$Q7*_xlfn.IFERROR((VLOOKUP(P7,'Settings'!$E$28:$F$33,2,FALSE)+1),1)</f>
        <v>14.3277444369373</v>
      </c>
      <c r="X7" s="80">
        <f>VLOOKUP(B7,'Player Data'!$A1:$AE667,12,FALSE)*$Q7*_xlfn.IFERROR((VLOOKUP(P7,'Settings'!$E$28:$F$33,2,FALSE)+1),1)</f>
        <v>34.3554762203225</v>
      </c>
      <c r="Y7" s="79">
        <f>VLOOKUP(B7,'Player Data'!$A1:$AE667,13,FALSE)*$Q7</f>
        <v>0.018225324375574</v>
      </c>
      <c r="Z7" s="79">
        <f>VLOOKUP(B7,'Player Data'!$A1:$AE667,14,FALSE)*$Q7</f>
        <v>0.030738789636057</v>
      </c>
      <c r="AA7" s="79">
        <f>VLOOKUP(B7,'Player Data'!$A1:$AE667,15,FALSE)*$Q7</f>
        <v>24.4083628273108</v>
      </c>
      <c r="AB7" s="79">
        <f>VLOOKUP(B7,'Player Data'!$A1:$AE667,16,FALSE)*$Q7</f>
        <v>74.8834646903283</v>
      </c>
      <c r="AC7" s="79">
        <f>VLOOKUP(B7,'Player Data'!$A1:$AE667,17,FALSE)*$Q7*_xlfn.IFERROR((VLOOKUP(P7,'Settings'!$E$28:$F$33,2,FALSE)+1),1)</f>
        <v>5.8938477188013</v>
      </c>
      <c r="AD7" s="79">
        <f>VLOOKUP(B7,'Player Data'!$A1:$AE667,18,FALSE)*$Q7</f>
        <v>36.1343924044582</v>
      </c>
      <c r="AE7" s="79">
        <f>VLOOKUP(B7,'Player Data'!$A1:$AE667,19,FALSE)*$Q7*_xlfn.IFERROR((VLOOKUP(P7,'Settings'!$E$28:$F$33,2,FALSE)+1),1)</f>
        <v>7.70576943058689</v>
      </c>
      <c r="AF7" s="79">
        <f>VLOOKUP(B7,'Player Data'!$A1:$AE667,20,FALSE)*$Q7</f>
        <v>8.50867153199747</v>
      </c>
      <c r="AG7" s="79">
        <f>VLOOKUP(B7,'Player Data'!$A1:$AE667,21,FALSE)*$Q7</f>
        <v>14.8390012726683</v>
      </c>
      <c r="AH7" s="81">
        <f>VLOOKUP(B7,'Player Data'!$A1:$AE667,22,FALSE)</f>
        <v>0.364433389279684</v>
      </c>
      <c r="AI7" s="77"/>
      <c r="AJ7" s="79"/>
      <c r="AK7" s="79"/>
      <c r="AL7" s="79"/>
      <c r="AM7" s="79"/>
      <c r="AN7" s="79"/>
      <c r="AO7" s="79"/>
      <c r="AP7" s="79"/>
      <c r="AQ7" s="82"/>
      <c r="AR7" s="83"/>
      <c r="AS7" s="84"/>
    </row>
    <row r="8" ht="21.25" customHeight="1">
      <c r="A8" s="85">
        <f>RANK(K8,K$1:K$665)</f>
        <v>7</v>
      </c>
      <c r="B8" t="s" s="16">
        <v>144</v>
      </c>
      <c r="C8" t="s" s="69">
        <v>127</v>
      </c>
      <c r="D8" t="s" s="70">
        <f>VLOOKUP(B8,'Player Data'!A1:D667,4,FALSE)</f>
        <v>145</v>
      </c>
      <c r="E8" s="87">
        <f>VLOOKUP(B8,'RW'!A1:C136,3,FALSE)</f>
        <v>3</v>
      </c>
      <c r="F8" t="s" s="92">
        <f>VLOOKUP(B8,'Player Data'!A1:B667,2,FALSE)</f>
        <v>146</v>
      </c>
      <c r="G8" s="91">
        <f>VLOOKUP(B8,'Player Data'!A1:D667,3,FALSE)</f>
        <v>31</v>
      </c>
      <c r="H8" s="73">
        <f>_xlfn.IFERROR(VLOOKUP(B8,'ADP'!A1:G665,7,FALSE)/1000000,VLOOKUP(B8,'ADP'!A1:G665,7,FALSE))</f>
        <v>8</v>
      </c>
      <c r="I8" s="74">
        <f>IF('Settings'!$E$15="POINTS",((R8*Q8)*'Settings'!$B$12)+(S8*'Settings'!$B$2)+(T8*'Settings'!$B$3)+(U8*'Settings'!$B$4)+(V8*'Settings'!$B$5)+(X8*'Settings'!$B$9)+(AA8*'Settings'!$B$6)+(W8*'Settings'!$B$8)+(AB8*'Settings'!$B$7)+(AC8*'Settings'!$B$14)+(AD8*'Settings'!$B$15)+(AE8*'Settings'!$B$16)+(AF8*'Settings'!$B$17)+(AG8*'Settings'!$B$18)+(Y8*'Settings'!$B$10)+(Z8*'Settings'!$B$11),VLOOKUP(B8,'Standard Deviations'!A1:C666,3,FALSE))</f>
        <v>438.710474226457</v>
      </c>
      <c r="J8" s="75">
        <f>IF(D8="G",I8/AJ8,I8/Q8)</f>
        <v>5.38196005920943</v>
      </c>
      <c r="K8" s="74">
        <f>IF('Settings'!$E$18="C/LW/RW",VLOOKUP(B8,'RW'!A1:F136,6,FALSE),VLOOKUP(B8,'F'!A1:F392,6,FALSE))</f>
        <v>109.018580145279</v>
      </c>
      <c r="L8" s="76">
        <f>_xlfn.IFERROR(K8/H8,"N/A")</f>
        <v>13.6273225181599</v>
      </c>
      <c r="M8" s="77">
        <f>IF('Settings'!$E$9="YAHOO",VLOOKUP(B8,'ADP'!A1:E665,2,FALSE),IF('Settings'!$E$9="ESPN",VLOOKUP(B8,'ADP'!A1:E665,3,FALSE),IF('Settings'!$E$9="FANTRAX",VLOOKUP(B8,'ADP'!A1:E665,4,FALSE),VLOOKUP(B8,'ADP'!A1:E665,5,FALSE))))</f>
        <v>0</v>
      </c>
      <c r="N8" s="77">
        <f>_xlfn.IFERROR(M8-A8,"N/A")</f>
        <v>-7</v>
      </c>
      <c r="O8" s="77"/>
      <c r="P8" t="s" s="78">
        <f>IF('Settings'!$E$27="ON",VLOOKUP(B8,'ADP'!A1:H665,8,FALSE)," ")</f>
        <v>138</v>
      </c>
      <c r="Q8" s="79">
        <f>IF('Settings'!$E$12="YES",VLOOKUP(B8,'Player Data'!A1:E667,5,FALSE),82)</f>
        <v>81.515</v>
      </c>
      <c r="R8" s="77">
        <f>VLOOKUP(B8,'Player Data'!$A1:$AE667,6,FALSE)</f>
        <v>19.2449863844953</v>
      </c>
      <c r="S8" s="79">
        <f>VLOOKUP(B8,'Player Data'!$A1:$AE667,7,FALSE)*$Q8*_xlfn.IFERROR((VLOOKUP(P8,'Settings'!$E$28:$F$33,2,FALSE)+1),1)</f>
        <v>30.7911578776961</v>
      </c>
      <c r="T8" s="79">
        <f>VLOOKUP(B8,'Player Data'!$A1:$AE667,8,FALSE)*$Q8*_xlfn.IFERROR((VLOOKUP(P8,'Settings'!$E$28:$F$33,2,FALSE)+1),1)</f>
        <v>56.1434076321491</v>
      </c>
      <c r="U8" s="79">
        <f>SUM(S8:T8)</f>
        <v>86.9345655098452</v>
      </c>
      <c r="V8" s="79">
        <f>VLOOKUP(B8,'Player Data'!$A1:$AE667,10,FALSE)*$Q8*_xlfn.IFERROR(((VLOOKUP(P8,'Settings'!$E$28:$F$33,2,FALSE)/2)+1),1)</f>
        <v>196.803472546547</v>
      </c>
      <c r="W8" s="79">
        <f>VLOOKUP(B8,'Player Data'!$A1:$AE667,11,FALSE)*$Q8*_xlfn.IFERROR((VLOOKUP(P8,'Settings'!$E$28:$F$33,2,FALSE)+1),1)</f>
        <v>9.093315419727521</v>
      </c>
      <c r="X8" s="80">
        <f>VLOOKUP(B8,'Player Data'!$A1:$AE667,12,FALSE)*$Q8*_xlfn.IFERROR((VLOOKUP(P8,'Settings'!$E$28:$F$33,2,FALSE)+1),1)</f>
        <v>32.4787475235335</v>
      </c>
      <c r="Y8" s="79">
        <f>VLOOKUP(B8,'Player Data'!$A1:$AE667,13,FALSE)*$Q8</f>
        <v>1.50508726508037</v>
      </c>
      <c r="Z8" s="79">
        <f>VLOOKUP(B8,'Player Data'!$A1:$AE667,14,FALSE)*$Q8</f>
        <v>2.21472232123276</v>
      </c>
      <c r="AA8" s="79">
        <f>VLOOKUP(B8,'Player Data'!$A1:$AE667,15,FALSE)*$Q8</f>
        <v>55.6967840005991</v>
      </c>
      <c r="AB8" s="79">
        <f>VLOOKUP(B8,'Player Data'!$A1:$AE667,16,FALSE)*$Q8</f>
        <v>191.674181376548</v>
      </c>
      <c r="AC8" s="79">
        <f>VLOOKUP(B8,'Player Data'!$A1:$AE667,17,FALSE)*$Q8*_xlfn.IFERROR((VLOOKUP(P8,'Settings'!$E$28:$F$33,2,FALSE)+1),1)</f>
        <v>5.4958175981446</v>
      </c>
      <c r="AD8" s="79">
        <f>VLOOKUP(B8,'Player Data'!$A1:$AE667,18,FALSE)*$Q8</f>
        <v>51.8744834427528</v>
      </c>
      <c r="AE8" s="79">
        <f>VLOOKUP(B8,'Player Data'!$A1:$AE667,19,FALSE)*$Q8*_xlfn.IFERROR((VLOOKUP(P8,'Settings'!$E$28:$F$33,2,FALSE)+1),1)</f>
        <v>5.25833545949098</v>
      </c>
      <c r="AF8" s="79">
        <f>VLOOKUP(B8,'Player Data'!$A1:$AE667,20,FALSE)*$Q8</f>
        <v>724.014021781045</v>
      </c>
      <c r="AG8" s="79">
        <f>VLOOKUP(B8,'Player Data'!$A1:$AE667,21,FALSE)*$Q8</f>
        <v>586.771537172584</v>
      </c>
      <c r="AH8" s="81">
        <f>VLOOKUP(B8,'Player Data'!$A1:$AE667,22,FALSE)</f>
        <v>0.552351234597831</v>
      </c>
      <c r="AI8" s="77"/>
      <c r="AJ8" s="79"/>
      <c r="AK8" s="79"/>
      <c r="AL8" s="79"/>
      <c r="AM8" s="79"/>
      <c r="AN8" s="79"/>
      <c r="AO8" s="79"/>
      <c r="AP8" s="79"/>
      <c r="AQ8" s="82"/>
      <c r="AR8" s="83"/>
      <c r="AS8" s="93"/>
    </row>
    <row r="9" ht="21.25" customHeight="1">
      <c r="A9" s="85">
        <f>RANK(K9,K$1:K$665)</f>
        <v>8</v>
      </c>
      <c r="B9" t="s" s="16">
        <v>147</v>
      </c>
      <c r="C9" t="s" s="69">
        <v>127</v>
      </c>
      <c r="D9" t="s" s="70">
        <f>VLOOKUP(B9,'Player Data'!A1:D667,4,FALSE)</f>
        <v>148</v>
      </c>
      <c r="E9" s="87">
        <f>VLOOKUP(B9,'RW'!A1:C136,3,FALSE)</f>
        <v>4</v>
      </c>
      <c r="F9" t="s" s="86">
        <f>VLOOKUP(B9,'Player Data'!A1:B667,2,FALSE)</f>
        <v>149</v>
      </c>
      <c r="G9" s="11">
        <f>VLOOKUP(B9,'Player Data'!A1:D667,3,FALSE)</f>
        <v>26</v>
      </c>
      <c r="H9" s="73">
        <f>_xlfn.IFERROR(VLOOKUP(B9,'ADP'!A1:G665,7,FALSE)/1000000,VLOOKUP(B9,'ADP'!A1:G665,7,FALSE))</f>
        <v>9.5</v>
      </c>
      <c r="I9" s="74">
        <f>IF('Settings'!$E$15="POINTS",((R9*Q9)*'Settings'!$B$12)+(S9*'Settings'!$B$2)+(T9*'Settings'!$B$3)+(U9*'Settings'!$B$4)+(V9*'Settings'!$B$5)+(X9*'Settings'!$B$9)+(AA9*'Settings'!$B$6)+(W9*'Settings'!$B$8)+(AB9*'Settings'!$B$7)+(AC9*'Settings'!$B$14)+(AD9*'Settings'!$B$15)+(AE9*'Settings'!$B$16)+(AF9*'Settings'!$B$17)+(AG9*'Settings'!$B$18)+(Y9*'Settings'!$B$10)+(Z9*'Settings'!$B$11),VLOOKUP(B9,'Standard Deviations'!A1:C666,3,FALSE))</f>
        <v>434.348325800968</v>
      </c>
      <c r="J9" s="75">
        <f>IF(D9="G",I9/AJ9,I9/Q9)</f>
        <v>5.34500324012882</v>
      </c>
      <c r="K9" s="74">
        <f>IF('Settings'!$E$18="C/LW/RW",VLOOKUP(B9,'RW'!A1:F136,6,FALSE),VLOOKUP(B9,'F'!A1:F392,6,FALSE))</f>
        <v>104.656431719790</v>
      </c>
      <c r="L9" s="76">
        <f>_xlfn.IFERROR(K9/H9,"N/A")</f>
        <v>11.016466496820</v>
      </c>
      <c r="M9" s="77">
        <f>IF('Settings'!$E$9="YAHOO",VLOOKUP(B9,'ADP'!A1:E665,2,FALSE),IF('Settings'!$E$9="ESPN",VLOOKUP(B9,'ADP'!A1:E665,3,FALSE),IF('Settings'!$E$9="FANTRAX",VLOOKUP(B9,'ADP'!A1:E665,4,FALSE),VLOOKUP(B9,'ADP'!A1:E665,5,FALSE))))</f>
        <v>0</v>
      </c>
      <c r="N9" s="77">
        <f>_xlfn.IFERROR(M9-A9,"N/A")</f>
        <v>-8</v>
      </c>
      <c r="O9" s="77"/>
      <c r="P9" t="s" s="78">
        <f>IF('Settings'!$E$27="ON",VLOOKUP(B9,'ADP'!A1:H665,8,FALSE)," ")</f>
        <v>130</v>
      </c>
      <c r="Q9" s="79">
        <f>IF('Settings'!$E$12="YES",VLOOKUP(B9,'Player Data'!A1:E667,5,FALSE),82)</f>
        <v>81.2625</v>
      </c>
      <c r="R9" s="77">
        <f>VLOOKUP(B9,'Player Data'!$A1:$AE667,6,FALSE)</f>
        <v>19.3605421004039</v>
      </c>
      <c r="S9" s="79">
        <f>VLOOKUP(B9,'Player Data'!$A1:$AE667,7,FALSE)*$Q9*_xlfn.IFERROR((VLOOKUP(P9,'Settings'!$E$28:$F$33,2,FALSE)+1),1)</f>
        <v>35.1385309737364</v>
      </c>
      <c r="T9" s="79">
        <f>VLOOKUP(B9,'Player Data'!$A1:$AE667,8,FALSE)*$Q9*_xlfn.IFERROR((VLOOKUP(P9,'Settings'!$E$28:$F$33,2,FALSE)+1),1)</f>
        <v>66.85075800141099</v>
      </c>
      <c r="U9" s="79">
        <f>SUM(S9:T9)</f>
        <v>101.989288975147</v>
      </c>
      <c r="V9" s="79">
        <f>VLOOKUP(B9,'Player Data'!$A1:$AE667,10,FALSE)*$Q9*_xlfn.IFERROR(((VLOOKUP(P9,'Settings'!$E$28:$F$33,2,FALSE)/2)+1),1)</f>
        <v>295.308778284396</v>
      </c>
      <c r="W9" s="79">
        <f>VLOOKUP(B9,'Player Data'!$A1:$AE667,11,FALSE)*$Q9*_xlfn.IFERROR((VLOOKUP(P9,'Settings'!$E$28:$F$33,2,FALSE)+1),1)</f>
        <v>9.45529362581421</v>
      </c>
      <c r="X9" s="80">
        <f>VLOOKUP(B9,'Player Data'!$A1:$AE667,12,FALSE)*$Q9*_xlfn.IFERROR((VLOOKUP(P9,'Settings'!$E$28:$F$33,2,FALSE)+1),1)</f>
        <v>32.7670657184602</v>
      </c>
      <c r="Y9" s="79">
        <f>VLOOKUP(B9,'Player Data'!$A1:$AE667,13,FALSE)*$Q9</f>
        <v>0.351406669240013</v>
      </c>
      <c r="Z9" s="79">
        <f>VLOOKUP(B9,'Player Data'!$A1:$AE667,14,FALSE)*$Q9</f>
        <v>0.562874366444945</v>
      </c>
      <c r="AA9" s="79">
        <f>VLOOKUP(B9,'Player Data'!$A1:$AE667,15,FALSE)*$Q9</f>
        <v>31.2975813021703</v>
      </c>
      <c r="AB9" s="79">
        <f>VLOOKUP(B9,'Player Data'!$A1:$AE667,16,FALSE)*$Q9</f>
        <v>123.342919789721</v>
      </c>
      <c r="AC9" s="79">
        <f>VLOOKUP(B9,'Player Data'!$A1:$AE667,17,FALSE)*$Q9*_xlfn.IFERROR((VLOOKUP(P9,'Settings'!$E$28:$F$33,2,FALSE)+1),1)</f>
        <v>10.540515561329</v>
      </c>
      <c r="AD9" s="79">
        <f>VLOOKUP(B9,'Player Data'!$A1:$AE667,18,FALSE)*$Q9</f>
        <v>66.727908849602</v>
      </c>
      <c r="AE9" s="79">
        <f>VLOOKUP(B9,'Player Data'!$A1:$AE667,19,FALSE)*$Q9*_xlfn.IFERROR((VLOOKUP(P9,'Settings'!$E$28:$F$33,2,FALSE)+1),1)</f>
        <v>5.98626094563742</v>
      </c>
      <c r="AF9" s="79">
        <f>VLOOKUP(B9,'Player Data'!$A1:$AE667,20,FALSE)*$Q9</f>
        <v>7.15522028440426</v>
      </c>
      <c r="AG9" s="79">
        <f>VLOOKUP(B9,'Player Data'!$A1:$AE667,21,FALSE)*$Q9</f>
        <v>10.4768077371267</v>
      </c>
      <c r="AH9" s="81">
        <f>VLOOKUP(B9,'Player Data'!$A1:$AE667,22,FALSE)</f>
        <v>0.405808128008123</v>
      </c>
      <c r="AI9" s="77"/>
      <c r="AJ9" s="79"/>
      <c r="AK9" s="79"/>
      <c r="AL9" s="79"/>
      <c r="AM9" s="79"/>
      <c r="AN9" s="79"/>
      <c r="AO9" s="79"/>
      <c r="AP9" s="79"/>
      <c r="AQ9" s="82"/>
      <c r="AR9" s="83"/>
      <c r="AS9" s="84"/>
    </row>
    <row r="10" ht="21.25" customHeight="1">
      <c r="A10" s="85">
        <f>RANK(K10,K$1:K$665)</f>
        <v>9</v>
      </c>
      <c r="B10" t="s" s="16">
        <v>150</v>
      </c>
      <c r="C10" t="s" s="69">
        <v>127</v>
      </c>
      <c r="D10" t="s" s="70">
        <f>VLOOKUP(B10,'Player Data'!A1:D667,4,FALSE)</f>
        <v>136</v>
      </c>
      <c r="E10" s="87">
        <f>VLOOKUP(B10,'LW'!A1:C152,3,FALSE)</f>
        <v>3</v>
      </c>
      <c r="F10" t="s" s="86">
        <f>VLOOKUP(B10,'Player Data'!A1:B667,2,FALSE)</f>
        <v>129</v>
      </c>
      <c r="G10" s="11">
        <f>VLOOKUP(B10,'Player Data'!A1:D667,3,FALSE)</f>
        <v>28</v>
      </c>
      <c r="H10" s="94">
        <f>_xlfn.IFERROR(VLOOKUP(B10,'ADP'!A1:G665,7,FALSE)/1000000,VLOOKUP(B10,'ADP'!A1:G665,7,FALSE))</f>
        <v>8.5</v>
      </c>
      <c r="I10" s="74">
        <f>IF('Settings'!$E$15="POINTS",((R10*Q10)*'Settings'!$B$12)+(S10*'Settings'!$B$2)+(T10*'Settings'!$B$3)+(U10*'Settings'!$B$4)+(V10*'Settings'!$B$5)+(X10*'Settings'!$B$9)+(AA10*'Settings'!$B$6)+(W10*'Settings'!$B$8)+(AB10*'Settings'!$B$7)+(AC10*'Settings'!$B$14)+(AD10*'Settings'!$B$15)+(AE10*'Settings'!$B$16)+(AF10*'Settings'!$B$17)+(AG10*'Settings'!$B$18)+(Y10*'Settings'!$B$10)+(Z10*'Settings'!$B$11),VLOOKUP(B10,'Standard Deviations'!A1:C666,3,FALSE))</f>
        <v>434.174277848426</v>
      </c>
      <c r="J10" s="75">
        <f>IF(D10="G",I10/AJ10,I10/Q10)</f>
        <v>5.33531108535438</v>
      </c>
      <c r="K10" s="74">
        <f>IF('Settings'!$E$18="C/LW/RW",VLOOKUP(B10,'LW'!A1:F152,6,FALSE),VLOOKUP(B10,'F'!A1:F392,6,FALSE))</f>
        <v>102.454166082214</v>
      </c>
      <c r="L10" s="76">
        <f>_xlfn.IFERROR(K10/H10,"N/A")</f>
        <v>12.0534313037899</v>
      </c>
      <c r="M10" s="77">
        <f>IF('Settings'!$E$9="YAHOO",VLOOKUP(B10,'ADP'!A1:E665,2,FALSE),IF('Settings'!$E$9="ESPN",VLOOKUP(B10,'ADP'!A1:E665,3,FALSE),IF('Settings'!$E$9="FANTRAX",VLOOKUP(B10,'ADP'!A1:E665,4,FALSE),VLOOKUP(B10,'ADP'!A1:E665,5,FALSE))))</f>
        <v>0</v>
      </c>
      <c r="N10" s="77">
        <f>_xlfn.IFERROR(M10-A10,"N/A")</f>
        <v>-9</v>
      </c>
      <c r="O10" s="77"/>
      <c r="P10" t="s" s="78">
        <f>IF('Settings'!$E$27="ON",VLOOKUP(B10,'ADP'!A1:H665,8,FALSE)," ")</f>
        <v>130</v>
      </c>
      <c r="Q10" s="79">
        <f>IF('Settings'!$E$12="YES",VLOOKUP(B10,'Player Data'!A1:E667,5,FALSE),82)</f>
        <v>81.3775</v>
      </c>
      <c r="R10" s="77">
        <f>VLOOKUP(B10,'Player Data'!$A1:$AE667,6,FALSE)</f>
        <v>20.8350842559729</v>
      </c>
      <c r="S10" s="79">
        <f>VLOOKUP(B10,'Player Data'!$A1:$AE667,7,FALSE)*$Q10*_xlfn.IFERROR((VLOOKUP(P10,'Settings'!$E$28:$F$33,2,FALSE)+1),1)</f>
        <v>46.9308119381676</v>
      </c>
      <c r="T10" s="79">
        <f>VLOOKUP(B10,'Player Data'!$A1:$AE667,8,FALSE)*$Q10*_xlfn.IFERROR((VLOOKUP(P10,'Settings'!$E$28:$F$33,2,FALSE)+1),1)</f>
        <v>66.8256010656938</v>
      </c>
      <c r="U10" s="79">
        <f>SUM(S10:T10)</f>
        <v>113.756413003861</v>
      </c>
      <c r="V10" s="79">
        <f>VLOOKUP(B10,'Player Data'!$A1:$AE667,10,FALSE)*$Q10*_xlfn.IFERROR(((VLOOKUP(P10,'Settings'!$E$28:$F$33,2,FALSE)/2)+1),1)</f>
        <v>240.122384425775</v>
      </c>
      <c r="W10" s="79">
        <f>VLOOKUP(B10,'Player Data'!$A1:$AE667,11,FALSE)*$Q10*_xlfn.IFERROR((VLOOKUP(P10,'Settings'!$E$28:$F$33,2,FALSE)+1),1)</f>
        <v>23.7056952649402</v>
      </c>
      <c r="X10" s="80">
        <f>VLOOKUP(B10,'Player Data'!$A1:$AE667,12,FALSE)*$Q10*_xlfn.IFERROR((VLOOKUP(P10,'Settings'!$E$28:$F$33,2,FALSE)+1),1)</f>
        <v>45.2525658410297</v>
      </c>
      <c r="Y10" s="79">
        <f>VLOOKUP(B10,'Player Data'!$A1:$AE667,13,FALSE)*$Q10</f>
        <v>0.34998682668274</v>
      </c>
      <c r="Z10" s="79">
        <f>VLOOKUP(B10,'Player Data'!$A1:$AE667,14,FALSE)*$Q10</f>
        <v>0.883707304995054</v>
      </c>
      <c r="AA10" s="79">
        <f>VLOOKUP(B10,'Player Data'!$A1:$AE667,15,FALSE)*$Q10</f>
        <v>30.8548106867021</v>
      </c>
      <c r="AB10" s="79">
        <f>VLOOKUP(B10,'Player Data'!$A1:$AE667,16,FALSE)*$Q10</f>
        <v>59.5086519967719</v>
      </c>
      <c r="AC10" s="79">
        <f>VLOOKUP(B10,'Player Data'!$A1:$AE667,17,FALSE)*$Q10*_xlfn.IFERROR((VLOOKUP(P10,'Settings'!$E$28:$F$33,2,FALSE)+1),1)</f>
        <v>9.7749025923976</v>
      </c>
      <c r="AD10" s="79">
        <f>VLOOKUP(B10,'Player Data'!$A1:$AE667,18,FALSE)*$Q10</f>
        <v>41.9801306551855</v>
      </c>
      <c r="AE10" s="79">
        <f>VLOOKUP(B10,'Player Data'!$A1:$AE667,19,FALSE)*$Q10*_xlfn.IFERROR((VLOOKUP(P10,'Settings'!$E$28:$F$33,2,FALSE)+1),1)</f>
        <v>7.57816024980079</v>
      </c>
      <c r="AF10" s="79">
        <f>VLOOKUP(B10,'Player Data'!$A1:$AE667,20,FALSE)*$Q10</f>
        <v>818.411181616771</v>
      </c>
      <c r="AG10" s="79">
        <f>VLOOKUP(B10,'Player Data'!$A1:$AE667,21,FALSE)*$Q10</f>
        <v>660.576588945211</v>
      </c>
      <c r="AH10" s="81">
        <f>VLOOKUP(B10,'Player Data'!$A1:$AE667,22,FALSE)</f>
        <v>0.553358991809507</v>
      </c>
      <c r="AI10" s="77"/>
      <c r="AJ10" s="89"/>
      <c r="AK10" s="79"/>
      <c r="AL10" s="79"/>
      <c r="AM10" s="79"/>
      <c r="AN10" s="79"/>
      <c r="AO10" s="79"/>
      <c r="AP10" s="79"/>
      <c r="AQ10" s="82"/>
      <c r="AR10" s="83"/>
      <c r="AS10" s="84"/>
    </row>
    <row r="11" ht="21.25" customHeight="1">
      <c r="A11" s="85">
        <f>RANK(K11,K$1:K$665)</f>
        <v>14</v>
      </c>
      <c r="B11" t="s" s="16">
        <v>151</v>
      </c>
      <c r="C11" t="s" s="69">
        <v>127</v>
      </c>
      <c r="D11" t="s" s="70">
        <f>VLOOKUP(B11,'Player Data'!A1:D667,4,FALSE)</f>
        <v>136</v>
      </c>
      <c r="E11" s="87">
        <f>VLOOKUP(B11,'LW'!A1:C152,3,FALSE)</f>
        <v>4</v>
      </c>
      <c r="F11" t="s" s="92">
        <f>VLOOKUP(B11,'Player Data'!A1:B667,2,FALSE)</f>
        <v>146</v>
      </c>
      <c r="G11" s="11">
        <f>VLOOKUP(B11,'Player Data'!A1:D667,3,FALSE)</f>
        <v>25</v>
      </c>
      <c r="H11" s="73">
        <f>_xlfn.IFERROR(VLOOKUP(B11,'ADP'!A1:G665,7,FALSE)/1000000,VLOOKUP(B11,'ADP'!A1:G665,7,FALSE))</f>
        <v>11.6</v>
      </c>
      <c r="I11" s="74">
        <f>IF('Settings'!$E$15="POINTS",((R11*Q11)*'Settings'!$B$12)+(S11*'Settings'!$B$2)+(T11*'Settings'!$B$3)+(U11*'Settings'!$B$4)+(V11*'Settings'!$B$5)+(X11*'Settings'!$B$9)+(AA11*'Settings'!$B$6)+(W11*'Settings'!$B$8)+(AB11*'Settings'!$B$7)+(AC11*'Settings'!$B$14)+(AD11*'Settings'!$B$15)+(AE11*'Settings'!$B$16)+(AF11*'Settings'!$B$17)+(AG11*'Settings'!$B$18)+(Y11*'Settings'!$B$10)+(Z11*'Settings'!$B$11),VLOOKUP(B11,'Standard Deviations'!A1:C666,3,FALSE))</f>
        <v>423.787729079359</v>
      </c>
      <c r="J11" s="75">
        <f>IF(D11="G",I11/AJ11,I11/Q11)</f>
        <v>5.19634270221763</v>
      </c>
      <c r="K11" s="74">
        <f>IF('Settings'!$E$18="C/LW/RW",VLOOKUP(B11,'LW'!A1:F152,6,FALSE),VLOOKUP(B11,'F'!A1:F392,6,FALSE))</f>
        <v>92.067617313147</v>
      </c>
      <c r="L11" s="76">
        <f>_xlfn.IFERROR(K11/H11,"N/A")</f>
        <v>7.93686356147819</v>
      </c>
      <c r="M11" s="77">
        <f>IF('Settings'!$E$9="YAHOO",VLOOKUP(B11,'ADP'!A1:E665,2,FALSE),IF('Settings'!$E$9="ESPN",VLOOKUP(B11,'ADP'!A1:E665,3,FALSE),IF('Settings'!$E$9="FANTRAX",VLOOKUP(B11,'ADP'!A1:E665,4,FALSE),VLOOKUP(B11,'ADP'!A1:E665,5,FALSE))))</f>
        <v>0</v>
      </c>
      <c r="N11" s="77">
        <f>_xlfn.IFERROR(M11-A11,"N/A")</f>
        <v>-14</v>
      </c>
      <c r="O11" s="77"/>
      <c r="P11" t="s" s="78">
        <f>IF('Settings'!$E$27="ON",VLOOKUP(B11,'ADP'!A1:H665,8,FALSE)," ")</f>
        <v>130</v>
      </c>
      <c r="Q11" s="79">
        <f>IF('Settings'!$E$12="YES",VLOOKUP(B11,'Player Data'!A1:E667,5,FALSE),82)</f>
        <v>81.55500000000001</v>
      </c>
      <c r="R11" s="77">
        <f>VLOOKUP(B11,'Player Data'!$A1:$AE667,6,FALSE)</f>
        <v>19.8948879671368</v>
      </c>
      <c r="S11" s="79">
        <f>VLOOKUP(B11,'Player Data'!$A1:$AE667,7,FALSE)*$Q11*_xlfn.IFERROR((VLOOKUP(P11,'Settings'!$E$28:$F$33,2,FALSE)+1),1)</f>
        <v>37.885478954944</v>
      </c>
      <c r="T11" s="79">
        <f>VLOOKUP(B11,'Player Data'!$A1:$AE667,8,FALSE)*$Q11*_xlfn.IFERROR((VLOOKUP(P11,'Settings'!$E$28:$F$33,2,FALSE)+1),1)</f>
        <v>57.562145517257</v>
      </c>
      <c r="U11" s="79">
        <f>SUM(S11:T11)</f>
        <v>95.447624472201</v>
      </c>
      <c r="V11" s="79">
        <f>VLOOKUP(B11,'Player Data'!$A1:$AE667,10,FALSE)*$Q11*_xlfn.IFERROR(((VLOOKUP(P11,'Settings'!$E$28:$F$33,2,FALSE)/2)+1),1)</f>
        <v>223.9524784807</v>
      </c>
      <c r="W11" s="79">
        <f>VLOOKUP(B11,'Player Data'!$A1:$AE667,11,FALSE)*$Q11*_xlfn.IFERROR((VLOOKUP(P11,'Settings'!$E$28:$F$33,2,FALSE)+1),1)</f>
        <v>11.0595274172126</v>
      </c>
      <c r="X11" s="80">
        <f>VLOOKUP(B11,'Player Data'!$A1:$AE667,12,FALSE)*$Q11*_xlfn.IFERROR((VLOOKUP(P11,'Settings'!$E$28:$F$33,2,FALSE)+1),1)</f>
        <v>28.991177886780</v>
      </c>
      <c r="Y11" s="79">
        <f>VLOOKUP(B11,'Player Data'!$A1:$AE667,13,FALSE)*$Q11</f>
        <v>1.03621230061522</v>
      </c>
      <c r="Z11" s="79">
        <f>VLOOKUP(B11,'Player Data'!$A1:$AE667,14,FALSE)*$Q11</f>
        <v>3.05928484207897</v>
      </c>
      <c r="AA11" s="79">
        <f>VLOOKUP(B11,'Player Data'!$A1:$AE667,15,FALSE)*$Q11</f>
        <v>69.81274609335919</v>
      </c>
      <c r="AB11" s="79">
        <f>VLOOKUP(B11,'Player Data'!$A1:$AE667,16,FALSE)*$Q11</f>
        <v>102.581639274459</v>
      </c>
      <c r="AC11" s="79">
        <f>VLOOKUP(B11,'Player Data'!$A1:$AE667,17,FALSE)*$Q11*_xlfn.IFERROR((VLOOKUP(P11,'Settings'!$E$28:$F$33,2,FALSE)+1),1)</f>
        <v>7.31725482509796</v>
      </c>
      <c r="AD11" s="79">
        <f>VLOOKUP(B11,'Player Data'!$A1:$AE667,18,FALSE)*$Q11</f>
        <v>17.3117472417079</v>
      </c>
      <c r="AE11" s="79">
        <f>VLOOKUP(B11,'Player Data'!$A1:$AE667,19,FALSE)*$Q11*_xlfn.IFERROR((VLOOKUP(P11,'Settings'!$E$28:$F$33,2,FALSE)+1),1)</f>
        <v>6.46986249038996</v>
      </c>
      <c r="AF11" s="79">
        <f>VLOOKUP(B11,'Player Data'!$A1:$AE667,20,FALSE)*$Q11</f>
        <v>376.914667665815</v>
      </c>
      <c r="AG11" s="79">
        <f>VLOOKUP(B11,'Player Data'!$A1:$AE667,21,FALSE)*$Q11</f>
        <v>425.266749111524</v>
      </c>
      <c r="AH11" s="81">
        <f>VLOOKUP(B11,'Player Data'!$A1:$AE667,22,FALSE)</f>
        <v>0.469862128170485</v>
      </c>
      <c r="AI11" s="77"/>
      <c r="AJ11" s="79"/>
      <c r="AK11" s="79"/>
      <c r="AL11" s="79"/>
      <c r="AM11" s="79"/>
      <c r="AN11" s="79"/>
      <c r="AO11" s="79"/>
      <c r="AP11" s="79"/>
      <c r="AQ11" s="82"/>
      <c r="AR11" s="83"/>
      <c r="AS11" s="93"/>
    </row>
    <row r="12" ht="21.25" customHeight="1">
      <c r="A12" s="85">
        <f>RANK(K12,K$1:K$665)</f>
        <v>10</v>
      </c>
      <c r="B12" t="s" s="16">
        <v>152</v>
      </c>
      <c r="C12" t="s" s="69">
        <v>127</v>
      </c>
      <c r="D12" t="s" s="70">
        <f>VLOOKUP(B12,'Player Data'!A1:D667,4,FALSE)</f>
        <v>153</v>
      </c>
      <c r="E12" s="95">
        <f>VLOOKUP(B12,'D'!A1:C213,3,FALSE)</f>
        <v>1</v>
      </c>
      <c r="F12" t="s" s="86">
        <f>VLOOKUP(B12,'Player Data'!A1:B667,2,FALSE)</f>
        <v>154</v>
      </c>
      <c r="G12" s="96">
        <f>VLOOKUP(B12,'Player Data'!A1:D667,3,FALSE)</f>
        <v>24</v>
      </c>
      <c r="H12" s="73">
        <f>_xlfn.IFERROR(VLOOKUP(B12,'ADP'!A1:G665,7,FALSE)/1000000,VLOOKUP(B12,'ADP'!A1:G665,7,FALSE))</f>
        <v>11</v>
      </c>
      <c r="I12" s="74">
        <f>IF('Settings'!$E$15="POINTS",((R12*Q12)*'Settings'!$B$12)+(S12*'Settings'!$B$2)+(T12*'Settings'!$B$3)+(U12*'Settings'!$B$4)+(V12*'Settings'!$B$5)+(X12*'Settings'!$B$9)+(AA12*'Settings'!$B$6)+(W12*'Settings'!$B$8)+(AB12*'Settings'!$B$7)+(AC12*'Settings'!$B$14)+(AD12*'Settings'!$B$15)+(AE12*'Settings'!$B$16)+(AF12*'Settings'!$B$17)+(AG12*'Settings'!$B$18)+(U12*'Settings'!$B$13)+(Y12*'Settings'!$B$10)+(Z12*'Settings'!$B$11),VLOOKUP(B12,'Standard Deviations'!A1:C666,3,FALSE))</f>
        <v>429.958730631205</v>
      </c>
      <c r="J12" s="75">
        <f>IF(D12="G",I12/AJ12,I12/Q12)</f>
        <v>5.30142388497525</v>
      </c>
      <c r="K12" s="74">
        <f>VLOOKUP(B12,'D'!A1:F213,6,FALSE)</f>
        <v>98.418522711123</v>
      </c>
      <c r="L12" s="76">
        <f>_xlfn.IFERROR(K12/H12,"N/A")</f>
        <v>8.94713842828391</v>
      </c>
      <c r="M12" s="77">
        <f>IF('Settings'!$E$9="YAHOO",VLOOKUP(B12,'ADP'!A1:E665,2,FALSE),IF('Settings'!$E$9="ESPN",VLOOKUP(B12,'ADP'!A1:E665,3,FALSE),IF('Settings'!$E$9="FANTRAX",VLOOKUP(B12,'ADP'!A1:E665,4,FALSE),VLOOKUP(B12,'ADP'!A1:E665,5,FALSE))))</f>
        <v>0</v>
      </c>
      <c r="N12" s="77">
        <f>_xlfn.IFERROR(M12-A12,"N/A")</f>
        <v>-10</v>
      </c>
      <c r="O12" s="77"/>
      <c r="P12" t="s" s="78">
        <f>IF('Settings'!$E$27="ON",VLOOKUP(B12,'ADP'!A1:H665,8,FALSE)," ")</f>
        <v>130</v>
      </c>
      <c r="Q12" s="79">
        <f>IF('Settings'!$E$12="YES",VLOOKUP(B12,'Player Data'!A1:E667,5,FALSE),82)</f>
        <v>81.10250000000001</v>
      </c>
      <c r="R12" s="77">
        <f>VLOOKUP(B12,'Player Data'!$A1:$AE667,6,FALSE)</f>
        <v>25.6570045998098</v>
      </c>
      <c r="S12" s="79">
        <f>VLOOKUP(B12,'Player Data'!$A1:$AE667,7,FALSE)*$Q12*_xlfn.IFERROR((VLOOKUP(P12,'Settings'!$E$28:$F$33,2,FALSE)+1),1)</f>
        <v>18.9135236264765</v>
      </c>
      <c r="T12" s="79">
        <f>VLOOKUP(B12,'Player Data'!$A1:$AE667,8,FALSE)*$Q12*_xlfn.IFERROR((VLOOKUP(P12,'Settings'!$E$28:$F$33,2,FALSE)+1),1)</f>
        <v>53.0790406744602</v>
      </c>
      <c r="U12" s="79">
        <f>SUM(S12:T12)</f>
        <v>71.99256430093671</v>
      </c>
      <c r="V12" s="79">
        <f>VLOOKUP(B12,'Player Data'!$A1:$AE667,10,FALSE)*$Q12*_xlfn.IFERROR(((VLOOKUP(P12,'Settings'!$E$28:$F$33,2,FALSE)/2)+1),1)</f>
        <v>230.035040590482</v>
      </c>
      <c r="W12" s="79">
        <f>VLOOKUP(B12,'Player Data'!$A1:$AE667,11,FALSE)*$Q12*_xlfn.IFERROR((VLOOKUP(P12,'Settings'!$E$28:$F$33,2,FALSE)+1),1)</f>
        <v>6.16367803449616</v>
      </c>
      <c r="X12" s="80">
        <f>VLOOKUP(B12,'Player Data'!$A1:$AE667,12,FALSE)*$Q12*_xlfn.IFERROR((VLOOKUP(P12,'Settings'!$E$28:$F$33,2,FALSE)+1),1)</f>
        <v>27.8234855181442</v>
      </c>
      <c r="Y12" s="79">
        <f>VLOOKUP(B12,'Player Data'!$A1:$AE667,13,FALSE)*$Q12</f>
        <v>0.018600325521048</v>
      </c>
      <c r="Z12" s="79">
        <f>VLOOKUP(B12,'Player Data'!$A1:$AE667,14,FALSE)*$Q12</f>
        <v>0.210387258738669</v>
      </c>
      <c r="AA12" s="79">
        <f>VLOOKUP(B12,'Player Data'!$A1:$AE667,15,FALSE)*$Q12</f>
        <v>145.176634975586</v>
      </c>
      <c r="AB12" s="79">
        <f>VLOOKUP(B12,'Player Data'!$A1:$AE667,16,FALSE)*$Q12</f>
        <v>152.862643154483</v>
      </c>
      <c r="AC12" s="79">
        <f>VLOOKUP(B12,'Player Data'!$A1:$AE667,17,FALSE)*$Q12*_xlfn.IFERROR((VLOOKUP(P12,'Settings'!$E$28:$F$33,2,FALSE)+1),1)</f>
        <v>-0.395044543222161</v>
      </c>
      <c r="AD12" s="79">
        <f>VLOOKUP(B12,'Player Data'!$A1:$AE667,18,FALSE)*$Q12</f>
        <v>66.84085261929989</v>
      </c>
      <c r="AE12" s="79">
        <f>VLOOKUP(B12,'Player Data'!$A1:$AE667,19,FALSE)*$Q12*_xlfn.IFERROR((VLOOKUP(P12,'Settings'!$E$28:$F$33,2,FALSE)+1),1)</f>
        <v>2.67542072847432</v>
      </c>
      <c r="AF12" s="79">
        <f>VLOOKUP(B12,'Player Data'!$A1:$AE667,20,FALSE)*$Q12</f>
        <v>0</v>
      </c>
      <c r="AG12" s="79">
        <f>VLOOKUP(B12,'Player Data'!$A1:$AE667,21,FALSE)*$Q12</f>
        <v>0</v>
      </c>
      <c r="AH12" s="81">
        <f>VLOOKUP(B12,'Player Data'!$A1:$AE667,22,FALSE)</f>
        <v>0</v>
      </c>
      <c r="AI12" s="77"/>
      <c r="AJ12" s="79"/>
      <c r="AK12" s="79"/>
      <c r="AL12" s="79"/>
      <c r="AM12" s="79"/>
      <c r="AN12" s="79"/>
      <c r="AO12" s="79"/>
      <c r="AP12" s="79"/>
      <c r="AQ12" s="82"/>
      <c r="AR12" s="83"/>
      <c r="AS12" s="93"/>
    </row>
    <row r="13" ht="21.25" customHeight="1">
      <c r="A13" s="85">
        <f>RANK(K13,K$1:K$665)</f>
        <v>12</v>
      </c>
      <c r="B13" t="s" s="16">
        <v>155</v>
      </c>
      <c r="C13" t="s" s="69">
        <v>127</v>
      </c>
      <c r="D13" t="s" s="70">
        <f>VLOOKUP(B13,'Player Data'!A1:D667,4,FALSE)</f>
        <v>153</v>
      </c>
      <c r="E13" s="95">
        <f>VLOOKUP(B13,'D'!A1:C213,3,FALSE)</f>
        <v>2</v>
      </c>
      <c r="F13" t="s" s="86">
        <f>VLOOKUP(B13,'Player Data'!A1:B667,2,FALSE)</f>
        <v>156</v>
      </c>
      <c r="G13" s="96">
        <f>VLOOKUP(B13,'Player Data'!A1:D667,3,FALSE)</f>
        <v>23</v>
      </c>
      <c r="H13" t="s" s="86">
        <f>_xlfn.IFERROR(VLOOKUP(B13,'ADP'!A1:G665,7,FALSE)/1000000,VLOOKUP(B13,'ADP'!A1:G665,7,FALSE))</f>
        <v>157</v>
      </c>
      <c r="I13" s="74">
        <f>IF('Settings'!$E$15="POINTS",((R13*Q13)*'Settings'!$B$12)+(S13*'Settings'!$B$2)+(T13*'Settings'!$B$3)+(U13*'Settings'!$B$4)+(V13*'Settings'!$B$5)+(X13*'Settings'!$B$9)+(AA13*'Settings'!$B$6)+(W13*'Settings'!$B$8)+(AB13*'Settings'!$B$7)+(AC13*'Settings'!$B$14)+(AD13*'Settings'!$B$15)+(AE13*'Settings'!$B$16)+(AF13*'Settings'!$B$17)+(AG13*'Settings'!$B$18)+(U13*'Settings'!$B$13)+(Y13*'Settings'!$B$10)+(Z13*'Settings'!$B$11),VLOOKUP(B13,'Standard Deviations'!A1:C666,3,FALSE))</f>
        <v>426.608532257733</v>
      </c>
      <c r="J13" s="75">
        <f>IF(D13="G",I13/AJ13,I13/Q13)</f>
        <v>5.20064040299565</v>
      </c>
      <c r="K13" s="74">
        <f>VLOOKUP(B13,'D'!A1:F213,6,FALSE)</f>
        <v>95.06832433765101</v>
      </c>
      <c r="L13" t="s" s="97">
        <f>_xlfn.IFERROR(K13/H13,"N/A")</f>
        <v>158</v>
      </c>
      <c r="M13" s="77">
        <f>IF('Settings'!$E$9="YAHOO",VLOOKUP(B13,'ADP'!A1:E665,2,FALSE),IF('Settings'!$E$9="ESPN",VLOOKUP(B13,'ADP'!A1:E665,3,FALSE),IF('Settings'!$E$9="FANTRAX",VLOOKUP(B13,'ADP'!A1:E665,4,FALSE),VLOOKUP(B13,'ADP'!A1:E665,5,FALSE))))</f>
        <v>0</v>
      </c>
      <c r="N13" s="77">
        <f>_xlfn.IFERROR(M13-A13,"N/A")</f>
        <v>-12</v>
      </c>
      <c r="O13" s="77"/>
      <c r="P13" t="s" s="78">
        <f>IF('Settings'!$E$27="ON",VLOOKUP(B13,'ADP'!A1:H665,8,FALSE)," ")</f>
        <v>138</v>
      </c>
      <c r="Q13" s="79">
        <f>IF('Settings'!$E$12="YES",VLOOKUP(B13,'Player Data'!A1:E667,5,FALSE),82)</f>
        <v>82.03</v>
      </c>
      <c r="R13" s="98">
        <f>VLOOKUP(B13,'Player Data'!$A1:$AE667,6,FALSE)</f>
        <v>24.832920092955</v>
      </c>
      <c r="S13" s="79">
        <f>VLOOKUP(B13,'Player Data'!$A1:$AE667,7,FALSE)*$Q13*_xlfn.IFERROR((VLOOKUP(P13,'Settings'!$E$28:$F$33,2,FALSE)+1),1)</f>
        <v>9.34407593458841</v>
      </c>
      <c r="T13" s="79">
        <f>VLOOKUP(B13,'Player Data'!$A1:$AE667,8,FALSE)*$Q13*_xlfn.IFERROR((VLOOKUP(P13,'Settings'!$E$28:$F$33,2,FALSE)+1),1)</f>
        <v>44.4058942260071</v>
      </c>
      <c r="U13" s="79">
        <f>SUM(S13:T13)</f>
        <v>53.7499701605955</v>
      </c>
      <c r="V13" s="79">
        <f>VLOOKUP(B13,'Player Data'!$A1:$AE667,10,FALSE)*$Q13*_xlfn.IFERROR(((VLOOKUP(P13,'Settings'!$E$28:$F$33,2,FALSE)/2)+1),1)</f>
        <v>166.549421098423</v>
      </c>
      <c r="W13" s="79">
        <f>VLOOKUP(B13,'Player Data'!$A1:$AE667,11,FALSE)*$Q13*_xlfn.IFERROR((VLOOKUP(P13,'Settings'!$E$28:$F$33,2,FALSE)+1),1)</f>
        <v>2.9597566353176</v>
      </c>
      <c r="X13" s="80">
        <f>VLOOKUP(B13,'Player Data'!$A1:$AE667,12,FALSE)*$Q13*_xlfn.IFERROR((VLOOKUP(P13,'Settings'!$E$28:$F$33,2,FALSE)+1),1)</f>
        <v>21.390292727370</v>
      </c>
      <c r="Y13" s="79">
        <f>VLOOKUP(B13,'Player Data'!$A1:$AE667,13,FALSE)*$Q13</f>
        <v>0.243885146545845</v>
      </c>
      <c r="Z13" s="79">
        <f>VLOOKUP(B13,'Player Data'!$A1:$AE667,14,FALSE)*$Q13</f>
        <v>1.18956190246439</v>
      </c>
      <c r="AA13" s="79">
        <f>VLOOKUP(B13,'Player Data'!$A1:$AE667,15,FALSE)*$Q13</f>
        <v>199.952996578827</v>
      </c>
      <c r="AB13" s="79">
        <f>VLOOKUP(B13,'Player Data'!$A1:$AE667,16,FALSE)*$Q13</f>
        <v>193.277839754302</v>
      </c>
      <c r="AC13" s="79">
        <f>VLOOKUP(B13,'Player Data'!$A1:$AE667,17,FALSE)*$Q13*_xlfn.IFERROR((VLOOKUP(P13,'Settings'!$E$28:$F$33,2,FALSE)+1),1)</f>
        <v>-5.22698072965433</v>
      </c>
      <c r="AD13" s="79">
        <f>VLOOKUP(B13,'Player Data'!$A1:$AE667,18,FALSE)*$Q13</f>
        <v>48.2442805914101</v>
      </c>
      <c r="AE13" s="79">
        <f>VLOOKUP(B13,'Player Data'!$A1:$AE667,19,FALSE)*$Q13*_xlfn.IFERROR((VLOOKUP(P13,'Settings'!$E$28:$F$33,2,FALSE)+1),1)</f>
        <v>1.28334029199434</v>
      </c>
      <c r="AF13" s="79">
        <f>VLOOKUP(B13,'Player Data'!$A1:$AE667,20,FALSE)*$Q13</f>
        <v>0</v>
      </c>
      <c r="AG13" s="79">
        <f>VLOOKUP(B13,'Player Data'!$A1:$AE667,21,FALSE)*$Q13</f>
        <v>0</v>
      </c>
      <c r="AH13" s="81">
        <f>VLOOKUP(B13,'Player Data'!$A1:$AE667,22,FALSE)</f>
        <v>0</v>
      </c>
      <c r="AI13" s="77"/>
      <c r="AJ13" s="89"/>
      <c r="AK13" s="79"/>
      <c r="AL13" s="79"/>
      <c r="AM13" s="79"/>
      <c r="AN13" s="79"/>
      <c r="AO13" s="79"/>
      <c r="AP13" s="79"/>
      <c r="AQ13" s="82"/>
      <c r="AR13" s="83"/>
      <c r="AS13" s="84"/>
    </row>
    <row r="14" ht="21.25" customHeight="1">
      <c r="A14" s="85">
        <f>RANK(K14,K$1:K$665)</f>
        <v>17</v>
      </c>
      <c r="B14" t="s" s="16">
        <v>159</v>
      </c>
      <c r="C14" t="s" s="69">
        <v>127</v>
      </c>
      <c r="D14" t="s" s="70">
        <f>VLOOKUP(B14,'Player Data'!A1:D667,4,FALSE)</f>
        <v>140</v>
      </c>
      <c r="E14" s="90">
        <f>VLOOKUP(B14,'RW'!A1:F136,3,FALSE)</f>
        <v>5</v>
      </c>
      <c r="F14" t="s" s="78">
        <f>VLOOKUP(B14,'Player Data'!A1:B667,2,FALSE)</f>
        <v>134</v>
      </c>
      <c r="G14" s="11">
        <f>VLOOKUP(B14,'Player Data'!A1:D667,3,FALSE)</f>
        <v>27</v>
      </c>
      <c r="H14" s="94">
        <f>_xlfn.IFERROR(VLOOKUP(B14,'ADP'!A1:G665,7,FALSE)/1000000,VLOOKUP(B14,'ADP'!A1:G665,7,FALSE))</f>
        <v>9.25</v>
      </c>
      <c r="I14" s="74">
        <f>IF('Settings'!$E$15="POINTS",((R14*Q14)*'Settings'!$B$12)+(S14*'Settings'!$B$2)+(T14*'Settings'!$B$3)+(U14*'Settings'!$B$4)+(V14*'Settings'!$B$5)+(X14*'Settings'!$B$9)+(AA14*'Settings'!$B$6)+(W14*'Settings'!$B$8)+(AB14*'Settings'!$B$7)+(AC14*'Settings'!$B$14)+(AD14*'Settings'!$B$15)+(AE14*'Settings'!$B$16)+(AF14*'Settings'!$B$17)+(AG14*'Settings'!$B$18)+(Y14*'Settings'!$B$10)+(Z14*'Settings'!$B$11),VLOOKUP(B14,'Standard Deviations'!A1:C666,3,FALSE))</f>
        <v>419.247272115142</v>
      </c>
      <c r="J14" s="75">
        <f>IF(D14="G",I14/AJ14,I14/Q14)</f>
        <v>5.17749023914964</v>
      </c>
      <c r="K14" s="74">
        <f>IF('Settings'!$E$18="C/LW/RW",VLOOKUP(B14,'RW'!A1:F136,6,FALSE),VLOOKUP(B14,'F'!A1:F392,6,FALSE))</f>
        <v>89.555378033964</v>
      </c>
      <c r="L14" s="76">
        <f>_xlfn.IFERROR(K14/H14,"N/A")</f>
        <v>9.681662490158271</v>
      </c>
      <c r="M14" s="77">
        <f>IF('Settings'!$E$9="YAHOO",VLOOKUP(B14,'ADP'!A1:E665,2,FALSE),IF('Settings'!$E$9="ESPN",VLOOKUP(B14,'ADP'!A1:E665,3,FALSE),IF('Settings'!$E$9="FANTRAX",VLOOKUP(B14,'ADP'!A1:E665,4,FALSE),VLOOKUP(B14,'ADP'!A1:E665,5,FALSE))))</f>
        <v>0</v>
      </c>
      <c r="N14" s="77">
        <f>_xlfn.IFERROR(M14-A14,"N/A")</f>
        <v>-17</v>
      </c>
      <c r="O14" s="77"/>
      <c r="P14" t="s" s="78">
        <f>IF('Settings'!$E$27="ON",VLOOKUP(B14,'ADP'!A1:H665,8,FALSE)," ")</f>
        <v>130</v>
      </c>
      <c r="Q14" s="79">
        <f>IF('Settings'!$E$12="YES",VLOOKUP(B14,'Player Data'!A1:E667,5,FALSE),82)</f>
        <v>80.97499999999999</v>
      </c>
      <c r="R14" s="77">
        <f>VLOOKUP(B14,'Player Data'!$A1:$AE667,6,FALSE)</f>
        <v>22.3161705801456</v>
      </c>
      <c r="S14" s="79">
        <f>VLOOKUP(B14,'Player Data'!$A1:$AE667,7,FALSE)*$Q14*_xlfn.IFERROR((VLOOKUP(P14,'Settings'!$E$28:$F$33,2,FALSE)+1),1)</f>
        <v>45.3402994046034</v>
      </c>
      <c r="T14" s="79">
        <f>VLOOKUP(B14,'Player Data'!$A1:$AE667,8,FALSE)*$Q14*_xlfn.IFERROR((VLOOKUP(P14,'Settings'!$E$28:$F$33,2,FALSE)+1),1)</f>
        <v>58.2872933078896</v>
      </c>
      <c r="U14" s="79">
        <f>SUM(S14:T14)</f>
        <v>103.627592712493</v>
      </c>
      <c r="V14" s="79">
        <f>VLOOKUP(B14,'Player Data'!$A1:$AE667,10,FALSE)*$Q14*_xlfn.IFERROR(((VLOOKUP(P14,'Settings'!$E$28:$F$33,2,FALSE)/2)+1),1)</f>
        <v>283.780718482722</v>
      </c>
      <c r="W14" s="79">
        <f>VLOOKUP(B14,'Player Data'!$A1:$AE667,11,FALSE)*$Q14*_xlfn.IFERROR((VLOOKUP(P14,'Settings'!$E$28:$F$33,2,FALSE)+1),1)</f>
        <v>13.0573801095408</v>
      </c>
      <c r="X14" s="80">
        <f>VLOOKUP(B14,'Player Data'!$A1:$AE667,12,FALSE)*$Q14*_xlfn.IFERROR((VLOOKUP(P14,'Settings'!$E$28:$F$33,2,FALSE)+1),1)</f>
        <v>35.8453530923396</v>
      </c>
      <c r="Y14" s="79">
        <f>VLOOKUP(B14,'Player Data'!$A1:$AE667,13,FALSE)*$Q14</f>
        <v>0.0132768400204342</v>
      </c>
      <c r="Z14" s="79">
        <f>VLOOKUP(B14,'Player Data'!$A1:$AE667,14,FALSE)*$Q14</f>
        <v>0.0224336982757302</v>
      </c>
      <c r="AA14" s="79">
        <f>VLOOKUP(B14,'Player Data'!$A1:$AE667,15,FALSE)*$Q14</f>
        <v>46.9129222297351</v>
      </c>
      <c r="AB14" s="79">
        <f>VLOOKUP(B14,'Player Data'!$A1:$AE667,16,FALSE)*$Q14</f>
        <v>60.2817962492446</v>
      </c>
      <c r="AC14" s="79">
        <f>VLOOKUP(B14,'Player Data'!$A1:$AE667,17,FALSE)*$Q14*_xlfn.IFERROR((VLOOKUP(P14,'Settings'!$E$28:$F$33,2,FALSE)+1),1)</f>
        <v>7.06612899374358</v>
      </c>
      <c r="AD14" s="79">
        <f>VLOOKUP(B14,'Player Data'!$A1:$AE667,18,FALSE)*$Q14</f>
        <v>55.3323866051629</v>
      </c>
      <c r="AE14" s="79">
        <f>VLOOKUP(B14,'Player Data'!$A1:$AE667,19,FALSE)*$Q14*_xlfn.IFERROR((VLOOKUP(P14,'Settings'!$E$28:$F$33,2,FALSE)+1),1)</f>
        <v>6.77432381531519</v>
      </c>
      <c r="AF14" s="79">
        <f>VLOOKUP(B14,'Player Data'!$A1:$AE667,20,FALSE)*$Q14</f>
        <v>244.147436524857</v>
      </c>
      <c r="AG14" s="79">
        <f>VLOOKUP(B14,'Player Data'!$A1:$AE667,21,FALSE)*$Q14</f>
        <v>239.042445959201</v>
      </c>
      <c r="AH14" s="81">
        <f>VLOOKUP(B14,'Player Data'!$A1:$AE667,22,FALSE)</f>
        <v>0.505282592569418</v>
      </c>
      <c r="AI14" s="77"/>
      <c r="AJ14" s="79"/>
      <c r="AK14" s="79"/>
      <c r="AL14" s="79"/>
      <c r="AM14" s="79"/>
      <c r="AN14" s="79"/>
      <c r="AO14" s="79"/>
      <c r="AP14" s="79"/>
      <c r="AQ14" s="82"/>
      <c r="AR14" s="83"/>
      <c r="AS14" s="93"/>
    </row>
    <row r="15" ht="21.25" customHeight="1">
      <c r="A15" s="85">
        <f>RANK(K15,K$1:K$665)</f>
        <v>11</v>
      </c>
      <c r="B15" t="s" s="16">
        <v>160</v>
      </c>
      <c r="C15" t="s" s="69">
        <v>127</v>
      </c>
      <c r="D15" t="s" s="70">
        <f>VLOOKUP(B15,'Player Data'!A1:D667,4,FALSE)</f>
        <v>161</v>
      </c>
      <c r="E15" s="99">
        <f>VLOOKUP(B15,'G'!A1:D65,3,FALSE)</f>
        <v>1</v>
      </c>
      <c r="F15" t="s" s="78">
        <f>VLOOKUP(B15,'Player Data'!A1:B667,2,FALSE)</f>
        <v>162</v>
      </c>
      <c r="G15" s="11">
        <f>VLOOKUP(B15,'Player Data'!A1:D667,3,FALSE)</f>
        <v>28</v>
      </c>
      <c r="H15" s="94">
        <f>_xlfn.IFERROR(VLOOKUP(B15,'ADP'!A1:G665,7,FALSE)/1000000,VLOOKUP(B15,'ADP'!A1:G665,7,FALSE))</f>
        <v>5.6667</v>
      </c>
      <c r="I15" s="74">
        <f>IF('Settings'!$E$15="POINTS",(AJ15*'Settings'!$B$29)+(AK15*'Settings'!$B$21)+(AL15*'Settings'!$B$22)+(AN15*'Settings'!$B$24)+(AO15*'Settings'!$B$25)+(AP15*'Settings'!$B$27)+(AM15*'Settings'!$B$23),VLOOKUP(B15,'Standard Deviations'!A1:C666,3,FALSE))</f>
        <v>362.884398628142</v>
      </c>
      <c r="J15" s="75">
        <f>IF(D15="G",I15/AJ15,I15/Q15)</f>
        <v>6.04807331046903</v>
      </c>
      <c r="K15" s="74">
        <f>VLOOKUP(B15,'G'!A1:F65,6,FALSE)</f>
        <v>95.293384063552</v>
      </c>
      <c r="L15" s="76">
        <f>_xlfn.IFERROR(K15/H15,"N/A")</f>
        <v>16.8163806207408</v>
      </c>
      <c r="M15" s="77">
        <f>IF('Settings'!$E$9="YAHOO",VLOOKUP(B15,'ADP'!A1:E665,2,FALSE),IF('Settings'!$E$9="ESPN",VLOOKUP(B15,'ADP'!A1:E665,3,FALSE),IF('Settings'!$E$9="FANTRAX",VLOOKUP(B15,'ADP'!A1:E665,4,FALSE),VLOOKUP(B15,'ADP'!A1:E665,5,FALSE))))</f>
        <v>0</v>
      </c>
      <c r="N15" s="77">
        <f>_xlfn.IFERROR(M15-A15,"N/A")</f>
        <v>-11</v>
      </c>
      <c r="O15" s="77"/>
      <c r="P15" t="s" s="78">
        <f>IF('Settings'!$E$27="ON",VLOOKUP(B15,'ADP'!A1:H665,8,FALSE)," ")</f>
        <v>130</v>
      </c>
      <c r="Q15" s="79"/>
      <c r="R15" s="77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81"/>
      <c r="AI15" s="77"/>
      <c r="AJ15" s="89">
        <f>VLOOKUP(B15,'Player Data'!$A1:$AE667,24,FALSE)</f>
        <v>60</v>
      </c>
      <c r="AK15" s="79">
        <f>VLOOKUP(B15,'Player Data'!$A1:$AE667,25,FALSE)*$AJ15*_xlfn.IFERROR((VLOOKUP(P15,'Settings'!$E$28:$F$33,2,FALSE)+1),1)</f>
        <v>38.8258503856324</v>
      </c>
      <c r="AL15" s="79">
        <f>AJ15-AK15-AM15</f>
        <v>13.6741496143676</v>
      </c>
      <c r="AM15" s="79">
        <f>VLOOKUP(B15,'Player Data'!$A1:$AE667,27,FALSE)*$AJ15</f>
        <v>7.5</v>
      </c>
      <c r="AN15" s="79">
        <f>VLOOKUP(B15,'Player Data'!$A1:$AE667,28,FALSE)*AJ15</f>
        <v>4.56990950899667</v>
      </c>
      <c r="AO15" s="79">
        <f>VLOOKUP(B15,'Player Data'!$A1:$AE667,29,FALSE)*$AJ15*_xlfn.IFERROR((VLOOKUP(P15,'Settings'!$E$28:$F$33,2,FALSE)/4)+1,1)</f>
        <v>1632.112533210180</v>
      </c>
      <c r="AP15" s="79">
        <f>VLOOKUP(B15,'Player Data'!$A1:$AE667,31,FALSE)*$AJ15*(_xlfn.IFERROR(1-(VLOOKUP(P15,'Settings'!$E$28:$F$33,2,FALSE)/4),1))</f>
        <v>150.959878004468</v>
      </c>
      <c r="AQ15" s="82">
        <f>1-(AP15/(AO15+AP15))</f>
        <v>0.9153372139824471</v>
      </c>
      <c r="AR15" s="83">
        <f>AP15/AJ15</f>
        <v>2.51599796674113</v>
      </c>
      <c r="AS15" s="84"/>
    </row>
    <row r="16" ht="21.25" customHeight="1">
      <c r="A16" s="85">
        <f>RANK(K16,K$1:K$665)</f>
        <v>15</v>
      </c>
      <c r="B16" t="s" s="16">
        <v>163</v>
      </c>
      <c r="C16" t="s" s="69">
        <v>127</v>
      </c>
      <c r="D16" t="s" s="70">
        <f>VLOOKUP(B16,'Player Data'!A1:D667,4,FALSE)</f>
        <v>153</v>
      </c>
      <c r="E16" s="95">
        <f>VLOOKUP(B16,'D'!A1:C213,3,FALSE)</f>
        <v>3</v>
      </c>
      <c r="F16" t="s" s="78">
        <f>VLOOKUP(B16,'Player Data'!A1:B667,2,FALSE)</f>
        <v>134</v>
      </c>
      <c r="G16" s="11">
        <f>VLOOKUP(B16,'Player Data'!A1:D667,3,FALSE)</f>
        <v>25</v>
      </c>
      <c r="H16" s="73">
        <f>_xlfn.IFERROR(VLOOKUP(B16,'ADP'!A1:G665,7,FALSE)/1000000,VLOOKUP(B16,'ADP'!A1:G665,7,FALSE))</f>
        <v>9</v>
      </c>
      <c r="I16" s="74">
        <f>IF('Settings'!$E$15="POINTS",((R16*Q16)*'Settings'!$B$12)+(S16*'Settings'!$B$2)+(T16*'Settings'!$B$3)+(U16*'Settings'!$B$4)+(V16*'Settings'!$B$5)+(X16*'Settings'!$B$9)+(AA16*'Settings'!$B$6)+(W16*'Settings'!$B$8)+(AB16*'Settings'!$B$7)+(AC16*'Settings'!$B$14)+(AD16*'Settings'!$B$15)+(AE16*'Settings'!$B$16)+(AF16*'Settings'!$B$17)+(AG16*'Settings'!$B$18)+(U16*'Settings'!$B$13)+(Y16*'Settings'!$B$10)+(Z16*'Settings'!$B$11),VLOOKUP(B16,'Standard Deviations'!A1:C666,3,FALSE))</f>
        <v>421.530361173324</v>
      </c>
      <c r="J16" s="75">
        <f>IF(D16="G",I16/AJ16,I16/Q16)</f>
        <v>5.43086753854896</v>
      </c>
      <c r="K16" s="74">
        <f>VLOOKUP(B16,'D'!A1:F213,6,FALSE)</f>
        <v>89.990153253242</v>
      </c>
      <c r="L16" s="76">
        <f>_xlfn.IFERROR(K16/H16,"N/A")</f>
        <v>9.998905917026891</v>
      </c>
      <c r="M16" s="77">
        <f>IF('Settings'!$E$9="YAHOO",VLOOKUP(B16,'ADP'!A1:E665,2,FALSE),IF('Settings'!$E$9="ESPN",VLOOKUP(B16,'ADP'!A1:E665,3,FALSE),IF('Settings'!$E$9="FANTRAX",VLOOKUP(B16,'ADP'!A1:E665,4,FALSE),VLOOKUP(B16,'ADP'!A1:E665,5,FALSE))))</f>
        <v>0</v>
      </c>
      <c r="N16" s="77">
        <f>_xlfn.IFERROR(M16-A16,"N/A")</f>
        <v>-15</v>
      </c>
      <c r="O16" s="77"/>
      <c r="P16" t="s" s="78">
        <f>IF('Settings'!$E$27="ON",VLOOKUP(B16,'ADP'!A1:H665,8,FALSE)," ")</f>
        <v>138</v>
      </c>
      <c r="Q16" s="79">
        <f>IF('Settings'!$E$12="YES",VLOOKUP(B16,'Player Data'!A1:E667,5,FALSE),82)</f>
        <v>77.61750000000001</v>
      </c>
      <c r="R16" s="77">
        <f>VLOOKUP(B16,'Player Data'!$A1:$AE667,6,FALSE)</f>
        <v>25.8365966373684</v>
      </c>
      <c r="S16" s="79">
        <f>VLOOKUP(B16,'Player Data'!$A1:$AE667,7,FALSE)*$Q16*_xlfn.IFERROR((VLOOKUP(P16,'Settings'!$E$28:$F$33,2,FALSE)+1),1)</f>
        <v>22.1694745746487</v>
      </c>
      <c r="T16" s="79">
        <f>VLOOKUP(B16,'Player Data'!$A1:$AE667,8,FALSE)*$Q16*_xlfn.IFERROR((VLOOKUP(P16,'Settings'!$E$28:$F$33,2,FALSE)+1),1)</f>
        <v>65.06913378836791</v>
      </c>
      <c r="U16" s="79">
        <f>SUM(S16:T16)</f>
        <v>87.2386083630166</v>
      </c>
      <c r="V16" s="79">
        <f>VLOOKUP(B16,'Player Data'!$A1:$AE667,10,FALSE)*$Q16*_xlfn.IFERROR(((VLOOKUP(P16,'Settings'!$E$28:$F$33,2,FALSE)/2)+1),1)</f>
        <v>233.990139307589</v>
      </c>
      <c r="W16" s="79">
        <f>VLOOKUP(B16,'Player Data'!$A1:$AE667,11,FALSE)*$Q16*_xlfn.IFERROR((VLOOKUP(P16,'Settings'!$E$28:$F$33,2,FALSE)+1),1)</f>
        <v>7.25998943579706</v>
      </c>
      <c r="X16" s="80">
        <f>VLOOKUP(B16,'Player Data'!$A1:$AE667,12,FALSE)*$Q16*_xlfn.IFERROR((VLOOKUP(P16,'Settings'!$E$28:$F$33,2,FALSE)+1),1)</f>
        <v>37.6622293321898</v>
      </c>
      <c r="Y16" s="79">
        <f>VLOOKUP(B16,'Player Data'!$A1:$AE667,13,FALSE)*$Q16</f>
        <v>0.492698654373481</v>
      </c>
      <c r="Z16" s="79">
        <f>VLOOKUP(B16,'Player Data'!$A1:$AE667,14,FALSE)*$Q16</f>
        <v>1.98703008595895</v>
      </c>
      <c r="AA16" s="79">
        <f>VLOOKUP(B16,'Player Data'!$A1:$AE667,15,FALSE)*$Q16</f>
        <v>139.850452290956</v>
      </c>
      <c r="AB16" s="79">
        <f>VLOOKUP(B16,'Player Data'!$A1:$AE667,16,FALSE)*$Q16</f>
        <v>59.9570227490988</v>
      </c>
      <c r="AC16" s="79">
        <f>VLOOKUP(B16,'Player Data'!$A1:$AE667,17,FALSE)*$Q16*_xlfn.IFERROR((VLOOKUP(P16,'Settings'!$E$28:$F$33,2,FALSE)+1),1)</f>
        <v>5.01033286125809</v>
      </c>
      <c r="AD16" s="79">
        <f>VLOOKUP(B16,'Player Data'!$A1:$AE667,18,FALSE)*$Q16</f>
        <v>29.0785201784657</v>
      </c>
      <c r="AE16" s="79">
        <f>VLOOKUP(B16,'Player Data'!$A1:$AE667,19,FALSE)*$Q16*_xlfn.IFERROR((VLOOKUP(P16,'Settings'!$E$28:$F$33,2,FALSE)+1),1)</f>
        <v>3.31235570907632</v>
      </c>
      <c r="AF16" s="79">
        <f>VLOOKUP(B16,'Player Data'!$A1:$AE667,20,FALSE)*$Q16</f>
        <v>0</v>
      </c>
      <c r="AG16" s="79">
        <f>VLOOKUP(B16,'Player Data'!$A1:$AE667,21,FALSE)*$Q16</f>
        <v>0</v>
      </c>
      <c r="AH16" s="81">
        <f>VLOOKUP(B16,'Player Data'!$A1:$AE667,22,FALSE)</f>
        <v>0</v>
      </c>
      <c r="AI16" s="77"/>
      <c r="AJ16" s="89"/>
      <c r="AK16" s="79"/>
      <c r="AL16" s="79"/>
      <c r="AM16" s="79"/>
      <c r="AN16" s="79"/>
      <c r="AO16" s="79"/>
      <c r="AP16" s="79"/>
      <c r="AQ16" s="82"/>
      <c r="AR16" s="83"/>
      <c r="AS16" s="84"/>
    </row>
    <row r="17" ht="21.25" customHeight="1">
      <c r="A17" s="85">
        <f>RANK(K17,K$1:K$665)</f>
        <v>13</v>
      </c>
      <c r="B17" t="s" s="16">
        <v>164</v>
      </c>
      <c r="C17" t="s" s="69">
        <v>127</v>
      </c>
      <c r="D17" t="s" s="70">
        <f>VLOOKUP(B17,'Player Data'!A1:D667,4,FALSE)</f>
        <v>161</v>
      </c>
      <c r="E17" s="99">
        <f>VLOOKUP(B17,'G'!A1:D65,3,FALSE)</f>
        <v>2</v>
      </c>
      <c r="F17" t="s" s="86">
        <f>VLOOKUP(B17,'Player Data'!A1:B667,2,FALSE)</f>
        <v>165</v>
      </c>
      <c r="G17" s="11">
        <f>VLOOKUP(B17,'Player Data'!A1:D667,3,FALSE)</f>
        <v>29</v>
      </c>
      <c r="H17" s="73">
        <f>_xlfn.IFERROR(VLOOKUP(B17,'ADP'!A1:G665,7,FALSE)/1000000,VLOOKUP(B17,'ADP'!A1:G665,7,FALSE))</f>
        <v>5</v>
      </c>
      <c r="I17" s="74">
        <f>IF('Settings'!$E$15="POINTS",(AJ17*'Settings'!$B$29)+(AK17*'Settings'!$B$21)+(AL17*'Settings'!$B$22)+(AN17*'Settings'!$B$24)+(AO17*'Settings'!$B$25)+(AP17*'Settings'!$B$27)+(AM17*'Settings'!$B$23),VLOOKUP(B17,'Standard Deviations'!A1:C666,3,FALSE))</f>
        <v>359.887086113392</v>
      </c>
      <c r="J17" s="75">
        <f>IF(D17="G",I17/AJ17,I17/Q17)</f>
        <v>5.99811810188987</v>
      </c>
      <c r="K17" s="74">
        <f>VLOOKUP(B17,'G'!A1:F65,6,FALSE)</f>
        <v>92.296071548802</v>
      </c>
      <c r="L17" s="76">
        <f>_xlfn.IFERROR(K17/H17,"N/A")</f>
        <v>18.4592143097604</v>
      </c>
      <c r="M17" s="77">
        <f>IF('Settings'!$E$9="YAHOO",VLOOKUP(B17,'ADP'!A1:E665,2,FALSE),IF('Settings'!$E$9="ESPN",VLOOKUP(B17,'ADP'!A1:E665,3,FALSE),IF('Settings'!$E$9="FANTRAX",VLOOKUP(B17,'ADP'!A1:E665,4,FALSE),VLOOKUP(B17,'ADP'!A1:E665,5,FALSE))))</f>
        <v>0</v>
      </c>
      <c r="N17" s="77">
        <f>_xlfn.IFERROR(M17-A17,"N/A")</f>
        <v>-13</v>
      </c>
      <c r="O17" s="77"/>
      <c r="P17" t="s" s="78">
        <f>IF('Settings'!$E$27="ON",VLOOKUP(B17,'ADP'!A1:H665,8,FALSE)," ")</f>
        <v>130</v>
      </c>
      <c r="Q17" s="79"/>
      <c r="R17" s="77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81"/>
      <c r="AI17" s="77"/>
      <c r="AJ17" s="89">
        <f>VLOOKUP(B17,'Player Data'!$A1:$AE667,24,FALSE)</f>
        <v>60</v>
      </c>
      <c r="AK17" s="79">
        <f>VLOOKUP(B17,'Player Data'!$A1:$AE667,25,FALSE)*$AJ17*_xlfn.IFERROR((VLOOKUP(P17,'Settings'!$E$28:$F$33,2,FALSE)+1),1)</f>
        <v>36.7587019457747</v>
      </c>
      <c r="AL17" s="79">
        <f>AJ17-AK17-AM17</f>
        <v>15.7412980542253</v>
      </c>
      <c r="AM17" s="79">
        <f>VLOOKUP(B17,'Player Data'!$A1:$AE667,27,FALSE)*$AJ17</f>
        <v>7.5</v>
      </c>
      <c r="AN17" s="79">
        <f>VLOOKUP(B17,'Player Data'!$A1:$AE667,28,FALSE)*AJ17</f>
        <v>4.03341365310347</v>
      </c>
      <c r="AO17" s="79">
        <f>VLOOKUP(B17,'Player Data'!$A1:$AE667,29,FALSE)*$AJ17*_xlfn.IFERROR((VLOOKUP(P17,'Settings'!$E$28:$F$33,2,FALSE)/4)+1,1)</f>
        <v>1673.015273992540</v>
      </c>
      <c r="AP17" s="79">
        <f>VLOOKUP(B17,'Player Data'!$A1:$AE667,31,FALSE)*$AJ17*(_xlfn.IFERROR(1-(VLOOKUP(P17,'Settings'!$E$28:$F$33,2,FALSE)/4),1))</f>
        <v>157.428299313892</v>
      </c>
      <c r="AQ17" s="82">
        <f>1-(AP17/(AO17+AP17))</f>
        <v>0.913994453798147</v>
      </c>
      <c r="AR17" s="83">
        <f>AP17/AJ17</f>
        <v>2.62380498856487</v>
      </c>
      <c r="AS17" s="84"/>
    </row>
    <row r="18" ht="21.25" customHeight="1">
      <c r="A18" s="85">
        <f>RANK(K18,K$1:K$665)</f>
        <v>18</v>
      </c>
      <c r="B18" t="s" s="16">
        <v>166</v>
      </c>
      <c r="C18" t="s" s="69">
        <v>127</v>
      </c>
      <c r="D18" t="s" s="70">
        <f>VLOOKUP(B18,'Player Data'!A1:D667,4,FALSE)</f>
        <v>140</v>
      </c>
      <c r="E18" s="90">
        <f>VLOOKUP(B18,'RW'!A1:F136,3,FALSE)</f>
        <v>6</v>
      </c>
      <c r="F18" t="s" s="86">
        <f>VLOOKUP(B18,'Player Data'!A1:B667,2,FALSE)</f>
        <v>132</v>
      </c>
      <c r="G18" s="11">
        <f>VLOOKUP(B18,'Player Data'!A1:D667,3,FALSE)</f>
        <v>27</v>
      </c>
      <c r="H18" s="94">
        <f>_xlfn.IFERROR(VLOOKUP(B18,'ADP'!A1:G665,7,FALSE)/1000000,VLOOKUP(B18,'ADP'!A1:G665,7,FALSE))</f>
        <v>10.903</v>
      </c>
      <c r="I18" s="74">
        <f>IF('Settings'!$E$15="POINTS",((R18*Q18)*'Settings'!$B$12)+(S18*'Settings'!$B$2)+(T18*'Settings'!$B$3)+(U18*'Settings'!$B$4)+(V18*'Settings'!$B$5)+(X18*'Settings'!$B$9)+(AA18*'Settings'!$B$6)+(W18*'Settings'!$B$8)+(AB18*'Settings'!$B$7)+(AC18*'Settings'!$B$14)+(AD18*'Settings'!$B$15)+(AE18*'Settings'!$B$16)+(AF18*'Settings'!$B$17)+(AG18*'Settings'!$B$18)+(Y18*'Settings'!$B$10)+(Z18*'Settings'!$B$11),VLOOKUP(B18,'Standard Deviations'!A1:C666,3,FALSE))</f>
        <v>411.658724468524</v>
      </c>
      <c r="J18" s="75">
        <f>IF(D18="G",I18/AJ18,I18/Q18)</f>
        <v>5.247569705453</v>
      </c>
      <c r="K18" s="74">
        <f>IF('Settings'!$E$18="C/LW/RW",VLOOKUP(B18,'RW'!A1:F136,6,FALSE),VLOOKUP(B18,'F'!A1:F392,6,FALSE))</f>
        <v>81.96683038734599</v>
      </c>
      <c r="L18" s="76">
        <f>_xlfn.IFERROR(K18/H18,"N/A")</f>
        <v>7.51782357033349</v>
      </c>
      <c r="M18" s="77">
        <f>IF('Settings'!$E$9="YAHOO",VLOOKUP(B18,'ADP'!A1:E665,2,FALSE),IF('Settings'!$E$9="ESPN",VLOOKUP(B18,'ADP'!A1:E665,3,FALSE),IF('Settings'!$E$9="FANTRAX",VLOOKUP(B18,'ADP'!A1:E665,4,FALSE),VLOOKUP(B18,'ADP'!A1:E665,5,FALSE))))</f>
        <v>0</v>
      </c>
      <c r="N18" s="77">
        <f>_xlfn.IFERROR(M18-A18,"N/A")</f>
        <v>-18</v>
      </c>
      <c r="O18" s="77"/>
      <c r="P18" t="s" s="78">
        <f>IF('Settings'!$E$27="ON",VLOOKUP(B18,'ADP'!A1:H665,8,FALSE)," ")</f>
        <v>130</v>
      </c>
      <c r="Q18" s="79">
        <f>IF('Settings'!$E$12="YES",VLOOKUP(B18,'Player Data'!A1:E667,5,FALSE),82)</f>
        <v>78.44750000000001</v>
      </c>
      <c r="R18" s="77">
        <f>VLOOKUP(B18,'Player Data'!$A1:$AE667,6,FALSE)</f>
        <v>21.8289999332322</v>
      </c>
      <c r="S18" s="79">
        <f>VLOOKUP(B18,'Player Data'!$A1:$AE667,7,FALSE)*$Q18*_xlfn.IFERROR((VLOOKUP(P18,'Settings'!$E$28:$F$33,2,FALSE)+1),1)</f>
        <v>34.3463819819613</v>
      </c>
      <c r="T18" s="79">
        <f>VLOOKUP(B18,'Player Data'!$A1:$AE667,8,FALSE)*$Q18*_xlfn.IFERROR((VLOOKUP(P18,'Settings'!$E$28:$F$33,2,FALSE)+1),1)</f>
        <v>71.2707258416921</v>
      </c>
      <c r="U18" s="79">
        <f>SUM(S18:T18)</f>
        <v>105.617107823653</v>
      </c>
      <c r="V18" s="79">
        <f>VLOOKUP(B18,'Player Data'!$A1:$AE667,10,FALSE)*$Q18*_xlfn.IFERROR(((VLOOKUP(P18,'Settings'!$E$28:$F$33,2,FALSE)/2)+1),1)</f>
        <v>210.364357795105</v>
      </c>
      <c r="W18" s="79">
        <f>VLOOKUP(B18,'Player Data'!$A1:$AE667,11,FALSE)*$Q18*_xlfn.IFERROR((VLOOKUP(P18,'Settings'!$E$28:$F$33,2,FALSE)+1),1)</f>
        <v>10.2303882809676</v>
      </c>
      <c r="X18" s="80">
        <f>VLOOKUP(B18,'Player Data'!$A1:$AE667,12,FALSE)*$Q18*_xlfn.IFERROR((VLOOKUP(P18,'Settings'!$E$28:$F$33,2,FALSE)+1),1)</f>
        <v>35.7248023123412</v>
      </c>
      <c r="Y18" s="79">
        <f>VLOOKUP(B18,'Player Data'!$A1:$AE667,13,FALSE)*$Q18</f>
        <v>2.00745928074358</v>
      </c>
      <c r="Z18" s="79">
        <f>VLOOKUP(B18,'Player Data'!$A1:$AE667,14,FALSE)*$Q18</f>
        <v>2.58549290360651</v>
      </c>
      <c r="AA18" s="79">
        <f>VLOOKUP(B18,'Player Data'!$A1:$AE667,15,FALSE)*$Q18</f>
        <v>52.6720392791671</v>
      </c>
      <c r="AB18" s="79">
        <f>VLOOKUP(B18,'Player Data'!$A1:$AE667,16,FALSE)*$Q18</f>
        <v>68.14080803411601</v>
      </c>
      <c r="AC18" s="79">
        <f>VLOOKUP(B18,'Player Data'!$A1:$AE667,17,FALSE)*$Q18*_xlfn.IFERROR((VLOOKUP(P18,'Settings'!$E$28:$F$33,2,FALSE)+1),1)</f>
        <v>9.494350476517161</v>
      </c>
      <c r="AD18" s="79">
        <f>VLOOKUP(B18,'Player Data'!$A1:$AE667,18,FALSE)*$Q18</f>
        <v>26.1187322841219</v>
      </c>
      <c r="AE18" s="79">
        <f>VLOOKUP(B18,'Player Data'!$A1:$AE667,19,FALSE)*$Q18*_xlfn.IFERROR((VLOOKUP(P18,'Settings'!$E$28:$F$33,2,FALSE)+1),1)</f>
        <v>5.49480543756138</v>
      </c>
      <c r="AF18" s="79">
        <f>VLOOKUP(B18,'Player Data'!$A1:$AE667,20,FALSE)*$Q18</f>
        <v>3.767252598821</v>
      </c>
      <c r="AG18" s="79">
        <f>VLOOKUP(B18,'Player Data'!$A1:$AE667,21,FALSE)*$Q18</f>
        <v>12.7536256224605</v>
      </c>
      <c r="AH18" s="81">
        <f>VLOOKUP(B18,'Player Data'!$A1:$AE667,22,FALSE)</f>
        <v>0.228029802554212</v>
      </c>
      <c r="AI18" s="77"/>
      <c r="AJ18" s="79"/>
      <c r="AK18" s="79"/>
      <c r="AL18" s="79"/>
      <c r="AM18" s="79"/>
      <c r="AN18" s="79"/>
      <c r="AO18" s="79"/>
      <c r="AP18" s="79"/>
      <c r="AQ18" s="82"/>
      <c r="AR18" s="83"/>
      <c r="AS18" s="84"/>
    </row>
    <row r="19" ht="21.25" customHeight="1">
      <c r="A19" s="85">
        <f>RANK(K19,K$1:K$665)</f>
        <v>16</v>
      </c>
      <c r="B19" t="s" s="16">
        <v>167</v>
      </c>
      <c r="C19" t="s" s="69">
        <v>127</v>
      </c>
      <c r="D19" t="s" s="70">
        <f>VLOOKUP(B19,'Player Data'!A1:D667,4,FALSE)</f>
        <v>161</v>
      </c>
      <c r="E19" s="99">
        <f>VLOOKUP(B19,'G'!A1:D65,3,FALSE)</f>
        <v>3</v>
      </c>
      <c r="F19" t="s" s="78">
        <f>VLOOKUP(B19,'Player Data'!A1:B667,2,FALSE)</f>
        <v>168</v>
      </c>
      <c r="G19" s="11">
        <f>VLOOKUP(B19,'Player Data'!A1:D667,3,FALSE)</f>
        <v>31</v>
      </c>
      <c r="H19" s="73">
        <f>_xlfn.IFERROR(VLOOKUP(B19,'ADP'!A1:G665,7,FALSE)/1000000,VLOOKUP(B19,'ADP'!A1:G665,7,FALSE))</f>
        <v>8.5</v>
      </c>
      <c r="I19" s="74">
        <f>IF('Settings'!$E$15="POINTS",(AJ19*'Settings'!$B$29)+(AK19*'Settings'!$B$21)+(AL19*'Settings'!$B$22)+(AN19*'Settings'!$B$24)+(AO19*'Settings'!$B$25)+(AP19*'Settings'!$B$27)+(AM19*'Settings'!$B$23),VLOOKUP(B19,'Standard Deviations'!A1:C666,3,FALSE))</f>
        <v>357.579125488440</v>
      </c>
      <c r="J19" s="75">
        <f>IF(D19="G",I19/AJ19,I19/Q19)</f>
        <v>5.959652091474</v>
      </c>
      <c r="K19" s="74">
        <f>VLOOKUP(B19,'G'!A1:F65,6,FALSE)</f>
        <v>89.988110923850</v>
      </c>
      <c r="L19" s="76">
        <f>_xlfn.IFERROR(K19/H19,"N/A")</f>
        <v>10.5868365792765</v>
      </c>
      <c r="M19" s="77">
        <f>IF('Settings'!$E$9="YAHOO",VLOOKUP(B19,'ADP'!A1:E665,2,FALSE),IF('Settings'!$E$9="ESPN",VLOOKUP(B19,'ADP'!A1:E665,3,FALSE),IF('Settings'!$E$9="FANTRAX",VLOOKUP(B19,'ADP'!A1:E665,4,FALSE),VLOOKUP(B19,'ADP'!A1:E665,5,FALSE))))</f>
        <v>0</v>
      </c>
      <c r="N19" s="77">
        <f>_xlfn.IFERROR(M19-A19,"N/A")</f>
        <v>-16</v>
      </c>
      <c r="O19" s="77"/>
      <c r="P19" t="s" s="78">
        <f>IF('Settings'!$E$27="ON",VLOOKUP(B19,'ADP'!A1:H665,8,FALSE)," ")</f>
        <v>138</v>
      </c>
      <c r="Q19" s="79"/>
      <c r="R19" s="77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81"/>
      <c r="AI19" s="77"/>
      <c r="AJ19" s="89">
        <f>VLOOKUP(B19,'Player Data'!$A1:$AE667,24,FALSE)</f>
        <v>60</v>
      </c>
      <c r="AK19" s="79">
        <f>VLOOKUP(B19,'Player Data'!$A1:$AE667,25,FALSE)*$AJ19*_xlfn.IFERROR((VLOOKUP(P19,'Settings'!$E$28:$F$33,2,FALSE)+1),1)</f>
        <v>35.6813643049276</v>
      </c>
      <c r="AL19" s="79">
        <f>AJ19-AK19-AM19</f>
        <v>16.8186356950724</v>
      </c>
      <c r="AM19" s="79">
        <f>VLOOKUP(B19,'Player Data'!$A1:$AE667,27,FALSE)*$AJ19</f>
        <v>7.5</v>
      </c>
      <c r="AN19" s="79">
        <f>VLOOKUP(B19,'Player Data'!$A1:$AE667,28,FALSE)*AJ19</f>
        <v>5.03830072828934</v>
      </c>
      <c r="AO19" s="79">
        <f>VLOOKUP(B19,'Player Data'!$A1:$AE667,29,FALSE)*$AJ19*_xlfn.IFERROR((VLOOKUP(P19,'Settings'!$E$28:$F$33,2,FALSE)/4)+1,1)</f>
        <v>1614.350434866640</v>
      </c>
      <c r="AP19" s="79">
        <f>VLOOKUP(B19,'Player Data'!$A1:$AE667,31,FALSE)*$AJ19*(_xlfn.IFERROR(1-(VLOOKUP(P19,'Settings'!$E$28:$F$33,2,FALSE)/4),1))</f>
        <v>146.764974553968</v>
      </c>
      <c r="AQ19" s="82">
        <f>1-(AP19/(AO19+AP19))</f>
        <v>0.916663624786378</v>
      </c>
      <c r="AR19" s="83">
        <f>AP19/AJ19</f>
        <v>2.4460829092328</v>
      </c>
      <c r="AS19" s="84"/>
    </row>
    <row r="20" ht="21.25" customHeight="1">
      <c r="A20" s="85">
        <f>RANK(K20,K$1:K$665)</f>
        <v>22</v>
      </c>
      <c r="B20" t="s" s="16">
        <v>169</v>
      </c>
      <c r="C20" t="s" s="69">
        <v>127</v>
      </c>
      <c r="D20" t="s" s="70">
        <f>VLOOKUP(B20,'Player Data'!A1:D667,4,FALSE)</f>
        <v>128</v>
      </c>
      <c r="E20" s="71">
        <f>VLOOKUP(B20,'C'!A1:C206,3,FALSE)</f>
        <v>8</v>
      </c>
      <c r="F20" t="s" s="92">
        <f>VLOOKUP(B20,'Player Data'!A1:B667,2,FALSE)</f>
        <v>170</v>
      </c>
      <c r="G20" s="91">
        <f>VLOOKUP(B20,'Player Data'!A1:D667,3,FALSE)</f>
        <v>31</v>
      </c>
      <c r="H20" s="73">
        <f>_xlfn.IFERROR(VLOOKUP(B20,'ADP'!A1:G665,7,FALSE)/1000000,VLOOKUP(B20,'ADP'!A1:G665,7,FALSE))</f>
        <v>5.625</v>
      </c>
      <c r="I20" s="74">
        <f>IF('Settings'!$E$15="POINTS",((R20*Q20)*'Settings'!$B$12)+(S20*'Settings'!$B$2)+(T20*'Settings'!$B$3)+(U20*'Settings'!$B$4)+(V20*'Settings'!$B$5)+(X20*'Settings'!$B$9)+(AA20*'Settings'!$B$6)+(W20*'Settings'!$B$8)+(AB20*'Settings'!$B$7)+(AC20*'Settings'!$B$14)+(AD20*'Settings'!$B$15)+(AE20*'Settings'!$B$16)+(AF20*'Settings'!$B$17)+(AG20*'Settings'!$B$18)+(Y20*'Settings'!$B$10)+(Z20*'Settings'!$B$11),VLOOKUP(B20,'Standard Deviations'!A1:C666,3,FALSE))</f>
        <v>401.623691281516</v>
      </c>
      <c r="J20" s="75">
        <f>IF(D20="G",I20/AJ20,I20/Q20)</f>
        <v>4.90203455732352</v>
      </c>
      <c r="K20" s="74">
        <f>IF('Settings'!$E$18="C/LW/RW",VLOOKUP(B20,'C'!A1:F206,6,FALSE),VLOOKUP(B20,'F'!A1:F392,6,FALSE))</f>
        <v>71.931797200338</v>
      </c>
      <c r="L20" s="76">
        <f>_xlfn.IFERROR(K20/H20,"N/A")</f>
        <v>12.7878750578379</v>
      </c>
      <c r="M20" s="77">
        <f>IF('Settings'!$E$9="YAHOO",VLOOKUP(B20,'ADP'!A1:E665,2,FALSE),IF('Settings'!$E$9="ESPN",VLOOKUP(B20,'ADP'!A1:E665,3,FALSE),IF('Settings'!$E$9="FANTRAX",VLOOKUP(B20,'ADP'!A1:E665,4,FALSE),VLOOKUP(B20,'ADP'!A1:E665,5,FALSE))))</f>
        <v>0</v>
      </c>
      <c r="N20" s="77">
        <f>_xlfn.IFERROR(M20-A20,"N/A")</f>
        <v>-22</v>
      </c>
      <c r="O20" s="77"/>
      <c r="P20" t="s" s="78">
        <f>IF('Settings'!$E$27="ON",VLOOKUP(B20,'ADP'!A1:H665,8,FALSE)," ")</f>
        <v>138</v>
      </c>
      <c r="Q20" s="79">
        <f>IF('Settings'!$E$12="YES",VLOOKUP(B20,'Player Data'!A1:E667,5,FALSE),82)</f>
        <v>81.93000000000001</v>
      </c>
      <c r="R20" s="77">
        <f>VLOOKUP(B20,'Player Data'!$A1:$AE667,6,FALSE)</f>
        <v>21.6046958174308</v>
      </c>
      <c r="S20" s="79">
        <f>VLOOKUP(B20,'Player Data'!$A1:$AE667,7,FALSE)*$Q20*_xlfn.IFERROR((VLOOKUP(P20,'Settings'!$E$28:$F$33,2,FALSE)+1),1)</f>
        <v>25.0197076001441</v>
      </c>
      <c r="T20" s="79">
        <f>VLOOKUP(B20,'Player Data'!$A1:$AE667,8,FALSE)*$Q20*_xlfn.IFERROR((VLOOKUP(P20,'Settings'!$E$28:$F$33,2,FALSE)+1),1)</f>
        <v>46.6204329128879</v>
      </c>
      <c r="U20" s="79">
        <f>SUM(S20:T20)</f>
        <v>71.64014051303199</v>
      </c>
      <c r="V20" s="79">
        <f>VLOOKUP(B20,'Player Data'!$A1:$AE667,10,FALSE)*$Q20*_xlfn.IFERROR(((VLOOKUP(P20,'Settings'!$E$28:$F$33,2,FALSE)/2)+1),1)</f>
        <v>222.024673658653</v>
      </c>
      <c r="W20" s="79">
        <f>VLOOKUP(B20,'Player Data'!$A1:$AE667,11,FALSE)*$Q20*_xlfn.IFERROR((VLOOKUP(P20,'Settings'!$E$28:$F$33,2,FALSE)+1),1)</f>
        <v>8.869587842375481</v>
      </c>
      <c r="X20" s="80">
        <f>VLOOKUP(B20,'Player Data'!$A1:$AE667,12,FALSE)*$Q20*_xlfn.IFERROR((VLOOKUP(P20,'Settings'!$E$28:$F$33,2,FALSE)+1),1)</f>
        <v>19.5686087843519</v>
      </c>
      <c r="Y20" s="79">
        <f>VLOOKUP(B20,'Player Data'!$A1:$AE667,13,FALSE)*$Q20</f>
        <v>0.706640954208567</v>
      </c>
      <c r="Z20" s="79">
        <f>VLOOKUP(B20,'Player Data'!$A1:$AE667,14,FALSE)*$Q20</f>
        <v>0.8582423522953599</v>
      </c>
      <c r="AA20" s="79">
        <f>VLOOKUP(B20,'Player Data'!$A1:$AE667,15,FALSE)*$Q20</f>
        <v>73.5958816636839</v>
      </c>
      <c r="AB20" s="79">
        <f>VLOOKUP(B20,'Player Data'!$A1:$AE667,16,FALSE)*$Q20</f>
        <v>169.669542378403</v>
      </c>
      <c r="AC20" s="79">
        <f>VLOOKUP(B20,'Player Data'!$A1:$AE667,17,FALSE)*$Q20*_xlfn.IFERROR((VLOOKUP(P20,'Settings'!$E$28:$F$33,2,FALSE)+1),1)</f>
        <v>5.27447499012908</v>
      </c>
      <c r="AD20" s="79">
        <f>VLOOKUP(B20,'Player Data'!$A1:$AE667,18,FALSE)*$Q20</f>
        <v>61.8569248066435</v>
      </c>
      <c r="AE20" s="79">
        <f>VLOOKUP(B20,'Player Data'!$A1:$AE667,19,FALSE)*$Q20*_xlfn.IFERROR((VLOOKUP(P20,'Settings'!$E$28:$F$33,2,FALSE)+1),1)</f>
        <v>4.08967896704928</v>
      </c>
      <c r="AF20" s="79">
        <f>VLOOKUP(B20,'Player Data'!$A1:$AE667,20,FALSE)*$Q20</f>
        <v>854.773716721144</v>
      </c>
      <c r="AG20" s="79">
        <f>VLOOKUP(B20,'Player Data'!$A1:$AE667,21,FALSE)*$Q20</f>
        <v>646.214847375127</v>
      </c>
      <c r="AH20" s="81">
        <f>VLOOKUP(B20,'Player Data'!$A1:$AE667,22,FALSE)</f>
        <v>0.569473836888156</v>
      </c>
      <c r="AI20" s="77"/>
      <c r="AJ20" s="89"/>
      <c r="AK20" s="79"/>
      <c r="AL20" s="79"/>
      <c r="AM20" s="79"/>
      <c r="AN20" s="79"/>
      <c r="AO20" s="79"/>
      <c r="AP20" s="79"/>
      <c r="AQ20" s="82"/>
      <c r="AR20" s="83"/>
      <c r="AS20" s="84"/>
    </row>
    <row r="21" ht="21.25" customHeight="1">
      <c r="A21" s="85">
        <f>RANK(K21,K$1:K$665)</f>
        <v>24</v>
      </c>
      <c r="B21" t="s" s="16">
        <v>171</v>
      </c>
      <c r="C21" t="s" s="69">
        <v>127</v>
      </c>
      <c r="D21" t="s" s="70">
        <f>VLOOKUP(B21,'Player Data'!A1:D667,4,FALSE)</f>
        <v>128</v>
      </c>
      <c r="E21" s="71">
        <f>VLOOKUP(B21,'C'!A1:C206,3,FALSE)</f>
        <v>9</v>
      </c>
      <c r="F21" t="s" s="100">
        <f>VLOOKUP(B21,'Player Data'!A1:B667,2,FALSE)</f>
        <v>172</v>
      </c>
      <c r="G21" s="91">
        <f>VLOOKUP(B21,'Player Data'!A1:D667,3,FALSE)</f>
        <v>37</v>
      </c>
      <c r="H21" s="94">
        <f>_xlfn.IFERROR(VLOOKUP(B21,'ADP'!A1:G665,7,FALSE)/1000000,VLOOKUP(B21,'ADP'!A1:G665,7,FALSE))</f>
        <v>8.699999999999999</v>
      </c>
      <c r="I21" s="74">
        <f>IF('Settings'!$E$15="POINTS",((R21*Q21)*'Settings'!$B$12)+(S21*'Settings'!$B$2)+(T21*'Settings'!$B$3)+(U21*'Settings'!$B$4)+(V21*'Settings'!$B$5)+(X21*'Settings'!$B$9)+(AA21*'Settings'!$B$6)+(W21*'Settings'!$B$8)+(AB21*'Settings'!$B$7)+(AC21*'Settings'!$B$14)+(AD21*'Settings'!$B$15)+(AE21*'Settings'!$B$16)+(AF21*'Settings'!$B$17)+(AG21*'Settings'!$B$18)+(Y21*'Settings'!$B$10)+(Z21*'Settings'!$B$11),VLOOKUP(B21,'Standard Deviations'!A1:C666,3,FALSE))</f>
        <v>392.539712517407</v>
      </c>
      <c r="J21" s="75">
        <f>IF(D21="G",I21/AJ21,I21/Q21)</f>
        <v>4.86237721438631</v>
      </c>
      <c r="K21" s="74">
        <f>IF('Settings'!$E$18="C/LW/RW",VLOOKUP(B21,'C'!A1:F206,6,FALSE),VLOOKUP(B21,'F'!A1:F392,6,FALSE))</f>
        <v>62.847818436229</v>
      </c>
      <c r="L21" s="76">
        <f>_xlfn.IFERROR(K21/H21,"N/A")</f>
        <v>7.22388717657805</v>
      </c>
      <c r="M21" s="77">
        <f>IF('Settings'!$E$9="YAHOO",VLOOKUP(B21,'ADP'!A1:E665,2,FALSE),IF('Settings'!$E$9="ESPN",VLOOKUP(B21,'ADP'!A1:E665,3,FALSE),IF('Settings'!$E$9="FANTRAX",VLOOKUP(B21,'ADP'!A1:E665,4,FALSE),VLOOKUP(B21,'ADP'!A1:E665,5,FALSE))))</f>
        <v>0</v>
      </c>
      <c r="N21" s="77">
        <f>_xlfn.IFERROR(M21-A21,"N/A")</f>
        <v>-24</v>
      </c>
      <c r="O21" s="77"/>
      <c r="P21" t="s" s="78">
        <f>IF('Settings'!$E$27="ON",VLOOKUP(B21,'ADP'!A1:H665,8,FALSE)," ")</f>
        <v>130</v>
      </c>
      <c r="Q21" s="79">
        <f>IF('Settings'!$E$12="YES",VLOOKUP(B21,'Player Data'!A1:E667,5,FALSE),82)</f>
        <v>80.73</v>
      </c>
      <c r="R21" s="77">
        <f>VLOOKUP(B21,'Player Data'!$A1:$AE667,6,FALSE)</f>
        <v>20.2766159771814</v>
      </c>
      <c r="S21" s="79">
        <f>VLOOKUP(B21,'Player Data'!$A1:$AE667,7,FALSE)*$Q21*_xlfn.IFERROR((VLOOKUP(P21,'Settings'!$E$28:$F$33,2,FALSE)+1),1)</f>
        <v>35.7013133070445</v>
      </c>
      <c r="T21" s="79">
        <f>VLOOKUP(B21,'Player Data'!$A1:$AE667,8,FALSE)*$Q21*_xlfn.IFERROR((VLOOKUP(P21,'Settings'!$E$28:$F$33,2,FALSE)+1),1)</f>
        <v>53.9169093832706</v>
      </c>
      <c r="U21" s="79">
        <f>SUM(S21:T21)</f>
        <v>89.61822269031509</v>
      </c>
      <c r="V21" s="79">
        <f>VLOOKUP(B21,'Player Data'!$A1:$AE667,10,FALSE)*$Q21*_xlfn.IFERROR(((VLOOKUP(P21,'Settings'!$E$28:$F$33,2,FALSE)/2)+1),1)</f>
        <v>272.371312220093</v>
      </c>
      <c r="W21" s="79">
        <f>VLOOKUP(B21,'Player Data'!$A1:$AE667,11,FALSE)*$Q21*_xlfn.IFERROR((VLOOKUP(P21,'Settings'!$E$28:$F$33,2,FALSE)+1),1)</f>
        <v>9.28624153717074</v>
      </c>
      <c r="X21" s="80">
        <f>VLOOKUP(B21,'Player Data'!$A1:$AE667,12,FALSE)*$Q21*_xlfn.IFERROR((VLOOKUP(P21,'Settings'!$E$28:$F$33,2,FALSE)+1),1)</f>
        <v>25.6182817242168</v>
      </c>
      <c r="Y21" s="79">
        <f>VLOOKUP(B21,'Player Data'!$A1:$AE667,13,FALSE)*$Q21</f>
        <v>0.0317499283087397</v>
      </c>
      <c r="Z21" s="79">
        <f>VLOOKUP(B21,'Player Data'!$A1:$AE667,14,FALSE)*$Q21</f>
        <v>0.0542635347247431</v>
      </c>
      <c r="AA21" s="79">
        <f>VLOOKUP(B21,'Player Data'!$A1:$AE667,15,FALSE)*$Q21</f>
        <v>39.8247752118322</v>
      </c>
      <c r="AB21" s="79">
        <f>VLOOKUP(B21,'Player Data'!$A1:$AE667,16,FALSE)*$Q21</f>
        <v>86.7960374548932</v>
      </c>
      <c r="AC21" s="79">
        <f>VLOOKUP(B21,'Player Data'!$A1:$AE667,17,FALSE)*$Q21*_xlfn.IFERROR((VLOOKUP(P21,'Settings'!$E$28:$F$33,2,FALSE)+1),1)</f>
        <v>3.31508672298578</v>
      </c>
      <c r="AD21" s="79">
        <f>VLOOKUP(B21,'Player Data'!$A1:$AE667,18,FALSE)*$Q21</f>
        <v>38.0285826672153</v>
      </c>
      <c r="AE21" s="79">
        <f>VLOOKUP(B21,'Player Data'!$A1:$AE667,19,FALSE)*$Q21*_xlfn.IFERROR((VLOOKUP(P21,'Settings'!$E$28:$F$33,2,FALSE)+1),1)</f>
        <v>5.29246629733784</v>
      </c>
      <c r="AF21" s="79">
        <f>VLOOKUP(B21,'Player Data'!$A1:$AE667,20,FALSE)*$Q21</f>
        <v>1013.107440907050</v>
      </c>
      <c r="AG21" s="79">
        <f>VLOOKUP(B21,'Player Data'!$A1:$AE667,21,FALSE)*$Q21</f>
        <v>825.287835295531</v>
      </c>
      <c r="AH21" s="81">
        <f>VLOOKUP(B21,'Player Data'!$A1:$AE667,22,FALSE)</f>
        <v>0.551082487004503</v>
      </c>
      <c r="AI21" s="77"/>
      <c r="AJ21" s="79"/>
      <c r="AK21" s="79"/>
      <c r="AL21" s="79"/>
      <c r="AM21" s="79"/>
      <c r="AN21" s="79"/>
      <c r="AO21" s="79"/>
      <c r="AP21" s="79"/>
      <c r="AQ21" s="82"/>
      <c r="AR21" s="83"/>
      <c r="AS21" s="84"/>
    </row>
    <row r="22" ht="21.25" customHeight="1">
      <c r="A22" s="85">
        <f>RANK(K22,K$1:K$665)</f>
        <v>20</v>
      </c>
      <c r="B22" t="s" s="16">
        <v>173</v>
      </c>
      <c r="C22" t="s" s="69">
        <v>127</v>
      </c>
      <c r="D22" t="s" s="70">
        <f>VLOOKUP(B22,'Player Data'!A1:D667,4,FALSE)</f>
        <v>153</v>
      </c>
      <c r="E22" s="95">
        <f>VLOOKUP(B22,'D'!A1:C213,3,FALSE)</f>
        <v>4</v>
      </c>
      <c r="F22" t="s" s="86">
        <f>VLOOKUP(B22,'Player Data'!A1:B667,2,FALSE)</f>
        <v>174</v>
      </c>
      <c r="G22" s="11">
        <f>VLOOKUP(B22,'Player Data'!A1:D667,3,FALSE)</f>
        <v>30</v>
      </c>
      <c r="H22" s="73">
        <f>_xlfn.IFERROR(VLOOKUP(B22,'ADP'!A1:G665,7,FALSE)/1000000,VLOOKUP(B22,'ADP'!A1:G665,7,FALSE))</f>
        <v>6.25</v>
      </c>
      <c r="I22" s="74">
        <f>IF('Settings'!$E$15="POINTS",((R22*Q22)*'Settings'!$B$12)+(S22*'Settings'!$B$2)+(T22*'Settings'!$B$3)+(U22*'Settings'!$B$4)+(V22*'Settings'!$B$5)+(X22*'Settings'!$B$9)+(AA22*'Settings'!$B$6)+(W22*'Settings'!$B$8)+(AB22*'Settings'!$B$7)+(AC22*'Settings'!$B$14)+(AD22*'Settings'!$B$15)+(AE22*'Settings'!$B$16)+(AF22*'Settings'!$B$17)+(AG22*'Settings'!$B$18)+(U22*'Settings'!$B$13)+(Y22*'Settings'!$B$10)+(Z22*'Settings'!$B$11),VLOOKUP(B22,'Standard Deviations'!A1:C666,3,FALSE))</f>
        <v>404.340825880660</v>
      </c>
      <c r="J22" s="75">
        <f>IF(D22="G",I22/AJ22,I22/Q22)</f>
        <v>4.94954648077437</v>
      </c>
      <c r="K22" s="74">
        <f>VLOOKUP(B22,'D'!A1:F213,6,FALSE)</f>
        <v>72.80061796057799</v>
      </c>
      <c r="L22" s="76">
        <f>_xlfn.IFERROR(K22/H22,"N/A")</f>
        <v>11.6480988736925</v>
      </c>
      <c r="M22" s="77">
        <f>IF('Settings'!$E$9="YAHOO",VLOOKUP(B22,'ADP'!A1:E665,2,FALSE),IF('Settings'!$E$9="ESPN",VLOOKUP(B22,'ADP'!A1:E665,3,FALSE),IF('Settings'!$E$9="FANTRAX",VLOOKUP(B22,'ADP'!A1:E665,4,FALSE),VLOOKUP(B22,'ADP'!A1:E665,5,FALSE))))</f>
        <v>0</v>
      </c>
      <c r="N22" s="77">
        <f>_xlfn.IFERROR(M22-A22,"N/A")</f>
        <v>-20</v>
      </c>
      <c r="O22" s="77"/>
      <c r="P22" t="s" s="78">
        <f>IF('Settings'!$E$27="ON",VLOOKUP(B22,'ADP'!A1:H665,8,FALSE)," ")</f>
        <v>138</v>
      </c>
      <c r="Q22" s="79">
        <f>IF('Settings'!$E$12="YES",VLOOKUP(B22,'Player Data'!A1:E667,5,FALSE),82)</f>
        <v>81.6925</v>
      </c>
      <c r="R22" s="77">
        <f>VLOOKUP(B22,'Player Data'!$A1:$AE667,6,FALSE)</f>
        <v>23.8205761869568</v>
      </c>
      <c r="S22" s="79">
        <f>VLOOKUP(B22,'Player Data'!$A1:$AE667,7,FALSE)*$Q22*_xlfn.IFERROR((VLOOKUP(P22,'Settings'!$E$28:$F$33,2,FALSE)+1),1)</f>
        <v>12.2122811369762</v>
      </c>
      <c r="T22" s="79">
        <f>VLOOKUP(B22,'Player Data'!$A1:$AE667,8,FALSE)*$Q22*_xlfn.IFERROR((VLOOKUP(P22,'Settings'!$E$28:$F$33,2,FALSE)+1),1)</f>
        <v>39.2170398512989</v>
      </c>
      <c r="U22" s="79">
        <f>SUM(S22:T22)</f>
        <v>51.4293209882751</v>
      </c>
      <c r="V22" s="79">
        <f>VLOOKUP(B22,'Player Data'!$A1:$AE667,10,FALSE)*$Q22*_xlfn.IFERROR(((VLOOKUP(P22,'Settings'!$E$28:$F$33,2,FALSE)/2)+1),1)</f>
        <v>206.461155237935</v>
      </c>
      <c r="W22" s="79">
        <f>VLOOKUP(B22,'Player Data'!$A1:$AE667,11,FALSE)*$Q22*_xlfn.IFERROR((VLOOKUP(P22,'Settings'!$E$28:$F$33,2,FALSE)+1),1)</f>
        <v>3.20505327783601</v>
      </c>
      <c r="X22" s="101">
        <f>VLOOKUP(B22,'Player Data'!$A1:$AE667,12,FALSE)*$Q22*_xlfn.IFERROR((VLOOKUP(P22,'Settings'!$E$28:$F$33,2,FALSE)+1),1)</f>
        <v>17.6525405759417</v>
      </c>
      <c r="Y22" s="79">
        <f>VLOOKUP(B22,'Player Data'!$A1:$AE667,13,FALSE)*$Q22</f>
        <v>0.179424009077605</v>
      </c>
      <c r="Z22" s="79">
        <f>VLOOKUP(B22,'Player Data'!$A1:$AE667,14,FALSE)*$Q22</f>
        <v>1.57114936222938</v>
      </c>
      <c r="AA22" s="79">
        <f>VLOOKUP(B22,'Player Data'!$A1:$AE667,15,FALSE)*$Q22</f>
        <v>171.055532405651</v>
      </c>
      <c r="AB22" s="79">
        <f>VLOOKUP(B22,'Player Data'!$A1:$AE667,16,FALSE)*$Q22</f>
        <v>176.432224079845</v>
      </c>
      <c r="AC22" s="79">
        <f>VLOOKUP(B22,'Player Data'!$A1:$AE667,17,FALSE)*$Q22*_xlfn.IFERROR((VLOOKUP(P22,'Settings'!$E$28:$F$33,2,FALSE)+1),1)</f>
        <v>-1.97265368022762</v>
      </c>
      <c r="AD22" s="79">
        <f>VLOOKUP(B22,'Player Data'!$A1:$AE667,18,FALSE)*$Q22</f>
        <v>51.644856540148</v>
      </c>
      <c r="AE22" s="79">
        <f>VLOOKUP(B22,'Player Data'!$A1:$AE667,19,FALSE)*$Q22*_xlfn.IFERROR((VLOOKUP(P22,'Settings'!$E$28:$F$33,2,FALSE)+1),1)</f>
        <v>1.77424634580679</v>
      </c>
      <c r="AF22" s="79">
        <f>VLOOKUP(B22,'Player Data'!$A1:$AE667,20,FALSE)*$Q22</f>
        <v>0</v>
      </c>
      <c r="AG22" s="79">
        <f>VLOOKUP(B22,'Player Data'!$A1:$AE667,21,FALSE)*$Q22</f>
        <v>0</v>
      </c>
      <c r="AH22" s="81">
        <f>VLOOKUP(B22,'Player Data'!$A1:$AE667,22,FALSE)</f>
        <v>0</v>
      </c>
      <c r="AI22" s="77"/>
      <c r="AJ22" s="79"/>
      <c r="AK22" s="79"/>
      <c r="AL22" s="79"/>
      <c r="AM22" s="79"/>
      <c r="AN22" s="79"/>
      <c r="AO22" s="79"/>
      <c r="AP22" s="79"/>
      <c r="AQ22" s="82"/>
      <c r="AR22" s="83"/>
      <c r="AS22" s="84"/>
    </row>
    <row r="23" ht="21.25" customHeight="1">
      <c r="A23" s="85">
        <f>RANK(K23,K$1:K$665)</f>
        <v>19</v>
      </c>
      <c r="B23" t="s" s="16">
        <v>175</v>
      </c>
      <c r="C23" t="s" s="69">
        <v>127</v>
      </c>
      <c r="D23" t="s" s="70">
        <f>VLOOKUP(B23,'Player Data'!A1:D667,4,FALSE)</f>
        <v>161</v>
      </c>
      <c r="E23" s="99">
        <f>VLOOKUP(B23,'G'!A1:D65,3,FALSE)</f>
        <v>4</v>
      </c>
      <c r="F23" t="s" s="92">
        <f>VLOOKUP(B23,'Player Data'!A1:B667,2,FALSE)</f>
        <v>176</v>
      </c>
      <c r="G23" s="96">
        <f>VLOOKUP(B23,'Player Data'!A1:D667,3,FALSE)</f>
        <v>25</v>
      </c>
      <c r="H23" s="94">
        <f>_xlfn.IFERROR(VLOOKUP(B23,'ADP'!A1:G665,7,FALSE)/1000000,VLOOKUP(B23,'ADP'!A1:G665,7,FALSE))</f>
        <v>4</v>
      </c>
      <c r="I23" s="74">
        <f>IF('Settings'!$E$15="POINTS",(AJ23*'Settings'!$B$29)+(AK23*'Settings'!$B$21)+(AL23*'Settings'!$B$22)+(AN23*'Settings'!$B$24)+(AO23*'Settings'!$B$25)+(AP23*'Settings'!$B$27)+(AM23*'Settings'!$B$23),VLOOKUP(B23,'Standard Deviations'!A1:C666,3,FALSE))</f>
        <v>342.511993564699</v>
      </c>
      <c r="J23" s="75">
        <f>IF(D23="G",I23/AJ23,I23/Q23)</f>
        <v>5.70853322607832</v>
      </c>
      <c r="K23" s="74">
        <f>VLOOKUP(B23,'G'!A1:F65,6,FALSE)</f>
        <v>74.920979000109</v>
      </c>
      <c r="L23" s="76">
        <f>_xlfn.IFERROR(K23/H23,"N/A")</f>
        <v>18.7302447500273</v>
      </c>
      <c r="M23" s="77">
        <f>IF('Settings'!$E$9="YAHOO",VLOOKUP(B23,'ADP'!A1:E665,2,FALSE),IF('Settings'!$E$9="ESPN",VLOOKUP(B23,'ADP'!A1:E665,3,FALSE),IF('Settings'!$E$9="FANTRAX",VLOOKUP(B23,'ADP'!A1:E665,4,FALSE),VLOOKUP(B23,'ADP'!A1:E665,5,FALSE))))</f>
        <v>0</v>
      </c>
      <c r="N23" s="77">
        <f>_xlfn.IFERROR(M23-A23,"N/A")</f>
        <v>-19</v>
      </c>
      <c r="O23" s="77"/>
      <c r="P23" t="s" s="78">
        <f>IF('Settings'!$E$27="ON",VLOOKUP(B23,'ADP'!A1:H665,8,FALSE)," ")</f>
        <v>138</v>
      </c>
      <c r="Q23" s="79"/>
      <c r="R23" s="77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81"/>
      <c r="AI23" s="77"/>
      <c r="AJ23" s="89">
        <f>VLOOKUP(B23,'Player Data'!$A1:$AE667,24,FALSE)</f>
        <v>60</v>
      </c>
      <c r="AK23" s="79">
        <f>VLOOKUP(B23,'Player Data'!$A1:$AE667,25,FALSE)*$AJ23*_xlfn.IFERROR((VLOOKUP(P23,'Settings'!$E$28:$F$33,2,FALSE)+1),1)</f>
        <v>37.3031977201237</v>
      </c>
      <c r="AL23" s="79">
        <f>AJ23-AK23-AM23</f>
        <v>15.1968022798763</v>
      </c>
      <c r="AM23" s="79">
        <f>VLOOKUP(B23,'Player Data'!$A1:$AE667,27,FALSE)*$AJ23</f>
        <v>7.5</v>
      </c>
      <c r="AN23" s="79">
        <f>VLOOKUP(B23,'Player Data'!$A1:$AE667,28,FALSE)*AJ23</f>
        <v>4.44781965423589</v>
      </c>
      <c r="AO23" s="79">
        <f>VLOOKUP(B23,'Player Data'!$A1:$AE667,29,FALSE)*$AJ23*_xlfn.IFERROR((VLOOKUP(P23,'Settings'!$E$28:$F$33,2,FALSE)/4)+1,1)</f>
        <v>1570.792146813850</v>
      </c>
      <c r="AP23" s="79">
        <f>VLOOKUP(B23,'Player Data'!$A1:$AE667,31,FALSE)*$AJ23*(_xlfn.IFERROR(1-(VLOOKUP(P23,'Settings'!$E$28:$F$33,2,FALSE)/4),1))</f>
        <v>153.845416822422</v>
      </c>
      <c r="AQ23" s="82">
        <f>1-(AP23/(AO23+AP23))</f>
        <v>0.910795508536849</v>
      </c>
      <c r="AR23" s="83">
        <f>AP23/AJ23</f>
        <v>2.5640902803737</v>
      </c>
      <c r="AS23" s="84"/>
    </row>
    <row r="24" ht="21.25" customHeight="1">
      <c r="A24" s="85">
        <f>RANK(K24,K$1:K$665)</f>
        <v>25</v>
      </c>
      <c r="B24" t="s" s="16">
        <v>177</v>
      </c>
      <c r="C24" t="s" s="69">
        <v>127</v>
      </c>
      <c r="D24" t="s" s="70">
        <f>VLOOKUP(B24,'Player Data'!A1:D667,4,FALSE)</f>
        <v>178</v>
      </c>
      <c r="E24" s="102">
        <f>VLOOKUP(B24,'LW'!A1:C152,3,FALSE)</f>
        <v>5</v>
      </c>
      <c r="F24" t="s" s="86">
        <f>VLOOKUP(B24,'Player Data'!A1:B667,2,FALSE)</f>
        <v>165</v>
      </c>
      <c r="G24" s="91">
        <f>VLOOKUP(B24,'Player Data'!A1:D667,3,FALSE)</f>
        <v>30</v>
      </c>
      <c r="H24" s="73">
        <f>_xlfn.IFERROR(VLOOKUP(B24,'ADP'!A1:G665,7,FALSE)/1000000,VLOOKUP(B24,'ADP'!A1:G665,7,FALSE))</f>
        <v>8.5</v>
      </c>
      <c r="I24" s="74">
        <f>IF('Settings'!$E$15="POINTS",((R24*Q24)*'Settings'!$B$12)+(S24*'Settings'!$B$2)+(T24*'Settings'!$B$3)+(U24*'Settings'!$B$4)+(V24*'Settings'!$B$5)+(X24*'Settings'!$B$9)+(AA24*'Settings'!$B$6)+(W24*'Settings'!$B$8)+(AB24*'Settings'!$B$7)+(AC24*'Settings'!$B$14)+(AD24*'Settings'!$B$15)+(AE24*'Settings'!$B$16)+(AF24*'Settings'!$B$17)+(AG24*'Settings'!$B$18)+(Y24*'Settings'!$B$10)+(Z24*'Settings'!$B$11),VLOOKUP(B24,'Standard Deviations'!A1:C666,3,FALSE))</f>
        <v>394.249894361275</v>
      </c>
      <c r="J24" s="75">
        <f>IF(D24="G",I24/AJ24,I24/Q24)</f>
        <v>5.16507132662485</v>
      </c>
      <c r="K24" s="74">
        <f>IF('Settings'!$E$18="C/LW/RW",VLOOKUP(B24,'LW'!A1:F152,6,FALSE),VLOOKUP(B24,'F'!A1:F392,6,FALSE))</f>
        <v>62.529782595063</v>
      </c>
      <c r="L24" s="76">
        <f>_xlfn.IFERROR(K24/H24,"N/A")</f>
        <v>7.35644501118388</v>
      </c>
      <c r="M24" s="77">
        <f>IF('Settings'!$E$9="YAHOO",VLOOKUP(B24,'ADP'!A1:E665,2,FALSE),IF('Settings'!$E$9="ESPN",VLOOKUP(B24,'ADP'!A1:E665,3,FALSE),IF('Settings'!$E$9="FANTRAX",VLOOKUP(B24,'ADP'!A1:E665,4,FALSE),VLOOKUP(B24,'ADP'!A1:E665,5,FALSE))))</f>
        <v>0</v>
      </c>
      <c r="N24" s="77">
        <f>_xlfn.IFERROR(M24-A24,"N/A")</f>
        <v>-25</v>
      </c>
      <c r="O24" s="77"/>
      <c r="P24" t="s" s="78">
        <f>IF('Settings'!$E$27="ON",VLOOKUP(B24,'ADP'!A1:H665,8,FALSE)," ")</f>
        <v>138</v>
      </c>
      <c r="Q24" s="79">
        <f>IF('Settings'!$E$12="YES",VLOOKUP(B24,'Player Data'!A1:E667,5,FALSE),82)</f>
        <v>76.33</v>
      </c>
      <c r="R24" s="77">
        <f>VLOOKUP(B24,'Player Data'!$A1:$AE667,6,FALSE)</f>
        <v>18.8444152774661</v>
      </c>
      <c r="S24" s="79">
        <f>VLOOKUP(B24,'Player Data'!$A1:$AE667,7,FALSE)*$Q24*_xlfn.IFERROR((VLOOKUP(P24,'Settings'!$E$28:$F$33,2,FALSE)+1),1)</f>
        <v>39.4538571524075</v>
      </c>
      <c r="T24" s="79">
        <f>VLOOKUP(B24,'Player Data'!$A1:$AE667,8,FALSE)*$Q24*_xlfn.IFERROR((VLOOKUP(P24,'Settings'!$E$28:$F$33,2,FALSE)+1),1)</f>
        <v>42.0661218072724</v>
      </c>
      <c r="U24" s="79">
        <f>SUM(S24:T24)</f>
        <v>81.5199789596799</v>
      </c>
      <c r="V24" s="79">
        <f>VLOOKUP(B24,'Player Data'!$A1:$AE667,10,FALSE)*$Q24*_xlfn.IFERROR(((VLOOKUP(P24,'Settings'!$E$28:$F$33,2,FALSE)/2)+1),1)</f>
        <v>296.857864362486</v>
      </c>
      <c r="W24" s="79">
        <f>VLOOKUP(B24,'Player Data'!$A1:$AE667,11,FALSE)*$Q24*_xlfn.IFERROR((VLOOKUP(P24,'Settings'!$E$28:$F$33,2,FALSE)+1),1)</f>
        <v>10.2719960615464</v>
      </c>
      <c r="X24" s="80">
        <f>VLOOKUP(B24,'Player Data'!$A1:$AE667,12,FALSE)*$Q24*_xlfn.IFERROR((VLOOKUP(P24,'Settings'!$E$28:$F$33,2,FALSE)+1),1)</f>
        <v>26.7269923332233</v>
      </c>
      <c r="Y24" s="79">
        <f>VLOOKUP(B24,'Player Data'!$A1:$AE667,13,FALSE)*$Q24</f>
        <v>0.00442668188991396</v>
      </c>
      <c r="Z24" s="79">
        <f>VLOOKUP(B24,'Player Data'!$A1:$AE667,14,FALSE)*$Q24</f>
        <v>0.00747025574512113</v>
      </c>
      <c r="AA24" s="79">
        <f>VLOOKUP(B24,'Player Data'!$A1:$AE667,15,FALSE)*$Q24</f>
        <v>39.9325855264635</v>
      </c>
      <c r="AB24" s="79">
        <f>VLOOKUP(B24,'Player Data'!$A1:$AE667,16,FALSE)*$Q24</f>
        <v>123.049244902166</v>
      </c>
      <c r="AC24" s="79">
        <f>VLOOKUP(B24,'Player Data'!$A1:$AE667,17,FALSE)*$Q24*_xlfn.IFERROR((VLOOKUP(P24,'Settings'!$E$28:$F$33,2,FALSE)+1),1)</f>
        <v>4.53356830251026</v>
      </c>
      <c r="AD24" s="79">
        <f>VLOOKUP(B24,'Player Data'!$A1:$AE667,18,FALSE)*$Q24</f>
        <v>35.2841689505739</v>
      </c>
      <c r="AE24" s="79">
        <f>VLOOKUP(B24,'Player Data'!$A1:$AE667,19,FALSE)*$Q24*_xlfn.IFERROR((VLOOKUP(P24,'Settings'!$E$28:$F$33,2,FALSE)+1),1)</f>
        <v>5.58638289500734</v>
      </c>
      <c r="AF24" s="79">
        <f>VLOOKUP(B24,'Player Data'!$A1:$AE667,20,FALSE)*$Q24</f>
        <v>8.142757180459411</v>
      </c>
      <c r="AG24" s="79">
        <f>VLOOKUP(B24,'Player Data'!$A1:$AE667,21,FALSE)*$Q24</f>
        <v>8.08575761754296</v>
      </c>
      <c r="AH24" s="81">
        <f>VLOOKUP(B24,'Player Data'!$A1:$AE667,22,FALSE)</f>
        <v>0.5017561546335551</v>
      </c>
      <c r="AI24" s="77"/>
      <c r="AJ24" s="79"/>
      <c r="AK24" s="79"/>
      <c r="AL24" s="79"/>
      <c r="AM24" s="79"/>
      <c r="AN24" s="79"/>
      <c r="AO24" s="79"/>
      <c r="AP24" s="79"/>
      <c r="AQ24" s="82"/>
      <c r="AR24" s="83"/>
      <c r="AS24" s="84"/>
    </row>
    <row r="25" ht="21.25" customHeight="1">
      <c r="A25" s="85">
        <f>RANK(K25,K$1:K$665)</f>
        <v>23</v>
      </c>
      <c r="B25" t="s" s="16">
        <v>179</v>
      </c>
      <c r="C25" t="s" s="69">
        <v>127</v>
      </c>
      <c r="D25" t="s" s="70">
        <f>VLOOKUP(B25,'Player Data'!A1:D667,4,FALSE)</f>
        <v>153</v>
      </c>
      <c r="E25" s="95">
        <f>VLOOKUP(B25,'D'!A1:C213,3,FALSE)</f>
        <v>5</v>
      </c>
      <c r="F25" t="s" s="86">
        <f>VLOOKUP(B25,'Player Data'!A1:B667,2,FALSE)</f>
        <v>165</v>
      </c>
      <c r="G25" s="91">
        <f>VLOOKUP(B25,'Player Data'!A1:D667,3,FALSE)</f>
        <v>34</v>
      </c>
      <c r="H25" s="73">
        <f>_xlfn.IFERROR(VLOOKUP(B25,'ADP'!A1:G665,7,FALSE)/1000000,VLOOKUP(B25,'ADP'!A1:G665,7,FALSE))</f>
        <v>9.058999999999999</v>
      </c>
      <c r="I25" s="74">
        <f>IF('Settings'!$E$15="POINTS",((R25*Q25)*'Settings'!$B$12)+(S25*'Settings'!$B$2)+(T25*'Settings'!$B$3)+(U25*'Settings'!$B$4)+(V25*'Settings'!$B$5)+(X25*'Settings'!$B$9)+(AA25*'Settings'!$B$6)+(W25*'Settings'!$B$8)+(AB25*'Settings'!$B$7)+(AC25*'Settings'!$B$14)+(AD25*'Settings'!$B$15)+(AE25*'Settings'!$B$16)+(AF25*'Settings'!$B$17)+(AG25*'Settings'!$B$18)+(U25*'Settings'!$B$13)+(Y25*'Settings'!$B$10)+(Z25*'Settings'!$B$11),VLOOKUP(B25,'Standard Deviations'!A1:C666,3,FALSE))</f>
        <v>400.334759816395</v>
      </c>
      <c r="J25" s="75">
        <f>IF(D25="G",I25/AJ25,I25/Q25)</f>
        <v>5.01877029888608</v>
      </c>
      <c r="K25" s="74">
        <f>VLOOKUP(B25,'D'!A1:F213,6,FALSE)</f>
        <v>68.794551896313</v>
      </c>
      <c r="L25" s="76">
        <f>_xlfn.IFERROR(K25/H25,"N/A")</f>
        <v>7.59405584460901</v>
      </c>
      <c r="M25" s="77">
        <f>IF('Settings'!$E$9="YAHOO",VLOOKUP(B25,'ADP'!A1:E665,2,FALSE),IF('Settings'!$E$9="ESPN",VLOOKUP(B25,'ADP'!A1:E665,3,FALSE),IF('Settings'!$E$9="FANTRAX",VLOOKUP(B25,'ADP'!A1:E665,4,FALSE),VLOOKUP(B25,'ADP'!A1:E665,5,FALSE))))</f>
        <v>0</v>
      </c>
      <c r="N25" s="77">
        <f>_xlfn.IFERROR(M25-A25,"N/A")</f>
        <v>-23</v>
      </c>
      <c r="O25" s="77"/>
      <c r="P25" t="s" s="78">
        <f>IF('Settings'!$E$27="ON",VLOOKUP(B25,'ADP'!A1:H665,8,FALSE)," ")</f>
        <v>138</v>
      </c>
      <c r="Q25" s="79">
        <f>IF('Settings'!$E$12="YES",VLOOKUP(B25,'Player Data'!A1:E667,5,FALSE),82)</f>
        <v>79.7675</v>
      </c>
      <c r="R25" s="77">
        <f>VLOOKUP(B25,'Player Data'!$A1:$AE667,6,FALSE)</f>
        <v>24.4388690036265</v>
      </c>
      <c r="S25" s="79">
        <f>VLOOKUP(B25,'Player Data'!$A1:$AE667,7,FALSE)*$Q25*_xlfn.IFERROR((VLOOKUP(P25,'Settings'!$E$28:$F$33,2,FALSE)+1),1)</f>
        <v>20.3870701212151</v>
      </c>
      <c r="T25" s="79">
        <f>VLOOKUP(B25,'Player Data'!$A1:$AE667,8,FALSE)*$Q25*_xlfn.IFERROR((VLOOKUP(P25,'Settings'!$E$28:$F$33,2,FALSE)+1),1)</f>
        <v>57.1040794519475</v>
      </c>
      <c r="U25" s="79">
        <f>SUM(S25:T25)</f>
        <v>77.4911495731626</v>
      </c>
      <c r="V25" s="79">
        <f>VLOOKUP(B25,'Player Data'!$A1:$AE667,10,FALSE)*$Q25*_xlfn.IFERROR(((VLOOKUP(P25,'Settings'!$E$28:$F$33,2,FALSE)/2)+1),1)</f>
        <v>264.555106711396</v>
      </c>
      <c r="W25" s="79">
        <f>VLOOKUP(B25,'Player Data'!$A1:$AE667,11,FALSE)*$Q25*_xlfn.IFERROR((VLOOKUP(P25,'Settings'!$E$28:$F$33,2,FALSE)+1),1)</f>
        <v>8.957393411988139</v>
      </c>
      <c r="X25" s="80">
        <f>VLOOKUP(B25,'Player Data'!$A1:$AE667,12,FALSE)*$Q25*_xlfn.IFERROR((VLOOKUP(P25,'Settings'!$E$28:$F$33,2,FALSE)+1),1)</f>
        <v>30.9954314603383</v>
      </c>
      <c r="Y25" s="79">
        <f>VLOOKUP(B25,'Player Data'!$A1:$AE667,13,FALSE)*$Q25</f>
        <v>0.0131665015291983</v>
      </c>
      <c r="Z25" s="79">
        <f>VLOOKUP(B25,'Player Data'!$A1:$AE667,14,FALSE)*$Q25</f>
        <v>0.309487723620706</v>
      </c>
      <c r="AA25" s="79">
        <f>VLOOKUP(B25,'Player Data'!$A1:$AE667,15,FALSE)*$Q25</f>
        <v>145.471679054906</v>
      </c>
      <c r="AB25" s="79">
        <f>VLOOKUP(B25,'Player Data'!$A1:$AE667,16,FALSE)*$Q25</f>
        <v>55.9296880187914</v>
      </c>
      <c r="AC25" s="79">
        <f>VLOOKUP(B25,'Player Data'!$A1:$AE667,17,FALSE)*$Q25*_xlfn.IFERROR((VLOOKUP(P25,'Settings'!$E$28:$F$33,2,FALSE)+1),1)</f>
        <v>5.2311036761155</v>
      </c>
      <c r="AD25" s="79">
        <f>VLOOKUP(B25,'Player Data'!$A1:$AE667,18,FALSE)*$Q25</f>
        <v>44.3273876302093</v>
      </c>
      <c r="AE25" s="79">
        <f>VLOOKUP(B25,'Player Data'!$A1:$AE667,19,FALSE)*$Q25*_xlfn.IFERROR((VLOOKUP(P25,'Settings'!$E$28:$F$33,2,FALSE)+1),1)</f>
        <v>2.88666275047639</v>
      </c>
      <c r="AF25" s="79">
        <f>VLOOKUP(B25,'Player Data'!$A1:$AE667,20,FALSE)*$Q25</f>
        <v>0</v>
      </c>
      <c r="AG25" s="79">
        <f>VLOOKUP(B25,'Player Data'!$A1:$AE667,21,FALSE)*$Q25</f>
        <v>0</v>
      </c>
      <c r="AH25" s="81">
        <f>VLOOKUP(B25,'Player Data'!$A1:$AE667,22,FALSE)</f>
        <v>0</v>
      </c>
      <c r="AI25" s="77"/>
      <c r="AJ25" s="79"/>
      <c r="AK25" s="79"/>
      <c r="AL25" s="79"/>
      <c r="AM25" s="79"/>
      <c r="AN25" s="79"/>
      <c r="AO25" s="79"/>
      <c r="AP25" s="79"/>
      <c r="AQ25" s="82"/>
      <c r="AR25" s="83"/>
      <c r="AS25" s="93"/>
    </row>
    <row r="26" ht="21.25" customHeight="1">
      <c r="A26" s="85">
        <f>RANK(K26,K$1:K$665)</f>
        <v>21</v>
      </c>
      <c r="B26" t="s" s="16">
        <v>180</v>
      </c>
      <c r="C26" t="s" s="69">
        <v>127</v>
      </c>
      <c r="D26" t="s" s="70">
        <f>VLOOKUP(B26,'Player Data'!A1:D667,4,FALSE)</f>
        <v>161</v>
      </c>
      <c r="E26" s="99">
        <f>VLOOKUP(B26,'G'!A1:D65,3,FALSE)</f>
        <v>5</v>
      </c>
      <c r="F26" t="s" s="88">
        <f>VLOOKUP(B26,'Player Data'!A1:B667,2,FALSE)</f>
        <v>141</v>
      </c>
      <c r="G26" s="11">
        <f>VLOOKUP(B26,'Player Data'!A1:D667,3,FALSE)</f>
        <v>30</v>
      </c>
      <c r="H26" s="73">
        <f>_xlfn.IFERROR(VLOOKUP(B26,'ADP'!A1:G665,7,FALSE)/1000000,VLOOKUP(B26,'ADP'!A1:G665,7,FALSE))</f>
        <v>9.5</v>
      </c>
      <c r="I26" s="74">
        <f>IF('Settings'!$E$15="POINTS",(AJ26*'Settings'!$B$29)+(AK26*'Settings'!$B$21)+(AL26*'Settings'!$B$22)+(AN26*'Settings'!$B$24)+(AO26*'Settings'!$B$25)+(AP26*'Settings'!$B$27)+(AM26*'Settings'!$B$23),VLOOKUP(B26,'Standard Deviations'!A1:C666,3,FALSE))</f>
        <v>339.938920138369</v>
      </c>
      <c r="J26" s="75">
        <f>IF(D26="G",I26/AJ26,I26/Q26)</f>
        <v>5.66564866897282</v>
      </c>
      <c r="K26" s="74">
        <f>VLOOKUP(B26,'G'!A1:F65,6,FALSE)</f>
        <v>72.347905573779</v>
      </c>
      <c r="L26" s="76">
        <f>_xlfn.IFERROR(K26/H26,"N/A")</f>
        <v>7.61556900776621</v>
      </c>
      <c r="M26" s="77">
        <f>IF('Settings'!$E$9="YAHOO",VLOOKUP(B26,'ADP'!A1:E665,2,FALSE),IF('Settings'!$E$9="ESPN",VLOOKUP(B26,'ADP'!A1:E665,3,FALSE),IF('Settings'!$E$9="FANTRAX",VLOOKUP(B26,'ADP'!A1:E665,4,FALSE),VLOOKUP(B26,'ADP'!A1:E665,5,FALSE))))</f>
        <v>0</v>
      </c>
      <c r="N26" s="77">
        <f>_xlfn.IFERROR(M26-A26,"N/A")</f>
        <v>-21</v>
      </c>
      <c r="O26" s="77"/>
      <c r="P26" t="s" s="78">
        <f>IF('Settings'!$E$27="ON",VLOOKUP(B26,'ADP'!A1:H665,8,FALSE)," ")</f>
        <v>138</v>
      </c>
      <c r="Q26" s="79"/>
      <c r="R26" s="77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81"/>
      <c r="AI26" s="77"/>
      <c r="AJ26" s="89">
        <f>VLOOKUP(B26,'Player Data'!$A1:$AE667,24,FALSE)</f>
        <v>60</v>
      </c>
      <c r="AK26" s="79">
        <f>VLOOKUP(B26,'Player Data'!$A1:$AE667,25,FALSE)*$AJ26*_xlfn.IFERROR((VLOOKUP(P26,'Settings'!$E$28:$F$33,2,FALSE)+1),1)</f>
        <v>33.807639107412</v>
      </c>
      <c r="AL26" s="79">
        <f>AJ26-AK26-AM26</f>
        <v>18.692360892588</v>
      </c>
      <c r="AM26" s="79">
        <f>VLOOKUP(B26,'Player Data'!$A1:$AE667,27,FALSE)*$AJ26</f>
        <v>7.5</v>
      </c>
      <c r="AN26" s="79">
        <f>VLOOKUP(B26,'Player Data'!$A1:$AE667,28,FALSE)*AJ26</f>
        <v>3.7428434688587</v>
      </c>
      <c r="AO26" s="79">
        <f>VLOOKUP(B26,'Player Data'!$A1:$AE667,29,FALSE)*$AJ26*_xlfn.IFERROR((VLOOKUP(P26,'Settings'!$E$28:$F$33,2,FALSE)/4)+1,1)</f>
        <v>1643.033860323620</v>
      </c>
      <c r="AP26" s="79">
        <f>VLOOKUP(B26,'Player Data'!$A1:$AE667,31,FALSE)*$AJ26*(_xlfn.IFERROR(1-(VLOOKUP(P26,'Settings'!$E$28:$F$33,2,FALSE)/4),1))</f>
        <v>163.812363895830</v>
      </c>
      <c r="AQ26" s="82">
        <f>1-(AP26/(AO26+AP26))</f>
        <v>0.909337960419628</v>
      </c>
      <c r="AR26" s="83">
        <f>AP26/AJ26</f>
        <v>2.7302060649305</v>
      </c>
      <c r="AS26" s="84"/>
    </row>
    <row r="27" ht="21.25" customHeight="1">
      <c r="A27" s="85">
        <f>RANK(K27,K$1:K$665)</f>
        <v>28</v>
      </c>
      <c r="B27" t="s" s="16">
        <v>181</v>
      </c>
      <c r="C27" t="s" s="69">
        <v>127</v>
      </c>
      <c r="D27" t="s" s="70">
        <f>VLOOKUP(B27,'Player Data'!A1:D667,4,FALSE)</f>
        <v>178</v>
      </c>
      <c r="E27" s="102">
        <f>VLOOKUP(B27,'LW'!A1:C152,3,FALSE)</f>
        <v>6</v>
      </c>
      <c r="F27" t="s" s="103">
        <f>VLOOKUP(B27,'Player Data'!A1:B667,2,FALSE)</f>
        <v>182</v>
      </c>
      <c r="G27" s="11">
        <f>VLOOKUP(B27,'Player Data'!A1:D667,3,FALSE)</f>
        <v>27</v>
      </c>
      <c r="H27" s="73">
        <f>_xlfn.IFERROR(VLOOKUP(B27,'ADP'!A1:G665,7,FALSE)/1000000,VLOOKUP(B27,'ADP'!A1:G665,7,FALSE))</f>
        <v>9</v>
      </c>
      <c r="I27" s="74">
        <f>IF('Settings'!$E$15="POINTS",((R27*Q27)*'Settings'!$B$12)+(S27*'Settings'!$B$2)+(T27*'Settings'!$B$3)+(U27*'Settings'!$B$4)+(V27*'Settings'!$B$5)+(X27*'Settings'!$B$9)+(AA27*'Settings'!$B$6)+(W27*'Settings'!$B$8)+(AB27*'Settings'!$B$7)+(AC27*'Settings'!$B$14)+(AD27*'Settings'!$B$15)+(AE27*'Settings'!$B$16)+(AF27*'Settings'!$B$17)+(AG27*'Settings'!$B$18)+(Y27*'Settings'!$B$10)+(Z27*'Settings'!$B$11),VLOOKUP(B27,'Standard Deviations'!A1:C666,3,FALSE))</f>
        <v>389.206036292817</v>
      </c>
      <c r="J27" s="75">
        <f>IF(D27="G",I27/AJ27,I27/Q27)</f>
        <v>4.95015626445554</v>
      </c>
      <c r="K27" s="74">
        <f>IF('Settings'!$E$18="C/LW/RW",VLOOKUP(B27,'LW'!A1:F152,6,FALSE),VLOOKUP(B27,'F'!A1:F392,6,FALSE))</f>
        <v>57.485924526605</v>
      </c>
      <c r="L27" s="76">
        <f>_xlfn.IFERROR(K27/H27,"N/A")</f>
        <v>6.38732494740056</v>
      </c>
      <c r="M27" s="77">
        <f>IF('Settings'!$E$9="YAHOO",VLOOKUP(B27,'ADP'!A1:E665,2,FALSE),IF('Settings'!$E$9="ESPN",VLOOKUP(B27,'ADP'!A1:E665,3,FALSE),IF('Settings'!$E$9="FANTRAX",VLOOKUP(B27,'ADP'!A1:E665,4,FALSE),VLOOKUP(B27,'ADP'!A1:E665,5,FALSE))))</f>
        <v>0</v>
      </c>
      <c r="N27" s="77">
        <f>_xlfn.IFERROR(M27-A27,"N/A")</f>
        <v>-28</v>
      </c>
      <c r="O27" s="77"/>
      <c r="P27" t="s" s="78">
        <f>IF('Settings'!$E$27="ON",VLOOKUP(B27,'ADP'!A1:H665,8,FALSE)," ")</f>
        <v>138</v>
      </c>
      <c r="Q27" s="79">
        <f>IF('Settings'!$E$12="YES",VLOOKUP(B27,'Player Data'!A1:E667,5,FALSE),82)</f>
        <v>78.625</v>
      </c>
      <c r="R27" s="77">
        <f>VLOOKUP(B27,'Player Data'!$A1:$AE667,6,FALSE)</f>
        <v>20.8384267386339</v>
      </c>
      <c r="S27" s="79">
        <f>VLOOKUP(B27,'Player Data'!$A1:$AE667,7,FALSE)*$Q27*_xlfn.IFERROR((VLOOKUP(P27,'Settings'!$E$28:$F$33,2,FALSE)+1),1)</f>
        <v>44.4127324589397</v>
      </c>
      <c r="T27" s="79">
        <f>VLOOKUP(B27,'Player Data'!$A1:$AE667,8,FALSE)*$Q27*_xlfn.IFERROR((VLOOKUP(P27,'Settings'!$E$28:$F$33,2,FALSE)+1),1)</f>
        <v>49.2508036094336</v>
      </c>
      <c r="U27" s="79">
        <f>SUM(S27:T27)</f>
        <v>93.6635360683733</v>
      </c>
      <c r="V27" s="79">
        <f>VLOOKUP(B27,'Player Data'!$A1:$AE667,10,FALSE)*$Q27*_xlfn.IFERROR(((VLOOKUP(P27,'Settings'!$E$28:$F$33,2,FALSE)/2)+1),1)</f>
        <v>281.051322284361</v>
      </c>
      <c r="W27" s="79">
        <f>VLOOKUP(B27,'Player Data'!$A1:$AE667,11,FALSE)*$Q27*_xlfn.IFERROR((VLOOKUP(P27,'Settings'!$E$28:$F$33,2,FALSE)+1),1)</f>
        <v>15.504500472279</v>
      </c>
      <c r="X27" s="80">
        <f>VLOOKUP(B27,'Player Data'!$A1:$AE667,12,FALSE)*$Q27*_xlfn.IFERROR((VLOOKUP(P27,'Settings'!$E$28:$F$33,2,FALSE)+1),1)</f>
        <v>33.1254909649068</v>
      </c>
      <c r="Y27" s="79">
        <f>VLOOKUP(B27,'Player Data'!$A1:$AE667,13,FALSE)*$Q27</f>
        <v>0.0171096404773998</v>
      </c>
      <c r="Z27" s="79">
        <f>VLOOKUP(B27,'Player Data'!$A1:$AE667,14,FALSE)*$Q27</f>
        <v>0.0288647084039798</v>
      </c>
      <c r="AA27" s="79">
        <f>VLOOKUP(B27,'Player Data'!$A1:$AE667,15,FALSE)*$Q27</f>
        <v>37.873421389693</v>
      </c>
      <c r="AB27" s="79">
        <f>VLOOKUP(B27,'Player Data'!$A1:$AE667,16,FALSE)*$Q27</f>
        <v>61.8611995629563</v>
      </c>
      <c r="AC27" s="79">
        <f>VLOOKUP(B27,'Player Data'!$A1:$AE667,17,FALSE)*$Q27*_xlfn.IFERROR((VLOOKUP(P27,'Settings'!$E$28:$F$33,2,FALSE)+1),1)</f>
        <v>3.40831687275224</v>
      </c>
      <c r="AD27" s="79">
        <f>VLOOKUP(B27,'Player Data'!$A1:$AE667,18,FALSE)*$Q27</f>
        <v>38.5278444814452</v>
      </c>
      <c r="AE27" s="79">
        <f>VLOOKUP(B27,'Player Data'!$A1:$AE667,19,FALSE)*$Q27*_xlfn.IFERROR((VLOOKUP(P27,'Settings'!$E$28:$F$33,2,FALSE)+1),1)</f>
        <v>7.33161510408503</v>
      </c>
      <c r="AF27" s="79">
        <f>VLOOKUP(B27,'Player Data'!$A1:$AE667,20,FALSE)*$Q27</f>
        <v>0.752140459679656</v>
      </c>
      <c r="AG27" s="79">
        <f>VLOOKUP(B27,'Player Data'!$A1:$AE667,21,FALSE)*$Q27</f>
        <v>2.10344017695671</v>
      </c>
      <c r="AH27" s="81">
        <f>VLOOKUP(B27,'Player Data'!$A1:$AE667,22,FALSE)</f>
        <v>0.263393178266405</v>
      </c>
      <c r="AI27" s="77"/>
      <c r="AJ27" s="79"/>
      <c r="AK27" s="79"/>
      <c r="AL27" s="79"/>
      <c r="AM27" s="79"/>
      <c r="AN27" s="79"/>
      <c r="AO27" s="79"/>
      <c r="AP27" s="79"/>
      <c r="AQ27" s="82"/>
      <c r="AR27" s="83"/>
      <c r="AS27" s="93"/>
    </row>
    <row r="28" ht="21.25" customHeight="1">
      <c r="A28" s="85">
        <f>RANK(K28,K$1:K$665)</f>
        <v>29</v>
      </c>
      <c r="B28" t="s" s="16">
        <v>183</v>
      </c>
      <c r="C28" t="s" s="69">
        <v>127</v>
      </c>
      <c r="D28" t="s" s="70">
        <f>VLOOKUP(B28,'Player Data'!A1:D667,4,FALSE)</f>
        <v>140</v>
      </c>
      <c r="E28" s="90">
        <f>VLOOKUP(B28,'RW'!A1:F136,3,FALSE)</f>
        <v>7</v>
      </c>
      <c r="F28" t="s" s="86">
        <f>VLOOKUP(B28,'Player Data'!A1:B667,2,FALSE)</f>
        <v>132</v>
      </c>
      <c r="G28" s="11">
        <f>VLOOKUP(B28,'Player Data'!A1:D667,3,FALSE)</f>
        <v>28</v>
      </c>
      <c r="H28" s="73">
        <f>_xlfn.IFERROR(VLOOKUP(B28,'ADP'!A1:G665,7,FALSE)/1000000,VLOOKUP(B28,'ADP'!A1:G665,7,FALSE))</f>
        <v>11.5</v>
      </c>
      <c r="I28" s="74">
        <f>IF('Settings'!$E$15="POINTS",((R28*Q28)*'Settings'!$B$12)+(S28*'Settings'!$B$2)+(T28*'Settings'!$B$3)+(U28*'Settings'!$B$4)+(V28*'Settings'!$B$5)+(X28*'Settings'!$B$9)+(AA28*'Settings'!$B$6)+(W28*'Settings'!$B$8)+(AB28*'Settings'!$B$7)+(AC28*'Settings'!$B$14)+(AD28*'Settings'!$B$15)+(AE28*'Settings'!$B$16)+(AF28*'Settings'!$B$17)+(AG28*'Settings'!$B$18)+(Y28*'Settings'!$B$10)+(Z28*'Settings'!$B$11),VLOOKUP(B28,'Standard Deviations'!A1:C666,3,FALSE))</f>
        <v>386.466461804052</v>
      </c>
      <c r="J28" s="75">
        <f>IF(D28="G",I28/AJ28,I28/Q28)</f>
        <v>4.71703236670392</v>
      </c>
      <c r="K28" s="74">
        <f>IF('Settings'!$E$18="C/LW/RW",VLOOKUP(B28,'RW'!A1:F136,6,FALSE),VLOOKUP(B28,'F'!A1:F392,6,FALSE))</f>
        <v>56.774567722874</v>
      </c>
      <c r="L28" s="76">
        <f>_xlfn.IFERROR(K28/H28,"N/A")</f>
        <v>4.93691893242383</v>
      </c>
      <c r="M28" s="77">
        <f>IF('Settings'!$E$9="YAHOO",VLOOKUP(B28,'ADP'!A1:E665,2,FALSE),IF('Settings'!$E$9="ESPN",VLOOKUP(B28,'ADP'!A1:E665,3,FALSE),IF('Settings'!$E$9="FANTRAX",VLOOKUP(B28,'ADP'!A1:E665,4,FALSE),VLOOKUP(B28,'ADP'!A1:E665,5,FALSE))))</f>
        <v>0</v>
      </c>
      <c r="N28" s="77">
        <f>_xlfn.IFERROR(M28-A28,"N/A")</f>
        <v>-29</v>
      </c>
      <c r="O28" s="77"/>
      <c r="P28" t="s" s="78">
        <f>IF('Settings'!$E$27="ON",VLOOKUP(B28,'ADP'!A1:H665,8,FALSE)," ")</f>
        <v>138</v>
      </c>
      <c r="Q28" s="79">
        <f>IF('Settings'!$E$12="YES",VLOOKUP(B28,'Player Data'!A1:E667,5,FALSE),82)</f>
        <v>81.93000000000001</v>
      </c>
      <c r="R28" s="77">
        <f>VLOOKUP(B28,'Player Data'!$A1:$AE667,6,FALSE)</f>
        <v>20.6056125659568</v>
      </c>
      <c r="S28" s="79">
        <f>VLOOKUP(B28,'Player Data'!$A1:$AE667,7,FALSE)*$Q28*_xlfn.IFERROR((VLOOKUP(P28,'Settings'!$E$28:$F$33,2,FALSE)+1),1)</f>
        <v>40.6241269043363</v>
      </c>
      <c r="T28" s="79">
        <f>VLOOKUP(B28,'Player Data'!$A1:$AE667,8,FALSE)*$Q28*_xlfn.IFERROR((VLOOKUP(P28,'Settings'!$E$28:$F$33,2,FALSE)+1),1)</f>
        <v>55.7684048929163</v>
      </c>
      <c r="U28" s="79">
        <f>SUM(S28:T28)</f>
        <v>96.3925317972526</v>
      </c>
      <c r="V28" s="79">
        <f>VLOOKUP(B28,'Player Data'!$A1:$AE667,10,FALSE)*$Q28*_xlfn.IFERROR(((VLOOKUP(P28,'Settings'!$E$28:$F$33,2,FALSE)/2)+1),1)</f>
        <v>317.027862653973</v>
      </c>
      <c r="W28" s="79">
        <f>VLOOKUP(B28,'Player Data'!$A1:$AE667,11,FALSE)*$Q28*_xlfn.IFERROR((VLOOKUP(P28,'Settings'!$E$28:$F$33,2,FALSE)+1),1)</f>
        <v>11.434369696652</v>
      </c>
      <c r="X28" s="80">
        <f>VLOOKUP(B28,'Player Data'!$A1:$AE667,12,FALSE)*$Q28*_xlfn.IFERROR((VLOOKUP(P28,'Settings'!$E$28:$F$33,2,FALSE)+1),1)</f>
        <v>33.9941638125012</v>
      </c>
      <c r="Y28" s="79">
        <f>VLOOKUP(B28,'Player Data'!$A1:$AE667,13,FALSE)*$Q28</f>
        <v>1.43258367504867</v>
      </c>
      <c r="Z28" s="79">
        <f>VLOOKUP(B28,'Player Data'!$A1:$AE667,14,FALSE)*$Q28</f>
        <v>1.96137168576166</v>
      </c>
      <c r="AA28" s="79">
        <f>VLOOKUP(B28,'Player Data'!$A1:$AE667,15,FALSE)*$Q28</f>
        <v>31.1542779590598</v>
      </c>
      <c r="AB28" s="79">
        <f>VLOOKUP(B28,'Player Data'!$A1:$AE667,16,FALSE)*$Q28</f>
        <v>33.5014587605093</v>
      </c>
      <c r="AC28" s="79">
        <f>VLOOKUP(B28,'Player Data'!$A1:$AE667,17,FALSE)*$Q28*_xlfn.IFERROR((VLOOKUP(P28,'Settings'!$E$28:$F$33,2,FALSE)+1),1)</f>
        <v>6.15337836885764</v>
      </c>
      <c r="AD28" s="79">
        <f>VLOOKUP(B28,'Player Data'!$A1:$AE667,18,FALSE)*$Q28</f>
        <v>27.4113373089914</v>
      </c>
      <c r="AE28" s="79">
        <f>VLOOKUP(B28,'Player Data'!$A1:$AE667,19,FALSE)*$Q28*_xlfn.IFERROR((VLOOKUP(P28,'Settings'!$E$28:$F$33,2,FALSE)+1),1)</f>
        <v>6.4991320927883</v>
      </c>
      <c r="AF28" s="79">
        <f>VLOOKUP(B28,'Player Data'!$A1:$AE667,20,FALSE)*$Q28</f>
        <v>50.6331051551264</v>
      </c>
      <c r="AG28" s="79">
        <f>VLOOKUP(B28,'Player Data'!$A1:$AE667,21,FALSE)*$Q28</f>
        <v>57.7818237119746</v>
      </c>
      <c r="AH28" s="81">
        <f>VLOOKUP(B28,'Player Data'!$A1:$AE667,22,FALSE)</f>
        <v>0.467030746450005</v>
      </c>
      <c r="AI28" s="77"/>
      <c r="AJ28" s="79"/>
      <c r="AK28" s="79"/>
      <c r="AL28" s="79"/>
      <c r="AM28" s="79"/>
      <c r="AN28" s="79"/>
      <c r="AO28" s="79"/>
      <c r="AP28" s="79"/>
      <c r="AQ28" s="82"/>
      <c r="AR28" s="83"/>
      <c r="AS28" s="84"/>
    </row>
    <row r="29" ht="21.25" customHeight="1">
      <c r="A29" s="85">
        <f>RANK(K29,K$1:K$665)</f>
        <v>27</v>
      </c>
      <c r="B29" t="s" s="16">
        <v>184</v>
      </c>
      <c r="C29" t="s" s="69">
        <v>127</v>
      </c>
      <c r="D29" t="s" s="70">
        <f>VLOOKUP(B29,'Player Data'!A1:D667,4,FALSE)</f>
        <v>153</v>
      </c>
      <c r="E29" s="95">
        <f>VLOOKUP(B29,'D'!A1:C213,3,FALSE)</f>
        <v>6</v>
      </c>
      <c r="F29" t="s" s="86">
        <f>VLOOKUP(B29,'Player Data'!A1:B667,2,FALSE)</f>
        <v>129</v>
      </c>
      <c r="G29" s="96">
        <f>VLOOKUP(B29,'Player Data'!A1:D667,3,FALSE)</f>
        <v>24</v>
      </c>
      <c r="H29" s="94">
        <f>_xlfn.IFERROR(VLOOKUP(B29,'ADP'!A1:G665,7,FALSE)/1000000,VLOOKUP(B29,'ADP'!A1:G665,7,FALSE))</f>
        <v>3.9</v>
      </c>
      <c r="I29" s="74">
        <f>IF('Settings'!$E$15="POINTS",((R29*Q29)*'Settings'!$B$12)+(S29*'Settings'!$B$2)+(T29*'Settings'!$B$3)+(U29*'Settings'!$B$4)+(V29*'Settings'!$B$5)+(X29*'Settings'!$B$9)+(AA29*'Settings'!$B$6)+(W29*'Settings'!$B$8)+(AB29*'Settings'!$B$7)+(AC29*'Settings'!$B$14)+(AD29*'Settings'!$B$15)+(AE29*'Settings'!$B$16)+(AF29*'Settings'!$B$17)+(AG29*'Settings'!$B$18)+(U29*'Settings'!$B$13)+(Y29*'Settings'!$B$10)+(Z29*'Settings'!$B$11),VLOOKUP(B29,'Standard Deviations'!A1:C666,3,FALSE))</f>
        <v>389.520364438073</v>
      </c>
      <c r="J29" s="75">
        <f>IF(D29="G",I29/AJ29,I29/Q29)</f>
        <v>4.76462939283903</v>
      </c>
      <c r="K29" s="74">
        <f>VLOOKUP(B29,'D'!A1:F213,6,FALSE)</f>
        <v>57.980156517991</v>
      </c>
      <c r="L29" s="76">
        <f>_xlfn.IFERROR(K29/H29,"N/A")</f>
        <v>14.8667067994849</v>
      </c>
      <c r="M29" s="77">
        <f>IF('Settings'!$E$9="YAHOO",VLOOKUP(B29,'ADP'!A1:E665,2,FALSE),IF('Settings'!$E$9="ESPN",VLOOKUP(B29,'ADP'!A1:E665,3,FALSE),IF('Settings'!$E$9="FANTRAX",VLOOKUP(B29,'ADP'!A1:E665,4,FALSE),VLOOKUP(B29,'ADP'!A1:E665,5,FALSE))))</f>
        <v>0</v>
      </c>
      <c r="N29" s="77">
        <f>_xlfn.IFERROR(M29-A29,"N/A")</f>
        <v>-27</v>
      </c>
      <c r="O29" s="77"/>
      <c r="P29" t="s" s="78">
        <f>IF('Settings'!$E$27="ON",VLOOKUP(B29,'ADP'!A1:H665,8,FALSE)," ")</f>
        <v>185</v>
      </c>
      <c r="Q29" s="79">
        <f>IF('Settings'!$E$12="YES",VLOOKUP(B29,'Player Data'!A1:E667,5,FALSE),82)</f>
        <v>81.7525</v>
      </c>
      <c r="R29" s="77">
        <f>VLOOKUP(B29,'Player Data'!$A1:$AE667,6,FALSE)</f>
        <v>23.4995414380258</v>
      </c>
      <c r="S29" s="79">
        <f>VLOOKUP(B29,'Player Data'!$A1:$AE667,7,FALSE)*$Q29*_xlfn.IFERROR((VLOOKUP(P29,'Settings'!$E$28:$F$33,2,FALSE)+1),1)</f>
        <v>17.7603835432236</v>
      </c>
      <c r="T29" s="79">
        <f>VLOOKUP(B29,'Player Data'!$A1:$AE667,8,FALSE)*$Q29*_xlfn.IFERROR((VLOOKUP(P29,'Settings'!$E$28:$F$33,2,FALSE)+1),1)</f>
        <v>62.1369753255318</v>
      </c>
      <c r="U29" s="79">
        <f>SUM(S29:T29)</f>
        <v>79.8973588687554</v>
      </c>
      <c r="V29" s="79">
        <f>VLOOKUP(B29,'Player Data'!$A1:$AE667,10,FALSE)*$Q29*_xlfn.IFERROR(((VLOOKUP(P29,'Settings'!$E$28:$F$33,2,FALSE)/2)+1),1)</f>
        <v>231.405750268714</v>
      </c>
      <c r="W29" s="79">
        <f>VLOOKUP(B29,'Player Data'!$A1:$AE667,11,FALSE)*$Q29*_xlfn.IFERROR((VLOOKUP(P29,'Settings'!$E$28:$F$33,2,FALSE)+1),1)</f>
        <v>7.18119826669624</v>
      </c>
      <c r="X29" s="80">
        <f>VLOOKUP(B29,'Player Data'!$A1:$AE667,12,FALSE)*$Q29*_xlfn.IFERROR((VLOOKUP(P29,'Settings'!$E$28:$F$33,2,FALSE)+1),1)</f>
        <v>33.606674991495</v>
      </c>
      <c r="Y29" s="79">
        <f>VLOOKUP(B29,'Player Data'!$A1:$AE667,13,FALSE)*$Q29</f>
        <v>0.0198689064160804</v>
      </c>
      <c r="Z29" s="79">
        <f>VLOOKUP(B29,'Player Data'!$A1:$AE667,14,FALSE)*$Q29</f>
        <v>0.433358072359644</v>
      </c>
      <c r="AA29" s="79">
        <f>VLOOKUP(B29,'Player Data'!$A1:$AE667,15,FALSE)*$Q29</f>
        <v>110.736694448262</v>
      </c>
      <c r="AB29" s="79">
        <f>VLOOKUP(B29,'Player Data'!$A1:$AE667,16,FALSE)*$Q29</f>
        <v>87.2020045316644</v>
      </c>
      <c r="AC29" s="79">
        <f>VLOOKUP(B29,'Player Data'!$A1:$AE667,17,FALSE)*$Q29*_xlfn.IFERROR((VLOOKUP(P29,'Settings'!$E$28:$F$33,2,FALSE)+1),1)</f>
        <v>13.0577042748812</v>
      </c>
      <c r="AD29" s="79">
        <f>VLOOKUP(B29,'Player Data'!$A1:$AE667,18,FALSE)*$Q29</f>
        <v>35.6519269712942</v>
      </c>
      <c r="AE29" s="79">
        <f>VLOOKUP(B29,'Player Data'!$A1:$AE667,19,FALSE)*$Q29*_xlfn.IFERROR((VLOOKUP(P29,'Settings'!$E$28:$F$33,2,FALSE)+1),1)</f>
        <v>2.86786073008496</v>
      </c>
      <c r="AF29" s="79">
        <f>VLOOKUP(B29,'Player Data'!$A1:$AE667,20,FALSE)*$Q29</f>
        <v>0</v>
      </c>
      <c r="AG29" s="79">
        <f>VLOOKUP(B29,'Player Data'!$A1:$AE667,21,FALSE)*$Q29</f>
        <v>0</v>
      </c>
      <c r="AH29" s="81">
        <f>VLOOKUP(B29,'Player Data'!$A1:$AE667,22,FALSE)</f>
        <v>0</v>
      </c>
      <c r="AI29" s="77"/>
      <c r="AJ29" s="89"/>
      <c r="AK29" s="79"/>
      <c r="AL29" s="79"/>
      <c r="AM29" s="79"/>
      <c r="AN29" s="79"/>
      <c r="AO29" s="79"/>
      <c r="AP29" s="79"/>
      <c r="AQ29" s="82"/>
      <c r="AR29" s="83"/>
      <c r="AS29" s="84"/>
    </row>
    <row r="30" ht="21.25" customHeight="1">
      <c r="A30" s="85">
        <f>RANK(K30,K$1:K$665)</f>
        <v>34</v>
      </c>
      <c r="B30" t="s" s="16">
        <v>186</v>
      </c>
      <c r="C30" t="s" s="69">
        <v>127</v>
      </c>
      <c r="D30" t="s" s="70">
        <f>VLOOKUP(B30,'Player Data'!A1:D667,4,FALSE)</f>
        <v>128</v>
      </c>
      <c r="E30" s="71">
        <f>VLOOKUP(B30,'C'!A1:C206,3,FALSE)</f>
        <v>11</v>
      </c>
      <c r="F30" t="s" s="86">
        <f>VLOOKUP(B30,'Player Data'!A1:B667,2,FALSE)</f>
        <v>149</v>
      </c>
      <c r="G30" s="11">
        <f>VLOOKUP(B30,'Player Data'!A1:D667,3,FALSE)</f>
        <v>29</v>
      </c>
      <c r="H30" s="73">
        <f>_xlfn.IFERROR(VLOOKUP(B30,'ADP'!A1:G665,7,FALSE)/1000000,VLOOKUP(B30,'ADP'!A1:G665,7,FALSE))</f>
        <v>10</v>
      </c>
      <c r="I30" s="74">
        <f>IF('Settings'!$E$15="POINTS",((R30*Q30)*'Settings'!$B$12)+(S30*'Settings'!$B$2)+(T30*'Settings'!$B$3)+(U30*'Settings'!$B$4)+(V30*'Settings'!$B$5)+(X30*'Settings'!$B$9)+(AA30*'Settings'!$B$6)+(W30*'Settings'!$B$8)+(AB30*'Settings'!$B$7)+(AC30*'Settings'!$B$14)+(AD30*'Settings'!$B$15)+(AE30*'Settings'!$B$16)+(AF30*'Settings'!$B$17)+(AG30*'Settings'!$B$18)+(Y30*'Settings'!$B$10)+(Z30*'Settings'!$B$11),VLOOKUP(B30,'Standard Deviations'!A1:C666,3,FALSE))</f>
        <v>375.783938658533</v>
      </c>
      <c r="J30" s="75">
        <f>IF(D30="G",I30/AJ30,I30/Q30)</f>
        <v>4.87983558300858</v>
      </c>
      <c r="K30" s="74">
        <f>IF('Settings'!$E$18="C/LW/RW",VLOOKUP(B30,'C'!A1:F206,6,FALSE),VLOOKUP(B30,'F'!A1:F392,6,FALSE))</f>
        <v>46.092044577355</v>
      </c>
      <c r="L30" s="76">
        <f>_xlfn.IFERROR(K30/H30,"N/A")</f>
        <v>4.6092044577355</v>
      </c>
      <c r="M30" s="77">
        <f>IF('Settings'!$E$9="YAHOO",VLOOKUP(B30,'ADP'!A1:E665,2,FALSE),IF('Settings'!$E$9="ESPN",VLOOKUP(B30,'ADP'!A1:E665,3,FALSE),IF('Settings'!$E$9="FANTRAX",VLOOKUP(B30,'ADP'!A1:E665,4,FALSE),VLOOKUP(B30,'ADP'!A1:E665,5,FALSE))))</f>
        <v>0</v>
      </c>
      <c r="N30" s="77">
        <f>_xlfn.IFERROR(M30-A30,"N/A")</f>
        <v>-34</v>
      </c>
      <c r="O30" s="77"/>
      <c r="P30" t="s" s="78">
        <f>IF('Settings'!$E$27="ON",VLOOKUP(B30,'ADP'!A1:H665,8,FALSE)," ")</f>
        <v>138</v>
      </c>
      <c r="Q30" s="79">
        <f>IF('Settings'!$E$12="YES",VLOOKUP(B30,'Player Data'!A1:E667,5,FALSE),82)</f>
        <v>77.00749999999999</v>
      </c>
      <c r="R30" s="77">
        <f>VLOOKUP(B30,'Player Data'!$A1:$AE667,6,FALSE)</f>
        <v>20.2378887249173</v>
      </c>
      <c r="S30" s="79">
        <f>VLOOKUP(B30,'Player Data'!$A1:$AE667,7,FALSE)*$Q30*_xlfn.IFERROR((VLOOKUP(P30,'Settings'!$E$28:$F$33,2,FALSE)+1),1)</f>
        <v>27.1354012207729</v>
      </c>
      <c r="T30" s="79">
        <f>VLOOKUP(B30,'Player Data'!$A1:$AE667,8,FALSE)*$Q30*_xlfn.IFERROR((VLOOKUP(P30,'Settings'!$E$28:$F$33,2,FALSE)+1),1)</f>
        <v>56.6277809539037</v>
      </c>
      <c r="U30" s="79">
        <f>SUM(S30:T30)</f>
        <v>83.7631821746766</v>
      </c>
      <c r="V30" s="79">
        <f>VLOOKUP(B30,'Player Data'!$A1:$AE667,10,FALSE)*$Q30*_xlfn.IFERROR(((VLOOKUP(P30,'Settings'!$E$28:$F$33,2,FALSE)/2)+1),1)</f>
        <v>218.033357771330</v>
      </c>
      <c r="W30" s="79">
        <f>VLOOKUP(B30,'Player Data'!$A1:$AE667,11,FALSE)*$Q30*_xlfn.IFERROR((VLOOKUP(P30,'Settings'!$E$28:$F$33,2,FALSE)+1),1)</f>
        <v>6.60729544073181</v>
      </c>
      <c r="X30" s="80">
        <f>VLOOKUP(B30,'Player Data'!$A1:$AE667,12,FALSE)*$Q30*_xlfn.IFERROR((VLOOKUP(P30,'Settings'!$E$28:$F$33,2,FALSE)+1),1)</f>
        <v>26.6577345482971</v>
      </c>
      <c r="Y30" s="79">
        <f>VLOOKUP(B30,'Player Data'!$A1:$AE667,13,FALSE)*$Q30</f>
        <v>0.926359059117128</v>
      </c>
      <c r="Z30" s="79">
        <f>VLOOKUP(B30,'Player Data'!$A1:$AE667,14,FALSE)*$Q30</f>
        <v>2.270070069548</v>
      </c>
      <c r="AA30" s="79">
        <f>VLOOKUP(B30,'Player Data'!$A1:$AE667,15,FALSE)*$Q30</f>
        <v>52.7943018657803</v>
      </c>
      <c r="AB30" s="79">
        <f>VLOOKUP(B30,'Player Data'!$A1:$AE667,16,FALSE)*$Q30</f>
        <v>90.67574279578341</v>
      </c>
      <c r="AC30" s="79">
        <f>VLOOKUP(B30,'Player Data'!$A1:$AE667,17,FALSE)*$Q30*_xlfn.IFERROR((VLOOKUP(P30,'Settings'!$E$28:$F$33,2,FALSE)+1),1)</f>
        <v>8.68958125516756</v>
      </c>
      <c r="AD30" s="79">
        <f>VLOOKUP(B30,'Player Data'!$A1:$AE667,18,FALSE)*$Q30</f>
        <v>23.0623423822577</v>
      </c>
      <c r="AE30" s="79">
        <f>VLOOKUP(B30,'Player Data'!$A1:$AE667,19,FALSE)*$Q30*_xlfn.IFERROR((VLOOKUP(P30,'Settings'!$E$28:$F$33,2,FALSE)+1),1)</f>
        <v>4.6228339111139</v>
      </c>
      <c r="AF30" s="79">
        <f>VLOOKUP(B30,'Player Data'!$A1:$AE667,20,FALSE)*$Q30</f>
        <v>712.959540342322</v>
      </c>
      <c r="AG30" s="79">
        <f>VLOOKUP(B30,'Player Data'!$A1:$AE667,21,FALSE)*$Q30</f>
        <v>551.999787470916</v>
      </c>
      <c r="AH30" s="81">
        <f>VLOOKUP(B30,'Player Data'!$A1:$AE667,22,FALSE)</f>
        <v>0.563622501266369</v>
      </c>
      <c r="AI30" s="77"/>
      <c r="AJ30" s="79"/>
      <c r="AK30" s="79"/>
      <c r="AL30" s="79"/>
      <c r="AM30" s="79"/>
      <c r="AN30" s="79"/>
      <c r="AO30" s="79"/>
      <c r="AP30" s="79"/>
      <c r="AQ30" s="82"/>
      <c r="AR30" s="83"/>
      <c r="AS30" s="93"/>
    </row>
    <row r="31" ht="21.25" customHeight="1">
      <c r="A31" s="85">
        <f>RANK(K31,K$1:K$665)</f>
        <v>26</v>
      </c>
      <c r="B31" t="s" s="16">
        <v>187</v>
      </c>
      <c r="C31" t="s" s="69">
        <v>127</v>
      </c>
      <c r="D31" t="s" s="70">
        <f>VLOOKUP(B31,'Player Data'!A1:D667,4,FALSE)</f>
        <v>161</v>
      </c>
      <c r="E31" s="99">
        <f>VLOOKUP(B31,'G'!A1:D65,3,FALSE)</f>
        <v>6</v>
      </c>
      <c r="F31" t="s" s="103">
        <f>VLOOKUP(B31,'Player Data'!A1:B667,2,FALSE)</f>
        <v>188</v>
      </c>
      <c r="G31" s="96">
        <f>VLOOKUP(B31,'Player Data'!A1:D667,3,FALSE)</f>
        <v>25</v>
      </c>
      <c r="H31" s="73">
        <f>_xlfn.IFERROR(VLOOKUP(B31,'ADP'!A1:G665,7,FALSE)/1000000,VLOOKUP(B31,'ADP'!A1:G665,7,FALSE))</f>
        <v>2.6</v>
      </c>
      <c r="I31" s="74">
        <f>IF('Settings'!$E$15="POINTS",(AJ31*'Settings'!$B$29)+(AK31*'Settings'!$B$21)+(AL31*'Settings'!$B$22)+(AN31*'Settings'!$B$24)+(AO31*'Settings'!$B$25)+(AP31*'Settings'!$B$27)+(AM31*'Settings'!$B$23),VLOOKUP(B31,'Standard Deviations'!A1:C666,3,FALSE))</f>
        <v>326.782981202940</v>
      </c>
      <c r="J31" s="75">
        <f>IF(D31="G",I31/AJ31,I31/Q31)</f>
        <v>5.83541037862393</v>
      </c>
      <c r="K31" s="74">
        <f>VLOOKUP(B31,'G'!A1:F65,6,FALSE)</f>
        <v>59.191966638350</v>
      </c>
      <c r="L31" s="76">
        <f>_xlfn.IFERROR(K31/H31,"N/A")</f>
        <v>22.766141014750</v>
      </c>
      <c r="M31" s="77">
        <f>IF('Settings'!$E$9="YAHOO",VLOOKUP(B31,'ADP'!A1:E665,2,FALSE),IF('Settings'!$E$9="ESPN",VLOOKUP(B31,'ADP'!A1:E665,3,FALSE),IF('Settings'!$E$9="FANTRAX",VLOOKUP(B31,'ADP'!A1:E665,4,FALSE),VLOOKUP(B31,'ADP'!A1:E665,5,FALSE))))</f>
        <v>0</v>
      </c>
      <c r="N31" s="77">
        <f>_xlfn.IFERROR(M31-A31,"N/A")</f>
        <v>-26</v>
      </c>
      <c r="O31" s="77"/>
      <c r="P31" t="s" s="78">
        <f>IF('Settings'!$E$27="ON",VLOOKUP(B31,'ADP'!A1:H665,8,FALSE)," ")</f>
        <v>138</v>
      </c>
      <c r="Q31" s="79"/>
      <c r="R31" s="77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81"/>
      <c r="AI31" s="77"/>
      <c r="AJ31" s="89">
        <f>VLOOKUP(B31,'Player Data'!$A1:$AE667,24,FALSE)</f>
        <v>56</v>
      </c>
      <c r="AK31" s="79">
        <f>VLOOKUP(B31,'Player Data'!$A1:$AE667,25,FALSE)*$AJ31*_xlfn.IFERROR((VLOOKUP(P31,'Settings'!$E$28:$F$33,2,FALSE)+1),1)</f>
        <v>37.3063424177578</v>
      </c>
      <c r="AL31" s="79">
        <f>AJ31-AK31-AM31</f>
        <v>11.6936575822422</v>
      </c>
      <c r="AM31" s="79">
        <f>VLOOKUP(B31,'Player Data'!$A1:$AE667,27,FALSE)*$AJ31</f>
        <v>7</v>
      </c>
      <c r="AN31" s="79">
        <f>VLOOKUP(B31,'Player Data'!$A1:$AE667,28,FALSE)*AJ31</f>
        <v>3.32417279971887</v>
      </c>
      <c r="AO31" s="79">
        <f>VLOOKUP(B31,'Player Data'!$A1:$AE667,29,FALSE)*$AJ31*_xlfn.IFERROR((VLOOKUP(P31,'Settings'!$E$28:$F$33,2,FALSE)/4)+1,1)</f>
        <v>1521.581490261470</v>
      </c>
      <c r="AP31" s="79">
        <f>VLOOKUP(B31,'Player Data'!$A1:$AE667,31,FALSE)*$AJ31*(_xlfn.IFERROR(1-(VLOOKUP(P31,'Settings'!$E$28:$F$33,2,FALSE)/4),1))</f>
        <v>152.344473593575</v>
      </c>
      <c r="AQ31" s="82">
        <f>1-(AP31/(AO31+AP31))</f>
        <v>0.908989718253293</v>
      </c>
      <c r="AR31" s="83">
        <f>AP31/AJ31</f>
        <v>2.7204370284567</v>
      </c>
      <c r="AS31" s="84"/>
    </row>
    <row r="32" ht="21.25" customHeight="1">
      <c r="A32" s="85">
        <f>RANK(K32,K$1:K$665)</f>
        <v>30</v>
      </c>
      <c r="B32" t="s" s="16">
        <v>189</v>
      </c>
      <c r="C32" t="s" s="69">
        <v>127</v>
      </c>
      <c r="D32" t="s" s="70">
        <f>VLOOKUP(B32,'Player Data'!A1:D667,4,FALSE)</f>
        <v>153</v>
      </c>
      <c r="E32" s="95">
        <f>VLOOKUP(B32,'D'!A1:C213,3,FALSE)</f>
        <v>7</v>
      </c>
      <c r="F32" t="s" s="103">
        <f>VLOOKUP(B32,'Player Data'!A1:B667,2,FALSE)</f>
        <v>190</v>
      </c>
      <c r="G32" s="96">
        <f>VLOOKUP(B32,'Player Data'!A1:D667,3,FALSE)</f>
        <v>24</v>
      </c>
      <c r="H32" s="94">
        <f>_xlfn.IFERROR(VLOOKUP(B32,'ADP'!A1:G665,7,FALSE)/1000000,VLOOKUP(B32,'ADP'!A1:G665,7,FALSE))</f>
        <v>4</v>
      </c>
      <c r="I32" s="74">
        <f>IF('Settings'!$E$15="POINTS",((R32*Q32)*'Settings'!$B$12)+(S32*'Settings'!$B$2)+(T32*'Settings'!$B$3)+(U32*'Settings'!$B$4)+(V32*'Settings'!$B$5)+(X32*'Settings'!$B$9)+(AA32*'Settings'!$B$6)+(W32*'Settings'!$B$8)+(AB32*'Settings'!$B$7)+(AC32*'Settings'!$B$14)+(AD32*'Settings'!$B$15)+(AE32*'Settings'!$B$16)+(AF32*'Settings'!$B$17)+(AG32*'Settings'!$B$18)+(U32*'Settings'!$B$13)+(Y32*'Settings'!$B$10)+(Z32*'Settings'!$B$11),VLOOKUP(B32,'Standard Deviations'!A1:C666,3,FALSE))</f>
        <v>387.006113590260</v>
      </c>
      <c r="J32" s="75">
        <f>IF(D32="G",I32/AJ32,I32/Q32)</f>
        <v>4.79279375324635</v>
      </c>
      <c r="K32" s="74">
        <f>VLOOKUP(B32,'D'!A1:F213,6,FALSE)</f>
        <v>55.465905670178</v>
      </c>
      <c r="L32" s="76">
        <f>_xlfn.IFERROR(K32/H32,"N/A")</f>
        <v>13.8664764175445</v>
      </c>
      <c r="M32" s="77">
        <f>IF('Settings'!$E$9="YAHOO",VLOOKUP(B32,'ADP'!A1:E665,2,FALSE),IF('Settings'!$E$9="ESPN",VLOOKUP(B32,'ADP'!A1:E665,3,FALSE),IF('Settings'!$E$9="FANTRAX",VLOOKUP(B32,'ADP'!A1:E665,4,FALSE),VLOOKUP(B32,'ADP'!A1:E665,5,FALSE))))</f>
        <v>0</v>
      </c>
      <c r="N32" s="77">
        <f>_xlfn.IFERROR(M32-A32,"N/A")</f>
        <v>-30</v>
      </c>
      <c r="O32" s="77"/>
      <c r="P32" t="s" s="78">
        <f>IF('Settings'!$E$27="ON",VLOOKUP(B32,'ADP'!A1:H665,8,FALSE)," ")</f>
        <v>138</v>
      </c>
      <c r="Q32" s="79">
        <f>IF('Settings'!$E$12="YES",VLOOKUP(B32,'Player Data'!A1:E667,5,FALSE),82)</f>
        <v>80.7475</v>
      </c>
      <c r="R32" s="77">
        <f>VLOOKUP(B32,'Player Data'!$A1:$AE667,6,FALSE)</f>
        <v>24.7096723391515</v>
      </c>
      <c r="S32" s="79">
        <f>VLOOKUP(B32,'Player Data'!$A1:$AE667,7,FALSE)*$Q32*_xlfn.IFERROR((VLOOKUP(P32,'Settings'!$E$28:$F$33,2,FALSE)+1),1)</f>
        <v>13.4663305154284</v>
      </c>
      <c r="T32" s="79">
        <f>VLOOKUP(B32,'Player Data'!$A1:$AE667,8,FALSE)*$Q32*_xlfn.IFERROR((VLOOKUP(P32,'Settings'!$E$28:$F$33,2,FALSE)+1),1)</f>
        <v>55.1642814388293</v>
      </c>
      <c r="U32" s="79">
        <f>SUM(S32:T32)</f>
        <v>68.6306119542577</v>
      </c>
      <c r="V32" s="79">
        <f>VLOOKUP(B32,'Player Data'!$A1:$AE667,10,FALSE)*$Q32*_xlfn.IFERROR(((VLOOKUP(P32,'Settings'!$E$28:$F$33,2,FALSE)/2)+1),1)</f>
        <v>202.227903387722</v>
      </c>
      <c r="W32" s="79">
        <f>VLOOKUP(B32,'Player Data'!$A1:$AE667,11,FALSE)*$Q32*_xlfn.IFERROR((VLOOKUP(P32,'Settings'!$E$28:$F$33,2,FALSE)+1),1)</f>
        <v>2.90746750883291</v>
      </c>
      <c r="X32" s="80">
        <f>VLOOKUP(B32,'Player Data'!$A1:$AE667,12,FALSE)*$Q32*_xlfn.IFERROR((VLOOKUP(P32,'Settings'!$E$28:$F$33,2,FALSE)+1),1)</f>
        <v>24.0019524805932</v>
      </c>
      <c r="Y32" s="79">
        <f>VLOOKUP(B32,'Player Data'!$A1:$AE667,13,FALSE)*$Q32</f>
        <v>0.0229164783259136</v>
      </c>
      <c r="Z32" s="79">
        <f>VLOOKUP(B32,'Player Data'!$A1:$AE667,14,FALSE)*$Q32</f>
        <v>0.533500022197588</v>
      </c>
      <c r="AA32" s="79">
        <f>VLOOKUP(B32,'Player Data'!$A1:$AE667,15,FALSE)*$Q32</f>
        <v>164.312306209504</v>
      </c>
      <c r="AB32" s="79">
        <f>VLOOKUP(B32,'Player Data'!$A1:$AE667,16,FALSE)*$Q32</f>
        <v>85.16545505210929</v>
      </c>
      <c r="AC32" s="79">
        <f>VLOOKUP(B32,'Player Data'!$A1:$AE667,17,FALSE)*$Q32*_xlfn.IFERROR((VLOOKUP(P32,'Settings'!$E$28:$F$33,2,FALSE)+1),1)</f>
        <v>3.86088035025581</v>
      </c>
      <c r="AD32" s="79">
        <f>VLOOKUP(B32,'Player Data'!$A1:$AE667,18,FALSE)*$Q32</f>
        <v>32.9657269204321</v>
      </c>
      <c r="AE32" s="79">
        <f>VLOOKUP(B32,'Player Data'!$A1:$AE667,19,FALSE)*$Q32*_xlfn.IFERROR((VLOOKUP(P32,'Settings'!$E$28:$F$33,2,FALSE)+1),1)</f>
        <v>2.11635420599166</v>
      </c>
      <c r="AF32" s="79">
        <f>VLOOKUP(B32,'Player Data'!$A1:$AE667,20,FALSE)*$Q32</f>
        <v>0</v>
      </c>
      <c r="AG32" s="79">
        <f>VLOOKUP(B32,'Player Data'!$A1:$AE667,21,FALSE)*$Q32</f>
        <v>0</v>
      </c>
      <c r="AH32" s="81">
        <f>VLOOKUP(B32,'Player Data'!$A1:$AE667,22,FALSE)</f>
        <v>0</v>
      </c>
      <c r="AI32" s="77"/>
      <c r="AJ32" s="79"/>
      <c r="AK32" s="79"/>
      <c r="AL32" s="79"/>
      <c r="AM32" s="79"/>
      <c r="AN32" s="79"/>
      <c r="AO32" s="79"/>
      <c r="AP32" s="79"/>
      <c r="AQ32" s="82"/>
      <c r="AR32" s="83"/>
      <c r="AS32" s="93"/>
    </row>
    <row r="33" ht="21.25" customHeight="1">
      <c r="A33" s="85">
        <f>RANK(K33,K$1:K$665)</f>
        <v>35</v>
      </c>
      <c r="B33" t="s" s="16">
        <v>191</v>
      </c>
      <c r="C33" t="s" s="69">
        <v>127</v>
      </c>
      <c r="D33" t="s" s="70">
        <f>VLOOKUP(B33,'Player Data'!A1:D667,4,FALSE)</f>
        <v>178</v>
      </c>
      <c r="E33" s="102">
        <f>VLOOKUP(B33,'LW'!A1:C152,3,FALSE)</f>
        <v>7</v>
      </c>
      <c r="F33" t="s" s="86">
        <f>VLOOKUP(B33,'Player Data'!A1:B667,2,FALSE)</f>
        <v>192</v>
      </c>
      <c r="G33" s="91">
        <f>VLOOKUP(B33,'Player Data'!A1:D667,3,FALSE)</f>
        <v>38</v>
      </c>
      <c r="H33" s="73">
        <f>_xlfn.IFERROR(VLOOKUP(B33,'ADP'!A1:G665,7,FALSE)/1000000,VLOOKUP(B33,'ADP'!A1:G665,7,FALSE))</f>
        <v>9.5</v>
      </c>
      <c r="I33" s="74">
        <f>IF('Settings'!$E$15="POINTS",((R33*Q33)*'Settings'!$B$12)+(S33*'Settings'!$B$2)+(T33*'Settings'!$B$3)+(U33*'Settings'!$B$4)+(V33*'Settings'!$B$5)+(X33*'Settings'!$B$9)+(AA33*'Settings'!$B$6)+(W33*'Settings'!$B$8)+(AB33*'Settings'!$B$7)+(AC33*'Settings'!$B$14)+(AD33*'Settings'!$B$15)+(AE33*'Settings'!$B$16)+(AF33*'Settings'!$B$17)+(AG33*'Settings'!$B$18)+(Y33*'Settings'!$B$10)+(Z33*'Settings'!$B$11),VLOOKUP(B33,'Standard Deviations'!A1:C666,3,FALSE))</f>
        <v>377.075301193214</v>
      </c>
      <c r="J33" s="75">
        <f>IF(D33="G",I33/AJ33,I33/Q33)</f>
        <v>4.72762413732716</v>
      </c>
      <c r="K33" s="74">
        <f>IF('Settings'!$E$18="C/LW/RW",VLOOKUP(B33,'LW'!A1:F152,6,FALSE),VLOOKUP(B33,'F'!A1:F392,6,FALSE))</f>
        <v>45.355189427002</v>
      </c>
      <c r="L33" s="76">
        <f>_xlfn.IFERROR(K33/H33,"N/A")</f>
        <v>4.77423046600021</v>
      </c>
      <c r="M33" s="77">
        <f>IF('Settings'!$E$9="YAHOO",VLOOKUP(B33,'ADP'!A1:E665,2,FALSE),IF('Settings'!$E$9="ESPN",VLOOKUP(B33,'ADP'!A1:E665,3,FALSE),IF('Settings'!$E$9="FANTRAX",VLOOKUP(B33,'ADP'!A1:E665,4,FALSE),VLOOKUP(B33,'ADP'!A1:E665,5,FALSE))))</f>
        <v>0</v>
      </c>
      <c r="N33" s="77">
        <f>_xlfn.IFERROR(M33-A33,"N/A")</f>
        <v>-35</v>
      </c>
      <c r="O33" s="77"/>
      <c r="P33" t="s" s="78">
        <f>IF('Settings'!$E$27="ON",VLOOKUP(B33,'ADP'!A1:H665,8,FALSE)," ")</f>
        <v>138</v>
      </c>
      <c r="Q33" s="79">
        <f>IF('Settings'!$E$12="YES",VLOOKUP(B33,'Player Data'!A1:E667,5,FALSE),82)</f>
        <v>79.76000000000001</v>
      </c>
      <c r="R33" s="77">
        <f>VLOOKUP(B33,'Player Data'!$A1:$AE667,6,FALSE)</f>
        <v>19.4551309433751</v>
      </c>
      <c r="S33" s="79">
        <f>VLOOKUP(B33,'Player Data'!$A1:$AE667,7,FALSE)*$Q33*_xlfn.IFERROR((VLOOKUP(P33,'Settings'!$E$28:$F$33,2,FALSE)+1),1)</f>
        <v>35.8920361536465</v>
      </c>
      <c r="T33" s="79">
        <f>VLOOKUP(B33,'Player Data'!$A1:$AE667,8,FALSE)*$Q33*_xlfn.IFERROR((VLOOKUP(P33,'Settings'!$E$28:$F$33,2,FALSE)+1),1)</f>
        <v>34.9292266042514</v>
      </c>
      <c r="U33" s="79">
        <f>SUM(S33:T33)</f>
        <v>70.8212627578979</v>
      </c>
      <c r="V33" s="79">
        <f>VLOOKUP(B33,'Player Data'!$A1:$AE667,10,FALSE)*$Q33*_xlfn.IFERROR(((VLOOKUP(P33,'Settings'!$E$28:$F$33,2,FALSE)/2)+1),1)</f>
        <v>287.849988778820</v>
      </c>
      <c r="W33" s="79">
        <f>VLOOKUP(B33,'Player Data'!$A1:$AE667,11,FALSE)*$Q33*_xlfn.IFERROR((VLOOKUP(P33,'Settings'!$E$28:$F$33,2,FALSE)+1),1)</f>
        <v>13.6723798981621</v>
      </c>
      <c r="X33" s="80">
        <f>VLOOKUP(B33,'Player Data'!$A1:$AE667,12,FALSE)*$Q33*_xlfn.IFERROR((VLOOKUP(P33,'Settings'!$E$28:$F$33,2,FALSE)+1),1)</f>
        <v>27.4742803455168</v>
      </c>
      <c r="Y33" s="79">
        <f>VLOOKUP(B33,'Player Data'!$A1:$AE667,13,FALSE)*$Q33</f>
        <v>0.00662481798322958</v>
      </c>
      <c r="Z33" s="79">
        <f>VLOOKUP(B33,'Player Data'!$A1:$AE667,14,FALSE)*$Q33</f>
        <v>0.00840393788078427</v>
      </c>
      <c r="AA33" s="79">
        <f>VLOOKUP(B33,'Player Data'!$A1:$AE667,15,FALSE)*$Q33</f>
        <v>27.8574224282088</v>
      </c>
      <c r="AB33" s="79">
        <f>VLOOKUP(B33,'Player Data'!$A1:$AE667,16,FALSE)*$Q33</f>
        <v>160.275155623239</v>
      </c>
      <c r="AC33" s="79">
        <f>VLOOKUP(B33,'Player Data'!$A1:$AE667,17,FALSE)*$Q33*_xlfn.IFERROR((VLOOKUP(P33,'Settings'!$E$28:$F$33,2,FALSE)+1),1)</f>
        <v>-3.32750944020174</v>
      </c>
      <c r="AD33" s="79">
        <f>VLOOKUP(B33,'Player Data'!$A1:$AE667,18,FALSE)*$Q33</f>
        <v>28.150030517987</v>
      </c>
      <c r="AE33" s="79">
        <f>VLOOKUP(B33,'Player Data'!$A1:$AE667,19,FALSE)*$Q33*_xlfn.IFERROR((VLOOKUP(P33,'Settings'!$E$28:$F$33,2,FALSE)+1),1)</f>
        <v>5.09352983810121</v>
      </c>
      <c r="AF33" s="79">
        <f>VLOOKUP(B33,'Player Data'!$A1:$AE667,20,FALSE)*$Q33</f>
        <v>1.06615738324242</v>
      </c>
      <c r="AG33" s="79">
        <f>VLOOKUP(B33,'Player Data'!$A1:$AE667,21,FALSE)*$Q33</f>
        <v>3.65034607687181</v>
      </c>
      <c r="AH33" s="81">
        <f>VLOOKUP(B33,'Player Data'!$A1:$AE667,22,FALSE)</f>
        <v>0.22604825635315</v>
      </c>
      <c r="AI33" s="77"/>
      <c r="AJ33" s="79"/>
      <c r="AK33" s="79"/>
      <c r="AL33" s="79"/>
      <c r="AM33" s="79"/>
      <c r="AN33" s="79"/>
      <c r="AO33" s="79"/>
      <c r="AP33" s="79"/>
      <c r="AQ33" s="82"/>
      <c r="AR33" s="83"/>
      <c r="AS33" s="84"/>
    </row>
    <row r="34" ht="21.25" customHeight="1">
      <c r="A34" s="85">
        <f>RANK(K34,K$1:K$665)</f>
        <v>37</v>
      </c>
      <c r="B34" t="s" s="16">
        <v>193</v>
      </c>
      <c r="C34" t="s" s="69">
        <v>127</v>
      </c>
      <c r="D34" t="s" s="70">
        <f>VLOOKUP(B34,'Player Data'!A1:D667,4,FALSE)</f>
        <v>136</v>
      </c>
      <c r="E34" s="87">
        <f>VLOOKUP(B34,'LW'!A1:C152,3,FALSE)</f>
        <v>8</v>
      </c>
      <c r="F34" t="s" s="78">
        <f>VLOOKUP(B34,'Player Data'!A1:B667,2,FALSE)</f>
        <v>194</v>
      </c>
      <c r="G34" s="96">
        <f>VLOOKUP(B34,'Player Data'!A1:D667,3,FALSE)</f>
        <v>23</v>
      </c>
      <c r="H34" s="73">
        <f>_xlfn.IFERROR(VLOOKUP(B34,'ADP'!A1:G665,7,FALSE)/1000000,VLOOKUP(B34,'ADP'!A1:G665,7,FALSE))</f>
        <v>8</v>
      </c>
      <c r="I34" s="74">
        <f>IF('Settings'!$E$15="POINTS",((R34*Q34)*'Settings'!$B$12)+(S34*'Settings'!$B$2)+(T34*'Settings'!$B$3)+(U34*'Settings'!$B$4)+(V34*'Settings'!$B$5)+(X34*'Settings'!$B$9)+(AA34*'Settings'!$B$6)+(W34*'Settings'!$B$8)+(AB34*'Settings'!$B$7)+(AC34*'Settings'!$B$14)+(AD34*'Settings'!$B$15)+(AE34*'Settings'!$B$16)+(AF34*'Settings'!$B$17)+(AG34*'Settings'!$B$18)+(Y34*'Settings'!$B$10)+(Z34*'Settings'!$B$11),VLOOKUP(B34,'Standard Deviations'!A1:C666,3,FALSE))</f>
        <v>376.928308347434</v>
      </c>
      <c r="J34" s="75">
        <f>IF(D34="G",I34/AJ34,I34/Q34)</f>
        <v>5.05062720551298</v>
      </c>
      <c r="K34" s="74">
        <f>IF('Settings'!$E$18="C/LW/RW",VLOOKUP(B34,'LW'!A1:F152,6,FALSE),VLOOKUP(B34,'F'!A1:F392,6,FALSE))</f>
        <v>45.208196581222</v>
      </c>
      <c r="L34" s="76">
        <f>_xlfn.IFERROR(K34/H34,"N/A")</f>
        <v>5.65102457265275</v>
      </c>
      <c r="M34" s="77">
        <f>IF('Settings'!$E$9="YAHOO",VLOOKUP(B34,'ADP'!A1:E665,2,FALSE),IF('Settings'!$E$9="ESPN",VLOOKUP(B34,'ADP'!A1:E665,3,FALSE),IF('Settings'!$E$9="FANTRAX",VLOOKUP(B34,'ADP'!A1:E665,4,FALSE),VLOOKUP(B34,'ADP'!A1:E665,5,FALSE))))</f>
        <v>0</v>
      </c>
      <c r="N34" s="77">
        <f>_xlfn.IFERROR(M34-A34,"N/A")</f>
        <v>-37</v>
      </c>
      <c r="O34" s="77"/>
      <c r="P34" t="s" s="78">
        <f>IF('Settings'!$E$27="ON",VLOOKUP(B34,'ADP'!A1:H665,8,FALSE)," ")</f>
        <v>138</v>
      </c>
      <c r="Q34" s="79">
        <f>IF('Settings'!$E$12="YES",VLOOKUP(B34,'Player Data'!A1:E667,5,FALSE),82)</f>
        <v>74.63</v>
      </c>
      <c r="R34" s="77">
        <f>VLOOKUP(B34,'Player Data'!$A1:$AE667,6,FALSE)</f>
        <v>21.0833454170787</v>
      </c>
      <c r="S34" s="79">
        <f>VLOOKUP(B34,'Player Data'!$A1:$AE667,7,FALSE)*$Q34*_xlfn.IFERROR((VLOOKUP(P34,'Settings'!$E$28:$F$33,2,FALSE)+1),1)</f>
        <v>40.7506968600598</v>
      </c>
      <c r="T34" s="79">
        <f>VLOOKUP(B34,'Player Data'!$A1:$AE667,8,FALSE)*$Q34*_xlfn.IFERROR((VLOOKUP(P34,'Settings'!$E$28:$F$33,2,FALSE)+1),1)</f>
        <v>59.846876179480</v>
      </c>
      <c r="U34" s="79">
        <f>SUM(S34:T34)</f>
        <v>100.597573039540</v>
      </c>
      <c r="V34" s="79">
        <f>VLOOKUP(B34,'Player Data'!$A1:$AE667,10,FALSE)*$Q34*_xlfn.IFERROR(((VLOOKUP(P34,'Settings'!$E$28:$F$33,2,FALSE)/2)+1),1)</f>
        <v>320.961165565551</v>
      </c>
      <c r="W34" s="79">
        <f>VLOOKUP(B34,'Player Data'!$A1:$AE667,11,FALSE)*$Q34*_xlfn.IFERROR((VLOOKUP(P34,'Settings'!$E$28:$F$33,2,FALSE)+1),1)</f>
        <v>11.8618214628452</v>
      </c>
      <c r="X34" s="80">
        <f>VLOOKUP(B34,'Player Data'!$A1:$AE667,12,FALSE)*$Q34*_xlfn.IFERROR((VLOOKUP(P34,'Settings'!$E$28:$F$33,2,FALSE)+1),1)</f>
        <v>37.3010767887708</v>
      </c>
      <c r="Y34" s="79">
        <f>VLOOKUP(B34,'Player Data'!$A1:$AE667,13,FALSE)*$Q34</f>
        <v>0.0264504565811104</v>
      </c>
      <c r="Z34" s="79">
        <f>VLOOKUP(B34,'Player Data'!$A1:$AE667,14,FALSE)*$Q34</f>
        <v>0.0444056041975443</v>
      </c>
      <c r="AA34" s="79">
        <f>VLOOKUP(B34,'Player Data'!$A1:$AE667,15,FALSE)*$Q34</f>
        <v>30.0584667478917</v>
      </c>
      <c r="AB34" s="79">
        <f>VLOOKUP(B34,'Player Data'!$A1:$AE667,16,FALSE)*$Q34</f>
        <v>17.4800579616731</v>
      </c>
      <c r="AC34" s="79">
        <f>VLOOKUP(B34,'Player Data'!$A1:$AE667,17,FALSE)*$Q34*_xlfn.IFERROR((VLOOKUP(P34,'Settings'!$E$28:$F$33,2,FALSE)+1),1)</f>
        <v>3.79269826037529</v>
      </c>
      <c r="AD34" s="79">
        <f>VLOOKUP(B34,'Player Data'!$A1:$AE667,18,FALSE)*$Q34</f>
        <v>14.7785828598186</v>
      </c>
      <c r="AE34" s="79">
        <f>VLOOKUP(B34,'Player Data'!$A1:$AE667,19,FALSE)*$Q34*_xlfn.IFERROR((VLOOKUP(P34,'Settings'!$E$28:$F$33,2,FALSE)+1),1)</f>
        <v>6.14831522334291</v>
      </c>
      <c r="AF34" s="79">
        <f>VLOOKUP(B34,'Player Data'!$A1:$AE667,20,FALSE)*$Q34</f>
        <v>151.066805597373</v>
      </c>
      <c r="AG34" s="79">
        <f>VLOOKUP(B34,'Player Data'!$A1:$AE667,21,FALSE)*$Q34</f>
        <v>268.807457870124</v>
      </c>
      <c r="AH34" s="81">
        <f>VLOOKUP(B34,'Player Data'!$A1:$AE667,22,FALSE)</f>
        <v>0.359790581946606</v>
      </c>
      <c r="AI34" s="77"/>
      <c r="AJ34" s="89"/>
      <c r="AK34" s="79"/>
      <c r="AL34" s="79"/>
      <c r="AM34" s="79"/>
      <c r="AN34" s="79"/>
      <c r="AO34" s="79"/>
      <c r="AP34" s="79"/>
      <c r="AQ34" s="82"/>
      <c r="AR34" s="83"/>
      <c r="AS34" s="84"/>
    </row>
    <row r="35" ht="21.25" customHeight="1">
      <c r="A35" s="85">
        <f>RANK(K35,K$1:K$665)</f>
        <v>38</v>
      </c>
      <c r="B35" t="s" s="16">
        <v>195</v>
      </c>
      <c r="C35" t="s" s="69">
        <v>127</v>
      </c>
      <c r="D35" t="s" s="70">
        <f>VLOOKUP(B35,'Player Data'!A1:D667,4,FALSE)</f>
        <v>148</v>
      </c>
      <c r="E35" s="87">
        <f>VLOOKUP(B35,'RW'!A1:C136,3,FALSE)</f>
        <v>8</v>
      </c>
      <c r="F35" t="s" s="78">
        <f>VLOOKUP(B35,'Player Data'!A1:B667,2,FALSE)</f>
        <v>194</v>
      </c>
      <c r="G35" s="11">
        <f>VLOOKUP(B35,'Player Data'!A1:D667,3,FALSE)</f>
        <v>27</v>
      </c>
      <c r="H35" s="73">
        <f>_xlfn.IFERROR(VLOOKUP(B35,'ADP'!A1:G665,7,FALSE)/1000000,VLOOKUP(B35,'ADP'!A1:G665,7,FALSE))</f>
        <v>8.800000000000001</v>
      </c>
      <c r="I35" s="74">
        <f>IF('Settings'!$E$15="POINTS",((R35*Q35)*'Settings'!$B$12)+(S35*'Settings'!$B$2)+(T35*'Settings'!$B$3)+(U35*'Settings'!$B$4)+(V35*'Settings'!$B$5)+(X35*'Settings'!$B$9)+(AA35*'Settings'!$B$6)+(W35*'Settings'!$B$8)+(AB35*'Settings'!$B$7)+(AC35*'Settings'!$B$14)+(AD35*'Settings'!$B$15)+(AE35*'Settings'!$B$16)+(AF35*'Settings'!$B$17)+(AG35*'Settings'!$B$18)+(Y35*'Settings'!$B$10)+(Z35*'Settings'!$B$11),VLOOKUP(B35,'Standard Deviations'!A1:C666,3,FALSE))</f>
        <v>374.535841488805</v>
      </c>
      <c r="J35" s="75">
        <f>IF(D35="G",I35/AJ35,I35/Q35)</f>
        <v>4.76069581478668</v>
      </c>
      <c r="K35" s="74">
        <f>IF('Settings'!$E$18="C/LW/RW",VLOOKUP(B35,'RW'!A1:F136,6,FALSE),VLOOKUP(B35,'F'!A1:F392,6,FALSE))</f>
        <v>44.843947407627</v>
      </c>
      <c r="L35" s="76">
        <f>_xlfn.IFERROR(K35/H35,"N/A")</f>
        <v>5.09590311450307</v>
      </c>
      <c r="M35" s="77">
        <f>IF('Settings'!$E$9="YAHOO",VLOOKUP(B35,'ADP'!A1:E665,2,FALSE),IF('Settings'!$E$9="ESPN",VLOOKUP(B35,'ADP'!A1:E665,3,FALSE),IF('Settings'!$E$9="FANTRAX",VLOOKUP(B35,'ADP'!A1:E665,4,FALSE),VLOOKUP(B35,'ADP'!A1:E665,5,FALSE))))</f>
        <v>0</v>
      </c>
      <c r="N35" s="77">
        <f>_xlfn.IFERROR(M35-A35,"N/A")</f>
        <v>-38</v>
      </c>
      <c r="O35" s="77"/>
      <c r="P35" t="s" s="78">
        <f>IF('Settings'!$E$27="ON",VLOOKUP(B35,'ADP'!A1:H665,8,FALSE)," ")</f>
        <v>138</v>
      </c>
      <c r="Q35" s="79">
        <f>IF('Settings'!$E$12="YES",VLOOKUP(B35,'Player Data'!A1:E667,5,FALSE),82)</f>
        <v>78.6725</v>
      </c>
      <c r="R35" s="98">
        <f>VLOOKUP(B35,'Player Data'!$A1:$AE667,6,FALSE)</f>
        <v>18.8015170236282</v>
      </c>
      <c r="S35" s="79">
        <f>VLOOKUP(B35,'Player Data'!$A1:$AE667,7,FALSE)*$Q35*_xlfn.IFERROR((VLOOKUP(P35,'Settings'!$E$28:$F$33,2,FALSE)+1),1)</f>
        <v>38.9223209445522</v>
      </c>
      <c r="T35" s="79">
        <f>VLOOKUP(B35,'Player Data'!$A1:$AE667,8,FALSE)*$Q35*_xlfn.IFERROR((VLOOKUP(P35,'Settings'!$E$28:$F$33,2,FALSE)+1),1)</f>
        <v>34.3141748415337</v>
      </c>
      <c r="U35" s="79">
        <f>SUM(S35:T35)</f>
        <v>73.2364957860859</v>
      </c>
      <c r="V35" s="79">
        <f>VLOOKUP(B35,'Player Data'!$A1:$AE667,10,FALSE)*$Q35*_xlfn.IFERROR(((VLOOKUP(P35,'Settings'!$E$28:$F$33,2,FALSE)/2)+1),1)</f>
        <v>279.843250471693</v>
      </c>
      <c r="W35" s="79">
        <f>VLOOKUP(B35,'Player Data'!$A1:$AE667,11,FALSE)*$Q35*_xlfn.IFERROR((VLOOKUP(P35,'Settings'!$E$28:$F$33,2,FALSE)+1),1)</f>
        <v>17.1531673059911</v>
      </c>
      <c r="X35" s="80">
        <f>VLOOKUP(B35,'Player Data'!$A1:$AE667,12,FALSE)*$Q35*_xlfn.IFERROR((VLOOKUP(P35,'Settings'!$E$28:$F$33,2,FALSE)+1),1)</f>
        <v>28.0269336406125</v>
      </c>
      <c r="Y35" s="79">
        <f>VLOOKUP(B35,'Player Data'!$A1:$AE667,13,FALSE)*$Q35</f>
        <v>0.00520165773097368</v>
      </c>
      <c r="Z35" s="79">
        <f>VLOOKUP(B35,'Player Data'!$A1:$AE667,14,FALSE)*$Q35</f>
        <v>0.00877070735805281</v>
      </c>
      <c r="AA35" s="79">
        <f>VLOOKUP(B35,'Player Data'!$A1:$AE667,15,FALSE)*$Q35</f>
        <v>43.9490661267682</v>
      </c>
      <c r="AB35" s="79">
        <f>VLOOKUP(B35,'Player Data'!$A1:$AE667,16,FALSE)*$Q35</f>
        <v>124.477501700772</v>
      </c>
      <c r="AC35" s="79">
        <f>VLOOKUP(B35,'Player Data'!$A1:$AE667,17,FALSE)*$Q35*_xlfn.IFERROR((VLOOKUP(P35,'Settings'!$E$28:$F$33,2,FALSE)+1),1)</f>
        <v>3.20684832091891</v>
      </c>
      <c r="AD35" s="79">
        <f>VLOOKUP(B35,'Player Data'!$A1:$AE667,18,FALSE)*$Q35</f>
        <v>45.0331548204298</v>
      </c>
      <c r="AE35" s="79">
        <f>VLOOKUP(B35,'Player Data'!$A1:$AE667,19,FALSE)*$Q35*_xlfn.IFERROR((VLOOKUP(P35,'Settings'!$E$28:$F$33,2,FALSE)+1),1)</f>
        <v>5.87245659167551</v>
      </c>
      <c r="AF35" s="79">
        <f>VLOOKUP(B35,'Player Data'!$A1:$AE667,20,FALSE)*$Q35</f>
        <v>38.4512607928342</v>
      </c>
      <c r="AG35" s="79">
        <f>VLOOKUP(B35,'Player Data'!$A1:$AE667,21,FALSE)*$Q35</f>
        <v>50.1245757858551</v>
      </c>
      <c r="AH35" s="81">
        <f>VLOOKUP(B35,'Player Data'!$A1:$AE667,22,FALSE)</f>
        <v>0.434105533495862</v>
      </c>
      <c r="AI35" s="77"/>
      <c r="AJ35" s="89"/>
      <c r="AK35" s="79"/>
      <c r="AL35" s="79"/>
      <c r="AM35" s="79"/>
      <c r="AN35" s="79"/>
      <c r="AO35" s="79"/>
      <c r="AP35" s="79"/>
      <c r="AQ35" s="82"/>
      <c r="AR35" s="83"/>
      <c r="AS35" s="84"/>
    </row>
    <row r="36" ht="21.25" customHeight="1">
      <c r="A36" s="85">
        <f>RANK(K36,K$1:K$665)</f>
        <v>40</v>
      </c>
      <c r="B36" t="s" s="16">
        <v>196</v>
      </c>
      <c r="C36" t="s" s="69">
        <v>127</v>
      </c>
      <c r="D36" t="s" s="70">
        <f>VLOOKUP(B36,'Player Data'!A1:D667,4,FALSE)</f>
        <v>145</v>
      </c>
      <c r="E36" s="87">
        <f>VLOOKUP(B36,'RW'!A1:C136,3,FALSE)</f>
        <v>9</v>
      </c>
      <c r="F36" t="s" s="86">
        <f>VLOOKUP(B36,'Player Data'!A1:B667,2,FALSE)</f>
        <v>149</v>
      </c>
      <c r="G36" s="11">
        <f>VLOOKUP(B36,'Player Data'!A1:D667,3,FALSE)</f>
        <v>28</v>
      </c>
      <c r="H36" s="73">
        <f>_xlfn.IFERROR(VLOOKUP(B36,'ADP'!A1:G665,7,FALSE)/1000000,VLOOKUP(B36,'ADP'!A1:G665,7,FALSE))</f>
        <v>8.625</v>
      </c>
      <c r="I36" s="74">
        <f>IF('Settings'!$E$15="POINTS",((R36*Q36)*'Settings'!$B$12)+(S36*'Settings'!$B$2)+(T36*'Settings'!$B$3)+(U36*'Settings'!$B$4)+(V36*'Settings'!$B$5)+(X36*'Settings'!$B$9)+(AA36*'Settings'!$B$6)+(W36*'Settings'!$B$8)+(AB36*'Settings'!$B$7)+(AC36*'Settings'!$B$14)+(AD36*'Settings'!$B$15)+(AE36*'Settings'!$B$16)+(AF36*'Settings'!$B$17)+(AG36*'Settings'!$B$18)+(Y36*'Settings'!$B$10)+(Z36*'Settings'!$B$11),VLOOKUP(B36,'Standard Deviations'!A1:C666,3,FALSE))</f>
        <v>373.831208092319</v>
      </c>
      <c r="J36" s="75">
        <f>IF(D36="G",I36/AJ36,I36/Q36)</f>
        <v>4.57958113551781</v>
      </c>
      <c r="K36" s="74">
        <f>IF('Settings'!$E$18="C/LW/RW",VLOOKUP(B36,'RW'!A1:F136,6,FALSE),VLOOKUP(B36,'F'!A1:F392,6,FALSE))</f>
        <v>44.139314011141</v>
      </c>
      <c r="L36" s="76">
        <f>_xlfn.IFERROR(K36/H36,"N/A")</f>
        <v>5.11760162448012</v>
      </c>
      <c r="M36" s="77">
        <f>IF('Settings'!$E$9="YAHOO",VLOOKUP(B36,'ADP'!A1:E665,2,FALSE),IF('Settings'!$E$9="ESPN",VLOOKUP(B36,'ADP'!A1:E665,3,FALSE),IF('Settings'!$E$9="FANTRAX",VLOOKUP(B36,'ADP'!A1:E665,4,FALSE),VLOOKUP(B36,'ADP'!A1:E665,5,FALSE))))</f>
        <v>0</v>
      </c>
      <c r="N36" s="77">
        <f>_xlfn.IFERROR(M36-A36,"N/A")</f>
        <v>-40</v>
      </c>
      <c r="O36" s="77"/>
      <c r="P36" t="s" s="78">
        <f>IF('Settings'!$E$27="ON",VLOOKUP(B36,'ADP'!A1:H665,8,FALSE)," ")</f>
        <v>138</v>
      </c>
      <c r="Q36" s="79">
        <f>IF('Settings'!$E$12="YES",VLOOKUP(B36,'Player Data'!A1:E667,5,FALSE),82)</f>
        <v>81.63</v>
      </c>
      <c r="R36" s="77">
        <f>VLOOKUP(B36,'Player Data'!$A1:$AE667,6,FALSE)</f>
        <v>20.1586515145312</v>
      </c>
      <c r="S36" s="79">
        <f>VLOOKUP(B36,'Player Data'!$A1:$AE667,7,FALSE)*$Q36*_xlfn.IFERROR((VLOOKUP(P36,'Settings'!$E$28:$F$33,2,FALSE)+1),1)</f>
        <v>42.3570158187819</v>
      </c>
      <c r="T36" s="79">
        <f>VLOOKUP(B36,'Player Data'!$A1:$AE667,8,FALSE)*$Q36*_xlfn.IFERROR((VLOOKUP(P36,'Settings'!$E$28:$F$33,2,FALSE)+1),1)</f>
        <v>39.6426589305178</v>
      </c>
      <c r="U36" s="79">
        <f>SUM(S36:T36)</f>
        <v>81.9996747492997</v>
      </c>
      <c r="V36" s="79">
        <f>VLOOKUP(B36,'Player Data'!$A1:$AE667,10,FALSE)*$Q36*_xlfn.IFERROR(((VLOOKUP(P36,'Settings'!$E$28:$F$33,2,FALSE)/2)+1),1)</f>
        <v>226.242996610007</v>
      </c>
      <c r="W36" s="79">
        <f>VLOOKUP(B36,'Player Data'!$A1:$AE667,11,FALSE)*$Q36*_xlfn.IFERROR((VLOOKUP(P36,'Settings'!$E$28:$F$33,2,FALSE)+1),1)</f>
        <v>18.0655396198282</v>
      </c>
      <c r="X36" s="80">
        <f>VLOOKUP(B36,'Player Data'!$A1:$AE667,12,FALSE)*$Q36*_xlfn.IFERROR((VLOOKUP(P36,'Settings'!$E$28:$F$33,2,FALSE)+1),1)</f>
        <v>27.6037959325819</v>
      </c>
      <c r="Y36" s="79">
        <f>VLOOKUP(B36,'Player Data'!$A1:$AE667,13,FALSE)*$Q36</f>
        <v>2.16643461978799</v>
      </c>
      <c r="Z36" s="79">
        <f>VLOOKUP(B36,'Player Data'!$A1:$AE667,14,FALSE)*$Q36</f>
        <v>3.52184676269033</v>
      </c>
      <c r="AA36" s="79">
        <f>VLOOKUP(B36,'Player Data'!$A1:$AE667,15,FALSE)*$Q36</f>
        <v>59.1670057972512</v>
      </c>
      <c r="AB36" s="79">
        <f>VLOOKUP(B36,'Player Data'!$A1:$AE667,16,FALSE)*$Q36</f>
        <v>68.62598279449379</v>
      </c>
      <c r="AC36" s="79">
        <f>VLOOKUP(B36,'Player Data'!$A1:$AE667,17,FALSE)*$Q36*_xlfn.IFERROR((VLOOKUP(P36,'Settings'!$E$28:$F$33,2,FALSE)+1),1)</f>
        <v>2.34482615982911</v>
      </c>
      <c r="AD36" s="79">
        <f>VLOOKUP(B36,'Player Data'!$A1:$AE667,18,FALSE)*$Q36</f>
        <v>25.6613694074385</v>
      </c>
      <c r="AE36" s="79">
        <f>VLOOKUP(B36,'Player Data'!$A1:$AE667,19,FALSE)*$Q36*_xlfn.IFERROR((VLOOKUP(P36,'Settings'!$E$28:$F$33,2,FALSE)+1),1)</f>
        <v>7.21601451578154</v>
      </c>
      <c r="AF36" s="79">
        <f>VLOOKUP(B36,'Player Data'!$A1:$AE667,20,FALSE)*$Q36</f>
        <v>238.799681983987</v>
      </c>
      <c r="AG36" s="79">
        <f>VLOOKUP(B36,'Player Data'!$A1:$AE667,21,FALSE)*$Q36</f>
        <v>265.480751635088</v>
      </c>
      <c r="AH36" s="81">
        <f>VLOOKUP(B36,'Player Data'!$A1:$AE667,22,FALSE)</f>
        <v>0.473545404627721</v>
      </c>
      <c r="AI36" s="77"/>
      <c r="AJ36" s="79"/>
      <c r="AK36" s="79"/>
      <c r="AL36" s="79"/>
      <c r="AM36" s="79"/>
      <c r="AN36" s="79"/>
      <c r="AO36" s="79"/>
      <c r="AP36" s="79"/>
      <c r="AQ36" s="82"/>
      <c r="AR36" s="83"/>
      <c r="AS36" s="84"/>
    </row>
    <row r="37" ht="21.25" customHeight="1">
      <c r="A37" s="85">
        <f>RANK(K37,K$1:K$665)</f>
        <v>31</v>
      </c>
      <c r="B37" t="s" s="16">
        <v>197</v>
      </c>
      <c r="C37" t="s" s="69">
        <v>127</v>
      </c>
      <c r="D37" t="s" s="70">
        <f>VLOOKUP(B37,'Player Data'!A1:D667,4,FALSE)</f>
        <v>161</v>
      </c>
      <c r="E37" s="99">
        <f>VLOOKUP(B37,'G'!A1:D65,3,FALSE)</f>
        <v>7</v>
      </c>
      <c r="F37" t="s" s="92">
        <f>VLOOKUP(B37,'Player Data'!A1:B667,2,FALSE)</f>
        <v>146</v>
      </c>
      <c r="G37" s="11">
        <f>VLOOKUP(B37,'Player Data'!A1:D667,3,FALSE)</f>
        <v>28</v>
      </c>
      <c r="H37" s="73">
        <f>_xlfn.IFERROR(VLOOKUP(B37,'ADP'!A1:G665,7,FALSE)/1000000,VLOOKUP(B37,'ADP'!A1:G665,7,FALSE))</f>
        <v>5</v>
      </c>
      <c r="I37" s="74">
        <f>IF('Settings'!$E$15="POINTS",(AJ37*'Settings'!$B$29)+(AK37*'Settings'!$B$21)+(AL37*'Settings'!$B$22)+(AN37*'Settings'!$B$24)+(AO37*'Settings'!$B$25)+(AP37*'Settings'!$B$27)+(AM37*'Settings'!$B$23),VLOOKUP(B37,'Standard Deviations'!A1:C666,3,FALSE))</f>
        <v>320.042675447092</v>
      </c>
      <c r="J37" s="75">
        <f>IF(D37="G",I37/AJ37,I37/Q37)</f>
        <v>5.71504777584093</v>
      </c>
      <c r="K37" s="74">
        <f>VLOOKUP(B37,'G'!A1:F65,6,FALSE)</f>
        <v>52.451660882502</v>
      </c>
      <c r="L37" s="76">
        <f>_xlfn.IFERROR(K37/H37,"N/A")</f>
        <v>10.4903321765004</v>
      </c>
      <c r="M37" s="77">
        <f>IF('Settings'!$E$9="YAHOO",VLOOKUP(B37,'ADP'!A1:E665,2,FALSE),IF('Settings'!$E$9="ESPN",VLOOKUP(B37,'ADP'!A1:E665,3,FALSE),IF('Settings'!$E$9="FANTRAX",VLOOKUP(B37,'ADP'!A1:E665,4,FALSE),VLOOKUP(B37,'ADP'!A1:E665,5,FALSE))))</f>
        <v>0</v>
      </c>
      <c r="N37" s="77">
        <f>_xlfn.IFERROR(M37-A37,"N/A")</f>
        <v>-31</v>
      </c>
      <c r="O37" s="77"/>
      <c r="P37" t="s" s="78">
        <f>IF('Settings'!$E$27="ON",VLOOKUP(B37,'ADP'!A1:H665,8,FALSE)," ")</f>
        <v>138</v>
      </c>
      <c r="Q37" s="79"/>
      <c r="R37" s="77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81"/>
      <c r="AI37" s="77"/>
      <c r="AJ37" s="89">
        <f>VLOOKUP(B37,'Player Data'!$A1:$AE667,24,FALSE)</f>
        <v>56</v>
      </c>
      <c r="AK37" s="79">
        <f>VLOOKUP(B37,'Player Data'!$A1:$AE667,25,FALSE)*$AJ37*_xlfn.IFERROR((VLOOKUP(P37,'Settings'!$E$28:$F$33,2,FALSE)+1),1)</f>
        <v>34.9598305838137</v>
      </c>
      <c r="AL37" s="79">
        <f>AJ37-AK37-AM37</f>
        <v>14.0401694161863</v>
      </c>
      <c r="AM37" s="79">
        <f>VLOOKUP(B37,'Player Data'!$A1:$AE667,27,FALSE)*$AJ37</f>
        <v>7</v>
      </c>
      <c r="AN37" s="79">
        <f>VLOOKUP(B37,'Player Data'!$A1:$AE667,28,FALSE)*AJ37</f>
        <v>4.17310813247079</v>
      </c>
      <c r="AO37" s="79">
        <f>VLOOKUP(B37,'Player Data'!$A1:$AE667,29,FALSE)*$AJ37*_xlfn.IFERROR((VLOOKUP(P37,'Settings'!$E$28:$F$33,2,FALSE)/4)+1,1)</f>
        <v>1466.652484434240</v>
      </c>
      <c r="AP37" s="79">
        <f>VLOOKUP(B37,'Player Data'!$A1:$AE667,31,FALSE)*$AJ37*(_xlfn.IFERROR(1-(VLOOKUP(P37,'Settings'!$E$28:$F$33,2,FALSE)/4),1))</f>
        <v>143.830704899409</v>
      </c>
      <c r="AQ37" s="82">
        <f>1-(AP37/(AO37+AP37))</f>
        <v>0.9106909616616859</v>
      </c>
      <c r="AR37" s="83">
        <f>AP37/AJ37</f>
        <v>2.5684054446323</v>
      </c>
      <c r="AS37" s="84"/>
    </row>
    <row r="38" ht="21.25" customHeight="1">
      <c r="A38" s="85">
        <f>RANK(K38,K$1:K$665)</f>
        <v>42</v>
      </c>
      <c r="B38" t="s" s="16">
        <v>198</v>
      </c>
      <c r="C38" t="s" s="69">
        <v>127</v>
      </c>
      <c r="D38" t="s" s="70">
        <f>VLOOKUP(B38,'Player Data'!A1:D667,4,FALSE)</f>
        <v>178</v>
      </c>
      <c r="E38" s="102">
        <f>VLOOKUP(B38,'LW'!A1:C152,3,FALSE)</f>
        <v>10</v>
      </c>
      <c r="F38" t="s" s="92">
        <f>VLOOKUP(B38,'Player Data'!A1:B667,2,FALSE)</f>
        <v>170</v>
      </c>
      <c r="G38" s="91">
        <f>VLOOKUP(B38,'Player Data'!A1:D667,3,FALSE)</f>
        <v>32</v>
      </c>
      <c r="H38" s="73">
        <f>_xlfn.IFERROR(VLOOKUP(B38,'ADP'!A1:G665,7,FALSE)/1000000,VLOOKUP(B38,'ADP'!A1:G665,7,FALSE))</f>
        <v>11.642857</v>
      </c>
      <c r="I38" s="74">
        <f>IF('Settings'!$E$15="POINTS",((R38*Q38)*'Settings'!$B$12)+(S38*'Settings'!$B$2)+(T38*'Settings'!$B$3)+(U38*'Settings'!$B$4)+(V38*'Settings'!$B$5)+(X38*'Settings'!$B$9)+(AA38*'Settings'!$B$6)+(W38*'Settings'!$B$8)+(AB38*'Settings'!$B$7)+(AC38*'Settings'!$B$14)+(AD38*'Settings'!$B$15)+(AE38*'Settings'!$B$16)+(AF38*'Settings'!$B$17)+(AG38*'Settings'!$B$18)+(Y38*'Settings'!$B$10)+(Z38*'Settings'!$B$11),VLOOKUP(B38,'Standard Deviations'!A1:C666,3,FALSE))</f>
        <v>372.444677897683</v>
      </c>
      <c r="J38" s="75">
        <f>IF(D38="G",I38/AJ38,I38/Q38)</f>
        <v>4.57942552437825</v>
      </c>
      <c r="K38" s="74">
        <f>IF('Settings'!$E$18="C/LW/RW",VLOOKUP(B38,'LW'!A1:F152,6,FALSE),VLOOKUP(B38,'F'!A1:F392,6,FALSE))</f>
        <v>40.724566131471</v>
      </c>
      <c r="L38" s="76">
        <f>_xlfn.IFERROR(K38/H38,"N/A")</f>
        <v>3.49781553887255</v>
      </c>
      <c r="M38" s="77">
        <f>IF('Settings'!$E$9="YAHOO",VLOOKUP(B38,'ADP'!A1:E665,2,FALSE),IF('Settings'!$E$9="ESPN",VLOOKUP(B38,'ADP'!A1:E665,3,FALSE),IF('Settings'!$E$9="FANTRAX",VLOOKUP(B38,'ADP'!A1:E665,4,FALSE),VLOOKUP(B38,'ADP'!A1:E665,5,FALSE))))</f>
        <v>0</v>
      </c>
      <c r="N38" s="77">
        <f>_xlfn.IFERROR(M38-A38,"N/A")</f>
        <v>-42</v>
      </c>
      <c r="O38" s="77"/>
      <c r="P38" t="s" s="78">
        <f>IF('Settings'!$E$27="ON",VLOOKUP(B38,'ADP'!A1:H665,8,FALSE)," ")</f>
        <v>138</v>
      </c>
      <c r="Q38" s="79">
        <f>IF('Settings'!$E$12="YES",VLOOKUP(B38,'Player Data'!A1:E667,5,FALSE),82)</f>
        <v>81.33</v>
      </c>
      <c r="R38" s="77">
        <f>VLOOKUP(B38,'Player Data'!$A1:$AE667,6,FALSE)</f>
        <v>20.2691151278479</v>
      </c>
      <c r="S38" s="79">
        <f>VLOOKUP(B38,'Player Data'!$A1:$AE667,7,FALSE)*$Q38*_xlfn.IFERROR((VLOOKUP(P38,'Settings'!$E$28:$F$33,2,FALSE)+1),1)</f>
        <v>37.2275419544775</v>
      </c>
      <c r="T38" s="79">
        <f>VLOOKUP(B38,'Player Data'!$A1:$AE667,8,FALSE)*$Q38*_xlfn.IFERROR((VLOOKUP(P38,'Settings'!$E$28:$F$33,2,FALSE)+1),1)</f>
        <v>67.8501676432917</v>
      </c>
      <c r="U38" s="79">
        <f>SUM(S38:T38)</f>
        <v>105.077709597769</v>
      </c>
      <c r="V38" s="79">
        <f>VLOOKUP(B38,'Player Data'!$A1:$AE667,10,FALSE)*$Q38*_xlfn.IFERROR(((VLOOKUP(P38,'Settings'!$E$28:$F$33,2,FALSE)/2)+1),1)</f>
        <v>268.928313071345</v>
      </c>
      <c r="W38" s="79">
        <f>VLOOKUP(B38,'Player Data'!$A1:$AE667,11,FALSE)*$Q38*_xlfn.IFERROR((VLOOKUP(P38,'Settings'!$E$28:$F$33,2,FALSE)+1),1)</f>
        <v>9.323207326167109</v>
      </c>
      <c r="X38" s="80">
        <f>VLOOKUP(B38,'Player Data'!$A1:$AE667,12,FALSE)*$Q38*_xlfn.IFERROR((VLOOKUP(P38,'Settings'!$E$28:$F$33,2,FALSE)+1),1)</f>
        <v>38.3684527088752</v>
      </c>
      <c r="Y38" s="79">
        <f>VLOOKUP(B38,'Player Data'!$A1:$AE667,13,FALSE)*$Q38</f>
        <v>0.00259198844876529</v>
      </c>
      <c r="Z38" s="79">
        <f>VLOOKUP(B38,'Player Data'!$A1:$AE667,14,FALSE)*$Q38</f>
        <v>0.00443816112008934</v>
      </c>
      <c r="AA38" s="79">
        <f>VLOOKUP(B38,'Player Data'!$A1:$AE667,15,FALSE)*$Q38</f>
        <v>16.6714347970751</v>
      </c>
      <c r="AB38" s="79">
        <f>VLOOKUP(B38,'Player Data'!$A1:$AE667,16,FALSE)*$Q38</f>
        <v>25.9404016097525</v>
      </c>
      <c r="AC38" s="79">
        <f>VLOOKUP(B38,'Player Data'!$A1:$AE667,17,FALSE)*$Q38*_xlfn.IFERROR((VLOOKUP(P38,'Settings'!$E$28:$F$33,2,FALSE)+1),1)</f>
        <v>6.34192135482054</v>
      </c>
      <c r="AD38" s="79">
        <f>VLOOKUP(B38,'Player Data'!$A1:$AE667,18,FALSE)*$Q38</f>
        <v>28.388228087032</v>
      </c>
      <c r="AE38" s="79">
        <f>VLOOKUP(B38,'Player Data'!$A1:$AE667,19,FALSE)*$Q38*_xlfn.IFERROR((VLOOKUP(P38,'Settings'!$E$28:$F$33,2,FALSE)+1),1)</f>
        <v>6.08515086424488</v>
      </c>
      <c r="AF38" s="79">
        <f>VLOOKUP(B38,'Player Data'!$A1:$AE667,20,FALSE)*$Q38</f>
        <v>2.73325686154282</v>
      </c>
      <c r="AG38" s="79">
        <f>VLOOKUP(B38,'Player Data'!$A1:$AE667,21,FALSE)*$Q38</f>
        <v>7.6346466391007</v>
      </c>
      <c r="AH38" s="81">
        <f>VLOOKUP(B38,'Player Data'!$A1:$AE667,22,FALSE)</f>
        <v>0.263626765177084</v>
      </c>
      <c r="AI38" s="77"/>
      <c r="AJ38" s="79"/>
      <c r="AK38" s="79"/>
      <c r="AL38" s="79"/>
      <c r="AM38" s="79"/>
      <c r="AN38" s="79"/>
      <c r="AO38" s="79"/>
      <c r="AP38" s="79"/>
      <c r="AQ38" s="82"/>
      <c r="AR38" s="83"/>
      <c r="AS38" s="84"/>
    </row>
    <row r="39" ht="21.25" customHeight="1">
      <c r="A39" s="85">
        <f>RANK(K39,K$1:K$665)</f>
        <v>32</v>
      </c>
      <c r="B39" t="s" s="16">
        <v>199</v>
      </c>
      <c r="C39" t="s" s="69">
        <v>127</v>
      </c>
      <c r="D39" t="s" s="70">
        <f>VLOOKUP(B39,'Player Data'!A1:D667,4,FALSE)</f>
        <v>161</v>
      </c>
      <c r="E39" s="99">
        <f>VLOOKUP(B39,'G'!A1:D65,3,FALSE)</f>
        <v>8</v>
      </c>
      <c r="F39" t="s" s="78">
        <f>VLOOKUP(B39,'Player Data'!A1:B667,2,FALSE)</f>
        <v>194</v>
      </c>
      <c r="G39" s="91">
        <f>VLOOKUP(B39,'Player Data'!A1:D667,3,FALSE)</f>
        <v>34</v>
      </c>
      <c r="H39" s="73">
        <f>_xlfn.IFERROR(VLOOKUP(B39,'ADP'!A1:G665,7,FALSE)/1000000,VLOOKUP(B39,'ADP'!A1:G665,7,FALSE))</f>
        <v>4.125</v>
      </c>
      <c r="I39" s="74">
        <f>IF('Settings'!$E$15="POINTS",(AJ39*'Settings'!$B$29)+(AK39*'Settings'!$B$21)+(AL39*'Settings'!$B$22)+(AN39*'Settings'!$B$24)+(AO39*'Settings'!$B$25)+(AP39*'Settings'!$B$27)+(AM39*'Settings'!$B$23),VLOOKUP(B39,'Standard Deviations'!A1:C666,3,FALSE))</f>
        <v>316.440980640169</v>
      </c>
      <c r="J39" s="75">
        <f>IF(D39="G",I39/AJ39,I39/Q39)</f>
        <v>5.86001816000313</v>
      </c>
      <c r="K39" s="74">
        <f>VLOOKUP(B39,'G'!A1:F65,6,FALSE)</f>
        <v>48.849966075579</v>
      </c>
      <c r="L39" s="76">
        <f>_xlfn.IFERROR(K39/H39,"N/A")</f>
        <v>11.8424160183222</v>
      </c>
      <c r="M39" s="77">
        <f>IF('Settings'!$E$9="YAHOO",VLOOKUP(B39,'ADP'!A1:E665,2,FALSE),IF('Settings'!$E$9="ESPN",VLOOKUP(B39,'ADP'!A1:E665,3,FALSE),IF('Settings'!$E$9="FANTRAX",VLOOKUP(B39,'ADP'!A1:E665,4,FALSE),VLOOKUP(B39,'ADP'!A1:E665,5,FALSE))))</f>
        <v>0</v>
      </c>
      <c r="N39" s="77">
        <f>_xlfn.IFERROR(M39-A39,"N/A")</f>
        <v>-32</v>
      </c>
      <c r="O39" s="77"/>
      <c r="P39" t="s" s="78">
        <f>IF('Settings'!$E$27="ON",VLOOKUP(B39,'ADP'!A1:H665,8,FALSE)," ")</f>
        <v>130</v>
      </c>
      <c r="Q39" s="79"/>
      <c r="R39" s="77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81"/>
      <c r="AI39" s="77"/>
      <c r="AJ39" s="89">
        <f>VLOOKUP(B39,'Player Data'!$A1:$AE667,24,FALSE)</f>
        <v>54</v>
      </c>
      <c r="AK39" s="79">
        <f>VLOOKUP(B39,'Player Data'!$A1:$AE667,25,FALSE)*$AJ39*_xlfn.IFERROR((VLOOKUP(P39,'Settings'!$E$28:$F$33,2,FALSE)+1),1)</f>
        <v>33.2287389348642</v>
      </c>
      <c r="AL39" s="79">
        <f>AJ39-AK39-AM39</f>
        <v>14.0212610651358</v>
      </c>
      <c r="AM39" s="79">
        <f>VLOOKUP(B39,'Player Data'!$A1:$AE667,27,FALSE)*$AJ39</f>
        <v>6.75</v>
      </c>
      <c r="AN39" s="79">
        <f>VLOOKUP(B39,'Player Data'!$A1:$AE667,28,FALSE)*AJ39</f>
        <v>3.35691245592868</v>
      </c>
      <c r="AO39" s="79">
        <f>VLOOKUP(B39,'Player Data'!$A1:$AE667,29,FALSE)*$AJ39*_xlfn.IFERROR((VLOOKUP(P39,'Settings'!$E$28:$F$33,2,FALSE)/4)+1,1)</f>
        <v>1491.566126219310</v>
      </c>
      <c r="AP39" s="79">
        <f>VLOOKUP(B39,'Player Data'!$A1:$AE667,31,FALSE)*$AJ39*(_xlfn.IFERROR(1-(VLOOKUP(P39,'Settings'!$E$28:$F$33,2,FALSE)/4),1))</f>
        <v>145.633770408271</v>
      </c>
      <c r="AQ39" s="82">
        <f>1-(AP39/(AO39+AP39))</f>
        <v>0.911047043975352</v>
      </c>
      <c r="AR39" s="83">
        <f>AP39/AJ39</f>
        <v>2.69692167422724</v>
      </c>
      <c r="AS39" s="84"/>
    </row>
    <row r="40" ht="21.25" customHeight="1">
      <c r="A40" s="85">
        <f>RANK(K40,K$1:K$665)</f>
        <v>33</v>
      </c>
      <c r="B40" t="s" s="16">
        <v>200</v>
      </c>
      <c r="C40" t="s" s="69">
        <v>127</v>
      </c>
      <c r="D40" t="s" s="70">
        <f>VLOOKUP(B40,'Player Data'!A1:D667,4,FALSE)</f>
        <v>161</v>
      </c>
      <c r="E40" s="99">
        <f>VLOOKUP(B40,'G'!A1:D65,3,FALSE)</f>
        <v>9</v>
      </c>
      <c r="F40" t="s" s="104">
        <f>VLOOKUP(B40,'Player Data'!A1:B667,2,FALSE)</f>
        <v>201</v>
      </c>
      <c r="G40" s="96">
        <f>VLOOKUP(B40,'Player Data'!A1:D667,3,FALSE)</f>
        <v>25</v>
      </c>
      <c r="H40" t="s" s="86">
        <f>_xlfn.IFERROR(VLOOKUP(B40,'ADP'!A1:G665,7,FALSE)/1000000,VLOOKUP(B40,'ADP'!A1:G665,7,FALSE))</f>
        <v>157</v>
      </c>
      <c r="I40" s="74">
        <f>IF('Settings'!$E$15="POINTS",(AJ40*'Settings'!$B$29)+(AK40*'Settings'!$B$21)+(AL40*'Settings'!$B$22)+(AN40*'Settings'!$B$24)+(AO40*'Settings'!$B$25)+(AP40*'Settings'!$B$27)+(AM40*'Settings'!$B$23),VLOOKUP(B40,'Standard Deviations'!A1:C666,3,FALSE))</f>
        <v>315.190438643106</v>
      </c>
      <c r="J40" s="75">
        <f>IF(D40="G",I40/AJ40,I40/Q40)</f>
        <v>5.83685997487233</v>
      </c>
      <c r="K40" s="74">
        <f>VLOOKUP(B40,'G'!A1:F65,6,FALSE)</f>
        <v>47.599424078516</v>
      </c>
      <c r="L40" t="s" s="97">
        <f>_xlfn.IFERROR(K40/H40,"N/A")</f>
        <v>158</v>
      </c>
      <c r="M40" s="77">
        <f>IF('Settings'!$E$9="YAHOO",VLOOKUP(B40,'ADP'!A1:E665,2,FALSE),IF('Settings'!$E$9="ESPN",VLOOKUP(B40,'ADP'!A1:E665,3,FALSE),IF('Settings'!$E$9="FANTRAX",VLOOKUP(B40,'ADP'!A1:E665,4,FALSE),VLOOKUP(B40,'ADP'!A1:E665,5,FALSE))))</f>
        <v>0</v>
      </c>
      <c r="N40" s="77">
        <f>_xlfn.IFERROR(M40-A40,"N/A")</f>
        <v>-33</v>
      </c>
      <c r="O40" s="77"/>
      <c r="P40" t="s" s="78">
        <f>IF('Settings'!$E$27="ON",VLOOKUP(B40,'ADP'!A1:H665,8,FALSE)," ")</f>
        <v>138</v>
      </c>
      <c r="Q40" s="79"/>
      <c r="R40" s="105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81"/>
      <c r="AI40" s="77"/>
      <c r="AJ40" s="89">
        <f>VLOOKUP(B40,'Player Data'!$A1:$AE667,24,FALSE)</f>
        <v>54</v>
      </c>
      <c r="AK40" s="79">
        <f>VLOOKUP(B40,'Player Data'!$A1:$AE667,25,FALSE)*$AJ40*_xlfn.IFERROR((VLOOKUP(P40,'Settings'!$E$28:$F$33,2,FALSE)+1),1)</f>
        <v>31.7830726026084</v>
      </c>
      <c r="AL40" s="79">
        <f>AJ40-AK40-AM40</f>
        <v>15.4669273973916</v>
      </c>
      <c r="AM40" s="79">
        <f>VLOOKUP(B40,'Player Data'!$A1:$AE667,27,FALSE)*$AJ40</f>
        <v>6.75</v>
      </c>
      <c r="AN40" s="79">
        <f>VLOOKUP(B40,'Player Data'!$A1:$AE667,28,FALSE)*AJ40</f>
        <v>3.97805286421604</v>
      </c>
      <c r="AO40" s="79">
        <f>VLOOKUP(B40,'Player Data'!$A1:$AE667,29,FALSE)*$AJ40*_xlfn.IFERROR((VLOOKUP(P40,'Settings'!$E$28:$F$33,2,FALSE)/4)+1,1)</f>
        <v>1464.748146683220</v>
      </c>
      <c r="AP40" s="79">
        <f>VLOOKUP(B40,'Player Data'!$A1:$AE667,31,FALSE)*$AJ40*(_xlfn.IFERROR(1-(VLOOKUP(P40,'Settings'!$E$28:$F$33,2,FALSE)/4),1))</f>
        <v>139.393323926066</v>
      </c>
      <c r="AQ40" s="82">
        <f>1-(AP40/(AO40+AP40))</f>
        <v>0.9131040955676299</v>
      </c>
      <c r="AR40" s="83">
        <f>AP40/AJ40</f>
        <v>2.5813578504827</v>
      </c>
      <c r="AS40" s="84"/>
    </row>
    <row r="41" ht="21.25" customHeight="1">
      <c r="A41" s="85">
        <f>RANK(K41,K$1:K$665)</f>
        <v>41</v>
      </c>
      <c r="B41" t="s" s="16">
        <v>202</v>
      </c>
      <c r="C41" t="s" s="69">
        <v>127</v>
      </c>
      <c r="D41" t="s" s="70">
        <f>VLOOKUP(B41,'Player Data'!A1:D667,4,FALSE)</f>
        <v>153</v>
      </c>
      <c r="E41" s="95">
        <f>VLOOKUP(B41,'D'!A1:C213,3,FALSE)</f>
        <v>8</v>
      </c>
      <c r="F41" t="s" s="88">
        <f>VLOOKUP(B41,'Player Data'!A1:B667,2,FALSE)</f>
        <v>143</v>
      </c>
      <c r="G41" s="11">
        <f>VLOOKUP(B41,'Player Data'!A1:D667,3,FALSE)</f>
        <v>26</v>
      </c>
      <c r="H41" s="73">
        <f>_xlfn.IFERROR(VLOOKUP(B41,'ADP'!A1:G665,7,FALSE)/1000000,VLOOKUP(B41,'ADP'!A1:G665,7,FALSE))</f>
        <v>9.5</v>
      </c>
      <c r="I41" s="74">
        <f>IF('Settings'!$E$15="POINTS",((R41*Q41)*'Settings'!$B$12)+(S41*'Settings'!$B$2)+(T41*'Settings'!$B$3)+(U41*'Settings'!$B$4)+(V41*'Settings'!$B$5)+(X41*'Settings'!$B$9)+(AA41*'Settings'!$B$6)+(W41*'Settings'!$B$8)+(AB41*'Settings'!$B$7)+(AC41*'Settings'!$B$14)+(AD41*'Settings'!$B$15)+(AE41*'Settings'!$B$16)+(AF41*'Settings'!$B$17)+(AG41*'Settings'!$B$18)+(U41*'Settings'!$B$13)+(Y41*'Settings'!$B$10)+(Z41*'Settings'!$B$11),VLOOKUP(B41,'Standard Deviations'!A1:C666,3,FALSE))</f>
        <v>374.702337960698</v>
      </c>
      <c r="J41" s="75">
        <f>IF(D41="G",I41/AJ41,I41/Q41)</f>
        <v>4.79480902089892</v>
      </c>
      <c r="K41" s="74">
        <f>VLOOKUP(B41,'D'!A1:F213,6,FALSE)</f>
        <v>43.162130040616</v>
      </c>
      <c r="L41" s="76">
        <f>_xlfn.IFERROR(K41/H41,"N/A")</f>
        <v>4.54338210953853</v>
      </c>
      <c r="M41" s="77">
        <f>IF('Settings'!$E$9="YAHOO",VLOOKUP(B41,'ADP'!A1:E665,2,FALSE),IF('Settings'!$E$9="ESPN",VLOOKUP(B41,'ADP'!A1:E665,3,FALSE),IF('Settings'!$E$9="FANTRAX",VLOOKUP(B41,'ADP'!A1:E665,4,FALSE),VLOOKUP(B41,'ADP'!A1:E665,5,FALSE))))</f>
        <v>0</v>
      </c>
      <c r="N41" s="77">
        <f>_xlfn.IFERROR(M41-A41,"N/A")</f>
        <v>-41</v>
      </c>
      <c r="O41" s="77"/>
      <c r="P41" t="s" s="78">
        <f>IF('Settings'!$E$27="ON",VLOOKUP(B41,'ADP'!A1:H665,8,FALSE)," ")</f>
        <v>138</v>
      </c>
      <c r="Q41" s="79">
        <f>IF('Settings'!$E$12="YES",VLOOKUP(B41,'Player Data'!A1:E667,5,FALSE),82)</f>
        <v>78.14749999999999</v>
      </c>
      <c r="R41" s="77">
        <f>VLOOKUP(B41,'Player Data'!$A1:$AE667,6,FALSE)</f>
        <v>24.7892169531024</v>
      </c>
      <c r="S41" s="79">
        <f>VLOOKUP(B41,'Player Data'!$A1:$AE667,7,FALSE)*$Q41*_xlfn.IFERROR((VLOOKUP(P41,'Settings'!$E$28:$F$33,2,FALSE)+1),1)</f>
        <v>11.239457916144</v>
      </c>
      <c r="T41" s="79">
        <f>VLOOKUP(B41,'Player Data'!$A1:$AE667,8,FALSE)*$Q41*_xlfn.IFERROR((VLOOKUP(P41,'Settings'!$E$28:$F$33,2,FALSE)+1),1)</f>
        <v>48.2881657347786</v>
      </c>
      <c r="U41" s="79">
        <f>SUM(S41:T41)</f>
        <v>59.5276236509226</v>
      </c>
      <c r="V41" s="79">
        <f>VLOOKUP(B41,'Player Data'!$A1:$AE667,10,FALSE)*$Q41*_xlfn.IFERROR(((VLOOKUP(P41,'Settings'!$E$28:$F$33,2,FALSE)/2)+1),1)</f>
        <v>147.262997420577</v>
      </c>
      <c r="W41" s="79">
        <f>VLOOKUP(B41,'Player Data'!$A1:$AE667,11,FALSE)*$Q41*_xlfn.IFERROR((VLOOKUP(P41,'Settings'!$E$28:$F$33,2,FALSE)+1),1)</f>
        <v>2.5342322417771</v>
      </c>
      <c r="X41" s="80">
        <f>VLOOKUP(B41,'Player Data'!$A1:$AE667,12,FALSE)*$Q41*_xlfn.IFERROR((VLOOKUP(P41,'Settings'!$E$28:$F$33,2,FALSE)+1),1)</f>
        <v>20.5239629777155</v>
      </c>
      <c r="Y41" s="79">
        <f>VLOOKUP(B41,'Player Data'!$A1:$AE667,13,FALSE)*$Q41</f>
        <v>0.0325049301914076</v>
      </c>
      <c r="Z41" s="79">
        <f>VLOOKUP(B41,'Player Data'!$A1:$AE667,14,FALSE)*$Q41</f>
        <v>0.140546728426489</v>
      </c>
      <c r="AA41" s="79">
        <f>VLOOKUP(B41,'Player Data'!$A1:$AE667,15,FALSE)*$Q41</f>
        <v>158.478884356482</v>
      </c>
      <c r="AB41" s="79">
        <f>VLOOKUP(B41,'Player Data'!$A1:$AE667,16,FALSE)*$Q41</f>
        <v>139.918984383111</v>
      </c>
      <c r="AC41" s="79">
        <f>VLOOKUP(B41,'Player Data'!$A1:$AE667,17,FALSE)*$Q41*_xlfn.IFERROR((VLOOKUP(P41,'Settings'!$E$28:$F$33,2,FALSE)+1),1)</f>
        <v>4.65308158536495</v>
      </c>
      <c r="AD41" s="79">
        <f>VLOOKUP(B41,'Player Data'!$A1:$AE667,18,FALSE)*$Q41</f>
        <v>65.6732813548594</v>
      </c>
      <c r="AE41" s="79">
        <f>VLOOKUP(B41,'Player Data'!$A1:$AE667,19,FALSE)*$Q41*_xlfn.IFERROR((VLOOKUP(P41,'Settings'!$E$28:$F$33,2,FALSE)+1),1)</f>
        <v>1.75058735837839</v>
      </c>
      <c r="AF41" s="79">
        <f>VLOOKUP(B41,'Player Data'!$A1:$AE667,20,FALSE)*$Q41</f>
        <v>0</v>
      </c>
      <c r="AG41" s="79">
        <f>VLOOKUP(B41,'Player Data'!$A1:$AE667,21,FALSE)*$Q41</f>
        <v>0</v>
      </c>
      <c r="AH41" s="81">
        <f>VLOOKUP(B41,'Player Data'!$A1:$AE667,22,FALSE)</f>
        <v>0</v>
      </c>
      <c r="AI41" s="77"/>
      <c r="AJ41" s="79"/>
      <c r="AK41" s="79"/>
      <c r="AL41" s="79"/>
      <c r="AM41" s="79"/>
      <c r="AN41" s="79"/>
      <c r="AO41" s="79"/>
      <c r="AP41" s="79"/>
      <c r="AQ41" s="82"/>
      <c r="AR41" s="83"/>
      <c r="AS41" s="84"/>
    </row>
    <row r="42" ht="21.25" customHeight="1">
      <c r="A42" s="85">
        <f>RANK(K42,K$1:K$665)</f>
        <v>44</v>
      </c>
      <c r="B42" t="s" s="16">
        <v>203</v>
      </c>
      <c r="C42" t="s" s="69">
        <v>127</v>
      </c>
      <c r="D42" t="s" s="70">
        <f>VLOOKUP(B42,'Player Data'!A1:D667,4,FALSE)</f>
        <v>178</v>
      </c>
      <c r="E42" s="102">
        <f>VLOOKUP(B42,'LW'!A1:C152,3,FALSE)</f>
        <v>11</v>
      </c>
      <c r="F42" t="s" s="78">
        <f>VLOOKUP(B42,'Player Data'!A1:B667,2,FALSE)</f>
        <v>204</v>
      </c>
      <c r="G42" s="11">
        <f>VLOOKUP(B42,'Player Data'!A1:D667,3,FALSE)</f>
        <v>25</v>
      </c>
      <c r="H42" s="73">
        <f>_xlfn.IFERROR(VLOOKUP(B42,'ADP'!A1:G665,7,FALSE)/1000000,VLOOKUP(B42,'ADP'!A1:G665,7,FALSE))</f>
        <v>7.75</v>
      </c>
      <c r="I42" s="74">
        <f>IF('Settings'!$E$15="POINTS",((R42*Q42)*'Settings'!$B$12)+(S42*'Settings'!$B$2)+(T42*'Settings'!$B$3)+(U42*'Settings'!$B$4)+(V42*'Settings'!$B$5)+(X42*'Settings'!$B$9)+(AA42*'Settings'!$B$6)+(W42*'Settings'!$B$8)+(AB42*'Settings'!$B$7)+(AC42*'Settings'!$B$14)+(AD42*'Settings'!$B$15)+(AE42*'Settings'!$B$16)+(AF42*'Settings'!$B$17)+(AG42*'Settings'!$B$18)+(Y42*'Settings'!$B$10)+(Z42*'Settings'!$B$11),VLOOKUP(B42,'Standard Deviations'!A1:C666,3,FALSE))</f>
        <v>367.525256853988</v>
      </c>
      <c r="J42" s="75">
        <f>IF(D42="G",I42/AJ42,I42/Q42)</f>
        <v>4.52450150011065</v>
      </c>
      <c r="K42" s="74">
        <f>IF('Settings'!$E$18="C/LW/RW",VLOOKUP(B42,'LW'!A1:F152,6,FALSE),VLOOKUP(B42,'F'!A1:F392,6,FALSE))</f>
        <v>35.805145087776</v>
      </c>
      <c r="L42" s="76">
        <f>_xlfn.IFERROR(K42/H42,"N/A")</f>
        <v>4.62001872100335</v>
      </c>
      <c r="M42" s="77">
        <f>IF('Settings'!$E$9="YAHOO",VLOOKUP(B42,'ADP'!A1:E665,2,FALSE),IF('Settings'!$E$9="ESPN",VLOOKUP(B42,'ADP'!A1:E665,3,FALSE),IF('Settings'!$E$9="FANTRAX",VLOOKUP(B42,'ADP'!A1:E665,4,FALSE),VLOOKUP(B42,'ADP'!A1:E665,5,FALSE))))</f>
        <v>0</v>
      </c>
      <c r="N42" s="77">
        <f>_xlfn.IFERROR(M42-A42,"N/A")</f>
        <v>-44</v>
      </c>
      <c r="O42" s="77"/>
      <c r="P42" t="s" s="78">
        <f>IF('Settings'!$E$27="ON",VLOOKUP(B42,'ADP'!A1:H665,8,FALSE)," ")</f>
        <v>138</v>
      </c>
      <c r="Q42" s="79">
        <f>IF('Settings'!$E$12="YES",VLOOKUP(B42,'Player Data'!A1:E667,5,FALSE),82)</f>
        <v>81.23</v>
      </c>
      <c r="R42" s="77">
        <f>VLOOKUP(B42,'Player Data'!$A1:$AE667,6,FALSE)</f>
        <v>18.7155566199656</v>
      </c>
      <c r="S42" s="79">
        <f>VLOOKUP(B42,'Player Data'!$A1:$AE667,7,FALSE)*$Q42*_xlfn.IFERROR((VLOOKUP(P42,'Settings'!$E$28:$F$33,2,FALSE)+1),1)</f>
        <v>37.3641552144585</v>
      </c>
      <c r="T42" s="79">
        <f>VLOOKUP(B42,'Player Data'!$A1:$AE667,8,FALSE)*$Q42*_xlfn.IFERROR((VLOOKUP(P42,'Settings'!$E$28:$F$33,2,FALSE)+1),1)</f>
        <v>53.9703837166851</v>
      </c>
      <c r="U42" s="79">
        <f>SUM(S42:T42)</f>
        <v>91.3345389311436</v>
      </c>
      <c r="V42" s="79">
        <f>VLOOKUP(B42,'Player Data'!$A1:$AE667,10,FALSE)*$Q42*_xlfn.IFERROR(((VLOOKUP(P42,'Settings'!$E$28:$F$33,2,FALSE)/2)+1),1)</f>
        <v>251.543703286493</v>
      </c>
      <c r="W42" s="79">
        <f>VLOOKUP(B42,'Player Data'!$A1:$AE667,11,FALSE)*$Q42*_xlfn.IFERROR((VLOOKUP(P42,'Settings'!$E$28:$F$33,2,FALSE)+1),1)</f>
        <v>11.7117100418341</v>
      </c>
      <c r="X42" s="80">
        <f>VLOOKUP(B42,'Player Data'!$A1:$AE667,12,FALSE)*$Q42*_xlfn.IFERROR((VLOOKUP(P42,'Settings'!$E$28:$F$33,2,FALSE)+1),1)</f>
        <v>32.6844626921625</v>
      </c>
      <c r="Y42" s="79">
        <f>VLOOKUP(B42,'Player Data'!$A1:$AE667,13,FALSE)*$Q42</f>
        <v>0.0056505187148189</v>
      </c>
      <c r="Z42" s="79">
        <f>VLOOKUP(B42,'Player Data'!$A1:$AE667,14,FALSE)*$Q42</f>
        <v>0.009511251100106959</v>
      </c>
      <c r="AA42" s="79">
        <f>VLOOKUP(B42,'Player Data'!$A1:$AE667,15,FALSE)*$Q42</f>
        <v>28.6380552824676</v>
      </c>
      <c r="AB42" s="79">
        <f>VLOOKUP(B42,'Player Data'!$A1:$AE667,16,FALSE)*$Q42</f>
        <v>68.4642354542658</v>
      </c>
      <c r="AC42" s="79">
        <f>VLOOKUP(B42,'Player Data'!$A1:$AE667,17,FALSE)*$Q42*_xlfn.IFERROR((VLOOKUP(P42,'Settings'!$E$28:$F$33,2,FALSE)+1),1)</f>
        <v>10.0401108527661</v>
      </c>
      <c r="AD42" s="79">
        <f>VLOOKUP(B42,'Player Data'!$A1:$AE667,18,FALSE)*$Q42</f>
        <v>25.1248525708187</v>
      </c>
      <c r="AE42" s="79">
        <f>VLOOKUP(B42,'Player Data'!$A1:$AE667,19,FALSE)*$Q42*_xlfn.IFERROR((VLOOKUP(P42,'Settings'!$E$28:$F$33,2,FALSE)+1),1)</f>
        <v>5.9752276432843</v>
      </c>
      <c r="AF42" s="79">
        <f>VLOOKUP(B42,'Player Data'!$A1:$AE667,20,FALSE)*$Q42</f>
        <v>2.42309626943625e-09</v>
      </c>
      <c r="AG42" s="79">
        <f>VLOOKUP(B42,'Player Data'!$A1:$AE667,21,FALSE)*$Q42</f>
        <v>0.149506363331317</v>
      </c>
      <c r="AH42" s="81">
        <f>VLOOKUP(B42,'Player Data'!$A1:$AE667,22,FALSE)</f>
        <v>1.62073116901025e-08</v>
      </c>
      <c r="AI42" s="77"/>
      <c r="AJ42" s="79"/>
      <c r="AK42" s="79"/>
      <c r="AL42" s="79"/>
      <c r="AM42" s="79"/>
      <c r="AN42" s="79"/>
      <c r="AO42" s="79"/>
      <c r="AP42" s="79"/>
      <c r="AQ42" s="82"/>
      <c r="AR42" s="83"/>
      <c r="AS42" s="93"/>
    </row>
    <row r="43" ht="21.25" customHeight="1">
      <c r="A43" s="85">
        <f>RANK(K43,K$1:K$665)</f>
        <v>36</v>
      </c>
      <c r="B43" t="s" s="16">
        <v>205</v>
      </c>
      <c r="C43" t="s" s="69">
        <v>127</v>
      </c>
      <c r="D43" t="s" s="70">
        <f>VLOOKUP(B43,'Player Data'!A1:D667,4,FALSE)</f>
        <v>161</v>
      </c>
      <c r="E43" s="99">
        <f>VLOOKUP(B43,'G'!A1:D65,3,FALSE)</f>
        <v>10</v>
      </c>
      <c r="F43" t="s" s="86">
        <f>VLOOKUP(B43,'Player Data'!A1:B667,2,FALSE)</f>
        <v>149</v>
      </c>
      <c r="G43" s="91">
        <f>VLOOKUP(B43,'Player Data'!A1:D667,3,FALSE)</f>
        <v>35</v>
      </c>
      <c r="H43" s="73">
        <f>_xlfn.IFERROR(VLOOKUP(B43,'ADP'!A1:G665,7,FALSE)/1000000,VLOOKUP(B43,'ADP'!A1:G665,7,FALSE))</f>
        <v>10</v>
      </c>
      <c r="I43" s="74">
        <f>IF('Settings'!$E$15="POINTS",(AJ43*'Settings'!$B$29)+(AK43*'Settings'!$B$21)+(AL43*'Settings'!$B$22)+(AN43*'Settings'!$B$24)+(AO43*'Settings'!$B$25)+(AP43*'Settings'!$B$27)+(AM43*'Settings'!$B$23),VLOOKUP(B43,'Standard Deviations'!A1:C666,3,FALSE))</f>
        <v>312.910740417643</v>
      </c>
      <c r="J43" s="75">
        <f>IF(D43="G",I43/AJ43,I43/Q43)</f>
        <v>5.5876917931722</v>
      </c>
      <c r="K43" s="74">
        <f>VLOOKUP(B43,'G'!A1:F65,6,FALSE)</f>
        <v>45.319725853053</v>
      </c>
      <c r="L43" s="76">
        <f>_xlfn.IFERROR(K43/H43,"N/A")</f>
        <v>4.5319725853053</v>
      </c>
      <c r="M43" s="77">
        <f>IF('Settings'!$E$9="YAHOO",VLOOKUP(B43,'ADP'!A1:E665,2,FALSE),IF('Settings'!$E$9="ESPN",VLOOKUP(B43,'ADP'!A1:E665,3,FALSE),IF('Settings'!$E$9="FANTRAX",VLOOKUP(B43,'ADP'!A1:E665,4,FALSE),VLOOKUP(B43,'ADP'!A1:E665,5,FALSE))))</f>
        <v>0</v>
      </c>
      <c r="N43" s="77">
        <f>_xlfn.IFERROR(M43-A43,"N/A")</f>
        <v>-36</v>
      </c>
      <c r="O43" s="77"/>
      <c r="P43" t="s" s="78">
        <f>IF('Settings'!$E$27="ON",VLOOKUP(B43,'ADP'!A1:H665,8,FALSE)," ")</f>
        <v>138</v>
      </c>
      <c r="Q43" s="79"/>
      <c r="R43" s="77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81"/>
      <c r="AI43" s="77"/>
      <c r="AJ43" s="89">
        <f>VLOOKUP(B43,'Player Data'!$A1:$AE667,24,FALSE)</f>
        <v>56</v>
      </c>
      <c r="AK43" s="79">
        <f>VLOOKUP(B43,'Player Data'!$A1:$AE667,25,FALSE)*$AJ43*_xlfn.IFERROR((VLOOKUP(P43,'Settings'!$E$28:$F$33,2,FALSE)+1),1)</f>
        <v>34.8466310377313</v>
      </c>
      <c r="AL43" s="79">
        <f>AJ43-AK43-AM43</f>
        <v>14.1533689622687</v>
      </c>
      <c r="AM43" s="79">
        <f>VLOOKUP(B43,'Player Data'!$A1:$AE667,27,FALSE)*$AJ43</f>
        <v>7</v>
      </c>
      <c r="AN43" s="79">
        <f>VLOOKUP(B43,'Player Data'!$A1:$AE667,28,FALSE)*AJ43</f>
        <v>4.01055528235345</v>
      </c>
      <c r="AO43" s="79">
        <f>VLOOKUP(B43,'Player Data'!$A1:$AE667,29,FALSE)*$AJ43*_xlfn.IFERROR((VLOOKUP(P43,'Settings'!$E$28:$F$33,2,FALSE)/4)+1,1)</f>
        <v>1446.008082855720</v>
      </c>
      <c r="AP43" s="79">
        <f>VLOOKUP(B43,'Player Data'!$A1:$AE667,31,FALSE)*$AJ43*(_xlfn.IFERROR(1-(VLOOKUP(P43,'Settings'!$E$28:$F$33,2,FALSE)/4),1))</f>
        <v>145.483104167436</v>
      </c>
      <c r="AQ43" s="82">
        <f>1-(AP43/(AO43+AP43))</f>
        <v>0.908586924417999</v>
      </c>
      <c r="AR43" s="83">
        <f>AP43/AJ43</f>
        <v>2.5979125744185</v>
      </c>
      <c r="AS43" s="84"/>
    </row>
    <row r="44" ht="21.25" customHeight="1">
      <c r="A44" s="85">
        <f>RANK(K44,K$1:K$665)</f>
        <v>39</v>
      </c>
      <c r="B44" t="s" s="16">
        <v>206</v>
      </c>
      <c r="C44" t="s" s="69">
        <v>127</v>
      </c>
      <c r="D44" t="s" s="70">
        <f>VLOOKUP(B44,'Player Data'!A1:D667,4,FALSE)</f>
        <v>161</v>
      </c>
      <c r="E44" s="99">
        <f>VLOOKUP(B44,'G'!A1:D65,3,FALSE)</f>
        <v>11</v>
      </c>
      <c r="F44" t="s" s="86">
        <f>VLOOKUP(B44,'Player Data'!A1:B667,2,FALSE)</f>
        <v>207</v>
      </c>
      <c r="G44" s="11">
        <f>VLOOKUP(B44,'Player Data'!A1:D667,3,FALSE)</f>
        <v>28</v>
      </c>
      <c r="H44" s="73">
        <f>_xlfn.IFERROR(VLOOKUP(B44,'ADP'!A1:G665,7,FALSE)/1000000,VLOOKUP(B44,'ADP'!A1:G665,7,FALSE))</f>
        <v>8.25</v>
      </c>
      <c r="I44" s="74">
        <f>IF('Settings'!$E$15="POINTS",(AJ44*'Settings'!$B$29)+(AK44*'Settings'!$B$21)+(AL44*'Settings'!$B$22)+(AN44*'Settings'!$B$24)+(AO44*'Settings'!$B$25)+(AP44*'Settings'!$B$27)+(AM44*'Settings'!$B$23),VLOOKUP(B44,'Standard Deviations'!A1:C666,3,FALSE))</f>
        <v>312.283530007629</v>
      </c>
      <c r="J44" s="75">
        <f>IF(D44="G",I44/AJ44,I44/Q44)</f>
        <v>5.78302833347461</v>
      </c>
      <c r="K44" s="74">
        <f>VLOOKUP(B44,'G'!A1:F65,6,FALSE)</f>
        <v>44.692515443039</v>
      </c>
      <c r="L44" s="76">
        <f>_xlfn.IFERROR(K44/H44,"N/A")</f>
        <v>5.41727459915624</v>
      </c>
      <c r="M44" s="77">
        <f>IF('Settings'!$E$9="YAHOO",VLOOKUP(B44,'ADP'!A1:E665,2,FALSE),IF('Settings'!$E$9="ESPN",VLOOKUP(B44,'ADP'!A1:E665,3,FALSE),IF('Settings'!$E$9="FANTRAX",VLOOKUP(B44,'ADP'!A1:E665,4,FALSE),VLOOKUP(B44,'ADP'!A1:E665,5,FALSE))))</f>
        <v>0</v>
      </c>
      <c r="N44" s="77">
        <f>_xlfn.IFERROR(M44-A44,"N/A")</f>
        <v>-39</v>
      </c>
      <c r="O44" s="77"/>
      <c r="P44" t="s" s="78">
        <f>IF('Settings'!$E$27="ON",VLOOKUP(B44,'ADP'!A1:H665,8,FALSE)," ")</f>
        <v>138</v>
      </c>
      <c r="Q44" s="79"/>
      <c r="R44" s="77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81"/>
      <c r="AI44" s="77"/>
      <c r="AJ44" s="89">
        <f>VLOOKUP(B44,'Player Data'!$A1:$AE667,24,FALSE)</f>
        <v>54</v>
      </c>
      <c r="AK44" s="79">
        <f>VLOOKUP(B44,'Player Data'!$A1:$AE667,25,FALSE)*$AJ44*_xlfn.IFERROR((VLOOKUP(P44,'Settings'!$E$28:$F$33,2,FALSE)+1),1)</f>
        <v>30.8928756221511</v>
      </c>
      <c r="AL44" s="79">
        <f>AJ44-AK44-AM44</f>
        <v>16.3571243778489</v>
      </c>
      <c r="AM44" s="79">
        <f>VLOOKUP(B44,'Player Data'!$A1:$AE667,27,FALSE)*$AJ44</f>
        <v>6.75</v>
      </c>
      <c r="AN44" s="79">
        <f>VLOOKUP(B44,'Player Data'!$A1:$AE667,28,FALSE)*AJ44</f>
        <v>4.2599236305425</v>
      </c>
      <c r="AO44" s="79">
        <f>VLOOKUP(B44,'Player Data'!$A1:$AE667,29,FALSE)*$AJ44*_xlfn.IFERROR((VLOOKUP(P44,'Settings'!$E$28:$F$33,2,FALSE)/4)+1,1)</f>
        <v>1441.661388415910</v>
      </c>
      <c r="AP44" s="79">
        <f>VLOOKUP(B44,'Player Data'!$A1:$AE667,31,FALSE)*$AJ44*(_xlfn.IFERROR(1-(VLOOKUP(P44,'Settings'!$E$28:$F$33,2,FALSE)/4),1))</f>
        <v>135.703167311844</v>
      </c>
      <c r="AQ44" s="82">
        <f>1-(AP44/(AO44+AP44))</f>
        <v>0.913968418512337</v>
      </c>
      <c r="AR44" s="83">
        <f>AP44/AJ44</f>
        <v>2.513021616886</v>
      </c>
      <c r="AS44" s="84"/>
    </row>
    <row r="45" ht="21.25" customHeight="1">
      <c r="A45" s="85">
        <f>RANK(K45,K$1:K$665)</f>
        <v>46</v>
      </c>
      <c r="B45" t="s" s="16">
        <v>208</v>
      </c>
      <c r="C45" t="s" s="69">
        <v>127</v>
      </c>
      <c r="D45" t="s" s="70">
        <f>VLOOKUP(B45,'Player Data'!A1:D667,4,FALSE)</f>
        <v>128</v>
      </c>
      <c r="E45" s="71">
        <f>VLOOKUP(B45,'C'!A1:C206,3,FALSE)</f>
        <v>13</v>
      </c>
      <c r="F45" t="s" s="86">
        <f>VLOOKUP(B45,'Player Data'!A1:B667,2,FALSE)</f>
        <v>132</v>
      </c>
      <c r="G45" s="91">
        <f>VLOOKUP(B45,'Player Data'!A1:D667,3,FALSE)</f>
        <v>33</v>
      </c>
      <c r="H45" s="94">
        <f>_xlfn.IFERROR(VLOOKUP(B45,'ADP'!A1:G665,7,FALSE)/1000000,VLOOKUP(B45,'ADP'!A1:G665,7,FALSE))</f>
        <v>11</v>
      </c>
      <c r="I45" s="74">
        <f>IF('Settings'!$E$15="POINTS",((R45*Q45)*'Settings'!$B$12)+(S45*'Settings'!$B$2)+(T45*'Settings'!$B$3)+(U45*'Settings'!$B$4)+(V45*'Settings'!$B$5)+(X45*'Settings'!$B$9)+(AA45*'Settings'!$B$6)+(W45*'Settings'!$B$8)+(AB45*'Settings'!$B$7)+(AC45*'Settings'!$B$14)+(AD45*'Settings'!$B$15)+(AE45*'Settings'!$B$16)+(AF45*'Settings'!$B$17)+(AG45*'Settings'!$B$18)+(Y45*'Settings'!$B$10)+(Z45*'Settings'!$B$11),VLOOKUP(B45,'Standard Deviations'!A1:C666,3,FALSE))</f>
        <v>360.105476017253</v>
      </c>
      <c r="J45" s="75">
        <f>IF(D45="G",I45/AJ45,I45/Q45)</f>
        <v>4.44026480909067</v>
      </c>
      <c r="K45" s="74">
        <f>IF('Settings'!$E$18="C/LW/RW",VLOOKUP(B45,'C'!A1:F206,6,FALSE),VLOOKUP(B45,'F'!A1:F392,6,FALSE))</f>
        <v>30.413581936075</v>
      </c>
      <c r="L45" s="76">
        <f>_xlfn.IFERROR(K45/H45,"N/A")</f>
        <v>2.76487108509773</v>
      </c>
      <c r="M45" s="77">
        <f>IF('Settings'!$E$9="YAHOO",VLOOKUP(B45,'ADP'!A1:E665,2,FALSE),IF('Settings'!$E$9="ESPN",VLOOKUP(B45,'ADP'!A1:E665,3,FALSE),IF('Settings'!$E$9="FANTRAX",VLOOKUP(B45,'ADP'!A1:E665,4,FALSE),VLOOKUP(B45,'ADP'!A1:E665,5,FALSE))))</f>
        <v>0</v>
      </c>
      <c r="N45" s="77">
        <f>_xlfn.IFERROR(M45-A45,"N/A")</f>
        <v>-46</v>
      </c>
      <c r="O45" s="77"/>
      <c r="P45" t="s" s="78">
        <f>IF('Settings'!$E$27="ON",VLOOKUP(B45,'ADP'!A1:H665,8,FALSE)," ")</f>
        <v>138</v>
      </c>
      <c r="Q45" s="79">
        <f>IF('Settings'!$E$12="YES",VLOOKUP(B45,'Player Data'!A1:E667,5,FALSE),82)</f>
        <v>81.09999999999999</v>
      </c>
      <c r="R45" s="77">
        <f>VLOOKUP(B45,'Player Data'!$A1:$AE667,6,FALSE)</f>
        <v>18.0089316276098</v>
      </c>
      <c r="S45" s="79">
        <f>VLOOKUP(B45,'Player Data'!$A1:$AE667,7,FALSE)*$Q45*_xlfn.IFERROR((VLOOKUP(P45,'Settings'!$E$28:$F$33,2,FALSE)+1),1)</f>
        <v>29.0802355056815</v>
      </c>
      <c r="T45" s="79">
        <f>VLOOKUP(B45,'Player Data'!$A1:$AE667,8,FALSE)*$Q45*_xlfn.IFERROR((VLOOKUP(P45,'Settings'!$E$28:$F$33,2,FALSE)+1),1)</f>
        <v>39.2568573155113</v>
      </c>
      <c r="U45" s="79">
        <f>SUM(S45:T45)</f>
        <v>68.3370928211928</v>
      </c>
      <c r="V45" s="79">
        <f>VLOOKUP(B45,'Player Data'!$A1:$AE667,10,FALSE)*$Q45*_xlfn.IFERROR(((VLOOKUP(P45,'Settings'!$E$28:$F$33,2,FALSE)/2)+1),1)</f>
        <v>272.118475458011</v>
      </c>
      <c r="W45" s="79">
        <f>VLOOKUP(B45,'Player Data'!$A1:$AE667,11,FALSE)*$Q45*_xlfn.IFERROR((VLOOKUP(P45,'Settings'!$E$28:$F$33,2,FALSE)+1),1)</f>
        <v>10.8907726736379</v>
      </c>
      <c r="X45" s="80">
        <f>VLOOKUP(B45,'Player Data'!$A1:$AE667,12,FALSE)*$Q45*_xlfn.IFERROR((VLOOKUP(P45,'Settings'!$E$28:$F$33,2,FALSE)+1),1)</f>
        <v>25.2413157531213</v>
      </c>
      <c r="Y45" s="79">
        <f>VLOOKUP(B45,'Player Data'!$A1:$AE667,13,FALSE)*$Q45</f>
        <v>0.00656192367901238</v>
      </c>
      <c r="Z45" s="79">
        <f>VLOOKUP(B45,'Player Data'!$A1:$AE667,14,FALSE)*$Q45</f>
        <v>0.0111795385760939</v>
      </c>
      <c r="AA45" s="79">
        <f>VLOOKUP(B45,'Player Data'!$A1:$AE667,15,FALSE)*$Q45</f>
        <v>38.1646138027583</v>
      </c>
      <c r="AB45" s="79">
        <f>VLOOKUP(B45,'Player Data'!$A1:$AE667,16,FALSE)*$Q45</f>
        <v>121.246834142732</v>
      </c>
      <c r="AC45" s="79">
        <f>VLOOKUP(B45,'Player Data'!$A1:$AE667,17,FALSE)*$Q45*_xlfn.IFERROR((VLOOKUP(P45,'Settings'!$E$28:$F$33,2,FALSE)+1),1)</f>
        <v>7.19405488166262</v>
      </c>
      <c r="AD45" s="79">
        <f>VLOOKUP(B45,'Player Data'!$A1:$AE667,18,FALSE)*$Q45</f>
        <v>32.5184665699434</v>
      </c>
      <c r="AE45" s="79">
        <f>VLOOKUP(B45,'Player Data'!$A1:$AE667,19,FALSE)*$Q45*_xlfn.IFERROR((VLOOKUP(P45,'Settings'!$E$28:$F$33,2,FALSE)+1),1)</f>
        <v>4.65231640019918</v>
      </c>
      <c r="AF45" s="79">
        <f>VLOOKUP(B45,'Player Data'!$A1:$AE667,20,FALSE)*$Q45</f>
        <v>810.8041794688299</v>
      </c>
      <c r="AG45" s="79">
        <f>VLOOKUP(B45,'Player Data'!$A1:$AE667,21,FALSE)*$Q45</f>
        <v>556.625978397078</v>
      </c>
      <c r="AH45" s="81">
        <f>VLOOKUP(B45,'Player Data'!$A1:$AE667,22,FALSE)</f>
        <v>0.592940103598577</v>
      </c>
      <c r="AI45" s="77"/>
      <c r="AJ45" s="89"/>
      <c r="AK45" s="79"/>
      <c r="AL45" s="79"/>
      <c r="AM45" s="79"/>
      <c r="AN45" s="79"/>
      <c r="AO45" s="79"/>
      <c r="AP45" s="79"/>
      <c r="AQ45" s="82"/>
      <c r="AR45" s="83"/>
      <c r="AS45" s="93"/>
    </row>
    <row r="46" ht="21.25" customHeight="1">
      <c r="A46" s="85">
        <f>RANK(K46,K$1:K$665)</f>
        <v>45</v>
      </c>
      <c r="B46" t="s" s="16">
        <v>209</v>
      </c>
      <c r="C46" t="s" s="69">
        <v>127</v>
      </c>
      <c r="D46" t="s" s="70">
        <f>VLOOKUP(B46,'Player Data'!A1:D667,4,FALSE)</f>
        <v>178</v>
      </c>
      <c r="E46" s="102">
        <f>VLOOKUP(B46,'LW'!A1:C152,3,FALSE)</f>
        <v>12</v>
      </c>
      <c r="F46" t="s" s="88">
        <f>VLOOKUP(B46,'Player Data'!A1:B667,2,FALSE)</f>
        <v>141</v>
      </c>
      <c r="G46" s="11">
        <f>VLOOKUP(B46,'Player Data'!A1:D667,3,FALSE)</f>
        <v>29</v>
      </c>
      <c r="H46" s="73">
        <f>_xlfn.IFERROR(VLOOKUP(B46,'ADP'!A1:G665,7,FALSE)/1000000,VLOOKUP(B46,'ADP'!A1:G665,7,FALSE))</f>
        <v>9</v>
      </c>
      <c r="I46" s="74">
        <f>IF('Settings'!$E$15="POINTS",((R46*Q46)*'Settings'!$B$12)+(S46*'Settings'!$B$2)+(T46*'Settings'!$B$3)+(U46*'Settings'!$B$4)+(V46*'Settings'!$B$5)+(X46*'Settings'!$B$9)+(AA46*'Settings'!$B$6)+(W46*'Settings'!$B$8)+(AB46*'Settings'!$B$7)+(AC46*'Settings'!$B$14)+(AD46*'Settings'!$B$15)+(AE46*'Settings'!$B$16)+(AF46*'Settings'!$B$17)+(AG46*'Settings'!$B$18)+(Y46*'Settings'!$B$10)+(Z46*'Settings'!$B$11),VLOOKUP(B46,'Standard Deviations'!A1:C666,3,FALSE))</f>
        <v>362.475956774604</v>
      </c>
      <c r="J46" s="75">
        <f>IF(D46="G",I46/AJ46,I46/Q46)</f>
        <v>4.63420534758339</v>
      </c>
      <c r="K46" s="74">
        <f>IF('Settings'!$E$18="C/LW/RW",VLOOKUP(B46,'LW'!A1:F152,6,FALSE),VLOOKUP(B46,'F'!A1:F392,6,FALSE))</f>
        <v>30.755845008392</v>
      </c>
      <c r="L46" s="76">
        <f>_xlfn.IFERROR(K46/H46,"N/A")</f>
        <v>3.41731611204356</v>
      </c>
      <c r="M46" s="77">
        <f>IF('Settings'!$E$9="YAHOO",VLOOKUP(B46,'ADP'!A1:E665,2,FALSE),IF('Settings'!$E$9="ESPN",VLOOKUP(B46,'ADP'!A1:E665,3,FALSE),IF('Settings'!$E$9="FANTRAX",VLOOKUP(B46,'ADP'!A1:E665,4,FALSE),VLOOKUP(B46,'ADP'!A1:E665,5,FALSE))))</f>
        <v>0</v>
      </c>
      <c r="N46" s="77">
        <f>_xlfn.IFERROR(M46-A46,"N/A")</f>
        <v>-45</v>
      </c>
      <c r="O46" s="77"/>
      <c r="P46" t="s" s="78">
        <f>IF('Settings'!$E$27="ON",VLOOKUP(B46,'ADP'!A1:H665,8,FALSE)," ")</f>
        <v>130</v>
      </c>
      <c r="Q46" s="79">
        <f>IF('Settings'!$E$12="YES",VLOOKUP(B46,'Player Data'!A1:E667,5,FALSE),82)</f>
        <v>78.2175</v>
      </c>
      <c r="R46" s="77">
        <f>VLOOKUP(B46,'Player Data'!$A1:$AE667,6,FALSE)</f>
        <v>20.0957448838519</v>
      </c>
      <c r="S46" s="79">
        <f>VLOOKUP(B46,'Player Data'!$A1:$AE667,7,FALSE)*$Q46*_xlfn.IFERROR((VLOOKUP(P46,'Settings'!$E$28:$F$33,2,FALSE)+1),1)</f>
        <v>36.983813182813</v>
      </c>
      <c r="T46" s="79">
        <f>VLOOKUP(B46,'Player Data'!$A1:$AE667,8,FALSE)*$Q46*_xlfn.IFERROR((VLOOKUP(P46,'Settings'!$E$28:$F$33,2,FALSE)+1),1)</f>
        <v>48.8938759445942</v>
      </c>
      <c r="U46" s="79">
        <f>SUM(S46:T46)</f>
        <v>85.87768912740719</v>
      </c>
      <c r="V46" s="79">
        <f>VLOOKUP(B46,'Player Data'!$A1:$AE667,10,FALSE)*$Q46*_xlfn.IFERROR(((VLOOKUP(P46,'Settings'!$E$28:$F$33,2,FALSE)/2)+1),1)</f>
        <v>274.599232993669</v>
      </c>
      <c r="W46" s="79">
        <f>VLOOKUP(B46,'Player Data'!$A1:$AE667,11,FALSE)*$Q46*_xlfn.IFERROR((VLOOKUP(P46,'Settings'!$E$28:$F$33,2,FALSE)+1),1)</f>
        <v>8.13750116718577</v>
      </c>
      <c r="X46" s="80">
        <f>VLOOKUP(B46,'Player Data'!$A1:$AE667,12,FALSE)*$Q46*_xlfn.IFERROR((VLOOKUP(P46,'Settings'!$E$28:$F$33,2,FALSE)+1),1)</f>
        <v>24.3136928562285</v>
      </c>
      <c r="Y46" s="79">
        <f>VLOOKUP(B46,'Player Data'!$A1:$AE667,13,FALSE)*$Q46</f>
        <v>0.0204729288301979</v>
      </c>
      <c r="Z46" s="79">
        <f>VLOOKUP(B46,'Player Data'!$A1:$AE667,14,FALSE)*$Q46</f>
        <v>0.0346976931941799</v>
      </c>
      <c r="AA46" s="79">
        <f>VLOOKUP(B46,'Player Data'!$A1:$AE667,15,FALSE)*$Q46</f>
        <v>37.3834312154457</v>
      </c>
      <c r="AB46" s="79">
        <f>VLOOKUP(B46,'Player Data'!$A1:$AE667,16,FALSE)*$Q46</f>
        <v>65.4801476641383</v>
      </c>
      <c r="AC46" s="79">
        <f>VLOOKUP(B46,'Player Data'!$A1:$AE667,17,FALSE)*$Q46*_xlfn.IFERROR((VLOOKUP(P46,'Settings'!$E$28:$F$33,2,FALSE)+1),1)</f>
        <v>2.377827548513</v>
      </c>
      <c r="AD46" s="79">
        <f>VLOOKUP(B46,'Player Data'!$A1:$AE667,18,FALSE)*$Q46</f>
        <v>38.3630752510036</v>
      </c>
      <c r="AE46" s="79">
        <f>VLOOKUP(B46,'Player Data'!$A1:$AE667,19,FALSE)*$Q46*_xlfn.IFERROR((VLOOKUP(P46,'Settings'!$E$28:$F$33,2,FALSE)+1),1)</f>
        <v>5.8272295920937</v>
      </c>
      <c r="AF46" s="79">
        <f>VLOOKUP(B46,'Player Data'!$A1:$AE667,20,FALSE)*$Q46</f>
        <v>10.3513663081575</v>
      </c>
      <c r="AG46" s="79">
        <f>VLOOKUP(B46,'Player Data'!$A1:$AE667,21,FALSE)*$Q46</f>
        <v>14.6220394158461</v>
      </c>
      <c r="AH46" s="81">
        <f>VLOOKUP(B46,'Player Data'!$A1:$AE667,22,FALSE)</f>
        <v>0.414495580721218</v>
      </c>
      <c r="AI46" s="77"/>
      <c r="AJ46" s="79"/>
      <c r="AK46" s="79"/>
      <c r="AL46" s="79"/>
      <c r="AM46" s="79"/>
      <c r="AN46" s="79"/>
      <c r="AO46" s="79"/>
      <c r="AP46" s="79"/>
      <c r="AQ46" s="82"/>
      <c r="AR46" s="83"/>
      <c r="AS46" s="93"/>
    </row>
    <row r="47" ht="21.25" customHeight="1">
      <c r="A47" s="85">
        <f>RANK(K47,K$1:K$665)</f>
        <v>53</v>
      </c>
      <c r="B47" t="s" s="16">
        <v>210</v>
      </c>
      <c r="C47" t="s" s="69">
        <v>127</v>
      </c>
      <c r="D47" t="s" s="70">
        <f>VLOOKUP(B47,'Player Data'!A1:D667,4,FALSE)</f>
        <v>128</v>
      </c>
      <c r="E47" s="71">
        <f>VLOOKUP(B47,'C'!A1:C206,3,FALSE)</f>
        <v>16</v>
      </c>
      <c r="F47" t="s" s="103">
        <f>VLOOKUP(B47,'Player Data'!A1:B667,2,FALSE)</f>
        <v>182</v>
      </c>
      <c r="G47" s="11">
        <f>VLOOKUP(B47,'Player Data'!A1:D667,3,FALSE)</f>
        <v>27</v>
      </c>
      <c r="H47" s="73">
        <f>_xlfn.IFERROR(VLOOKUP(B47,'ADP'!A1:G665,7,FALSE)/1000000,VLOOKUP(B47,'ADP'!A1:G665,7,FALSE))</f>
        <v>5.25</v>
      </c>
      <c r="I47" s="74">
        <f>IF('Settings'!$E$15="POINTS",((R47*Q47)*'Settings'!$B$12)+(S47*'Settings'!$B$2)+(T47*'Settings'!$B$3)+(U47*'Settings'!$B$4)+(V47*'Settings'!$B$5)+(X47*'Settings'!$B$9)+(AA47*'Settings'!$B$6)+(W47*'Settings'!$B$8)+(AB47*'Settings'!$B$7)+(AC47*'Settings'!$B$14)+(AD47*'Settings'!$B$15)+(AE47*'Settings'!$B$16)+(AF47*'Settings'!$B$17)+(AG47*'Settings'!$B$18)+(Y47*'Settings'!$B$10)+(Z47*'Settings'!$B$11),VLOOKUP(B47,'Standard Deviations'!A1:C666,3,FALSE))</f>
        <v>352.837609537559</v>
      </c>
      <c r="J47" s="75">
        <f>IF(D47="G",I47/AJ47,I47/Q47)</f>
        <v>4.4053764027538</v>
      </c>
      <c r="K47" s="74">
        <f>IF('Settings'!$E$18="C/LW/RW",VLOOKUP(B47,'C'!A1:F206,6,FALSE),VLOOKUP(B47,'F'!A1:F392,6,FALSE))</f>
        <v>23.145715456381</v>
      </c>
      <c r="L47" s="76">
        <f>_xlfn.IFERROR(K47/H47,"N/A")</f>
        <v>4.40870770597733</v>
      </c>
      <c r="M47" s="77">
        <f>IF('Settings'!$E$9="YAHOO",VLOOKUP(B47,'ADP'!A1:E665,2,FALSE),IF('Settings'!$E$9="ESPN",VLOOKUP(B47,'ADP'!A1:E665,3,FALSE),IF('Settings'!$E$9="FANTRAX",VLOOKUP(B47,'ADP'!A1:E665,4,FALSE),VLOOKUP(B47,'ADP'!A1:E665,5,FALSE))))</f>
        <v>0</v>
      </c>
      <c r="N47" s="77">
        <f>_xlfn.IFERROR(M47-A47,"N/A")</f>
        <v>-53</v>
      </c>
      <c r="O47" s="77"/>
      <c r="P47" t="s" s="78">
        <f>IF('Settings'!$E$27="ON",VLOOKUP(B47,'ADP'!A1:H665,8,FALSE)," ")</f>
        <v>138</v>
      </c>
      <c r="Q47" s="79">
        <f>IF('Settings'!$E$12="YES",VLOOKUP(B47,'Player Data'!A1:E667,5,FALSE),82)</f>
        <v>80.0925</v>
      </c>
      <c r="R47" s="77">
        <f>VLOOKUP(B47,'Player Data'!$A1:$AE667,6,FALSE)</f>
        <v>19.6094569771094</v>
      </c>
      <c r="S47" s="79">
        <f>VLOOKUP(B47,'Player Data'!$A1:$AE667,7,FALSE)*$Q47*_xlfn.IFERROR((VLOOKUP(P47,'Settings'!$E$28:$F$33,2,FALSE)+1),1)</f>
        <v>26.5550200812315</v>
      </c>
      <c r="T47" s="79">
        <f>VLOOKUP(B47,'Player Data'!$A1:$AE667,8,FALSE)*$Q47*_xlfn.IFERROR((VLOOKUP(P47,'Settings'!$E$28:$F$33,2,FALSE)+1),1)</f>
        <v>34.2732852766327</v>
      </c>
      <c r="U47" s="79">
        <f>SUM(S47:T47)</f>
        <v>60.8283053578642</v>
      </c>
      <c r="V47" s="79">
        <f>VLOOKUP(B47,'Player Data'!$A1:$AE667,10,FALSE)*$Q47*_xlfn.IFERROR(((VLOOKUP(P47,'Settings'!$E$28:$F$33,2,FALSE)/2)+1),1)</f>
        <v>253.943920648251</v>
      </c>
      <c r="W47" s="79">
        <f>VLOOKUP(B47,'Player Data'!$A1:$AE667,11,FALSE)*$Q47*_xlfn.IFERROR((VLOOKUP(P47,'Settings'!$E$28:$F$33,2,FALSE)+1),1)</f>
        <v>11.0853891351225</v>
      </c>
      <c r="X47" s="80">
        <f>VLOOKUP(B47,'Player Data'!$A1:$AE667,12,FALSE)*$Q47*_xlfn.IFERROR((VLOOKUP(P47,'Settings'!$E$28:$F$33,2,FALSE)+1),1)</f>
        <v>19.7859032910412</v>
      </c>
      <c r="Y47" s="79">
        <f>VLOOKUP(B47,'Player Data'!$A1:$AE667,13,FALSE)*$Q47</f>
        <v>1.07446209436167</v>
      </c>
      <c r="Z47" s="79">
        <f>VLOOKUP(B47,'Player Data'!$A1:$AE667,14,FALSE)*$Q47</f>
        <v>1.43015084976539</v>
      </c>
      <c r="AA47" s="79">
        <f>VLOOKUP(B47,'Player Data'!$A1:$AE667,15,FALSE)*$Q47</f>
        <v>55.4794445164366</v>
      </c>
      <c r="AB47" s="79">
        <f>VLOOKUP(B47,'Player Data'!$A1:$AE667,16,FALSE)*$Q47</f>
        <v>149.668937861333</v>
      </c>
      <c r="AC47" s="79">
        <f>VLOOKUP(B47,'Player Data'!$A1:$AE667,17,FALSE)*$Q47*_xlfn.IFERROR((VLOOKUP(P47,'Settings'!$E$28:$F$33,2,FALSE)+1),1)</f>
        <v>2.35255047357422</v>
      </c>
      <c r="AD47" s="79">
        <f>VLOOKUP(B47,'Player Data'!$A1:$AE667,18,FALSE)*$Q47</f>
        <v>43.8648673288748</v>
      </c>
      <c r="AE47" s="79">
        <f>VLOOKUP(B47,'Player Data'!$A1:$AE667,19,FALSE)*$Q47*_xlfn.IFERROR((VLOOKUP(P47,'Settings'!$E$28:$F$33,2,FALSE)+1),1)</f>
        <v>4.38367953372005</v>
      </c>
      <c r="AF47" s="79">
        <f>VLOOKUP(B47,'Player Data'!$A1:$AE667,20,FALSE)*$Q47</f>
        <v>774.019170947616</v>
      </c>
      <c r="AG47" s="79">
        <f>VLOOKUP(B47,'Player Data'!$A1:$AE667,21,FALSE)*$Q47</f>
        <v>802.784790601647</v>
      </c>
      <c r="AH47" s="81">
        <f>VLOOKUP(B47,'Player Data'!$A1:$AE667,22,FALSE)</f>
        <v>0.490878504761694</v>
      </c>
      <c r="AI47" s="77"/>
      <c r="AJ47" s="79"/>
      <c r="AK47" s="79"/>
      <c r="AL47" s="79"/>
      <c r="AM47" s="79"/>
      <c r="AN47" s="79"/>
      <c r="AO47" s="79"/>
      <c r="AP47" s="79"/>
      <c r="AQ47" s="82"/>
      <c r="AR47" s="83"/>
      <c r="AS47" s="84"/>
    </row>
    <row r="48" ht="21.25" customHeight="1">
      <c r="A48" s="85">
        <f>RANK(K48,K$1:K$665)</f>
        <v>43</v>
      </c>
      <c r="B48" t="s" s="16">
        <v>211</v>
      </c>
      <c r="C48" t="s" s="69">
        <v>127</v>
      </c>
      <c r="D48" t="s" s="70">
        <f>VLOOKUP(B48,'Player Data'!A1:D667,4,FALSE)</f>
        <v>161</v>
      </c>
      <c r="E48" s="99">
        <f>VLOOKUP(B48,'G'!A1:D65,3,FALSE)</f>
        <v>12</v>
      </c>
      <c r="F48" t="s" s="92">
        <f>VLOOKUP(B48,'Player Data'!A1:B667,2,FALSE)</f>
        <v>212</v>
      </c>
      <c r="G48" s="11">
        <f>VLOOKUP(B48,'Player Data'!A1:D667,3,FALSE)</f>
        <v>28</v>
      </c>
      <c r="H48" s="94">
        <f>_xlfn.IFERROR(VLOOKUP(B48,'ADP'!A1:G665,7,FALSE)/1000000,VLOOKUP(B48,'ADP'!A1:G665,7,FALSE))</f>
        <v>3.4</v>
      </c>
      <c r="I48" s="74">
        <f>IF('Settings'!$E$15="POINTS",(AJ48*'Settings'!$B$29)+(AK48*'Settings'!$B$21)+(AL48*'Settings'!$B$22)+(AN48*'Settings'!$B$24)+(AO48*'Settings'!$B$25)+(AP48*'Settings'!$B$27)+(AM48*'Settings'!$B$23),VLOOKUP(B48,'Standard Deviations'!A1:C666,3,FALSE))</f>
        <v>303.618435722738</v>
      </c>
      <c r="J48" s="75">
        <f>IF(D48="G",I48/AJ48,I48/Q48)</f>
        <v>5.62256362449515</v>
      </c>
      <c r="K48" s="74">
        <f>VLOOKUP(B48,'G'!A1:F65,6,FALSE)</f>
        <v>36.027421158148</v>
      </c>
      <c r="L48" s="76">
        <f>_xlfn.IFERROR(K48/H48,"N/A")</f>
        <v>10.5963003406318</v>
      </c>
      <c r="M48" s="77">
        <f>IF('Settings'!$E$9="YAHOO",VLOOKUP(B48,'ADP'!A1:E665,2,FALSE),IF('Settings'!$E$9="ESPN",VLOOKUP(B48,'ADP'!A1:E665,3,FALSE),IF('Settings'!$E$9="FANTRAX",VLOOKUP(B48,'ADP'!A1:E665,4,FALSE),VLOOKUP(B48,'ADP'!A1:E665,5,FALSE))))</f>
        <v>0</v>
      </c>
      <c r="N48" s="77">
        <f>_xlfn.IFERROR(M48-A48,"N/A")</f>
        <v>-43</v>
      </c>
      <c r="O48" s="77"/>
      <c r="P48" t="s" s="78">
        <f>IF('Settings'!$E$27="ON",VLOOKUP(B48,'ADP'!A1:H665,8,FALSE)," ")</f>
        <v>138</v>
      </c>
      <c r="Q48" s="79"/>
      <c r="R48" s="77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81"/>
      <c r="AI48" s="77"/>
      <c r="AJ48" s="89">
        <f>VLOOKUP(B48,'Player Data'!$A1:$AE667,24,FALSE)</f>
        <v>54</v>
      </c>
      <c r="AK48" s="79">
        <f>VLOOKUP(B48,'Player Data'!$A1:$AE667,25,FALSE)*$AJ48*_xlfn.IFERROR((VLOOKUP(P48,'Settings'!$E$28:$F$33,2,FALSE)+1),1)</f>
        <v>31.7626442439664</v>
      </c>
      <c r="AL48" s="79">
        <f>AJ48-AK48-AM48</f>
        <v>15.4873557560336</v>
      </c>
      <c r="AM48" s="79">
        <f>VLOOKUP(B48,'Player Data'!$A1:$AE667,27,FALSE)*$AJ48</f>
        <v>6.75</v>
      </c>
      <c r="AN48" s="79">
        <f>VLOOKUP(B48,'Player Data'!$A1:$AE667,28,FALSE)*AJ48</f>
        <v>2.98389119087664</v>
      </c>
      <c r="AO48" s="79">
        <f>VLOOKUP(B48,'Player Data'!$A1:$AE667,29,FALSE)*$AJ48*_xlfn.IFERROR((VLOOKUP(P48,'Settings'!$E$28:$F$33,2,FALSE)/4)+1,1)</f>
        <v>1477.948236336550</v>
      </c>
      <c r="AP48" s="79">
        <f>VLOOKUP(B48,'Player Data'!$A1:$AE667,31,FALSE)*$AJ48*(_xlfn.IFERROR(1-(VLOOKUP(P48,'Settings'!$E$28:$F$33,2,FALSE)/4),1))</f>
        <v>151.383664907222</v>
      </c>
      <c r="AQ48" s="82">
        <f>1-(AP48/(AO48+AP48))</f>
        <v>0.907088503704088</v>
      </c>
      <c r="AR48" s="83">
        <f>AP48/AJ48</f>
        <v>2.80340120198559</v>
      </c>
      <c r="AS48" s="84"/>
    </row>
    <row r="49" ht="21.25" customHeight="1">
      <c r="A49" s="85">
        <f>RANK(K49,K$1:K$665)</f>
        <v>51</v>
      </c>
      <c r="B49" t="s" s="16">
        <v>213</v>
      </c>
      <c r="C49" t="s" s="69">
        <v>127</v>
      </c>
      <c r="D49" t="s" s="70">
        <f>VLOOKUP(B49,'Player Data'!A1:D667,4,FALSE)</f>
        <v>136</v>
      </c>
      <c r="E49" s="87">
        <f>VLOOKUP(B49,'LW'!A1:C152,3,FALSE)</f>
        <v>13</v>
      </c>
      <c r="F49" t="s" s="88">
        <f>VLOOKUP(B49,'Player Data'!A1:B667,2,FALSE)</f>
        <v>137</v>
      </c>
      <c r="G49" s="96">
        <f>VLOOKUP(B49,'Player Data'!A1:D667,3,FALSE)</f>
        <v>22</v>
      </c>
      <c r="H49" s="73">
        <f>_xlfn.IFERROR(VLOOKUP(B49,'ADP'!A1:G665,7,FALSE)/1000000,VLOOKUP(B49,'ADP'!A1:G665,7,FALSE))</f>
        <v>8.35</v>
      </c>
      <c r="I49" s="74">
        <f>IF('Settings'!$E$15="POINTS",((R49*Q49)*'Settings'!$B$12)+(S49*'Settings'!$B$2)+(T49*'Settings'!$B$3)+(U49*'Settings'!$B$4)+(V49*'Settings'!$B$5)+(X49*'Settings'!$B$9)+(AA49*'Settings'!$B$6)+(W49*'Settings'!$B$8)+(AB49*'Settings'!$B$7)+(AC49*'Settings'!$B$14)+(AD49*'Settings'!$B$15)+(AE49*'Settings'!$B$16)+(AF49*'Settings'!$B$17)+(AG49*'Settings'!$B$18)+(Y49*'Settings'!$B$10)+(Z49*'Settings'!$B$11),VLOOKUP(B49,'Standard Deviations'!A1:C666,3,FALSE))</f>
        <v>355.276737939928</v>
      </c>
      <c r="J49" s="75">
        <f>IF(D49="G",I49/AJ49,I49/Q49)</f>
        <v>4.44443143630872</v>
      </c>
      <c r="K49" s="74">
        <f>IF('Settings'!$E$18="C/LW/RW",VLOOKUP(B49,'LW'!A1:F152,6,FALSE),VLOOKUP(B49,'F'!A1:F392,6,FALSE))</f>
        <v>23.556626173716</v>
      </c>
      <c r="L49" s="76">
        <f>_xlfn.IFERROR(K49/H49,"N/A")</f>
        <v>2.82115283517557</v>
      </c>
      <c r="M49" s="77">
        <f>IF('Settings'!$E$9="YAHOO",VLOOKUP(B49,'ADP'!A1:E665,2,FALSE),IF('Settings'!$E$9="ESPN",VLOOKUP(B49,'ADP'!A1:E665,3,FALSE),IF('Settings'!$E$9="FANTRAX",VLOOKUP(B49,'ADP'!A1:E665,4,FALSE),VLOOKUP(B49,'ADP'!A1:E665,5,FALSE))))</f>
        <v>0</v>
      </c>
      <c r="N49" s="77">
        <f>_xlfn.IFERROR(M49-A49,"N/A")</f>
        <v>-51</v>
      </c>
      <c r="O49" s="77"/>
      <c r="P49" t="s" s="78">
        <f>IF('Settings'!$E$27="ON",VLOOKUP(B49,'ADP'!A1:H665,8,FALSE)," ")</f>
        <v>138</v>
      </c>
      <c r="Q49" s="79">
        <f>IF('Settings'!$E$12="YES",VLOOKUP(B49,'Player Data'!A1:E667,5,FALSE),82)</f>
        <v>79.9375</v>
      </c>
      <c r="R49" s="77">
        <f>VLOOKUP(B49,'Player Data'!$A1:$AE667,6,FALSE)</f>
        <v>20.6495625785452</v>
      </c>
      <c r="S49" s="79">
        <f>VLOOKUP(B49,'Player Data'!$A1:$AE667,7,FALSE)*$Q49*_xlfn.IFERROR((VLOOKUP(P49,'Settings'!$E$28:$F$33,2,FALSE)+1),1)</f>
        <v>29.1202485484208</v>
      </c>
      <c r="T49" s="79">
        <f>VLOOKUP(B49,'Player Data'!$A1:$AE667,8,FALSE)*$Q49*_xlfn.IFERROR((VLOOKUP(P49,'Settings'!$E$28:$F$33,2,FALSE)+1),1)</f>
        <v>51.5313133633974</v>
      </c>
      <c r="U49" s="79">
        <f>SUM(S49:T49)</f>
        <v>80.65156191181821</v>
      </c>
      <c r="V49" s="79">
        <f>VLOOKUP(B49,'Player Data'!$A1:$AE667,10,FALSE)*$Q49*_xlfn.IFERROR(((VLOOKUP(P49,'Settings'!$E$28:$F$33,2,FALSE)/2)+1),1)</f>
        <v>209.492849114828</v>
      </c>
      <c r="W49" s="79">
        <f>VLOOKUP(B49,'Player Data'!$A1:$AE667,11,FALSE)*$Q49*_xlfn.IFERROR((VLOOKUP(P49,'Settings'!$E$28:$F$33,2,FALSE)+1),1)</f>
        <v>4.786155634814</v>
      </c>
      <c r="X49" s="80">
        <f>VLOOKUP(B49,'Player Data'!$A1:$AE667,12,FALSE)*$Q49*_xlfn.IFERROR((VLOOKUP(P49,'Settings'!$E$28:$F$33,2,FALSE)+1),1)</f>
        <v>21.2698758154863</v>
      </c>
      <c r="Y49" s="79">
        <f>VLOOKUP(B49,'Player Data'!$A1:$AE667,13,FALSE)*$Q49</f>
        <v>0.945838313511345</v>
      </c>
      <c r="Z49" s="79">
        <f>VLOOKUP(B49,'Player Data'!$A1:$AE667,14,FALSE)*$Q49</f>
        <v>1.00568216831877</v>
      </c>
      <c r="AA49" s="79">
        <f>VLOOKUP(B49,'Player Data'!$A1:$AE667,15,FALSE)*$Q49</f>
        <v>46.4533831204008</v>
      </c>
      <c r="AB49" s="79">
        <f>VLOOKUP(B49,'Player Data'!$A1:$AE667,16,FALSE)*$Q49</f>
        <v>106.737895264466</v>
      </c>
      <c r="AC49" s="79">
        <f>VLOOKUP(B49,'Player Data'!$A1:$AE667,17,FALSE)*$Q49*_xlfn.IFERROR((VLOOKUP(P49,'Settings'!$E$28:$F$33,2,FALSE)+1),1)</f>
        <v>-1.14691428593954</v>
      </c>
      <c r="AD49" s="79">
        <f>VLOOKUP(B49,'Player Data'!$A1:$AE667,18,FALSE)*$Q49</f>
        <v>40.8903947572736</v>
      </c>
      <c r="AE49" s="79">
        <f>VLOOKUP(B49,'Player Data'!$A1:$AE667,19,FALSE)*$Q49*_xlfn.IFERROR((VLOOKUP(P49,'Settings'!$E$28:$F$33,2,FALSE)+1),1)</f>
        <v>4.52133323778533</v>
      </c>
      <c r="AF49" s="79">
        <f>VLOOKUP(B49,'Player Data'!$A1:$AE667,20,FALSE)*$Q49</f>
        <v>225.809166544424</v>
      </c>
      <c r="AG49" s="79">
        <f>VLOOKUP(B49,'Player Data'!$A1:$AE667,21,FALSE)*$Q49</f>
        <v>300.543063018336</v>
      </c>
      <c r="AH49" s="81">
        <f>VLOOKUP(B49,'Player Data'!$A1:$AE667,22,FALSE)</f>
        <v>0.429007713583742</v>
      </c>
      <c r="AI49" s="77"/>
      <c r="AJ49" s="89"/>
      <c r="AK49" s="79"/>
      <c r="AL49" s="79"/>
      <c r="AM49" s="79"/>
      <c r="AN49" s="79"/>
      <c r="AO49" s="79"/>
      <c r="AP49" s="79"/>
      <c r="AQ49" s="82"/>
      <c r="AR49" s="83"/>
      <c r="AS49" s="84"/>
    </row>
    <row r="50" ht="21.25" customHeight="1">
      <c r="A50" s="85">
        <f>RANK(K50,K$1:K$665)</f>
        <v>48</v>
      </c>
      <c r="B50" t="s" s="16">
        <v>214</v>
      </c>
      <c r="C50" t="s" s="69">
        <v>127</v>
      </c>
      <c r="D50" t="s" s="70">
        <f>VLOOKUP(B50,'Player Data'!A1:D667,4,FALSE)</f>
        <v>145</v>
      </c>
      <c r="E50" s="87">
        <f>VLOOKUP(B50,'RW'!A1:C136,3,FALSE)</f>
        <v>10</v>
      </c>
      <c r="F50" t="s" s="86">
        <f>VLOOKUP(B50,'Player Data'!A1:B667,2,FALSE)</f>
        <v>154</v>
      </c>
      <c r="G50" s="11">
        <f>VLOOKUP(B50,'Player Data'!A1:D667,3,FALSE)</f>
        <v>26</v>
      </c>
      <c r="H50" s="73">
        <f>_xlfn.IFERROR(VLOOKUP(B50,'ADP'!A1:G665,7,FALSE)/1000000,VLOOKUP(B50,'ADP'!A1:G665,7,FALSE))</f>
        <v>7.142857</v>
      </c>
      <c r="I50" s="74">
        <f>IF('Settings'!$E$15="POINTS",((R50*Q50)*'Settings'!$B$12)+(S50*'Settings'!$B$2)+(T50*'Settings'!$B$3)+(U50*'Settings'!$B$4)+(V50*'Settings'!$B$5)+(X50*'Settings'!$B$9)+(AA50*'Settings'!$B$6)+(W50*'Settings'!$B$8)+(AB50*'Settings'!$B$7)+(AC50*'Settings'!$B$14)+(AD50*'Settings'!$B$15)+(AE50*'Settings'!$B$16)+(AF50*'Settings'!$B$17)+(AG50*'Settings'!$B$18)+(Y50*'Settings'!$B$10)+(Z50*'Settings'!$B$11),VLOOKUP(B50,'Standard Deviations'!A1:C666,3,FALSE))</f>
        <v>354.148567502498</v>
      </c>
      <c r="J50" s="75">
        <f>IF(D50="G",I50/AJ50,I50/Q50)</f>
        <v>4.47566986828218</v>
      </c>
      <c r="K50" s="74">
        <f>IF('Settings'!$E$18="C/LW/RW",VLOOKUP(B50,'RW'!A1:F136,6,FALSE),VLOOKUP(B50,'F'!A1:F392,6,FALSE))</f>
        <v>24.456673421320</v>
      </c>
      <c r="L50" s="76">
        <f>_xlfn.IFERROR(K50/H50,"N/A")</f>
        <v>3.42393434746349</v>
      </c>
      <c r="M50" s="77">
        <f>IF('Settings'!$E$9="YAHOO",VLOOKUP(B50,'ADP'!A1:E665,2,FALSE),IF('Settings'!$E$9="ESPN",VLOOKUP(B50,'ADP'!A1:E665,3,FALSE),IF('Settings'!$E$9="FANTRAX",VLOOKUP(B50,'ADP'!A1:E665,4,FALSE),VLOOKUP(B50,'ADP'!A1:E665,5,FALSE))))</f>
        <v>0</v>
      </c>
      <c r="N50" s="77">
        <f>_xlfn.IFERROR(M50-A50,"N/A")</f>
        <v>-48</v>
      </c>
      <c r="O50" s="77"/>
      <c r="P50" t="s" s="78">
        <f>IF('Settings'!$E$27="ON",VLOOKUP(B50,'ADP'!A1:H665,8,FALSE)," ")</f>
        <v>138</v>
      </c>
      <c r="Q50" s="79">
        <f>IF('Settings'!$E$12="YES",VLOOKUP(B50,'Player Data'!A1:E667,5,FALSE),82)</f>
        <v>79.1275</v>
      </c>
      <c r="R50" s="77">
        <f>VLOOKUP(B50,'Player Data'!$A1:$AE667,6,FALSE)</f>
        <v>19.0226303620571</v>
      </c>
      <c r="S50" s="79">
        <f>VLOOKUP(B50,'Player Data'!$A1:$AE667,7,FALSE)*$Q50*_xlfn.IFERROR((VLOOKUP(P50,'Settings'!$E$28:$F$33,2,FALSE)+1),1)</f>
        <v>39.964058370405</v>
      </c>
      <c r="T50" s="79">
        <f>VLOOKUP(B50,'Player Data'!$A1:$AE667,8,FALSE)*$Q50*_xlfn.IFERROR((VLOOKUP(P50,'Settings'!$E$28:$F$33,2,FALSE)+1),1)</f>
        <v>39.7187107366236</v>
      </c>
      <c r="U50" s="79">
        <f>SUM(S50:T50)</f>
        <v>79.68276910702861</v>
      </c>
      <c r="V50" s="79">
        <f>VLOOKUP(B50,'Player Data'!$A1:$AE667,10,FALSE)*$Q50*_xlfn.IFERROR(((VLOOKUP(P50,'Settings'!$E$28:$F$33,2,FALSE)/2)+1),1)</f>
        <v>291.376828633144</v>
      </c>
      <c r="W50" s="79">
        <f>VLOOKUP(B50,'Player Data'!$A1:$AE667,11,FALSE)*$Q50*_xlfn.IFERROR((VLOOKUP(P50,'Settings'!$E$28:$F$33,2,FALSE)+1),1)</f>
        <v>14.9070684843834</v>
      </c>
      <c r="X50" s="80">
        <f>VLOOKUP(B50,'Player Data'!$A1:$AE667,12,FALSE)*$Q50*_xlfn.IFERROR((VLOOKUP(P50,'Settings'!$E$28:$F$33,2,FALSE)+1),1)</f>
        <v>26.5838406036159</v>
      </c>
      <c r="Y50" s="79">
        <f>VLOOKUP(B50,'Player Data'!$A1:$AE667,13,FALSE)*$Q50</f>
        <v>0.576358063119696</v>
      </c>
      <c r="Z50" s="79">
        <f>VLOOKUP(B50,'Player Data'!$A1:$AE667,14,FALSE)*$Q50</f>
        <v>0.621821800220426</v>
      </c>
      <c r="AA50" s="79">
        <f>VLOOKUP(B50,'Player Data'!$A1:$AE667,15,FALSE)*$Q50</f>
        <v>31.8683394902061</v>
      </c>
      <c r="AB50" s="79">
        <f>VLOOKUP(B50,'Player Data'!$A1:$AE667,16,FALSE)*$Q50</f>
        <v>79.88167162994129</v>
      </c>
      <c r="AC50" s="79">
        <f>VLOOKUP(B50,'Player Data'!$A1:$AE667,17,FALSE)*$Q50*_xlfn.IFERROR((VLOOKUP(P50,'Settings'!$E$28:$F$33,2,FALSE)+1),1)</f>
        <v>0.945444198551993</v>
      </c>
      <c r="AD50" s="79">
        <f>VLOOKUP(B50,'Player Data'!$A1:$AE667,18,FALSE)*$Q50</f>
        <v>37.4057864952772</v>
      </c>
      <c r="AE50" s="79">
        <f>VLOOKUP(B50,'Player Data'!$A1:$AE667,19,FALSE)*$Q50*_xlfn.IFERROR((VLOOKUP(P50,'Settings'!$E$28:$F$33,2,FALSE)+1),1)</f>
        <v>5.65313329603291</v>
      </c>
      <c r="AF50" s="79">
        <f>VLOOKUP(B50,'Player Data'!$A1:$AE667,20,FALSE)*$Q50</f>
        <v>419.034959796988</v>
      </c>
      <c r="AG50" s="79">
        <f>VLOOKUP(B50,'Player Data'!$A1:$AE667,21,FALSE)*$Q50</f>
        <v>567.638330264674</v>
      </c>
      <c r="AH50" s="81">
        <f>VLOOKUP(B50,'Player Data'!$A1:$AE667,22,FALSE)</f>
        <v>0.424694743455354</v>
      </c>
      <c r="AI50" s="77"/>
      <c r="AJ50" s="79"/>
      <c r="AK50" s="79"/>
      <c r="AL50" s="79"/>
      <c r="AM50" s="79"/>
      <c r="AN50" s="79"/>
      <c r="AO50" s="79"/>
      <c r="AP50" s="79"/>
      <c r="AQ50" s="82"/>
      <c r="AR50" s="83"/>
      <c r="AS50" s="84"/>
    </row>
    <row r="51" ht="21.25" customHeight="1">
      <c r="A51" s="85">
        <f>RANK(K51,K$1:K$665)</f>
        <v>55</v>
      </c>
      <c r="B51" t="s" s="16">
        <v>215</v>
      </c>
      <c r="C51" t="s" s="69">
        <v>127</v>
      </c>
      <c r="D51" t="s" s="70">
        <f>VLOOKUP(B51,'Player Data'!A1:D667,4,FALSE)</f>
        <v>128</v>
      </c>
      <c r="E51" s="71">
        <f>VLOOKUP(B51,'C'!A1:C206,3,FALSE)</f>
        <v>17</v>
      </c>
      <c r="F51" t="s" s="78">
        <f>VLOOKUP(B51,'Player Data'!A1:B667,2,FALSE)</f>
        <v>216</v>
      </c>
      <c r="G51" s="11">
        <f>VLOOKUP(B51,'Player Data'!A1:D667,3,FALSE)</f>
        <v>27</v>
      </c>
      <c r="H51" s="73">
        <f>_xlfn.IFERROR(VLOOKUP(B51,'ADP'!A1:G665,7,FALSE)/1000000,VLOOKUP(B51,'ADP'!A1:G665,7,FALSE))</f>
        <v>10</v>
      </c>
      <c r="I51" s="74">
        <f>IF('Settings'!$E$15="POINTS",((R51*Q51)*'Settings'!$B$12)+(S51*'Settings'!$B$2)+(T51*'Settings'!$B$3)+(U51*'Settings'!$B$4)+(V51*'Settings'!$B$5)+(X51*'Settings'!$B$9)+(AA51*'Settings'!$B$6)+(W51*'Settings'!$B$8)+(AB51*'Settings'!$B$7)+(AC51*'Settings'!$B$14)+(AD51*'Settings'!$B$15)+(AE51*'Settings'!$B$16)+(AF51*'Settings'!$B$17)+(AG51*'Settings'!$B$18)+(Y51*'Settings'!$B$10)+(Z51*'Settings'!$B$11),VLOOKUP(B51,'Standard Deviations'!A1:C666,3,FALSE))</f>
        <v>347.906538398473</v>
      </c>
      <c r="J51" s="75">
        <f>IF(D51="G",I51/AJ51,I51/Q51)</f>
        <v>4.84583241727799</v>
      </c>
      <c r="K51" s="74">
        <f>IF('Settings'!$E$18="C/LW/RW",VLOOKUP(B51,'C'!A1:F206,6,FALSE),VLOOKUP(B51,'F'!A1:F392,6,FALSE))</f>
        <v>18.214644317295</v>
      </c>
      <c r="L51" s="76">
        <f>_xlfn.IFERROR(K51/H51,"N/A")</f>
        <v>1.8214644317295</v>
      </c>
      <c r="M51" s="77">
        <f>IF('Settings'!$E$9="YAHOO",VLOOKUP(B51,'ADP'!A1:E665,2,FALSE),IF('Settings'!$E$9="ESPN",VLOOKUP(B51,'ADP'!A1:E665,3,FALSE),IF('Settings'!$E$9="FANTRAX",VLOOKUP(B51,'ADP'!A1:E665,4,FALSE),VLOOKUP(B51,'ADP'!A1:E665,5,FALSE))))</f>
        <v>0</v>
      </c>
      <c r="N51" s="77">
        <f>_xlfn.IFERROR(M51-A51,"N/A")</f>
        <v>-55</v>
      </c>
      <c r="O51" s="77"/>
      <c r="P51" t="s" s="78">
        <f>IF('Settings'!$E$27="ON",VLOOKUP(B51,'ADP'!A1:H665,8,FALSE)," ")</f>
        <v>138</v>
      </c>
      <c r="Q51" s="79">
        <f>IF('Settings'!$E$12="YES",VLOOKUP(B51,'Player Data'!A1:E667,5,FALSE),82)</f>
        <v>71.795</v>
      </c>
      <c r="R51" s="77">
        <f>VLOOKUP(B51,'Player Data'!$A1:$AE667,6,FALSE)</f>
        <v>20.8385757436161</v>
      </c>
      <c r="S51" s="79">
        <f>VLOOKUP(B51,'Player Data'!$A1:$AE667,7,FALSE)*$Q51*_xlfn.IFERROR((VLOOKUP(P51,'Settings'!$E$28:$F$33,2,FALSE)+1),1)</f>
        <v>32.2016733488157</v>
      </c>
      <c r="T51" s="79">
        <f>VLOOKUP(B51,'Player Data'!$A1:$AE667,8,FALSE)*$Q51*_xlfn.IFERROR((VLOOKUP(P51,'Settings'!$E$28:$F$33,2,FALSE)+1),1)</f>
        <v>41.5533616342562</v>
      </c>
      <c r="U51" s="79">
        <f>SUM(S51:T51)</f>
        <v>73.75503498307189</v>
      </c>
      <c r="V51" s="79">
        <f>VLOOKUP(B51,'Player Data'!$A1:$AE667,10,FALSE)*$Q51*_xlfn.IFERROR(((VLOOKUP(P51,'Settings'!$E$28:$F$33,2,FALSE)/2)+1),1)</f>
        <v>295.377221718451</v>
      </c>
      <c r="W51" s="79">
        <f>VLOOKUP(B51,'Player Data'!$A1:$AE667,11,FALSE)*$Q51*_xlfn.IFERROR((VLOOKUP(P51,'Settings'!$E$28:$F$33,2,FALSE)+1),1)</f>
        <v>8.94398149024628</v>
      </c>
      <c r="X51" s="80">
        <f>VLOOKUP(B51,'Player Data'!$A1:$AE667,12,FALSE)*$Q51*_xlfn.IFERROR((VLOOKUP(P51,'Settings'!$E$28:$F$33,2,FALSE)+1),1)</f>
        <v>22.5143905885051</v>
      </c>
      <c r="Y51" s="79">
        <f>VLOOKUP(B51,'Player Data'!$A1:$AE667,13,FALSE)*$Q51</f>
        <v>0.223676693740389</v>
      </c>
      <c r="Z51" s="79">
        <f>VLOOKUP(B51,'Player Data'!$A1:$AE667,14,FALSE)*$Q51</f>
        <v>2.03750552710305</v>
      </c>
      <c r="AA51" s="79">
        <f>VLOOKUP(B51,'Player Data'!$A1:$AE667,15,FALSE)*$Q51</f>
        <v>67.5253115261375</v>
      </c>
      <c r="AB51" s="79">
        <f>VLOOKUP(B51,'Player Data'!$A1:$AE667,16,FALSE)*$Q51</f>
        <v>45.7394977014207</v>
      </c>
      <c r="AC51" s="79">
        <f>VLOOKUP(B51,'Player Data'!$A1:$AE667,17,FALSE)*$Q51*_xlfn.IFERROR((VLOOKUP(P51,'Settings'!$E$28:$F$33,2,FALSE)+1),1)</f>
        <v>3.5886939251042</v>
      </c>
      <c r="AD51" s="79">
        <f>VLOOKUP(B51,'Player Data'!$A1:$AE667,18,FALSE)*$Q51</f>
        <v>20.7113718769875</v>
      </c>
      <c r="AE51" s="79">
        <f>VLOOKUP(B51,'Player Data'!$A1:$AE667,19,FALSE)*$Q51*_xlfn.IFERROR((VLOOKUP(P51,'Settings'!$E$28:$F$33,2,FALSE)+1),1)</f>
        <v>4.89791602302387</v>
      </c>
      <c r="AF51" s="79">
        <f>VLOOKUP(B51,'Player Data'!$A1:$AE667,20,FALSE)*$Q51</f>
        <v>467.277032934315</v>
      </c>
      <c r="AG51" s="79">
        <f>VLOOKUP(B51,'Player Data'!$A1:$AE667,21,FALSE)*$Q51</f>
        <v>552.634551542635</v>
      </c>
      <c r="AH51" s="81">
        <f>VLOOKUP(B51,'Player Data'!$A1:$AE667,22,FALSE)</f>
        <v>0.458154451862563</v>
      </c>
      <c r="AI51" s="77"/>
      <c r="AJ51" s="79"/>
      <c r="AK51" s="79"/>
      <c r="AL51" s="79"/>
      <c r="AM51" s="79"/>
      <c r="AN51" s="79"/>
      <c r="AO51" s="79"/>
      <c r="AP51" s="79"/>
      <c r="AQ51" s="82"/>
      <c r="AR51" s="83"/>
      <c r="AS51" s="93"/>
    </row>
    <row r="52" ht="21.25" customHeight="1">
      <c r="A52" s="85">
        <f>RANK(K52,K$1:K$665)</f>
        <v>47</v>
      </c>
      <c r="B52" t="s" s="16">
        <v>217</v>
      </c>
      <c r="C52" t="s" s="69">
        <v>127</v>
      </c>
      <c r="D52" t="s" s="70">
        <f>VLOOKUP(B52,'Player Data'!A1:D667,4,FALSE)</f>
        <v>161</v>
      </c>
      <c r="E52" s="99">
        <f>VLOOKUP(B52,'G'!A1:D65,3,FALSE)</f>
        <v>13</v>
      </c>
      <c r="F52" t="s" s="88">
        <f>VLOOKUP(B52,'Player Data'!A1:B667,2,FALSE)</f>
        <v>218</v>
      </c>
      <c r="G52" s="11">
        <f>VLOOKUP(B52,'Player Data'!A1:D667,3,FALSE)</f>
        <v>31</v>
      </c>
      <c r="H52" s="73">
        <f>_xlfn.IFERROR(VLOOKUP(B52,'ADP'!A1:G665,7,FALSE)/1000000,VLOOKUP(B52,'ADP'!A1:G665,7,FALSE))</f>
        <v>6</v>
      </c>
      <c r="I52" s="74">
        <f>IF('Settings'!$E$15="POINTS",(AJ52*'Settings'!$B$29)+(AK52*'Settings'!$B$21)+(AL52*'Settings'!$B$22)+(AN52*'Settings'!$B$24)+(AO52*'Settings'!$B$25)+(AP52*'Settings'!$B$27)+(AM52*'Settings'!$B$23),VLOOKUP(B52,'Standard Deviations'!A1:C666,3,FALSE))</f>
        <v>296.683711885427</v>
      </c>
      <c r="J52" s="75">
        <f>IF(D52="G",I52/AJ52,I52/Q52)</f>
        <v>5.49414281269309</v>
      </c>
      <c r="K52" s="74">
        <f>VLOOKUP(B52,'G'!A1:F65,6,FALSE)</f>
        <v>29.092697320837</v>
      </c>
      <c r="L52" s="76">
        <f>_xlfn.IFERROR(K52/H52,"N/A")</f>
        <v>4.84878288680617</v>
      </c>
      <c r="M52" s="77">
        <f>IF('Settings'!$E$9="YAHOO",VLOOKUP(B52,'ADP'!A1:E665,2,FALSE),IF('Settings'!$E$9="ESPN",VLOOKUP(B52,'ADP'!A1:E665,3,FALSE),IF('Settings'!$E$9="FANTRAX",VLOOKUP(B52,'ADP'!A1:E665,4,FALSE),VLOOKUP(B52,'ADP'!A1:E665,5,FALSE))))</f>
        <v>0</v>
      </c>
      <c r="N52" s="77">
        <f>_xlfn.IFERROR(M52-A52,"N/A")</f>
        <v>-47</v>
      </c>
      <c r="O52" s="77"/>
      <c r="P52" t="s" s="78">
        <f>IF('Settings'!$E$27="ON",VLOOKUP(B52,'ADP'!A1:H665,8,FALSE)," ")</f>
        <v>138</v>
      </c>
      <c r="Q52" s="79"/>
      <c r="R52" s="77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81"/>
      <c r="AI52" s="77"/>
      <c r="AJ52" s="89">
        <f>VLOOKUP(B52,'Player Data'!$A1:$AE667,24,FALSE)</f>
        <v>54</v>
      </c>
      <c r="AK52" s="79">
        <f>VLOOKUP(B52,'Player Data'!$A1:$AE667,25,FALSE)*$AJ52*_xlfn.IFERROR((VLOOKUP(P52,'Settings'!$E$28:$F$33,2,FALSE)+1),1)</f>
        <v>24.7400078461535</v>
      </c>
      <c r="AL52" s="79">
        <f>AJ52-AK52-AM52</f>
        <v>22.5099921538465</v>
      </c>
      <c r="AM52" s="79">
        <f>VLOOKUP(B52,'Player Data'!$A1:$AE667,27,FALSE)*$AJ52</f>
        <v>6.75</v>
      </c>
      <c r="AN52" s="79">
        <f>VLOOKUP(B52,'Player Data'!$A1:$AE667,28,FALSE)*AJ52</f>
        <v>2.5060716470956</v>
      </c>
      <c r="AO52" s="79">
        <f>VLOOKUP(B52,'Player Data'!$A1:$AE667,29,FALSE)*$AJ52*_xlfn.IFERROR((VLOOKUP(P52,'Settings'!$E$28:$F$33,2,FALSE)/4)+1,1)</f>
        <v>1557.516275623860</v>
      </c>
      <c r="AP52" s="79">
        <f>VLOOKUP(B52,'Player Data'!$A1:$AE667,31,FALSE)*$AJ52*(_xlfn.IFERROR(1-(VLOOKUP(P52,'Settings'!$E$28:$F$33,2,FALSE)/4),1))</f>
        <v>160.629258756346</v>
      </c>
      <c r="AQ52" s="82">
        <f>1-(AP52/(AO52+AP52))</f>
        <v>0.90651009734499</v>
      </c>
      <c r="AR52" s="83">
        <f>AP52/AJ52</f>
        <v>2.9746159028953</v>
      </c>
      <c r="AS52" s="84"/>
    </row>
    <row r="53" ht="21.25" customHeight="1">
      <c r="A53" s="85">
        <f>RANK(K53,K$1:K$665)</f>
        <v>54</v>
      </c>
      <c r="B53" t="s" s="16">
        <v>219</v>
      </c>
      <c r="C53" t="s" s="69">
        <v>127</v>
      </c>
      <c r="D53" t="s" s="70">
        <f>VLOOKUP(B53,'Player Data'!A1:D667,4,FALSE)</f>
        <v>148</v>
      </c>
      <c r="E53" s="87">
        <f>VLOOKUP(B53,'RW'!A1:C136,3,FALSE)</f>
        <v>11</v>
      </c>
      <c r="F53" t="s" s="86">
        <f>VLOOKUP(B53,'Player Data'!A1:B667,2,FALSE)</f>
        <v>129</v>
      </c>
      <c r="G53" s="91">
        <f>VLOOKUP(B53,'Player Data'!A1:D667,3,FALSE)</f>
        <v>32</v>
      </c>
      <c r="H53" s="73">
        <f>_xlfn.IFERROR(VLOOKUP(B53,'ADP'!A1:G665,7,FALSE)/1000000,VLOOKUP(B53,'ADP'!A1:G665,7,FALSE))</f>
        <v>5.5</v>
      </c>
      <c r="I53" s="74">
        <f>IF('Settings'!$E$15="POINTS",((R53*Q53)*'Settings'!$B$12)+(S53*'Settings'!$B$2)+(T53*'Settings'!$B$3)+(U53*'Settings'!$B$4)+(V53*'Settings'!$B$5)+(X53*'Settings'!$B$9)+(AA53*'Settings'!$B$6)+(W53*'Settings'!$B$8)+(AB53*'Settings'!$B$7)+(AC53*'Settings'!$B$14)+(AD53*'Settings'!$B$15)+(AE53*'Settings'!$B$16)+(AF53*'Settings'!$B$17)+(AG53*'Settings'!$B$18)+(Y53*'Settings'!$B$10)+(Z53*'Settings'!$B$11),VLOOKUP(B53,'Standard Deviations'!A1:C666,3,FALSE))</f>
        <v>350.019136310129</v>
      </c>
      <c r="J53" s="75">
        <f>IF(D53="G",I53/AJ53,I53/Q53)</f>
        <v>4.33930433981254</v>
      </c>
      <c r="K53" s="74">
        <f>IF('Settings'!$E$18="C/LW/RW",VLOOKUP(B53,'RW'!A1:F136,6,FALSE),VLOOKUP(B53,'F'!A1:F392,6,FALSE))</f>
        <v>20.327242228951</v>
      </c>
      <c r="L53" s="76">
        <f>_xlfn.IFERROR(K53/H53,"N/A")</f>
        <v>3.69586222344564</v>
      </c>
      <c r="M53" s="77">
        <f>IF('Settings'!$E$9="YAHOO",VLOOKUP(B53,'ADP'!A1:E665,2,FALSE),IF('Settings'!$E$9="ESPN",VLOOKUP(B53,'ADP'!A1:E665,3,FALSE),IF('Settings'!$E$9="FANTRAX",VLOOKUP(B53,'ADP'!A1:E665,4,FALSE),VLOOKUP(B53,'ADP'!A1:E665,5,FALSE))))</f>
        <v>0</v>
      </c>
      <c r="N53" s="77">
        <f>_xlfn.IFERROR(M53-A53,"N/A")</f>
        <v>-54</v>
      </c>
      <c r="O53" s="77"/>
      <c r="P53" t="s" s="78">
        <f>IF('Settings'!$E$27="ON",VLOOKUP(B53,'ADP'!A1:H665,8,FALSE)," ")</f>
        <v>138</v>
      </c>
      <c r="Q53" s="79">
        <f>IF('Settings'!$E$12="YES",VLOOKUP(B53,'Player Data'!A1:E667,5,FALSE),82)</f>
        <v>80.66249999999999</v>
      </c>
      <c r="R53" s="77">
        <f>VLOOKUP(B53,'Player Data'!$A1:$AE667,6,FALSE)</f>
        <v>19.6612430252031</v>
      </c>
      <c r="S53" s="79">
        <f>VLOOKUP(B53,'Player Data'!$A1:$AE667,7,FALSE)*$Q53*_xlfn.IFERROR((VLOOKUP(P53,'Settings'!$E$28:$F$33,2,FALSE)+1),1)</f>
        <v>42.2892688193693</v>
      </c>
      <c r="T53" s="79">
        <f>VLOOKUP(B53,'Player Data'!$A1:$AE667,8,FALSE)*$Q53*_xlfn.IFERROR((VLOOKUP(P53,'Settings'!$E$28:$F$33,2,FALSE)+1),1)</f>
        <v>32.8428553844908</v>
      </c>
      <c r="U53" s="79">
        <f>SUM(S53:T53)</f>
        <v>75.1321242038601</v>
      </c>
      <c r="V53" s="79">
        <f>VLOOKUP(B53,'Player Data'!$A1:$AE667,10,FALSE)*$Q53*_xlfn.IFERROR(((VLOOKUP(P53,'Settings'!$E$28:$F$33,2,FALSE)/2)+1),1)</f>
        <v>280.849405928441</v>
      </c>
      <c r="W53" s="79">
        <f>VLOOKUP(B53,'Player Data'!$A1:$AE667,11,FALSE)*$Q53*_xlfn.IFERROR((VLOOKUP(P53,'Settings'!$E$28:$F$33,2,FALSE)+1),1)</f>
        <v>13.2080344426538</v>
      </c>
      <c r="X53" s="80">
        <f>VLOOKUP(B53,'Player Data'!$A1:$AE667,12,FALSE)*$Q53*_xlfn.IFERROR((VLOOKUP(P53,'Settings'!$E$28:$F$33,2,FALSE)+1),1)</f>
        <v>21.1147057090485</v>
      </c>
      <c r="Y53" s="79">
        <f>VLOOKUP(B53,'Player Data'!$A1:$AE667,13,FALSE)*$Q53</f>
        <v>0.0192301200979292</v>
      </c>
      <c r="Z53" s="79">
        <f>VLOOKUP(B53,'Player Data'!$A1:$AE667,14,FALSE)*$Q53</f>
        <v>0.0591047746709457</v>
      </c>
      <c r="AA53" s="79">
        <f>VLOOKUP(B53,'Player Data'!$A1:$AE667,15,FALSE)*$Q53</f>
        <v>32.1769922030124</v>
      </c>
      <c r="AB53" s="79">
        <f>VLOOKUP(B53,'Player Data'!$A1:$AE667,16,FALSE)*$Q53</f>
        <v>83.6146132519582</v>
      </c>
      <c r="AC53" s="79">
        <f>VLOOKUP(B53,'Player Data'!$A1:$AE667,17,FALSE)*$Q53*_xlfn.IFERROR((VLOOKUP(P53,'Settings'!$E$28:$F$33,2,FALSE)+1),1)</f>
        <v>12.0525319307329</v>
      </c>
      <c r="AD53" s="79">
        <f>VLOOKUP(B53,'Player Data'!$A1:$AE667,18,FALSE)*$Q53</f>
        <v>43.1314476943281</v>
      </c>
      <c r="AE53" s="79">
        <f>VLOOKUP(B53,'Player Data'!$A1:$AE667,19,FALSE)*$Q53*_xlfn.IFERROR((VLOOKUP(P53,'Settings'!$E$28:$F$33,2,FALSE)+1),1)</f>
        <v>6.82866634360209</v>
      </c>
      <c r="AF53" s="79">
        <f>VLOOKUP(B53,'Player Data'!$A1:$AE667,20,FALSE)*$Q53</f>
        <v>12.2280599531219</v>
      </c>
      <c r="AG53" s="79">
        <f>VLOOKUP(B53,'Player Data'!$A1:$AE667,21,FALSE)*$Q53</f>
        <v>13.7941383284682</v>
      </c>
      <c r="AH53" s="81">
        <f>VLOOKUP(B53,'Player Data'!$A1:$AE667,22,FALSE)</f>
        <v>0.469908799433479</v>
      </c>
      <c r="AI53" s="77"/>
      <c r="AJ53" s="79"/>
      <c r="AK53" s="79"/>
      <c r="AL53" s="79"/>
      <c r="AM53" s="79"/>
      <c r="AN53" s="79"/>
      <c r="AO53" s="79"/>
      <c r="AP53" s="79"/>
      <c r="AQ53" s="82"/>
      <c r="AR53" s="83"/>
      <c r="AS53" s="84"/>
    </row>
    <row r="54" ht="21.25" customHeight="1">
      <c r="A54" s="85">
        <f>RANK(K54,K$1:K$665)</f>
        <v>59</v>
      </c>
      <c r="B54" t="s" s="16">
        <v>220</v>
      </c>
      <c r="C54" t="s" s="69">
        <v>127</v>
      </c>
      <c r="D54" t="s" s="70">
        <f>VLOOKUP(B54,'Player Data'!A1:D667,4,FALSE)</f>
        <v>128</v>
      </c>
      <c r="E54" s="71">
        <f>VLOOKUP(B54,'C'!A1:C206,3,FALSE)</f>
        <v>19</v>
      </c>
      <c r="F54" t="s" s="88">
        <f>VLOOKUP(B54,'Player Data'!A1:B667,2,FALSE)</f>
        <v>141</v>
      </c>
      <c r="G54" s="11">
        <f>VLOOKUP(B54,'Player Data'!A1:D667,3,FALSE)</f>
        <v>28</v>
      </c>
      <c r="H54" s="73">
        <f>_xlfn.IFERROR(VLOOKUP(B54,'ADP'!A1:G665,7,FALSE)/1000000,VLOOKUP(B54,'ADP'!A1:G665,7,FALSE))</f>
        <v>9.5</v>
      </c>
      <c r="I54" s="74">
        <f>IF('Settings'!$E$15="POINTS",((R54*Q54)*'Settings'!$B$12)+(S54*'Settings'!$B$2)+(T54*'Settings'!$B$3)+(U54*'Settings'!$B$4)+(V54*'Settings'!$B$5)+(X54*'Settings'!$B$9)+(AA54*'Settings'!$B$6)+(W54*'Settings'!$B$8)+(AB54*'Settings'!$B$7)+(AC54*'Settings'!$B$14)+(AD54*'Settings'!$B$15)+(AE54*'Settings'!$B$16)+(AF54*'Settings'!$B$17)+(AG54*'Settings'!$B$18)+(Y54*'Settings'!$B$10)+(Z54*'Settings'!$B$11),VLOOKUP(B54,'Standard Deviations'!A1:C666,3,FALSE))</f>
        <v>344.513693891404</v>
      </c>
      <c r="J54" s="75">
        <f>IF(D54="G",I54/AJ54,I54/Q54)</f>
        <v>4.29287179703316</v>
      </c>
      <c r="K54" s="74">
        <f>IF('Settings'!$E$18="C/LW/RW",VLOOKUP(B54,'C'!A1:F206,6,FALSE),VLOOKUP(B54,'F'!A1:F392,6,FALSE))</f>
        <v>14.821799810226</v>
      </c>
      <c r="L54" s="76">
        <f>_xlfn.IFERROR(K54/H54,"N/A")</f>
        <v>1.560189453708</v>
      </c>
      <c r="M54" s="77">
        <f>IF('Settings'!$E$9="YAHOO",VLOOKUP(B54,'ADP'!A1:E665,2,FALSE),IF('Settings'!$E$9="ESPN",VLOOKUP(B54,'ADP'!A1:E665,3,FALSE),IF('Settings'!$E$9="FANTRAX",VLOOKUP(B54,'ADP'!A1:E665,4,FALSE),VLOOKUP(B54,'ADP'!A1:E665,5,FALSE))))</f>
        <v>0</v>
      </c>
      <c r="N54" s="77">
        <f>_xlfn.IFERROR(M54-A54,"N/A")</f>
        <v>-59</v>
      </c>
      <c r="O54" s="77"/>
      <c r="P54" t="s" s="78">
        <f>IF('Settings'!$E$27="ON",VLOOKUP(B54,'ADP'!A1:H665,8,FALSE)," ")</f>
        <v>138</v>
      </c>
      <c r="Q54" s="79">
        <f>IF('Settings'!$E$12="YES",VLOOKUP(B54,'Player Data'!A1:E667,5,FALSE),82)</f>
        <v>80.2525</v>
      </c>
      <c r="R54" s="77">
        <f>VLOOKUP(B54,'Player Data'!$A1:$AE667,6,FALSE)</f>
        <v>20.0614265325036</v>
      </c>
      <c r="S54" s="79">
        <f>VLOOKUP(B54,'Player Data'!$A1:$AE667,7,FALSE)*$Q54*_xlfn.IFERROR((VLOOKUP(P54,'Settings'!$E$28:$F$33,2,FALSE)+1),1)</f>
        <v>43.9337301171199</v>
      </c>
      <c r="T54" s="79">
        <f>VLOOKUP(B54,'Player Data'!$A1:$AE667,8,FALSE)*$Q54*_xlfn.IFERROR((VLOOKUP(P54,'Settings'!$E$28:$F$33,2,FALSE)+1),1)</f>
        <v>43.5004394377578</v>
      </c>
      <c r="U54" s="79">
        <f>SUM(S54:T54)</f>
        <v>87.4341695548777</v>
      </c>
      <c r="V54" s="79">
        <f>VLOOKUP(B54,'Player Data'!$A1:$AE667,10,FALSE)*$Q54*_xlfn.IFERROR(((VLOOKUP(P54,'Settings'!$E$28:$F$33,2,FALSE)/2)+1),1)</f>
        <v>229.737452416828</v>
      </c>
      <c r="W54" s="79">
        <f>VLOOKUP(B54,'Player Data'!$A1:$AE667,11,FALSE)*$Q54*_xlfn.IFERROR((VLOOKUP(P54,'Settings'!$E$28:$F$33,2,FALSE)+1),1)</f>
        <v>14.7883089819494</v>
      </c>
      <c r="X54" s="80">
        <f>VLOOKUP(B54,'Player Data'!$A1:$AE667,12,FALSE)*$Q54*_xlfn.IFERROR((VLOOKUP(P54,'Settings'!$E$28:$F$33,2,FALSE)+1),1)</f>
        <v>28.6952139274346</v>
      </c>
      <c r="Y54" s="79">
        <f>VLOOKUP(B54,'Player Data'!$A1:$AE667,13,FALSE)*$Q54</f>
        <v>0.0162922407016317</v>
      </c>
      <c r="Z54" s="79">
        <f>VLOOKUP(B54,'Player Data'!$A1:$AE667,14,FALSE)*$Q54</f>
        <v>0.0274758094328199</v>
      </c>
      <c r="AA54" s="79">
        <f>VLOOKUP(B54,'Player Data'!$A1:$AE667,15,FALSE)*$Q54</f>
        <v>41.2839754795626</v>
      </c>
      <c r="AB54" s="79">
        <f>VLOOKUP(B54,'Player Data'!$A1:$AE667,16,FALSE)*$Q54</f>
        <v>30.3299845709232</v>
      </c>
      <c r="AC54" s="79">
        <f>VLOOKUP(B54,'Player Data'!$A1:$AE667,17,FALSE)*$Q54*_xlfn.IFERROR((VLOOKUP(P54,'Settings'!$E$28:$F$33,2,FALSE)+1),1)</f>
        <v>2.80658509843356</v>
      </c>
      <c r="AD54" s="79">
        <f>VLOOKUP(B54,'Player Data'!$A1:$AE667,18,FALSE)*$Q54</f>
        <v>21.5797630783387</v>
      </c>
      <c r="AE54" s="79">
        <f>VLOOKUP(B54,'Player Data'!$A1:$AE667,19,FALSE)*$Q54*_xlfn.IFERROR((VLOOKUP(P54,'Settings'!$E$28:$F$33,2,FALSE)+1),1)</f>
        <v>6.92226977689018</v>
      </c>
      <c r="AF54" s="79">
        <f>VLOOKUP(B54,'Player Data'!$A1:$AE667,20,FALSE)*$Q54</f>
        <v>338.426231634523</v>
      </c>
      <c r="AG54" s="79">
        <f>VLOOKUP(B54,'Player Data'!$A1:$AE667,21,FALSE)*$Q54</f>
        <v>358.875754064168</v>
      </c>
      <c r="AH54" s="81">
        <f>VLOOKUP(B54,'Player Data'!$A1:$AE667,22,FALSE)</f>
        <v>0.485336681345347</v>
      </c>
      <c r="AI54" s="77"/>
      <c r="AJ54" s="79"/>
      <c r="AK54" s="79"/>
      <c r="AL54" s="79"/>
      <c r="AM54" s="79"/>
      <c r="AN54" s="79"/>
      <c r="AO54" s="79"/>
      <c r="AP54" s="79"/>
      <c r="AQ54" s="82"/>
      <c r="AR54" s="83"/>
      <c r="AS54" s="84"/>
    </row>
    <row r="55" ht="21.25" customHeight="1">
      <c r="A55" s="85">
        <f>RANK(K55,K$1:K$665)</f>
        <v>49</v>
      </c>
      <c r="B55" t="s" s="16">
        <v>221</v>
      </c>
      <c r="C55" t="s" s="69">
        <v>127</v>
      </c>
      <c r="D55" t="s" s="70">
        <f>VLOOKUP(B55,'Player Data'!A1:D667,4,FALSE)</f>
        <v>153</v>
      </c>
      <c r="E55" s="95">
        <f>VLOOKUP(B55,'D'!A1:C213,3,FALSE)</f>
        <v>9</v>
      </c>
      <c r="F55" t="s" s="88">
        <f>VLOOKUP(B55,'Player Data'!A1:B667,2,FALSE)</f>
        <v>141</v>
      </c>
      <c r="G55" s="91">
        <f>VLOOKUP(B55,'Player Data'!A1:D667,3,FALSE)</f>
        <v>33</v>
      </c>
      <c r="H55" s="73">
        <f>_xlfn.IFERROR(VLOOKUP(B55,'ADP'!A1:G665,7,FALSE)/1000000,VLOOKUP(B55,'ADP'!A1:G665,7,FALSE))</f>
        <v>7.975</v>
      </c>
      <c r="I55" s="74">
        <f>IF('Settings'!$E$15="POINTS",((R55*Q55)*'Settings'!$B$12)+(S55*'Settings'!$B$2)+(T55*'Settings'!$B$3)+(U55*'Settings'!$B$4)+(V55*'Settings'!$B$5)+(X55*'Settings'!$B$9)+(AA55*'Settings'!$B$6)+(W55*'Settings'!$B$8)+(AB55*'Settings'!$B$7)+(AC55*'Settings'!$B$14)+(AD55*'Settings'!$B$15)+(AE55*'Settings'!$B$16)+(AF55*'Settings'!$B$17)+(AG55*'Settings'!$B$18)+(U55*'Settings'!$B$13)+(Y55*'Settings'!$B$10)+(Z55*'Settings'!$B$11),VLOOKUP(B55,'Standard Deviations'!A1:C666,3,FALSE))</f>
        <v>355.907927990648</v>
      </c>
      <c r="J55" s="75">
        <f>IF(D55="G",I55/AJ55,I55/Q55)</f>
        <v>4.4214911235561</v>
      </c>
      <c r="K55" s="74">
        <f>VLOOKUP(B55,'D'!A1:F213,6,FALSE)</f>
        <v>24.367720070566</v>
      </c>
      <c r="L55" s="76">
        <f>_xlfn.IFERROR(K55/H55,"N/A")</f>
        <v>3.05551348847223</v>
      </c>
      <c r="M55" s="77">
        <f>IF('Settings'!$E$9="YAHOO",VLOOKUP(B55,'ADP'!A1:E665,2,FALSE),IF('Settings'!$E$9="ESPN",VLOOKUP(B55,'ADP'!A1:E665,3,FALSE),IF('Settings'!$E$9="FANTRAX",VLOOKUP(B55,'ADP'!A1:E665,4,FALSE),VLOOKUP(B55,'ADP'!A1:E665,5,FALSE))))</f>
        <v>0</v>
      </c>
      <c r="N55" s="77">
        <f>_xlfn.IFERROR(M55-A55,"N/A")</f>
        <v>-49</v>
      </c>
      <c r="O55" s="77"/>
      <c r="P55" t="s" s="78">
        <f>IF('Settings'!$E$27="ON",VLOOKUP(B55,'ADP'!A1:H665,8,FALSE)," ")</f>
        <v>138</v>
      </c>
      <c r="Q55" s="79">
        <f>IF('Settings'!$E$12="YES",VLOOKUP(B55,'Player Data'!A1:E667,5,FALSE),82)</f>
        <v>80.495</v>
      </c>
      <c r="R55" s="77">
        <f>VLOOKUP(B55,'Player Data'!$A1:$AE667,6,FALSE)</f>
        <v>24.4553251078458</v>
      </c>
      <c r="S55" s="79">
        <f>VLOOKUP(B55,'Player Data'!$A1:$AE667,7,FALSE)*$Q55*_xlfn.IFERROR((VLOOKUP(P55,'Settings'!$E$28:$F$33,2,FALSE)+1),1)</f>
        <v>13.0637940406905</v>
      </c>
      <c r="T55" s="79">
        <f>VLOOKUP(B55,'Player Data'!$A1:$AE667,8,FALSE)*$Q55*_xlfn.IFERROR((VLOOKUP(P55,'Settings'!$E$28:$F$33,2,FALSE)+1),1)</f>
        <v>58.2989824319963</v>
      </c>
      <c r="U55" s="79">
        <f>SUM(S55:T55)</f>
        <v>71.3627764726868</v>
      </c>
      <c r="V55" s="79">
        <f>VLOOKUP(B55,'Player Data'!$A1:$AE667,10,FALSE)*$Q55*_xlfn.IFERROR(((VLOOKUP(P55,'Settings'!$E$28:$F$33,2,FALSE)/2)+1),1)</f>
        <v>185.265680729728</v>
      </c>
      <c r="W55" s="79">
        <f>VLOOKUP(B55,'Player Data'!$A1:$AE667,11,FALSE)*$Q55*_xlfn.IFERROR((VLOOKUP(P55,'Settings'!$E$28:$F$33,2,FALSE)+1),1)</f>
        <v>4.07291344463693</v>
      </c>
      <c r="X55" s="80">
        <f>VLOOKUP(B55,'Player Data'!$A1:$AE667,12,FALSE)*$Q55*_xlfn.IFERROR((VLOOKUP(P55,'Settings'!$E$28:$F$33,2,FALSE)+1),1)</f>
        <v>30.7325650136504</v>
      </c>
      <c r="Y55" s="79">
        <f>VLOOKUP(B55,'Player Data'!$A1:$AE667,13,FALSE)*$Q55</f>
        <v>0.211258928290502</v>
      </c>
      <c r="Z55" s="79">
        <f>VLOOKUP(B55,'Player Data'!$A1:$AE667,14,FALSE)*$Q55</f>
        <v>0.492456152040214</v>
      </c>
      <c r="AA55" s="79">
        <f>VLOOKUP(B55,'Player Data'!$A1:$AE667,15,FALSE)*$Q55</f>
        <v>117.454763572522</v>
      </c>
      <c r="AB55" s="79">
        <f>VLOOKUP(B55,'Player Data'!$A1:$AE667,16,FALSE)*$Q55</f>
        <v>81.95805673856781</v>
      </c>
      <c r="AC55" s="79">
        <f>VLOOKUP(B55,'Player Data'!$A1:$AE667,17,FALSE)*$Q55*_xlfn.IFERROR((VLOOKUP(P55,'Settings'!$E$28:$F$33,2,FALSE)+1),1)</f>
        <v>2.51304562369509</v>
      </c>
      <c r="AD55" s="79">
        <f>VLOOKUP(B55,'Player Data'!$A1:$AE667,18,FALSE)*$Q55</f>
        <v>41.385697113098</v>
      </c>
      <c r="AE55" s="79">
        <f>VLOOKUP(B55,'Player Data'!$A1:$AE667,19,FALSE)*$Q55*_xlfn.IFERROR((VLOOKUP(P55,'Settings'!$E$28:$F$33,2,FALSE)+1),1)</f>
        <v>2.05835257826541</v>
      </c>
      <c r="AF55" s="79">
        <f>VLOOKUP(B55,'Player Data'!$A1:$AE667,20,FALSE)*$Q55</f>
        <v>0</v>
      </c>
      <c r="AG55" s="79">
        <f>VLOOKUP(B55,'Player Data'!$A1:$AE667,21,FALSE)*$Q55</f>
        <v>0</v>
      </c>
      <c r="AH55" s="81">
        <f>VLOOKUP(B55,'Player Data'!$A1:$AE667,22,FALSE)</f>
        <v>0</v>
      </c>
      <c r="AI55" s="77"/>
      <c r="AJ55" s="89"/>
      <c r="AK55" s="79"/>
      <c r="AL55" s="79"/>
      <c r="AM55" s="79"/>
      <c r="AN55" s="79"/>
      <c r="AO55" s="79"/>
      <c r="AP55" s="79"/>
      <c r="AQ55" s="82"/>
      <c r="AR55" s="83"/>
      <c r="AS55" s="84"/>
    </row>
    <row r="56" ht="21.25" customHeight="1">
      <c r="A56" s="85">
        <f>RANK(K56,K$1:K$665)</f>
        <v>50</v>
      </c>
      <c r="B56" t="s" s="16">
        <v>222</v>
      </c>
      <c r="C56" t="s" s="69">
        <v>127</v>
      </c>
      <c r="D56" t="s" s="70">
        <f>VLOOKUP(B56,'Player Data'!A1:D667,4,FALSE)</f>
        <v>153</v>
      </c>
      <c r="E56" s="95">
        <f>VLOOKUP(B56,'D'!A1:C213,3,FALSE)</f>
        <v>10</v>
      </c>
      <c r="F56" t="s" s="86">
        <f>VLOOKUP(B56,'Player Data'!A1:B667,2,FALSE)</f>
        <v>132</v>
      </c>
      <c r="G56" s="11">
        <f>VLOOKUP(B56,'Player Data'!A1:D667,3,FALSE)</f>
        <v>30</v>
      </c>
      <c r="H56" s="73">
        <f>_xlfn.IFERROR(VLOOKUP(B56,'ADP'!A1:G665,7,FALSE)/1000000,VLOOKUP(B56,'ADP'!A1:G665,7,FALSE))</f>
        <v>7.5</v>
      </c>
      <c r="I56" s="74">
        <f>IF('Settings'!$E$15="POINTS",((R56*Q56)*'Settings'!$B$12)+(S56*'Settings'!$B$2)+(T56*'Settings'!$B$3)+(U56*'Settings'!$B$4)+(V56*'Settings'!$B$5)+(X56*'Settings'!$B$9)+(AA56*'Settings'!$B$6)+(W56*'Settings'!$B$8)+(AB56*'Settings'!$B$7)+(AC56*'Settings'!$B$14)+(AD56*'Settings'!$B$15)+(AE56*'Settings'!$B$16)+(AF56*'Settings'!$B$17)+(AG56*'Settings'!$B$18)+(U56*'Settings'!$B$13)+(Y56*'Settings'!$B$10)+(Z56*'Settings'!$B$11),VLOOKUP(B56,'Standard Deviations'!A1:C666,3,FALSE))</f>
        <v>355.213601878613</v>
      </c>
      <c r="J56" s="75">
        <f>IF(D56="G",I56/AJ56,I56/Q56)</f>
        <v>4.55884238943258</v>
      </c>
      <c r="K56" s="74">
        <f>VLOOKUP(B56,'D'!A1:F213,6,FALSE)</f>
        <v>23.673393958531</v>
      </c>
      <c r="L56" s="76">
        <f>_xlfn.IFERROR(K56/H56,"N/A")</f>
        <v>3.15645252780413</v>
      </c>
      <c r="M56" s="77">
        <f>IF('Settings'!$E$9="YAHOO",VLOOKUP(B56,'ADP'!A1:E665,2,FALSE),IF('Settings'!$E$9="ESPN",VLOOKUP(B56,'ADP'!A1:E665,3,FALSE),IF('Settings'!$E$9="FANTRAX",VLOOKUP(B56,'ADP'!A1:E665,4,FALSE),VLOOKUP(B56,'ADP'!A1:E665,5,FALSE))))</f>
        <v>0</v>
      </c>
      <c r="N56" s="77">
        <f>_xlfn.IFERROR(M56-A56,"N/A")</f>
        <v>-50</v>
      </c>
      <c r="O56" s="77"/>
      <c r="P56" t="s" s="78">
        <f>IF('Settings'!$E$27="ON",VLOOKUP(B56,'ADP'!A1:H665,8,FALSE)," ")</f>
        <v>138</v>
      </c>
      <c r="Q56" s="79">
        <f>IF('Settings'!$E$12="YES",VLOOKUP(B56,'Player Data'!A1:E667,5,FALSE),82)</f>
        <v>77.9175</v>
      </c>
      <c r="R56" s="77">
        <f>VLOOKUP(B56,'Player Data'!$A1:$AE667,6,FALSE)</f>
        <v>24.4251828657397</v>
      </c>
      <c r="S56" s="79">
        <f>VLOOKUP(B56,'Player Data'!$A1:$AE667,7,FALSE)*$Q56*_xlfn.IFERROR((VLOOKUP(P56,'Settings'!$E$28:$F$33,2,FALSE)+1),1)</f>
        <v>8.043113360115051</v>
      </c>
      <c r="T56" s="79">
        <f>VLOOKUP(B56,'Player Data'!$A1:$AE667,8,FALSE)*$Q56*_xlfn.IFERROR((VLOOKUP(P56,'Settings'!$E$28:$F$33,2,FALSE)+1),1)</f>
        <v>54.9275213321507</v>
      </c>
      <c r="U56" s="79">
        <f>SUM(S56:T56)</f>
        <v>62.9706346922658</v>
      </c>
      <c r="V56" s="79">
        <f>VLOOKUP(B56,'Player Data'!$A1:$AE667,10,FALSE)*$Q56*_xlfn.IFERROR(((VLOOKUP(P56,'Settings'!$E$28:$F$33,2,FALSE)/2)+1),1)</f>
        <v>189.273883788326</v>
      </c>
      <c r="W56" s="79">
        <f>VLOOKUP(B56,'Player Data'!$A1:$AE667,11,FALSE)*$Q56*_xlfn.IFERROR((VLOOKUP(P56,'Settings'!$E$28:$F$33,2,FALSE)+1),1)</f>
        <v>1.66586503006845</v>
      </c>
      <c r="X56" s="80">
        <f>VLOOKUP(B56,'Player Data'!$A1:$AE667,12,FALSE)*$Q56*_xlfn.IFERROR((VLOOKUP(P56,'Settings'!$E$28:$F$33,2,FALSE)+1),1)</f>
        <v>23.7852600878702</v>
      </c>
      <c r="Y56" s="79">
        <f>VLOOKUP(B56,'Player Data'!$A1:$AE667,13,FALSE)*$Q56</f>
        <v>0.0128771822477633</v>
      </c>
      <c r="Z56" s="79">
        <f>VLOOKUP(B56,'Player Data'!$A1:$AE667,14,FALSE)*$Q56</f>
        <v>0.319553570128291</v>
      </c>
      <c r="AA56" s="79">
        <f>VLOOKUP(B56,'Player Data'!$A1:$AE667,15,FALSE)*$Q56</f>
        <v>135.876440278246</v>
      </c>
      <c r="AB56" s="79">
        <f>VLOOKUP(B56,'Player Data'!$A1:$AE667,16,FALSE)*$Q56</f>
        <v>102.180124629717</v>
      </c>
      <c r="AC56" s="79">
        <f>VLOOKUP(B56,'Player Data'!$A1:$AE667,17,FALSE)*$Q56*_xlfn.IFERROR((VLOOKUP(P56,'Settings'!$E$28:$F$33,2,FALSE)+1),1)</f>
        <v>5.38532090274243</v>
      </c>
      <c r="AD56" s="79">
        <f>VLOOKUP(B56,'Player Data'!$A1:$AE667,18,FALSE)*$Q56</f>
        <v>31.5791390626811</v>
      </c>
      <c r="AE56" s="79">
        <f>VLOOKUP(B56,'Player Data'!$A1:$AE667,19,FALSE)*$Q56*_xlfn.IFERROR((VLOOKUP(P56,'Settings'!$E$28:$F$33,2,FALSE)+1),1)</f>
        <v>1.28675395997442</v>
      </c>
      <c r="AF56" s="79">
        <f>VLOOKUP(B56,'Player Data'!$A1:$AE667,20,FALSE)*$Q56</f>
        <v>0</v>
      </c>
      <c r="AG56" s="79">
        <f>VLOOKUP(B56,'Player Data'!$A1:$AE667,21,FALSE)*$Q56</f>
        <v>0</v>
      </c>
      <c r="AH56" s="81">
        <f>VLOOKUP(B56,'Player Data'!$A1:$AE667,22,FALSE)</f>
        <v>0</v>
      </c>
      <c r="AI56" s="77"/>
      <c r="AJ56" s="89"/>
      <c r="AK56" s="79"/>
      <c r="AL56" s="79"/>
      <c r="AM56" s="79"/>
      <c r="AN56" s="79"/>
      <c r="AO56" s="79"/>
      <c r="AP56" s="79"/>
      <c r="AQ56" s="82"/>
      <c r="AR56" s="83"/>
      <c r="AS56" s="84"/>
    </row>
    <row r="57" ht="21.25" customHeight="1">
      <c r="A57" s="85">
        <f>RANK(K57,K$1:K$665)</f>
        <v>52</v>
      </c>
      <c r="B57" t="s" s="16">
        <v>223</v>
      </c>
      <c r="C57" t="s" s="69">
        <v>127</v>
      </c>
      <c r="D57" t="s" s="70">
        <f>VLOOKUP(B57,'Player Data'!A1:D667,4,FALSE)</f>
        <v>153</v>
      </c>
      <c r="E57" s="95">
        <f>VLOOKUP(B57,'D'!A1:C213,3,FALSE)</f>
        <v>11</v>
      </c>
      <c r="F57" t="s" s="92">
        <f>VLOOKUP(B57,'Player Data'!A1:B667,2,FALSE)</f>
        <v>170</v>
      </c>
      <c r="G57" s="11">
        <f>VLOOKUP(B57,'Player Data'!A1:D667,3,FALSE)</f>
        <v>26</v>
      </c>
      <c r="H57" s="73">
        <f>_xlfn.IFERROR(VLOOKUP(B57,'ADP'!A1:G665,7,FALSE)/1000000,VLOOKUP(B57,'ADP'!A1:G665,7,FALSE))</f>
        <v>9.5</v>
      </c>
      <c r="I57" s="74">
        <f>IF('Settings'!$E$15="POINTS",((R57*Q57)*'Settings'!$B$12)+(S57*'Settings'!$B$2)+(T57*'Settings'!$B$3)+(U57*'Settings'!$B$4)+(V57*'Settings'!$B$5)+(X57*'Settings'!$B$9)+(AA57*'Settings'!$B$6)+(W57*'Settings'!$B$8)+(AB57*'Settings'!$B$7)+(AC57*'Settings'!$B$14)+(AD57*'Settings'!$B$15)+(AE57*'Settings'!$B$16)+(AF57*'Settings'!$B$17)+(AG57*'Settings'!$B$18)+(U57*'Settings'!$B$13)+(Y57*'Settings'!$B$10)+(Z57*'Settings'!$B$11),VLOOKUP(B57,'Standard Deviations'!A1:C666,3,FALSE))</f>
        <v>354.839886398384</v>
      </c>
      <c r="J57" s="75">
        <f>IF(D57="G",I57/AJ57,I57/Q57)</f>
        <v>4.44355251892034</v>
      </c>
      <c r="K57" s="74">
        <f>VLOOKUP(B57,'D'!A1:F213,6,FALSE)</f>
        <v>23.299678478302</v>
      </c>
      <c r="L57" s="76">
        <f>_xlfn.IFERROR(K57/H57,"N/A")</f>
        <v>2.45259773455811</v>
      </c>
      <c r="M57" s="77">
        <f>IF('Settings'!$E$9="YAHOO",VLOOKUP(B57,'ADP'!A1:E665,2,FALSE),IF('Settings'!$E$9="ESPN",VLOOKUP(B57,'ADP'!A1:E665,3,FALSE),IF('Settings'!$E$9="FANTRAX",VLOOKUP(B57,'ADP'!A1:E665,4,FALSE),VLOOKUP(B57,'ADP'!A1:E665,5,FALSE))))</f>
        <v>0</v>
      </c>
      <c r="N57" s="77">
        <f>_xlfn.IFERROR(M57-A57,"N/A")</f>
        <v>-52</v>
      </c>
      <c r="O57" s="77"/>
      <c r="P57" t="s" s="78">
        <f>IF('Settings'!$E$27="ON",VLOOKUP(B57,'ADP'!A1:H665,8,FALSE)," ")</f>
        <v>138</v>
      </c>
      <c r="Q57" s="79">
        <f>IF('Settings'!$E$12="YES",VLOOKUP(B57,'Player Data'!A1:E667,5,FALSE),82)</f>
        <v>79.855</v>
      </c>
      <c r="R57" s="77">
        <f>VLOOKUP(B57,'Player Data'!$A1:$AE667,6,FALSE)</f>
        <v>23.6188648815481</v>
      </c>
      <c r="S57" s="79">
        <f>VLOOKUP(B57,'Player Data'!$A1:$AE667,7,FALSE)*$Q57*_xlfn.IFERROR((VLOOKUP(P57,'Settings'!$E$28:$F$33,2,FALSE)+1),1)</f>
        <v>13.9573557222533</v>
      </c>
      <c r="T57" s="79">
        <f>VLOOKUP(B57,'Player Data'!$A1:$AE667,8,FALSE)*$Q57*_xlfn.IFERROR((VLOOKUP(P57,'Settings'!$E$28:$F$33,2,FALSE)+1),1)</f>
        <v>60.4836614286843</v>
      </c>
      <c r="U57" s="79">
        <f>SUM(S57:T57)</f>
        <v>74.4410171509376</v>
      </c>
      <c r="V57" s="79">
        <f>VLOOKUP(B57,'Player Data'!$A1:$AE667,10,FALSE)*$Q57*_xlfn.IFERROR(((VLOOKUP(P57,'Settings'!$E$28:$F$33,2,FALSE)/2)+1),1)</f>
        <v>153.978562916905</v>
      </c>
      <c r="W57" s="79">
        <f>VLOOKUP(B57,'Player Data'!$A1:$AE667,11,FALSE)*$Q57*_xlfn.IFERROR((VLOOKUP(P57,'Settings'!$E$28:$F$33,2,FALSE)+1),1)</f>
        <v>3.43681009862051</v>
      </c>
      <c r="X57" s="80">
        <f>VLOOKUP(B57,'Player Data'!$A1:$AE667,12,FALSE)*$Q57*_xlfn.IFERROR((VLOOKUP(P57,'Settings'!$E$28:$F$33,2,FALSE)+1),1)</f>
        <v>32.8213492411656</v>
      </c>
      <c r="Y57" s="79">
        <f>VLOOKUP(B57,'Player Data'!$A1:$AE667,13,FALSE)*$Q57</f>
        <v>0.5621111311353389</v>
      </c>
      <c r="Z57" s="79">
        <f>VLOOKUP(B57,'Player Data'!$A1:$AE667,14,FALSE)*$Q57</f>
        <v>1.48108432114452</v>
      </c>
      <c r="AA57" s="79">
        <f>VLOOKUP(B57,'Player Data'!$A1:$AE667,15,FALSE)*$Q57</f>
        <v>132.349020968115</v>
      </c>
      <c r="AB57" s="79">
        <f>VLOOKUP(B57,'Player Data'!$A1:$AE667,16,FALSE)*$Q57</f>
        <v>54.6947281070378</v>
      </c>
      <c r="AC57" s="79">
        <f>VLOOKUP(B57,'Player Data'!$A1:$AE667,17,FALSE)*$Q57*_xlfn.IFERROR((VLOOKUP(P57,'Settings'!$E$28:$F$33,2,FALSE)+1),1)</f>
        <v>6.18282810624665</v>
      </c>
      <c r="AD57" s="79">
        <f>VLOOKUP(B57,'Player Data'!$A1:$AE667,18,FALSE)*$Q57</f>
        <v>36.5841750541214</v>
      </c>
      <c r="AE57" s="79">
        <f>VLOOKUP(B57,'Player Data'!$A1:$AE667,19,FALSE)*$Q57*_xlfn.IFERROR((VLOOKUP(P57,'Settings'!$E$28:$F$33,2,FALSE)+1),1)</f>
        <v>2.2814456925386</v>
      </c>
      <c r="AF57" s="79">
        <f>VLOOKUP(B57,'Player Data'!$A1:$AE667,20,FALSE)*$Q57</f>
        <v>0</v>
      </c>
      <c r="AG57" s="79">
        <f>VLOOKUP(B57,'Player Data'!$A1:$AE667,21,FALSE)*$Q57</f>
        <v>0</v>
      </c>
      <c r="AH57" s="81">
        <f>VLOOKUP(B57,'Player Data'!$A1:$AE667,22,FALSE)</f>
        <v>0</v>
      </c>
      <c r="AI57" s="77"/>
      <c r="AJ57" s="89"/>
      <c r="AK57" s="79"/>
      <c r="AL57" s="79"/>
      <c r="AM57" s="79"/>
      <c r="AN57" s="79"/>
      <c r="AO57" s="79"/>
      <c r="AP57" s="79"/>
      <c r="AQ57" s="82"/>
      <c r="AR57" s="83"/>
      <c r="AS57" s="84"/>
    </row>
    <row r="58" ht="21.25" customHeight="1">
      <c r="A58" s="85">
        <f>RANK(K58,K$1:K$665)</f>
        <v>56</v>
      </c>
      <c r="B58" t="s" s="16">
        <v>224</v>
      </c>
      <c r="C58" t="s" s="69">
        <v>127</v>
      </c>
      <c r="D58" t="s" s="70">
        <f>VLOOKUP(B58,'Player Data'!A1:D667,4,FALSE)</f>
        <v>145</v>
      </c>
      <c r="E58" s="87">
        <f>VLOOKUP(B58,'RW'!A1:C136,3,FALSE)</f>
        <v>12</v>
      </c>
      <c r="F58" t="s" s="103">
        <f>VLOOKUP(B58,'Player Data'!A1:B667,2,FALSE)</f>
        <v>225</v>
      </c>
      <c r="G58" s="11">
        <f>VLOOKUP(B58,'Player Data'!A1:D667,3,FALSE)</f>
        <v>27</v>
      </c>
      <c r="H58" s="73">
        <f>_xlfn.IFERROR(VLOOKUP(B58,'ADP'!A1:G665,7,FALSE)/1000000,VLOOKUP(B58,'ADP'!A1:G665,7,FALSE))</f>
        <v>5.5</v>
      </c>
      <c r="I58" s="74">
        <f>IF('Settings'!$E$15="POINTS",((R58*Q58)*'Settings'!$B$12)+(S58*'Settings'!$B$2)+(T58*'Settings'!$B$3)+(U58*'Settings'!$B$4)+(V58*'Settings'!$B$5)+(X58*'Settings'!$B$9)+(AA58*'Settings'!$B$6)+(W58*'Settings'!$B$8)+(AB58*'Settings'!$B$7)+(AC58*'Settings'!$B$14)+(AD58*'Settings'!$B$15)+(AE58*'Settings'!$B$16)+(AF58*'Settings'!$B$17)+(AG58*'Settings'!$B$18)+(Y58*'Settings'!$B$10)+(Z58*'Settings'!$B$11),VLOOKUP(B58,'Standard Deviations'!A1:C666,3,FALSE))</f>
        <v>347.542979555274</v>
      </c>
      <c r="J58" s="75">
        <f>IF(D58="G",I58/AJ58,I58/Q58)</f>
        <v>4.30433761098893</v>
      </c>
      <c r="K58" s="74">
        <f>IF('Settings'!$E$18="C/LW/RW",VLOOKUP(B58,'RW'!A1:F136,6,FALSE),VLOOKUP(B58,'F'!A1:F392,6,FALSE))</f>
        <v>17.851085474096</v>
      </c>
      <c r="L58" s="76">
        <f>_xlfn.IFERROR(K58/H58,"N/A")</f>
        <v>3.24565190438109</v>
      </c>
      <c r="M58" s="77">
        <f>IF('Settings'!$E$9="YAHOO",VLOOKUP(B58,'ADP'!A1:E665,2,FALSE),IF('Settings'!$E$9="ESPN",VLOOKUP(B58,'ADP'!A1:E665,3,FALSE),IF('Settings'!$E$9="FANTRAX",VLOOKUP(B58,'ADP'!A1:E665,4,FALSE),VLOOKUP(B58,'ADP'!A1:E665,5,FALSE))))</f>
        <v>0</v>
      </c>
      <c r="N58" s="77">
        <f>_xlfn.IFERROR(M58-A58,"N/A")</f>
        <v>-56</v>
      </c>
      <c r="O58" s="77"/>
      <c r="P58" t="s" s="78">
        <f>IF('Settings'!$E$27="ON",VLOOKUP(B58,'ADP'!A1:H665,8,FALSE)," ")</f>
        <v>138</v>
      </c>
      <c r="Q58" s="79">
        <f>IF('Settings'!$E$12="YES",VLOOKUP(B58,'Player Data'!A1:E667,5,FALSE),82)</f>
        <v>80.74250000000001</v>
      </c>
      <c r="R58" s="77">
        <f>VLOOKUP(B58,'Player Data'!$A1:$AE667,6,FALSE)</f>
        <v>18.8713013342113</v>
      </c>
      <c r="S58" s="79">
        <f>VLOOKUP(B58,'Player Data'!$A1:$AE667,7,FALSE)*$Q58*_xlfn.IFERROR((VLOOKUP(P58,'Settings'!$E$28:$F$33,2,FALSE)+1),1)</f>
        <v>32.6259921108426</v>
      </c>
      <c r="T58" s="79">
        <f>VLOOKUP(B58,'Player Data'!$A1:$AE667,8,FALSE)*$Q58*_xlfn.IFERROR((VLOOKUP(P58,'Settings'!$E$28:$F$33,2,FALSE)+1),1)</f>
        <v>36.063752983164</v>
      </c>
      <c r="U58" s="79">
        <f>SUM(S58:T58)</f>
        <v>68.6897450940066</v>
      </c>
      <c r="V58" s="79">
        <f>VLOOKUP(B58,'Player Data'!$A1:$AE667,10,FALSE)*$Q58*_xlfn.IFERROR(((VLOOKUP(P58,'Settings'!$E$28:$F$33,2,FALSE)/2)+1),1)</f>
        <v>249.657426574388</v>
      </c>
      <c r="W58" s="79">
        <f>VLOOKUP(B58,'Player Data'!$A1:$AE667,11,FALSE)*$Q58*_xlfn.IFERROR((VLOOKUP(P58,'Settings'!$E$28:$F$33,2,FALSE)+1),1)</f>
        <v>7.11775997591804</v>
      </c>
      <c r="X58" s="80">
        <f>VLOOKUP(B58,'Player Data'!$A1:$AE667,12,FALSE)*$Q58*_xlfn.IFERROR((VLOOKUP(P58,'Settings'!$E$28:$F$33,2,FALSE)+1),1)</f>
        <v>21.7732794373217</v>
      </c>
      <c r="Y58" s="79">
        <f>VLOOKUP(B58,'Player Data'!$A1:$AE667,13,FALSE)*$Q58</f>
        <v>3.08288531103528</v>
      </c>
      <c r="Z58" s="79">
        <f>VLOOKUP(B58,'Player Data'!$A1:$AE667,14,FALSE)*$Q58</f>
        <v>3.74047761142843</v>
      </c>
      <c r="AA58" s="79">
        <f>VLOOKUP(B58,'Player Data'!$A1:$AE667,15,FALSE)*$Q58</f>
        <v>34.7075191586915</v>
      </c>
      <c r="AB58" s="79">
        <f>VLOOKUP(B58,'Player Data'!$A1:$AE667,16,FALSE)*$Q58</f>
        <v>110.920758631482</v>
      </c>
      <c r="AC58" s="79">
        <f>VLOOKUP(B58,'Player Data'!$A1:$AE667,17,FALSE)*$Q58*_xlfn.IFERROR((VLOOKUP(P58,'Settings'!$E$28:$F$33,2,FALSE)+1),1)</f>
        <v>2.41870908870749</v>
      </c>
      <c r="AD58" s="79">
        <f>VLOOKUP(B58,'Player Data'!$A1:$AE667,18,FALSE)*$Q58</f>
        <v>51.9515119062116</v>
      </c>
      <c r="AE58" s="79">
        <f>VLOOKUP(B58,'Player Data'!$A1:$AE667,19,FALSE)*$Q58*_xlfn.IFERROR((VLOOKUP(P58,'Settings'!$E$28:$F$33,2,FALSE)+1),1)</f>
        <v>5.8143325512084</v>
      </c>
      <c r="AF58" s="79">
        <f>VLOOKUP(B58,'Player Data'!$A1:$AE667,20,FALSE)*$Q58</f>
        <v>8.05589098187996</v>
      </c>
      <c r="AG58" s="79">
        <f>VLOOKUP(B58,'Player Data'!$A1:$AE667,21,FALSE)*$Q58</f>
        <v>16.7857807333986</v>
      </c>
      <c r="AH58" s="81">
        <f>VLOOKUP(B58,'Player Data'!$A1:$AE667,22,FALSE)</f>
        <v>0.324289406695817</v>
      </c>
      <c r="AI58" s="77"/>
      <c r="AJ58" s="89"/>
      <c r="AK58" s="79"/>
      <c r="AL58" s="79"/>
      <c r="AM58" s="79"/>
      <c r="AN58" s="79"/>
      <c r="AO58" s="79"/>
      <c r="AP58" s="79"/>
      <c r="AQ58" s="82"/>
      <c r="AR58" s="83"/>
      <c r="AS58" s="84"/>
    </row>
    <row r="59" ht="21.25" customHeight="1">
      <c r="A59" s="85">
        <f>RANK(K59,K$1:K$665)</f>
        <v>60</v>
      </c>
      <c r="B59" t="s" s="16">
        <v>226</v>
      </c>
      <c r="C59" t="s" s="69">
        <v>127</v>
      </c>
      <c r="D59" t="s" s="70">
        <f>VLOOKUP(B59,'Player Data'!A1:D667,4,FALSE)</f>
        <v>128</v>
      </c>
      <c r="E59" s="71">
        <f>VLOOKUP(B59,'C'!A1:C206,3,FALSE)</f>
        <v>20</v>
      </c>
      <c r="F59" t="s" s="103">
        <f>VLOOKUP(B59,'Player Data'!A1:B667,2,FALSE)</f>
        <v>227</v>
      </c>
      <c r="G59" s="11">
        <f>VLOOKUP(B59,'Player Data'!A1:D667,3,FALSE)</f>
        <v>27</v>
      </c>
      <c r="H59" s="73">
        <f>_xlfn.IFERROR(VLOOKUP(B59,'ADP'!A1:G665,7,FALSE)/1000000,VLOOKUP(B59,'ADP'!A1:G665,7,FALSE))</f>
        <v>9.75</v>
      </c>
      <c r="I59" s="74">
        <f>IF('Settings'!$E$15="POINTS",((R59*Q59)*'Settings'!$B$12)+(S59*'Settings'!$B$2)+(T59*'Settings'!$B$3)+(U59*'Settings'!$B$4)+(V59*'Settings'!$B$5)+(X59*'Settings'!$B$9)+(AA59*'Settings'!$B$6)+(W59*'Settings'!$B$8)+(AB59*'Settings'!$B$7)+(AC59*'Settings'!$B$14)+(AD59*'Settings'!$B$15)+(AE59*'Settings'!$B$16)+(AF59*'Settings'!$B$17)+(AG59*'Settings'!$B$18)+(Y59*'Settings'!$B$10)+(Z59*'Settings'!$B$11),VLOOKUP(B59,'Standard Deviations'!A1:C666,3,FALSE))</f>
        <v>342.283887951689</v>
      </c>
      <c r="J59" s="75">
        <f>IF(D59="G",I59/AJ59,I59/Q59)</f>
        <v>4.27547560130767</v>
      </c>
      <c r="K59" s="74">
        <f>IF('Settings'!$E$18="C/LW/RW",VLOOKUP(B59,'C'!A1:F206,6,FALSE),VLOOKUP(B59,'F'!A1:F392,6,FALSE))</f>
        <v>12.591993870511</v>
      </c>
      <c r="L59" s="76">
        <f>_xlfn.IFERROR(K59/H59,"N/A")</f>
        <v>1.29148655082164</v>
      </c>
      <c r="M59" s="77">
        <f>IF('Settings'!$E$9="YAHOO",VLOOKUP(B59,'ADP'!A1:E665,2,FALSE),IF('Settings'!$E$9="ESPN",VLOOKUP(B59,'ADP'!A1:E665,3,FALSE),IF('Settings'!$E$9="FANTRAX",VLOOKUP(B59,'ADP'!A1:E665,4,FALSE),VLOOKUP(B59,'ADP'!A1:E665,5,FALSE))))</f>
        <v>0</v>
      </c>
      <c r="N59" s="77">
        <f>_xlfn.IFERROR(M59-A59,"N/A")</f>
        <v>-60</v>
      </c>
      <c r="O59" s="77"/>
      <c r="P59" t="s" s="78">
        <f>IF('Settings'!$E$27="ON",VLOOKUP(B59,'ADP'!A1:H665,8,FALSE)," ")</f>
        <v>138</v>
      </c>
      <c r="Q59" s="79">
        <f>IF('Settings'!$E$12="YES",VLOOKUP(B59,'Player Data'!A1:E667,5,FALSE),82)</f>
        <v>80.0575</v>
      </c>
      <c r="R59" s="77">
        <f>VLOOKUP(B59,'Player Data'!$A1:$AE667,6,FALSE)</f>
        <v>19.766526020527</v>
      </c>
      <c r="S59" s="79">
        <f>VLOOKUP(B59,'Player Data'!$A1:$AE667,7,FALSE)*$Q59*_xlfn.IFERROR((VLOOKUP(P59,'Settings'!$E$28:$F$33,2,FALSE)+1),1)</f>
        <v>36.8931137312351</v>
      </c>
      <c r="T59" s="79">
        <f>VLOOKUP(B59,'Player Data'!$A1:$AE667,8,FALSE)*$Q59*_xlfn.IFERROR((VLOOKUP(P59,'Settings'!$E$28:$F$33,2,FALSE)+1),1)</f>
        <v>46.7257757203052</v>
      </c>
      <c r="U59" s="79">
        <f>SUM(S59:T59)</f>
        <v>83.6188894515403</v>
      </c>
      <c r="V59" s="79">
        <f>VLOOKUP(B59,'Player Data'!$A1:$AE667,10,FALSE)*$Q59*_xlfn.IFERROR(((VLOOKUP(P59,'Settings'!$E$28:$F$33,2,FALSE)/2)+1),1)</f>
        <v>228.028576613122</v>
      </c>
      <c r="W59" s="79">
        <f>VLOOKUP(B59,'Player Data'!$A1:$AE667,11,FALSE)*$Q59*_xlfn.IFERROR((VLOOKUP(P59,'Settings'!$E$28:$F$33,2,FALSE)+1),1)</f>
        <v>10.0260071045653</v>
      </c>
      <c r="X59" s="80">
        <f>VLOOKUP(B59,'Player Data'!$A1:$AE667,12,FALSE)*$Q59*_xlfn.IFERROR((VLOOKUP(P59,'Settings'!$E$28:$F$33,2,FALSE)+1),1)</f>
        <v>25.6230319344378</v>
      </c>
      <c r="Y59" s="79">
        <f>VLOOKUP(B59,'Player Data'!$A1:$AE667,13,FALSE)*$Q59</f>
        <v>1.51699254627626</v>
      </c>
      <c r="Z59" s="79">
        <f>VLOOKUP(B59,'Player Data'!$A1:$AE667,14,FALSE)*$Q59</f>
        <v>2.66938319145849</v>
      </c>
      <c r="AA59" s="79">
        <f>VLOOKUP(B59,'Player Data'!$A1:$AE667,15,FALSE)*$Q59</f>
        <v>22.876667151289</v>
      </c>
      <c r="AB59" s="79">
        <f>VLOOKUP(B59,'Player Data'!$A1:$AE667,16,FALSE)*$Q59</f>
        <v>56.0232469243446</v>
      </c>
      <c r="AC59" s="79">
        <f>VLOOKUP(B59,'Player Data'!$A1:$AE667,17,FALSE)*$Q59*_xlfn.IFERROR((VLOOKUP(P59,'Settings'!$E$28:$F$33,2,FALSE)+1),1)</f>
        <v>7.69135441994213</v>
      </c>
      <c r="AD59" s="79">
        <f>VLOOKUP(B59,'Player Data'!$A1:$AE667,18,FALSE)*$Q59</f>
        <v>40.784651798622</v>
      </c>
      <c r="AE59" s="79">
        <f>VLOOKUP(B59,'Player Data'!$A1:$AE667,19,FALSE)*$Q59*_xlfn.IFERROR((VLOOKUP(P59,'Settings'!$E$28:$F$33,2,FALSE)+1),1)</f>
        <v>6.3930448383443</v>
      </c>
      <c r="AF59" s="79">
        <f>VLOOKUP(B59,'Player Data'!$A1:$AE667,20,FALSE)*$Q59</f>
        <v>580.456598986588</v>
      </c>
      <c r="AG59" s="79">
        <f>VLOOKUP(B59,'Player Data'!$A1:$AE667,21,FALSE)*$Q59</f>
        <v>518.315231746360</v>
      </c>
      <c r="AH59" s="81">
        <f>VLOOKUP(B59,'Player Data'!$A1:$AE667,22,FALSE)</f>
        <v>0.528277648508142</v>
      </c>
      <c r="AI59" s="77"/>
      <c r="AJ59" s="79"/>
      <c r="AK59" s="79"/>
      <c r="AL59" s="79"/>
      <c r="AM59" s="79"/>
      <c r="AN59" s="79"/>
      <c r="AO59" s="79"/>
      <c r="AP59" s="79"/>
      <c r="AQ59" s="82"/>
      <c r="AR59" s="83"/>
      <c r="AS59" s="84"/>
    </row>
    <row r="60" ht="21.25" customHeight="1">
      <c r="A60" s="85">
        <f>RANK(K60,K$1:K$665)</f>
        <v>57</v>
      </c>
      <c r="B60" t="s" s="16">
        <v>228</v>
      </c>
      <c r="C60" t="s" s="69">
        <v>127</v>
      </c>
      <c r="D60" t="s" s="70">
        <f>VLOOKUP(B60,'Player Data'!A1:D667,4,FALSE)</f>
        <v>148</v>
      </c>
      <c r="E60" s="87">
        <f>VLOOKUP(B60,'RW'!A1:C136,3,FALSE)</f>
        <v>13</v>
      </c>
      <c r="F60" t="s" s="103">
        <f>VLOOKUP(B60,'Player Data'!A1:B667,2,FALSE)</f>
        <v>227</v>
      </c>
      <c r="G60" s="11">
        <f>VLOOKUP(B60,'Player Data'!A1:D667,3,FALSE)</f>
        <v>24</v>
      </c>
      <c r="H60" s="73">
        <f>_xlfn.IFERROR(VLOOKUP(B60,'ADP'!A1:G665,7,FALSE)/1000000,VLOOKUP(B60,'ADP'!A1:G665,7,FALSE))</f>
        <v>7.75</v>
      </c>
      <c r="I60" s="74">
        <f>IF('Settings'!$E$15="POINTS",((R60*Q60)*'Settings'!$B$12)+(S60*'Settings'!$B$2)+(T60*'Settings'!$B$3)+(U60*'Settings'!$B$4)+(V60*'Settings'!$B$5)+(X60*'Settings'!$B$9)+(AA60*'Settings'!$B$6)+(W60*'Settings'!$B$8)+(AB60*'Settings'!$B$7)+(AC60*'Settings'!$B$14)+(AD60*'Settings'!$B$15)+(AE60*'Settings'!$B$16)+(AF60*'Settings'!$B$17)+(AG60*'Settings'!$B$18)+(Y60*'Settings'!$B$10)+(Z60*'Settings'!$B$11),VLOOKUP(B60,'Standard Deviations'!A1:C666,3,FALSE))</f>
        <v>347.360344458535</v>
      </c>
      <c r="J60" s="75">
        <f>IF(D60="G",I60/AJ60,I60/Q60)</f>
        <v>4.62699849423604</v>
      </c>
      <c r="K60" s="74">
        <f>IF('Settings'!$E$18="C/LW/RW",VLOOKUP(B60,'RW'!A1:F136,6,FALSE),VLOOKUP(B60,'F'!A1:F392,6,FALSE))</f>
        <v>17.668450377357</v>
      </c>
      <c r="L60" s="76">
        <f>_xlfn.IFERROR(K60/H60,"N/A")</f>
        <v>2.27980004869123</v>
      </c>
      <c r="M60" s="77">
        <f>IF('Settings'!$E$9="YAHOO",VLOOKUP(B60,'ADP'!A1:E665,2,FALSE),IF('Settings'!$E$9="ESPN",VLOOKUP(B60,'ADP'!A1:E665,3,FALSE),IF('Settings'!$E$9="FANTRAX",VLOOKUP(B60,'ADP'!A1:E665,4,FALSE),VLOOKUP(B60,'ADP'!A1:E665,5,FALSE))))</f>
        <v>0</v>
      </c>
      <c r="N60" s="77">
        <f>_xlfn.IFERROR(M60-A60,"N/A")</f>
        <v>-57</v>
      </c>
      <c r="O60" s="77"/>
      <c r="P60" t="s" s="78">
        <f>IF('Settings'!$E$27="ON",VLOOKUP(B60,'ADP'!A1:H665,8,FALSE)," ")</f>
        <v>138</v>
      </c>
      <c r="Q60" s="79">
        <f>IF('Settings'!$E$12="YES",VLOOKUP(B60,'Player Data'!A1:E667,5,FALSE),82)</f>
        <v>75.07250000000001</v>
      </c>
      <c r="R60" s="98">
        <f>VLOOKUP(B60,'Player Data'!$A1:$AE667,6,FALSE)</f>
        <v>17.9672135483388</v>
      </c>
      <c r="S60" s="79">
        <f>VLOOKUP(B60,'Player Data'!$A1:$AE667,7,FALSE)*$Q60*_xlfn.IFERROR((VLOOKUP(P60,'Settings'!$E$28:$F$33,2,FALSE)+1),1)</f>
        <v>27.5006760807716</v>
      </c>
      <c r="T60" s="79">
        <f>VLOOKUP(B60,'Player Data'!$A1:$AE667,8,FALSE)*$Q60*_xlfn.IFERROR((VLOOKUP(P60,'Settings'!$E$28:$F$33,2,FALSE)+1),1)</f>
        <v>41.8251415880577</v>
      </c>
      <c r="U60" s="79">
        <f>SUM(S60:T60)</f>
        <v>69.3258176688293</v>
      </c>
      <c r="V60" s="79">
        <f>VLOOKUP(B60,'Player Data'!$A1:$AE667,10,FALSE)*$Q60*_xlfn.IFERROR(((VLOOKUP(P60,'Settings'!$E$28:$F$33,2,FALSE)/2)+1),1)</f>
        <v>215.086399860347</v>
      </c>
      <c r="W60" s="79">
        <f>VLOOKUP(B60,'Player Data'!$A1:$AE667,11,FALSE)*$Q60*_xlfn.IFERROR((VLOOKUP(P60,'Settings'!$E$28:$F$33,2,FALSE)+1),1)</f>
        <v>6.56088560596326</v>
      </c>
      <c r="X60" s="80">
        <f>VLOOKUP(B60,'Player Data'!$A1:$AE667,12,FALSE)*$Q60*_xlfn.IFERROR((VLOOKUP(P60,'Settings'!$E$28:$F$33,2,FALSE)+1),1)</f>
        <v>21.5937599899584</v>
      </c>
      <c r="Y60" s="79">
        <f>VLOOKUP(B60,'Player Data'!$A1:$AE667,13,FALSE)*$Q60</f>
        <v>0.010681363954625</v>
      </c>
      <c r="Z60" s="79">
        <f>VLOOKUP(B60,'Player Data'!$A1:$AE667,14,FALSE)*$Q60</f>
        <v>0.0179606548336426</v>
      </c>
      <c r="AA60" s="79">
        <f>VLOOKUP(B60,'Player Data'!$A1:$AE667,15,FALSE)*$Q60</f>
        <v>26.7608288102325</v>
      </c>
      <c r="AB60" s="79">
        <f>VLOOKUP(B60,'Player Data'!$A1:$AE667,16,FALSE)*$Q60</f>
        <v>161.849716737728</v>
      </c>
      <c r="AC60" s="79">
        <f>VLOOKUP(B60,'Player Data'!$A1:$AE667,17,FALSE)*$Q60*_xlfn.IFERROR((VLOOKUP(P60,'Settings'!$E$28:$F$33,2,FALSE)+1),1)</f>
        <v>6.61230497353003</v>
      </c>
      <c r="AD60" s="79">
        <f>VLOOKUP(B60,'Player Data'!$A1:$AE667,18,FALSE)*$Q60</f>
        <v>66.1983792733549</v>
      </c>
      <c r="AE60" s="79">
        <f>VLOOKUP(B60,'Player Data'!$A1:$AE667,19,FALSE)*$Q60*_xlfn.IFERROR((VLOOKUP(P60,'Settings'!$E$28:$F$33,2,FALSE)+1),1)</f>
        <v>4.76547077457182</v>
      </c>
      <c r="AF60" s="79">
        <f>VLOOKUP(B60,'Player Data'!$A1:$AE667,20,FALSE)*$Q60</f>
        <v>3.32193975276743</v>
      </c>
      <c r="AG60" s="79">
        <f>VLOOKUP(B60,'Player Data'!$A1:$AE667,21,FALSE)*$Q60</f>
        <v>6.54332217558397</v>
      </c>
      <c r="AH60" s="81">
        <f>VLOOKUP(B60,'Player Data'!$A1:$AE667,22,FALSE)</f>
        <v>0.336731024162738</v>
      </c>
      <c r="AI60" s="77"/>
      <c r="AJ60" s="89"/>
      <c r="AK60" s="79"/>
      <c r="AL60" s="79"/>
      <c r="AM60" s="79"/>
      <c r="AN60" s="79"/>
      <c r="AO60" s="79"/>
      <c r="AP60" s="79"/>
      <c r="AQ60" s="82"/>
      <c r="AR60" s="83"/>
      <c r="AS60" s="84"/>
    </row>
    <row r="61" ht="21.25" customHeight="1">
      <c r="A61" s="85">
        <f>RANK(K61,K$1:K$665)</f>
        <v>62</v>
      </c>
      <c r="B61" t="s" s="16">
        <v>229</v>
      </c>
      <c r="C61" t="s" s="69">
        <v>127</v>
      </c>
      <c r="D61" t="s" s="70">
        <f>VLOOKUP(B61,'Player Data'!A1:D667,4,FALSE)</f>
        <v>128</v>
      </c>
      <c r="E61" s="71">
        <f>VLOOKUP(B61,'C'!A1:C206,3,FALSE)</f>
        <v>21</v>
      </c>
      <c r="F61" t="s" s="92">
        <f>VLOOKUP(B61,'Player Data'!A1:B667,2,FALSE)</f>
        <v>170</v>
      </c>
      <c r="G61" s="91">
        <f>VLOOKUP(B61,'Player Data'!A1:D667,3,FALSE)</f>
        <v>31</v>
      </c>
      <c r="H61" s="73">
        <f>_xlfn.IFERROR(VLOOKUP(B61,'ADP'!A1:G665,7,FALSE)/1000000,VLOOKUP(B61,'ADP'!A1:G665,7,FALSE))</f>
        <v>8.5</v>
      </c>
      <c r="I61" s="74">
        <f>IF('Settings'!$E$15="POINTS",((R61*Q61)*'Settings'!$B$12)+(S61*'Settings'!$B$2)+(T61*'Settings'!$B$3)+(U61*'Settings'!$B$4)+(V61*'Settings'!$B$5)+(X61*'Settings'!$B$9)+(AA61*'Settings'!$B$6)+(W61*'Settings'!$B$8)+(AB61*'Settings'!$B$7)+(AC61*'Settings'!$B$14)+(AD61*'Settings'!$B$15)+(AE61*'Settings'!$B$16)+(AF61*'Settings'!$B$17)+(AG61*'Settings'!$B$18)+(Y61*'Settings'!$B$10)+(Z61*'Settings'!$B$11),VLOOKUP(B61,'Standard Deviations'!A1:C666,3,FALSE))</f>
        <v>340.969453310165</v>
      </c>
      <c r="J61" s="75">
        <f>IF(D61="G",I61/AJ61,I61/Q61)</f>
        <v>4.17075261686389</v>
      </c>
      <c r="K61" s="74">
        <f>IF('Settings'!$E$18="C/LW/RW",VLOOKUP(B61,'C'!A1:F206,6,FALSE),VLOOKUP(B61,'F'!A1:F392,6,FALSE))</f>
        <v>11.277559228987</v>
      </c>
      <c r="L61" s="76">
        <f>_xlfn.IFERROR(K61/H61,"N/A")</f>
        <v>1.32677167399847</v>
      </c>
      <c r="M61" s="77">
        <f>IF('Settings'!$E$9="YAHOO",VLOOKUP(B61,'ADP'!A1:E665,2,FALSE),IF('Settings'!$E$9="ESPN",VLOOKUP(B61,'ADP'!A1:E665,3,FALSE),IF('Settings'!$E$9="FANTRAX",VLOOKUP(B61,'ADP'!A1:E665,4,FALSE),VLOOKUP(B61,'ADP'!A1:E665,5,FALSE))))</f>
        <v>0</v>
      </c>
      <c r="N61" s="77">
        <f>_xlfn.IFERROR(M61-A61,"N/A")</f>
        <v>-62</v>
      </c>
      <c r="O61" s="77"/>
      <c r="P61" t="s" s="78">
        <f>IF('Settings'!$E$27="ON",VLOOKUP(B61,'ADP'!A1:H665,8,FALSE)," ")</f>
        <v>138</v>
      </c>
      <c r="Q61" s="79">
        <f>IF('Settings'!$E$12="YES",VLOOKUP(B61,'Player Data'!A1:E667,5,FALSE),82)</f>
        <v>81.7525</v>
      </c>
      <c r="R61" s="77">
        <f>VLOOKUP(B61,'Player Data'!$A1:$AE667,6,FALSE)</f>
        <v>19.7583542392249</v>
      </c>
      <c r="S61" s="79">
        <f>VLOOKUP(B61,'Player Data'!$A1:$AE667,7,FALSE)*$Q61*_xlfn.IFERROR((VLOOKUP(P61,'Settings'!$E$28:$F$33,2,FALSE)+1),1)</f>
        <v>28.6680173882263</v>
      </c>
      <c r="T61" s="79">
        <f>VLOOKUP(B61,'Player Data'!$A1:$AE667,8,FALSE)*$Q61*_xlfn.IFERROR((VLOOKUP(P61,'Settings'!$E$28:$F$33,2,FALSE)+1),1)</f>
        <v>46.9018573281981</v>
      </c>
      <c r="U61" s="79">
        <f>SUM(S61:T61)</f>
        <v>75.56987471642439</v>
      </c>
      <c r="V61" s="79">
        <f>VLOOKUP(B61,'Player Data'!$A1:$AE667,10,FALSE)*$Q61*_xlfn.IFERROR(((VLOOKUP(P61,'Settings'!$E$28:$F$33,2,FALSE)/2)+1),1)</f>
        <v>225.582795341205</v>
      </c>
      <c r="W61" s="79">
        <f>VLOOKUP(B61,'Player Data'!$A1:$AE667,11,FALSE)*$Q61*_xlfn.IFERROR((VLOOKUP(P61,'Settings'!$E$28:$F$33,2,FALSE)+1),1)</f>
        <v>12.5324682899909</v>
      </c>
      <c r="X61" s="80">
        <f>VLOOKUP(B61,'Player Data'!$A1:$AE667,12,FALSE)*$Q61*_xlfn.IFERROR((VLOOKUP(P61,'Settings'!$E$28:$F$33,2,FALSE)+1),1)</f>
        <v>29.7312082222646</v>
      </c>
      <c r="Y61" s="79">
        <f>VLOOKUP(B61,'Player Data'!$A1:$AE667,13,FALSE)*$Q61</f>
        <v>0.991462181538405</v>
      </c>
      <c r="Z61" s="79">
        <f>VLOOKUP(B61,'Player Data'!$A1:$AE667,14,FALSE)*$Q61</f>
        <v>3.8629517466801</v>
      </c>
      <c r="AA61" s="79">
        <f>VLOOKUP(B61,'Player Data'!$A1:$AE667,15,FALSE)*$Q61</f>
        <v>52.6266671084264</v>
      </c>
      <c r="AB61" s="79">
        <f>VLOOKUP(B61,'Player Data'!$A1:$AE667,16,FALSE)*$Q61</f>
        <v>59.5970261741747</v>
      </c>
      <c r="AC61" s="79">
        <f>VLOOKUP(B61,'Player Data'!$A1:$AE667,17,FALSE)*$Q61*_xlfn.IFERROR((VLOOKUP(P61,'Settings'!$E$28:$F$33,2,FALSE)+1),1)</f>
        <v>4.49975920005841</v>
      </c>
      <c r="AD61" s="79">
        <f>VLOOKUP(B61,'Player Data'!$A1:$AE667,18,FALSE)*$Q61</f>
        <v>21.913472028418</v>
      </c>
      <c r="AE61" s="79">
        <f>VLOOKUP(B61,'Player Data'!$A1:$AE667,19,FALSE)*$Q61*_xlfn.IFERROR((VLOOKUP(P61,'Settings'!$E$28:$F$33,2,FALSE)+1),1)</f>
        <v>4.68602549691494</v>
      </c>
      <c r="AF61" s="79">
        <f>VLOOKUP(B61,'Player Data'!$A1:$AE667,20,FALSE)*$Q61</f>
        <v>598.746573934154</v>
      </c>
      <c r="AG61" s="79">
        <f>VLOOKUP(B61,'Player Data'!$A1:$AE667,21,FALSE)*$Q61</f>
        <v>596.673395030645</v>
      </c>
      <c r="AH61" s="81">
        <f>VLOOKUP(B61,'Player Data'!$A1:$AE667,22,FALSE)</f>
        <v>0.500867134127475</v>
      </c>
      <c r="AI61" s="77"/>
      <c r="AJ61" s="79"/>
      <c r="AK61" s="79"/>
      <c r="AL61" s="79"/>
      <c r="AM61" s="79"/>
      <c r="AN61" s="79"/>
      <c r="AO61" s="79"/>
      <c r="AP61" s="79"/>
      <c r="AQ61" s="82"/>
      <c r="AR61" s="83"/>
      <c r="AS61" s="84"/>
    </row>
    <row r="62" ht="21.25" customHeight="1">
      <c r="A62" s="85">
        <f>RANK(K62,K$1:K$665)</f>
        <v>66</v>
      </c>
      <c r="B62" t="s" s="16">
        <v>230</v>
      </c>
      <c r="C62" t="s" s="69">
        <v>127</v>
      </c>
      <c r="D62" t="s" s="70">
        <f>VLOOKUP(B62,'Player Data'!A1:D667,4,FALSE)</f>
        <v>128</v>
      </c>
      <c r="E62" s="71">
        <f>VLOOKUP(B62,'C'!A1:C206,3,FALSE)</f>
        <v>24</v>
      </c>
      <c r="F62" t="s" s="86">
        <f>VLOOKUP(B62,'Player Data'!A1:B667,2,FALSE)</f>
        <v>156</v>
      </c>
      <c r="G62" s="11">
        <f>VLOOKUP(B62,'Player Data'!A1:D667,3,FALSE)</f>
        <v>28</v>
      </c>
      <c r="H62" s="73">
        <f>_xlfn.IFERROR(VLOOKUP(B62,'ADP'!A1:G665,7,FALSE)/1000000,VLOOKUP(B62,'ADP'!A1:G665,7,FALSE))</f>
        <v>8.699999999999999</v>
      </c>
      <c r="I62" s="74">
        <f>IF('Settings'!$E$15="POINTS",((R62*Q62)*'Settings'!$B$12)+(S62*'Settings'!$B$2)+(T62*'Settings'!$B$3)+(U62*'Settings'!$B$4)+(V62*'Settings'!$B$5)+(X62*'Settings'!$B$9)+(AA62*'Settings'!$B$6)+(W62*'Settings'!$B$8)+(AB62*'Settings'!$B$7)+(AC62*'Settings'!$B$14)+(AD62*'Settings'!$B$15)+(AE62*'Settings'!$B$16)+(AF62*'Settings'!$B$17)+(AG62*'Settings'!$B$18)+(Y62*'Settings'!$B$10)+(Z62*'Settings'!$B$11),VLOOKUP(B62,'Standard Deviations'!A1:C666,3,FALSE))</f>
        <v>336.556650896955</v>
      </c>
      <c r="J62" s="75">
        <f>IF(D62="G",I62/AJ62,I62/Q62)</f>
        <v>4.30544519504868</v>
      </c>
      <c r="K62" s="74">
        <f>IF('Settings'!$E$18="C/LW/RW",VLOOKUP(B62,'C'!A1:F206,6,FALSE),VLOOKUP(B62,'F'!A1:F392,6,FALSE))</f>
        <v>6.864756815777</v>
      </c>
      <c r="L62" s="76">
        <f>_xlfn.IFERROR(K62/H62,"N/A")</f>
        <v>0.789052507560575</v>
      </c>
      <c r="M62" s="77">
        <f>IF('Settings'!$E$9="YAHOO",VLOOKUP(B62,'ADP'!A1:E665,2,FALSE),IF('Settings'!$E$9="ESPN",VLOOKUP(B62,'ADP'!A1:E665,3,FALSE),IF('Settings'!$E$9="FANTRAX",VLOOKUP(B62,'ADP'!A1:E665,4,FALSE),VLOOKUP(B62,'ADP'!A1:E665,5,FALSE))))</f>
        <v>0</v>
      </c>
      <c r="N62" s="77">
        <f>_xlfn.IFERROR(M62-A62,"N/A")</f>
        <v>-66</v>
      </c>
      <c r="O62" s="77"/>
      <c r="P62" t="s" s="78">
        <f>IF('Settings'!$E$27="ON",VLOOKUP(B62,'ADP'!A1:H665,8,FALSE)," ")</f>
        <v>138</v>
      </c>
      <c r="Q62" s="79">
        <f>IF('Settings'!$E$12="YES",VLOOKUP(B62,'Player Data'!A1:E667,5,FALSE),82)</f>
        <v>78.17</v>
      </c>
      <c r="R62" s="77">
        <f>VLOOKUP(B62,'Player Data'!$A1:$AE667,6,FALSE)</f>
        <v>20.1313380925754</v>
      </c>
      <c r="S62" s="79">
        <f>VLOOKUP(B62,'Player Data'!$A1:$AE667,7,FALSE)*$Q62*_xlfn.IFERROR((VLOOKUP(P62,'Settings'!$E$28:$F$33,2,FALSE)+1),1)</f>
        <v>34.0652046030278</v>
      </c>
      <c r="T62" s="79">
        <f>VLOOKUP(B62,'Player Data'!$A1:$AE667,8,FALSE)*$Q62*_xlfn.IFERROR((VLOOKUP(P62,'Settings'!$E$28:$F$33,2,FALSE)+1),1)</f>
        <v>43.6348160643399</v>
      </c>
      <c r="U62" s="79">
        <f>SUM(S62:T62)</f>
        <v>77.7000206673677</v>
      </c>
      <c r="V62" s="79">
        <f>VLOOKUP(B62,'Player Data'!$A1:$AE667,10,FALSE)*$Q62*_xlfn.IFERROR(((VLOOKUP(P62,'Settings'!$E$28:$F$33,2,FALSE)/2)+1),1)</f>
        <v>246.290303539521</v>
      </c>
      <c r="W62" s="79">
        <f>VLOOKUP(B62,'Player Data'!$A1:$AE667,11,FALSE)*$Q62*_xlfn.IFERROR((VLOOKUP(P62,'Settings'!$E$28:$F$33,2,FALSE)+1),1)</f>
        <v>12.7442178866948</v>
      </c>
      <c r="X62" s="80">
        <f>VLOOKUP(B62,'Player Data'!$A1:$AE667,12,FALSE)*$Q62*_xlfn.IFERROR((VLOOKUP(P62,'Settings'!$E$28:$F$33,2,FALSE)+1),1)</f>
        <v>24.4652294831349</v>
      </c>
      <c r="Y62" s="79">
        <f>VLOOKUP(B62,'Player Data'!$A1:$AE667,13,FALSE)*$Q62</f>
        <v>0.733403834748399</v>
      </c>
      <c r="Z62" s="79">
        <f>VLOOKUP(B62,'Player Data'!$A1:$AE667,14,FALSE)*$Q62</f>
        <v>0.94602114273342</v>
      </c>
      <c r="AA62" s="79">
        <f>VLOOKUP(B62,'Player Data'!$A1:$AE667,15,FALSE)*$Q62</f>
        <v>36.4759637733718</v>
      </c>
      <c r="AB62" s="79">
        <f>VLOOKUP(B62,'Player Data'!$A1:$AE667,16,FALSE)*$Q62</f>
        <v>54.3417275452855</v>
      </c>
      <c r="AC62" s="79">
        <f>VLOOKUP(B62,'Player Data'!$A1:$AE667,17,FALSE)*$Q62*_xlfn.IFERROR((VLOOKUP(P62,'Settings'!$E$28:$F$33,2,FALSE)+1),1)</f>
        <v>-2.21956201563294</v>
      </c>
      <c r="AD62" s="79">
        <f>VLOOKUP(B62,'Player Data'!$A1:$AE667,18,FALSE)*$Q62</f>
        <v>37.9683907055372</v>
      </c>
      <c r="AE62" s="79">
        <f>VLOOKUP(B62,'Player Data'!$A1:$AE667,19,FALSE)*$Q62*_xlfn.IFERROR((VLOOKUP(P62,'Settings'!$E$28:$F$33,2,FALSE)+1),1)</f>
        <v>4.67860598823594</v>
      </c>
      <c r="AF62" s="79">
        <f>VLOOKUP(B62,'Player Data'!$A1:$AE667,20,FALSE)*$Q62</f>
        <v>784.807287686956</v>
      </c>
      <c r="AG62" s="79">
        <f>VLOOKUP(B62,'Player Data'!$A1:$AE667,21,FALSE)*$Q62</f>
        <v>660.723199669411</v>
      </c>
      <c r="AH62" s="81">
        <f>VLOOKUP(B62,'Player Data'!$A1:$AE667,22,FALSE)</f>
        <v>0.5429199138665241</v>
      </c>
      <c r="AI62" s="77"/>
      <c r="AJ62" s="79"/>
      <c r="AK62" s="79"/>
      <c r="AL62" s="79"/>
      <c r="AM62" s="79"/>
      <c r="AN62" s="79"/>
      <c r="AO62" s="79"/>
      <c r="AP62" s="79"/>
      <c r="AQ62" s="82"/>
      <c r="AR62" s="83"/>
      <c r="AS62" s="84"/>
    </row>
    <row r="63" ht="21.25" customHeight="1">
      <c r="A63" s="85">
        <f>RANK(K63,K$1:K$665)</f>
        <v>67</v>
      </c>
      <c r="B63" t="s" s="16">
        <v>231</v>
      </c>
      <c r="C63" t="s" s="69">
        <v>127</v>
      </c>
      <c r="D63" t="s" s="70">
        <f>VLOOKUP(B63,'Player Data'!A1:D667,4,FALSE)</f>
        <v>128</v>
      </c>
      <c r="E63" s="71">
        <f>VLOOKUP(B63,'C'!A1:C206,3,FALSE)</f>
        <v>25</v>
      </c>
      <c r="F63" t="s" s="78">
        <f>VLOOKUP(B63,'Player Data'!A1:B667,2,FALSE)</f>
        <v>194</v>
      </c>
      <c r="G63" s="11">
        <f>VLOOKUP(B63,'Player Data'!A1:D667,3,FALSE)</f>
        <v>25</v>
      </c>
      <c r="H63" s="73">
        <f>_xlfn.IFERROR(VLOOKUP(B63,'ADP'!A1:G665,7,FALSE)/1000000,VLOOKUP(B63,'ADP'!A1:G665,7,FALSE))</f>
        <v>7.25</v>
      </c>
      <c r="I63" s="74">
        <f>IF('Settings'!$E$15="POINTS",((R63*Q63)*'Settings'!$B$12)+(S63*'Settings'!$B$2)+(T63*'Settings'!$B$3)+(U63*'Settings'!$B$4)+(V63*'Settings'!$B$5)+(X63*'Settings'!$B$9)+(AA63*'Settings'!$B$6)+(W63*'Settings'!$B$8)+(AB63*'Settings'!$B$7)+(AC63*'Settings'!$B$14)+(AD63*'Settings'!$B$15)+(AE63*'Settings'!$B$16)+(AF63*'Settings'!$B$17)+(AG63*'Settings'!$B$18)+(Y63*'Settings'!$B$10)+(Z63*'Settings'!$B$11),VLOOKUP(B63,'Standard Deviations'!A1:C666,3,FALSE))</f>
        <v>335.414601610426</v>
      </c>
      <c r="J63" s="75">
        <f>IF(D63="G",I63/AJ63,I63/Q63)</f>
        <v>4.25977396000033</v>
      </c>
      <c r="K63" s="74">
        <f>IF('Settings'!$E$18="C/LW/RW",VLOOKUP(B63,'C'!A1:F206,6,FALSE),VLOOKUP(B63,'F'!A1:F392,6,FALSE))</f>
        <v>5.722707529248</v>
      </c>
      <c r="L63" s="76">
        <f>_xlfn.IFERROR(K63/H63,"N/A")</f>
        <v>0.789338969551448</v>
      </c>
      <c r="M63" s="77">
        <f>IF('Settings'!$E$9="YAHOO",VLOOKUP(B63,'ADP'!A1:E665,2,FALSE),IF('Settings'!$E$9="ESPN",VLOOKUP(B63,'ADP'!A1:E665,3,FALSE),IF('Settings'!$E$9="FANTRAX",VLOOKUP(B63,'ADP'!A1:E665,4,FALSE),VLOOKUP(B63,'ADP'!A1:E665,5,FALSE))))</f>
        <v>0</v>
      </c>
      <c r="N63" s="77">
        <f>_xlfn.IFERROR(M63-A63,"N/A")</f>
        <v>-67</v>
      </c>
      <c r="O63" s="77"/>
      <c r="P63" t="s" s="78">
        <f>IF('Settings'!$E$27="ON",VLOOKUP(B63,'ADP'!A1:H665,8,FALSE)," ")</f>
        <v>138</v>
      </c>
      <c r="Q63" s="79">
        <f>IF('Settings'!$E$12="YES",VLOOKUP(B63,'Player Data'!A1:E667,5,FALSE),82)</f>
        <v>78.73999999999999</v>
      </c>
      <c r="R63" s="77">
        <f>VLOOKUP(B63,'Player Data'!$A1:$AE667,6,FALSE)</f>
        <v>19.8849269921998</v>
      </c>
      <c r="S63" s="79">
        <f>VLOOKUP(B63,'Player Data'!$A1:$AE667,7,FALSE)*$Q63*_xlfn.IFERROR((VLOOKUP(P63,'Settings'!$E$28:$F$33,2,FALSE)+1),1)</f>
        <v>30.3082930827063</v>
      </c>
      <c r="T63" s="79">
        <f>VLOOKUP(B63,'Player Data'!$A1:$AE667,8,FALSE)*$Q63*_xlfn.IFERROR((VLOOKUP(P63,'Settings'!$E$28:$F$33,2,FALSE)+1),1)</f>
        <v>47.5213365845019</v>
      </c>
      <c r="U63" s="79">
        <f>SUM(S63:T63)</f>
        <v>77.8296296672082</v>
      </c>
      <c r="V63" s="79">
        <f>VLOOKUP(B63,'Player Data'!$A1:$AE667,10,FALSE)*$Q63*_xlfn.IFERROR(((VLOOKUP(P63,'Settings'!$E$28:$F$33,2,FALSE)/2)+1),1)</f>
        <v>217.120447223363</v>
      </c>
      <c r="W63" s="79">
        <f>VLOOKUP(B63,'Player Data'!$A1:$AE667,11,FALSE)*$Q63*_xlfn.IFERROR((VLOOKUP(P63,'Settings'!$E$28:$F$33,2,FALSE)+1),1)</f>
        <v>7.67870393604445</v>
      </c>
      <c r="X63" s="80">
        <f>VLOOKUP(B63,'Player Data'!$A1:$AE667,12,FALSE)*$Q63*_xlfn.IFERROR((VLOOKUP(P63,'Settings'!$E$28:$F$33,2,FALSE)+1),1)</f>
        <v>20.8157449801684</v>
      </c>
      <c r="Y63" s="79">
        <f>VLOOKUP(B63,'Player Data'!$A1:$AE667,13,FALSE)*$Q63</f>
        <v>1.36045886243475</v>
      </c>
      <c r="Z63" s="79">
        <f>VLOOKUP(B63,'Player Data'!$A1:$AE667,14,FALSE)*$Q63</f>
        <v>2.05123935017678</v>
      </c>
      <c r="AA63" s="79">
        <f>VLOOKUP(B63,'Player Data'!$A1:$AE667,15,FALSE)*$Q63</f>
        <v>50.0421216688592</v>
      </c>
      <c r="AB63" s="79">
        <f>VLOOKUP(B63,'Player Data'!$A1:$AE667,16,FALSE)*$Q63</f>
        <v>47.0655410757774</v>
      </c>
      <c r="AC63" s="79">
        <f>VLOOKUP(B63,'Player Data'!$A1:$AE667,17,FALSE)*$Q63*_xlfn.IFERROR((VLOOKUP(P63,'Settings'!$E$28:$F$33,2,FALSE)+1),1)</f>
        <v>5.01887935096212</v>
      </c>
      <c r="AD63" s="79">
        <f>VLOOKUP(B63,'Player Data'!$A1:$AE667,18,FALSE)*$Q63</f>
        <v>18.5771015051992</v>
      </c>
      <c r="AE63" s="79">
        <f>VLOOKUP(B63,'Player Data'!$A1:$AE667,19,FALSE)*$Q63*_xlfn.IFERROR((VLOOKUP(P63,'Settings'!$E$28:$F$33,2,FALSE)+1),1)</f>
        <v>4.5728037582734</v>
      </c>
      <c r="AF63" s="79">
        <f>VLOOKUP(B63,'Player Data'!$A1:$AE667,20,FALSE)*$Q63</f>
        <v>868.029298798048</v>
      </c>
      <c r="AG63" s="79">
        <f>VLOOKUP(B63,'Player Data'!$A1:$AE667,21,FALSE)*$Q63</f>
        <v>723.4503651597749</v>
      </c>
      <c r="AH63" s="81">
        <f>VLOOKUP(B63,'Player Data'!$A1:$AE667,22,FALSE)</f>
        <v>0.545422802726465</v>
      </c>
      <c r="AI63" s="77"/>
      <c r="AJ63" s="89"/>
      <c r="AK63" s="79"/>
      <c r="AL63" s="79"/>
      <c r="AM63" s="79"/>
      <c r="AN63" s="79"/>
      <c r="AO63" s="79"/>
      <c r="AP63" s="79"/>
      <c r="AQ63" s="82"/>
      <c r="AR63" s="83"/>
      <c r="AS63" s="93"/>
    </row>
    <row r="64" ht="21.25" customHeight="1">
      <c r="A64" s="85">
        <f>RANK(K64,K$1:K$665)</f>
        <v>58</v>
      </c>
      <c r="B64" t="s" s="16">
        <v>232</v>
      </c>
      <c r="C64" t="s" s="69">
        <v>127</v>
      </c>
      <c r="D64" t="s" s="70">
        <f>VLOOKUP(B64,'Player Data'!A1:D667,4,FALSE)</f>
        <v>153</v>
      </c>
      <c r="E64" s="95">
        <f>VLOOKUP(B64,'D'!A1:C213,3,FALSE)</f>
        <v>12</v>
      </c>
      <c r="F64" t="s" s="86">
        <f>VLOOKUP(B64,'Player Data'!A1:B667,2,FALSE)</f>
        <v>192</v>
      </c>
      <c r="G64" s="91">
        <f>VLOOKUP(B64,'Player Data'!A1:D667,3,FALSE)</f>
        <v>34</v>
      </c>
      <c r="H64" s="73">
        <f>_xlfn.IFERROR(VLOOKUP(B64,'ADP'!A1:G665,7,FALSE)/1000000,VLOOKUP(B64,'ADP'!A1:G665,7,FALSE))</f>
        <v>8</v>
      </c>
      <c r="I64" s="74">
        <f>IF('Settings'!$E$15="POINTS",((R64*Q64)*'Settings'!$B$12)+(S64*'Settings'!$B$2)+(T64*'Settings'!$B$3)+(U64*'Settings'!$B$4)+(V64*'Settings'!$B$5)+(X64*'Settings'!$B$9)+(AA64*'Settings'!$B$6)+(W64*'Settings'!$B$8)+(AB64*'Settings'!$B$7)+(AC64*'Settings'!$B$14)+(AD64*'Settings'!$B$15)+(AE64*'Settings'!$B$16)+(AF64*'Settings'!$B$17)+(AG64*'Settings'!$B$18)+(U64*'Settings'!$B$13)+(Y64*'Settings'!$B$10)+(Z64*'Settings'!$B$11),VLOOKUP(B64,'Standard Deviations'!A1:C666,3,FALSE))</f>
        <v>346.460425457656</v>
      </c>
      <c r="J64" s="75">
        <f>IF(D64="G",I64/AJ64,I64/Q64)</f>
        <v>4.56740393458119</v>
      </c>
      <c r="K64" s="74">
        <f>VLOOKUP(B64,'D'!A1:F213,6,FALSE)</f>
        <v>14.920217537574</v>
      </c>
      <c r="L64" s="76">
        <f>_xlfn.IFERROR(K64/H64,"N/A")</f>
        <v>1.86502719219675</v>
      </c>
      <c r="M64" s="77">
        <f>IF('Settings'!$E$9="YAHOO",VLOOKUP(B64,'ADP'!A1:E665,2,FALSE),IF('Settings'!$E$9="ESPN",VLOOKUP(B64,'ADP'!A1:E665,3,FALSE),IF('Settings'!$E$9="FANTRAX",VLOOKUP(B64,'ADP'!A1:E665,4,FALSE),VLOOKUP(B64,'ADP'!A1:E665,5,FALSE))))</f>
        <v>0</v>
      </c>
      <c r="N64" s="77">
        <f>_xlfn.IFERROR(M64-A64,"N/A")</f>
        <v>-58</v>
      </c>
      <c r="O64" s="77"/>
      <c r="P64" t="s" s="78">
        <f>IF('Settings'!$E$27="ON",VLOOKUP(B64,'ADP'!A1:H665,8,FALSE)," ")</f>
        <v>138</v>
      </c>
      <c r="Q64" s="79">
        <f>IF('Settings'!$E$12="YES",VLOOKUP(B64,'Player Data'!A1:E667,5,FALSE),82)</f>
        <v>75.855</v>
      </c>
      <c r="R64" s="77">
        <f>VLOOKUP(B64,'Player Data'!$A1:$AE667,6,FALSE)</f>
        <v>26.1428511340085</v>
      </c>
      <c r="S64" s="79">
        <f>VLOOKUP(B64,'Player Data'!$A1:$AE667,7,FALSE)*$Q64*_xlfn.IFERROR((VLOOKUP(P64,'Settings'!$E$28:$F$33,2,FALSE)+1),1)</f>
        <v>12.2936490749617</v>
      </c>
      <c r="T64" s="79">
        <f>VLOOKUP(B64,'Player Data'!$A1:$AE667,8,FALSE)*$Q64*_xlfn.IFERROR((VLOOKUP(P64,'Settings'!$E$28:$F$33,2,FALSE)+1),1)</f>
        <v>41.4917117215954</v>
      </c>
      <c r="U64" s="79">
        <f>SUM(S64:T64)</f>
        <v>53.7853607965571</v>
      </c>
      <c r="V64" s="79">
        <f>VLOOKUP(B64,'Player Data'!$A1:$AE667,10,FALSE)*$Q64*_xlfn.IFERROR(((VLOOKUP(P64,'Settings'!$E$28:$F$33,2,FALSE)/2)+1),1)</f>
        <v>179.031313944756</v>
      </c>
      <c r="W64" s="79">
        <f>VLOOKUP(B64,'Player Data'!$A1:$AE667,11,FALSE)*$Q64*_xlfn.IFERROR((VLOOKUP(P64,'Settings'!$E$28:$F$33,2,FALSE)+1),1)</f>
        <v>4.82553428444911</v>
      </c>
      <c r="X64" s="80">
        <f>VLOOKUP(B64,'Player Data'!$A1:$AE667,12,FALSE)*$Q64*_xlfn.IFERROR((VLOOKUP(P64,'Settings'!$E$28:$F$33,2,FALSE)+1),1)</f>
        <v>19.0886596224514</v>
      </c>
      <c r="Y64" s="79">
        <f>VLOOKUP(B64,'Player Data'!$A1:$AE667,13,FALSE)*$Q64</f>
        <v>0.340650063046475</v>
      </c>
      <c r="Z64" s="79">
        <f>VLOOKUP(B64,'Player Data'!$A1:$AE667,14,FALSE)*$Q64</f>
        <v>1.03650902997855</v>
      </c>
      <c r="AA64" s="79">
        <f>VLOOKUP(B64,'Player Data'!$A1:$AE667,15,FALSE)*$Q64</f>
        <v>173.013069749939</v>
      </c>
      <c r="AB64" s="79">
        <f>VLOOKUP(B64,'Player Data'!$A1:$AE667,16,FALSE)*$Q64</f>
        <v>73.5877287787911</v>
      </c>
      <c r="AC64" s="79">
        <f>VLOOKUP(B64,'Player Data'!$A1:$AE667,17,FALSE)*$Q64*_xlfn.IFERROR((VLOOKUP(P64,'Settings'!$E$28:$F$33,2,FALSE)+1),1)</f>
        <v>-2.43654943246523</v>
      </c>
      <c r="AD64" s="79">
        <f>VLOOKUP(B64,'Player Data'!$A1:$AE667,18,FALSE)*$Q64</f>
        <v>29.741212268448</v>
      </c>
      <c r="AE64" s="79">
        <f>VLOOKUP(B64,'Player Data'!$A1:$AE667,19,FALSE)*$Q64*_xlfn.IFERROR((VLOOKUP(P64,'Settings'!$E$28:$F$33,2,FALSE)+1),1)</f>
        <v>1.74462290504799</v>
      </c>
      <c r="AF64" s="79">
        <f>VLOOKUP(B64,'Player Data'!$A1:$AE667,20,FALSE)*$Q64</f>
        <v>0</v>
      </c>
      <c r="AG64" s="79">
        <f>VLOOKUP(B64,'Player Data'!$A1:$AE667,21,FALSE)*$Q64</f>
        <v>0</v>
      </c>
      <c r="AH64" s="81">
        <f>VLOOKUP(B64,'Player Data'!$A1:$AE667,22,FALSE)</f>
        <v>0</v>
      </c>
      <c r="AI64" s="77"/>
      <c r="AJ64" s="79"/>
      <c r="AK64" s="79"/>
      <c r="AL64" s="79"/>
      <c r="AM64" s="79"/>
      <c r="AN64" s="79"/>
      <c r="AO64" s="79"/>
      <c r="AP64" s="79"/>
      <c r="AQ64" s="82"/>
      <c r="AR64" s="83"/>
      <c r="AS64" s="84"/>
    </row>
    <row r="65" ht="21.25" customHeight="1">
      <c r="A65" s="85">
        <f>RANK(K65,K$1:K$665)</f>
        <v>65</v>
      </c>
      <c r="B65" t="s" s="16">
        <v>233</v>
      </c>
      <c r="C65" t="s" s="69">
        <v>127</v>
      </c>
      <c r="D65" t="s" s="70">
        <f>VLOOKUP(B65,'Player Data'!A1:D667,4,FALSE)</f>
        <v>136</v>
      </c>
      <c r="E65" s="87">
        <f>VLOOKUP(B65,'LW'!A1:C152,3,FALSE)</f>
        <v>16</v>
      </c>
      <c r="F65" t="s" s="86">
        <f>VLOOKUP(B65,'Player Data'!A1:B667,2,FALSE)</f>
        <v>165</v>
      </c>
      <c r="G65" s="91">
        <f>VLOOKUP(B65,'Player Data'!A1:D667,3,FALSE)</f>
        <v>34</v>
      </c>
      <c r="H65" s="73">
        <f>_xlfn.IFERROR(VLOOKUP(B65,'ADP'!A1:G665,7,FALSE)/1000000,VLOOKUP(B65,'ADP'!A1:G665,7,FALSE))</f>
        <v>8</v>
      </c>
      <c r="I65" s="74">
        <f>IF('Settings'!$E$15="POINTS",((R65*Q65)*'Settings'!$B$12)+(S65*'Settings'!$B$2)+(T65*'Settings'!$B$3)+(U65*'Settings'!$B$4)+(V65*'Settings'!$B$5)+(X65*'Settings'!$B$9)+(AA65*'Settings'!$B$6)+(W65*'Settings'!$B$8)+(AB65*'Settings'!$B$7)+(AC65*'Settings'!$B$14)+(AD65*'Settings'!$B$15)+(AE65*'Settings'!$B$16)+(AF65*'Settings'!$B$17)+(AG65*'Settings'!$B$18)+(Y65*'Settings'!$B$10)+(Z65*'Settings'!$B$11),VLOOKUP(B65,'Standard Deviations'!A1:C666,3,FALSE))</f>
        <v>339.341662407457</v>
      </c>
      <c r="J65" s="75">
        <f>IF(D65="G",I65/AJ65,I65/Q65)</f>
        <v>4.17599879900882</v>
      </c>
      <c r="K65" s="74">
        <f>IF('Settings'!$E$18="C/LW/RW",VLOOKUP(B65,'LW'!A1:F152,6,FALSE),VLOOKUP(B65,'F'!A1:F392,6,FALSE))</f>
        <v>7.621550641245</v>
      </c>
      <c r="L65" s="76">
        <f>_xlfn.IFERROR(K65/H65,"N/A")</f>
        <v>0.952693830155625</v>
      </c>
      <c r="M65" s="77">
        <f>IF('Settings'!$E$9="YAHOO",VLOOKUP(B65,'ADP'!A1:E665,2,FALSE),IF('Settings'!$E$9="ESPN",VLOOKUP(B65,'ADP'!A1:E665,3,FALSE),IF('Settings'!$E$9="FANTRAX",VLOOKUP(B65,'ADP'!A1:E665,4,FALSE),VLOOKUP(B65,'ADP'!A1:E665,5,FALSE))))</f>
        <v>0</v>
      </c>
      <c r="N65" s="77">
        <f>_xlfn.IFERROR(M65-A65,"N/A")</f>
        <v>-65</v>
      </c>
      <c r="O65" s="77"/>
      <c r="P65" t="s" s="78">
        <f>IF('Settings'!$E$27="ON",VLOOKUP(B65,'ADP'!A1:H665,8,FALSE)," ")</f>
        <v>138</v>
      </c>
      <c r="Q65" s="79">
        <f>IF('Settings'!$E$12="YES",VLOOKUP(B65,'Player Data'!A1:E667,5,FALSE),82)</f>
        <v>81.26000000000001</v>
      </c>
      <c r="R65" s="77">
        <f>VLOOKUP(B65,'Player Data'!$A1:$AE667,6,FALSE)</f>
        <v>18.0168049660739</v>
      </c>
      <c r="S65" s="79">
        <f>VLOOKUP(B65,'Player Data'!$A1:$AE667,7,FALSE)*$Q65*_xlfn.IFERROR((VLOOKUP(P65,'Settings'!$E$28:$F$33,2,FALSE)+1),1)</f>
        <v>31.8972127027794</v>
      </c>
      <c r="T65" s="79">
        <f>VLOOKUP(B65,'Player Data'!$A1:$AE667,8,FALSE)*$Q65*_xlfn.IFERROR((VLOOKUP(P65,'Settings'!$E$28:$F$33,2,FALSE)+1),1)</f>
        <v>41.037725560132</v>
      </c>
      <c r="U65" s="79">
        <f>SUM(S65:T65)</f>
        <v>72.9349382629114</v>
      </c>
      <c r="V65" s="79">
        <f>VLOOKUP(B65,'Player Data'!$A1:$AE667,10,FALSE)*$Q65*_xlfn.IFERROR(((VLOOKUP(P65,'Settings'!$E$28:$F$33,2,FALSE)/2)+1),1)</f>
        <v>245.817488267612</v>
      </c>
      <c r="W65" s="79">
        <f>VLOOKUP(B65,'Player Data'!$A1:$AE667,11,FALSE)*$Q65*_xlfn.IFERROR((VLOOKUP(P65,'Settings'!$E$28:$F$33,2,FALSE)+1),1)</f>
        <v>13.2456826634167</v>
      </c>
      <c r="X65" s="80">
        <f>VLOOKUP(B65,'Player Data'!$A1:$AE667,12,FALSE)*$Q65*_xlfn.IFERROR((VLOOKUP(P65,'Settings'!$E$28:$F$33,2,FALSE)+1),1)</f>
        <v>30.1786958806439</v>
      </c>
      <c r="Y65" s="79">
        <f>VLOOKUP(B65,'Player Data'!$A1:$AE667,13,FALSE)*$Q65</f>
        <v>0.0084536058386038</v>
      </c>
      <c r="Z65" s="79">
        <f>VLOOKUP(B65,'Player Data'!$A1:$AE667,14,FALSE)*$Q65</f>
        <v>0.0143652312455309</v>
      </c>
      <c r="AA65" s="79">
        <f>VLOOKUP(B65,'Player Data'!$A1:$AE667,15,FALSE)*$Q65</f>
        <v>43.933237116440</v>
      </c>
      <c r="AB65" s="79">
        <f>VLOOKUP(B65,'Player Data'!$A1:$AE667,16,FALSE)*$Q65</f>
        <v>80.6486636598172</v>
      </c>
      <c r="AC65" s="79">
        <f>VLOOKUP(B65,'Player Data'!$A1:$AE667,17,FALSE)*$Q65*_xlfn.IFERROR((VLOOKUP(P65,'Settings'!$E$28:$F$33,2,FALSE)+1),1)</f>
        <v>-0.145329095360258</v>
      </c>
      <c r="AD65" s="79">
        <f>VLOOKUP(B65,'Player Data'!$A1:$AE667,18,FALSE)*$Q65</f>
        <v>38.2940706341402</v>
      </c>
      <c r="AE65" s="79">
        <f>VLOOKUP(B65,'Player Data'!$A1:$AE667,19,FALSE)*$Q65*_xlfn.IFERROR((VLOOKUP(P65,'Settings'!$E$28:$F$33,2,FALSE)+1),1)</f>
        <v>4.51641629747079</v>
      </c>
      <c r="AF65" s="79">
        <f>VLOOKUP(B65,'Player Data'!$A1:$AE667,20,FALSE)*$Q65</f>
        <v>400.981539516178</v>
      </c>
      <c r="AG65" s="79">
        <f>VLOOKUP(B65,'Player Data'!$A1:$AE667,21,FALSE)*$Q65</f>
        <v>342.097849694186</v>
      </c>
      <c r="AH65" s="81">
        <f>VLOOKUP(B65,'Player Data'!$A1:$AE667,22,FALSE)</f>
        <v>0.539621398922507</v>
      </c>
      <c r="AI65" s="77"/>
      <c r="AJ65" s="79"/>
      <c r="AK65" s="79"/>
      <c r="AL65" s="79"/>
      <c r="AM65" s="79"/>
      <c r="AN65" s="79"/>
      <c r="AO65" s="79"/>
      <c r="AP65" s="79"/>
      <c r="AQ65" s="82"/>
      <c r="AR65" s="83"/>
      <c r="AS65" s="84"/>
    </row>
    <row r="66" ht="21.25" customHeight="1">
      <c r="A66" s="85">
        <f>RANK(K66,K$1:K$665)</f>
        <v>70</v>
      </c>
      <c r="B66" t="s" s="16">
        <v>234</v>
      </c>
      <c r="C66" t="s" s="69">
        <v>127</v>
      </c>
      <c r="D66" t="s" s="70">
        <f>VLOOKUP(B66,'Player Data'!A1:D667,4,FALSE)</f>
        <v>128</v>
      </c>
      <c r="E66" s="71">
        <f>VLOOKUP(B66,'C'!A1:C206,3,FALSE)</f>
        <v>26</v>
      </c>
      <c r="F66" t="s" s="88">
        <f>VLOOKUP(B66,'Player Data'!A1:B667,2,FALSE)</f>
        <v>143</v>
      </c>
      <c r="G66" s="11">
        <f>VLOOKUP(B66,'Player Data'!A1:D667,3,FALSE)</f>
        <v>29</v>
      </c>
      <c r="H66" s="73">
        <f>_xlfn.IFERROR(VLOOKUP(B66,'ADP'!A1:G665,7,FALSE)/1000000,VLOOKUP(B66,'ADP'!A1:G665,7,FALSE))</f>
        <v>7.75</v>
      </c>
      <c r="I66" s="74">
        <f>IF('Settings'!$E$15="POINTS",((R66*Q66)*'Settings'!$B$12)+(S66*'Settings'!$B$2)+(T66*'Settings'!$B$3)+(U66*'Settings'!$B$4)+(V66*'Settings'!$B$5)+(X66*'Settings'!$B$9)+(AA66*'Settings'!$B$6)+(W66*'Settings'!$B$8)+(AB66*'Settings'!$B$7)+(AC66*'Settings'!$B$14)+(AD66*'Settings'!$B$15)+(AE66*'Settings'!$B$16)+(AF66*'Settings'!$B$17)+(AG66*'Settings'!$B$18)+(Y66*'Settings'!$B$10)+(Z66*'Settings'!$B$11),VLOOKUP(B66,'Standard Deviations'!A1:C666,3,FALSE))</f>
        <v>333.350336300328</v>
      </c>
      <c r="J66" s="75">
        <f>IF(D66="G",I66/AJ66,I66/Q66)</f>
        <v>4.14035505418821</v>
      </c>
      <c r="K66" s="74">
        <f>IF('Settings'!$E$18="C/LW/RW",VLOOKUP(B66,'C'!A1:F206,6,FALSE),VLOOKUP(B66,'F'!A1:F392,6,FALSE))</f>
        <v>3.658442219150</v>
      </c>
      <c r="L66" s="76">
        <f>_xlfn.IFERROR(K66/H66,"N/A")</f>
        <v>0.472057060535484</v>
      </c>
      <c r="M66" s="77">
        <f>IF('Settings'!$E$9="YAHOO",VLOOKUP(B66,'ADP'!A1:E665,2,FALSE),IF('Settings'!$E$9="ESPN",VLOOKUP(B66,'ADP'!A1:E665,3,FALSE),IF('Settings'!$E$9="FANTRAX",VLOOKUP(B66,'ADP'!A1:E665,4,FALSE),VLOOKUP(B66,'ADP'!A1:E665,5,FALSE))))</f>
        <v>0</v>
      </c>
      <c r="N66" s="77">
        <f>_xlfn.IFERROR(M66-A66,"N/A")</f>
        <v>-70</v>
      </c>
      <c r="O66" s="77"/>
      <c r="P66" t="s" s="78">
        <f>IF('Settings'!$E$27="ON",VLOOKUP(B66,'ADP'!A1:H665,8,FALSE)," ")</f>
        <v>235</v>
      </c>
      <c r="Q66" s="79">
        <f>IF('Settings'!$E$12="YES",VLOOKUP(B66,'Player Data'!A1:E667,5,FALSE),82)</f>
        <v>80.5125</v>
      </c>
      <c r="R66" s="77">
        <f>VLOOKUP(B66,'Player Data'!$A1:$AE667,6,FALSE)</f>
        <v>20.3596832263846</v>
      </c>
      <c r="S66" s="79">
        <f>VLOOKUP(B66,'Player Data'!$A1:$AE667,7,FALSE)*$Q66*_xlfn.IFERROR((VLOOKUP(P66,'Settings'!$E$28:$F$33,2,FALSE)+1),1)</f>
        <v>25.2873997117917</v>
      </c>
      <c r="T66" s="79">
        <f>VLOOKUP(B66,'Player Data'!$A1:$AE667,8,FALSE)*$Q66*_xlfn.IFERROR((VLOOKUP(P66,'Settings'!$E$28:$F$33,2,FALSE)+1),1)</f>
        <v>39.2219048078017</v>
      </c>
      <c r="U66" s="79">
        <f>SUM(S66:T66)</f>
        <v>64.5093045195934</v>
      </c>
      <c r="V66" s="79">
        <f>VLOOKUP(B66,'Player Data'!$A1:$AE667,10,FALSE)*$Q66*_xlfn.IFERROR(((VLOOKUP(P66,'Settings'!$E$28:$F$33,2,FALSE)/2)+1),1)</f>
        <v>202.080330420536</v>
      </c>
      <c r="W66" s="79">
        <f>VLOOKUP(B66,'Player Data'!$A1:$AE667,11,FALSE)*$Q66*_xlfn.IFERROR((VLOOKUP(P66,'Settings'!$E$28:$F$33,2,FALSE)+1),1)</f>
        <v>8.754078509485471</v>
      </c>
      <c r="X66" s="80">
        <f>VLOOKUP(B66,'Player Data'!$A1:$AE667,12,FALSE)*$Q66*_xlfn.IFERROR((VLOOKUP(P66,'Settings'!$E$28:$F$33,2,FALSE)+1),1)</f>
        <v>18.4987948195178</v>
      </c>
      <c r="Y66" s="79">
        <f>VLOOKUP(B66,'Player Data'!$A1:$AE667,13,FALSE)*$Q66</f>
        <v>1.00316962351252</v>
      </c>
      <c r="Z66" s="79">
        <f>VLOOKUP(B66,'Player Data'!$A1:$AE667,14,FALSE)*$Q66</f>
        <v>2.74919333558754</v>
      </c>
      <c r="AA66" s="79">
        <f>VLOOKUP(B66,'Player Data'!$A1:$AE667,15,FALSE)*$Q66</f>
        <v>60.8501891657086</v>
      </c>
      <c r="AB66" s="79">
        <f>VLOOKUP(B66,'Player Data'!$A1:$AE667,16,FALSE)*$Q66</f>
        <v>94.44764671650459</v>
      </c>
      <c r="AC66" s="79">
        <f>VLOOKUP(B66,'Player Data'!$A1:$AE667,17,FALSE)*$Q66*_xlfn.IFERROR((VLOOKUP(P66,'Settings'!$E$28:$F$33,2,FALSE)+1),1)</f>
        <v>0.186862575287494</v>
      </c>
      <c r="AD66" s="79">
        <f>VLOOKUP(B66,'Player Data'!$A1:$AE667,18,FALSE)*$Q66</f>
        <v>25.860218397910</v>
      </c>
      <c r="AE66" s="79">
        <f>VLOOKUP(B66,'Player Data'!$A1:$AE667,19,FALSE)*$Q66*_xlfn.IFERROR((VLOOKUP(P66,'Settings'!$E$28:$F$33,2,FALSE)+1),1)</f>
        <v>3.93860652284121</v>
      </c>
      <c r="AF66" s="79">
        <f>VLOOKUP(B66,'Player Data'!$A1:$AE667,20,FALSE)*$Q66</f>
        <v>845.450206763814</v>
      </c>
      <c r="AG66" s="79">
        <f>VLOOKUP(B66,'Player Data'!$A1:$AE667,21,FALSE)*$Q66</f>
        <v>685.109241446445</v>
      </c>
      <c r="AH66" s="81">
        <f>VLOOKUP(B66,'Player Data'!$A1:$AE667,22,FALSE)</f>
        <v>0.552379855452483</v>
      </c>
      <c r="AI66" s="77"/>
      <c r="AJ66" s="79"/>
      <c r="AK66" s="79"/>
      <c r="AL66" s="79"/>
      <c r="AM66" s="79"/>
      <c r="AN66" s="79"/>
      <c r="AO66" s="79"/>
      <c r="AP66" s="79"/>
      <c r="AQ66" s="82"/>
      <c r="AR66" s="83"/>
      <c r="AS66" s="84"/>
    </row>
    <row r="67" ht="21.25" customHeight="1">
      <c r="A67" s="85">
        <f>RANK(K67,K$1:K$665)</f>
        <v>63</v>
      </c>
      <c r="B67" t="s" s="16">
        <v>236</v>
      </c>
      <c r="C67" t="s" s="69">
        <v>127</v>
      </c>
      <c r="D67" t="s" s="70">
        <f>VLOOKUP(B67,'Player Data'!A1:D667,4,FALSE)</f>
        <v>145</v>
      </c>
      <c r="E67" s="87">
        <f>VLOOKUP(B67,'RW'!A1:C136,3,FALSE)</f>
        <v>14</v>
      </c>
      <c r="F67" t="s" s="103">
        <f>VLOOKUP(B67,'Player Data'!A1:B667,2,FALSE)</f>
        <v>227</v>
      </c>
      <c r="G67" s="96">
        <f>VLOOKUP(B67,'Player Data'!A1:D667,3,FALSE)</f>
        <v>22</v>
      </c>
      <c r="H67" t="s" s="86">
        <f>_xlfn.IFERROR(VLOOKUP(B67,'ADP'!A1:G665,7,FALSE)/1000000,VLOOKUP(B67,'ADP'!A1:G665,7,FALSE))</f>
        <v>157</v>
      </c>
      <c r="I67" s="74">
        <f>IF('Settings'!$E$15="POINTS",((R67*Q67)*'Settings'!$B$12)+(S67*'Settings'!$B$2)+(T67*'Settings'!$B$3)+(U67*'Settings'!$B$4)+(V67*'Settings'!$B$5)+(X67*'Settings'!$B$9)+(AA67*'Settings'!$B$6)+(W67*'Settings'!$B$8)+(AB67*'Settings'!$B$7)+(AC67*'Settings'!$B$14)+(AD67*'Settings'!$B$15)+(AE67*'Settings'!$B$16)+(AF67*'Settings'!$B$17)+(AG67*'Settings'!$B$18)+(Y67*'Settings'!$B$10)+(Z67*'Settings'!$B$11),VLOOKUP(B67,'Standard Deviations'!A1:C666,3,FALSE))</f>
        <v>337.649822652502</v>
      </c>
      <c r="J67" s="75">
        <f>IF(D67="G",I67/AJ67,I67/Q67)</f>
        <v>4.19688415714244</v>
      </c>
      <c r="K67" s="74">
        <f>IF('Settings'!$E$18="C/LW/RW",VLOOKUP(B67,'RW'!A1:F136,6,FALSE),VLOOKUP(B67,'F'!A1:F392,6,FALSE))</f>
        <v>7.957928571324</v>
      </c>
      <c r="L67" t="s" s="97">
        <f>_xlfn.IFERROR(K67/H67,"N/A")</f>
        <v>158</v>
      </c>
      <c r="M67" s="77">
        <f>IF('Settings'!$E$9="YAHOO",VLOOKUP(B67,'ADP'!A1:E665,2,FALSE),IF('Settings'!$E$9="ESPN",VLOOKUP(B67,'ADP'!A1:E665,3,FALSE),IF('Settings'!$E$9="FANTRAX",VLOOKUP(B67,'ADP'!A1:E665,4,FALSE),VLOOKUP(B67,'ADP'!A1:E665,5,FALSE))))</f>
        <v>0</v>
      </c>
      <c r="N67" s="77">
        <f>_xlfn.IFERROR(M67-A67,"N/A")</f>
        <v>-63</v>
      </c>
      <c r="O67" s="77"/>
      <c r="P67" t="s" s="78">
        <f>IF('Settings'!$E$27="ON",VLOOKUP(B67,'ADP'!A1:H665,8,FALSE)," ")</f>
        <v>130</v>
      </c>
      <c r="Q67" s="79">
        <f>IF('Settings'!$E$12="YES",VLOOKUP(B67,'Player Data'!A1:E667,5,FALSE),82)</f>
        <v>80.4525</v>
      </c>
      <c r="R67" s="77">
        <f>VLOOKUP(B67,'Player Data'!$A1:$AE667,6,FALSE)</f>
        <v>19.1920467220281</v>
      </c>
      <c r="S67" s="79">
        <f>VLOOKUP(B67,'Player Data'!$A1:$AE667,7,FALSE)*$Q67*_xlfn.IFERROR((VLOOKUP(P67,'Settings'!$E$28:$F$33,2,FALSE)+1),1)</f>
        <v>31.1515136486933</v>
      </c>
      <c r="T67" s="79">
        <f>VLOOKUP(B67,'Player Data'!$A1:$AE667,8,FALSE)*$Q67*_xlfn.IFERROR((VLOOKUP(P67,'Settings'!$E$28:$F$33,2,FALSE)+1),1)</f>
        <v>37.6893771341183</v>
      </c>
      <c r="U67" s="79">
        <f>SUM(S67:T67)</f>
        <v>68.8408907828116</v>
      </c>
      <c r="V67" s="79">
        <f>VLOOKUP(B67,'Player Data'!$A1:$AE667,10,FALSE)*$Q67*_xlfn.IFERROR(((VLOOKUP(P67,'Settings'!$E$28:$F$33,2,FALSE)/2)+1),1)</f>
        <v>195.6790460935</v>
      </c>
      <c r="W67" s="79">
        <f>VLOOKUP(B67,'Player Data'!$A1:$AE667,11,FALSE)*$Q67*_xlfn.IFERROR((VLOOKUP(P67,'Settings'!$E$28:$F$33,2,FALSE)+1),1)</f>
        <v>8.999042855579839</v>
      </c>
      <c r="X67" s="80">
        <f>VLOOKUP(B67,'Player Data'!$A1:$AE667,12,FALSE)*$Q67*_xlfn.IFERROR((VLOOKUP(P67,'Settings'!$E$28:$F$33,2,FALSE)+1),1)</f>
        <v>18.5994185578098</v>
      </c>
      <c r="Y67" s="79">
        <f>VLOOKUP(B67,'Player Data'!$A1:$AE667,13,FALSE)*$Q67</f>
        <v>2.34216223494007</v>
      </c>
      <c r="Z67" s="79">
        <f>VLOOKUP(B67,'Player Data'!$A1:$AE667,14,FALSE)*$Q67</f>
        <v>3.37113243461032</v>
      </c>
      <c r="AA67" s="79">
        <f>VLOOKUP(B67,'Player Data'!$A1:$AE667,15,FALSE)*$Q67</f>
        <v>54.0160381964697</v>
      </c>
      <c r="AB67" s="79">
        <f>VLOOKUP(B67,'Player Data'!$A1:$AE667,16,FALSE)*$Q67</f>
        <v>102.287356871117</v>
      </c>
      <c r="AC67" s="79">
        <f>VLOOKUP(B67,'Player Data'!$A1:$AE667,17,FALSE)*$Q67*_xlfn.IFERROR((VLOOKUP(P67,'Settings'!$E$28:$F$33,2,FALSE)+1),1)</f>
        <v>8.83528885669061</v>
      </c>
      <c r="AD67" s="79">
        <f>VLOOKUP(B67,'Player Data'!$A1:$AE667,18,FALSE)*$Q67</f>
        <v>21.3599603872152</v>
      </c>
      <c r="AE67" s="79">
        <f>VLOOKUP(B67,'Player Data'!$A1:$AE667,19,FALSE)*$Q67*_xlfn.IFERROR((VLOOKUP(P67,'Settings'!$E$28:$F$33,2,FALSE)+1),1)</f>
        <v>5.39810830251989</v>
      </c>
      <c r="AF67" s="79">
        <f>VLOOKUP(B67,'Player Data'!$A1:$AE667,20,FALSE)*$Q67</f>
        <v>115.599733590407</v>
      </c>
      <c r="AG67" s="79">
        <f>VLOOKUP(B67,'Player Data'!$A1:$AE667,21,FALSE)*$Q67</f>
        <v>166.138518351373</v>
      </c>
      <c r="AH67" s="81">
        <f>VLOOKUP(B67,'Player Data'!$A1:$AE667,22,FALSE)</f>
        <v>0.410308975773354</v>
      </c>
      <c r="AI67" s="77"/>
      <c r="AJ67" s="79"/>
      <c r="AK67" s="79"/>
      <c r="AL67" s="79"/>
      <c r="AM67" s="79"/>
      <c r="AN67" s="79"/>
      <c r="AO67" s="79"/>
      <c r="AP67" s="79"/>
      <c r="AQ67" s="82"/>
      <c r="AR67" s="83"/>
      <c r="AS67" s="84"/>
    </row>
    <row r="68" ht="21.25" customHeight="1">
      <c r="A68" s="85">
        <f>RANK(K68,K$1:K$665)</f>
        <v>69</v>
      </c>
      <c r="B68" t="s" s="16">
        <v>237</v>
      </c>
      <c r="C68" t="s" s="69">
        <v>127</v>
      </c>
      <c r="D68" t="s" s="70">
        <f>VLOOKUP(B68,'Player Data'!A1:D667,4,FALSE)</f>
        <v>178</v>
      </c>
      <c r="E68" s="102">
        <f>VLOOKUP(B68,'LW'!A1:C152,3,FALSE)</f>
        <v>17</v>
      </c>
      <c r="F68" t="s" s="92">
        <f>VLOOKUP(B68,'Player Data'!A1:B667,2,FALSE)</f>
        <v>170</v>
      </c>
      <c r="G68" s="91">
        <f>VLOOKUP(B68,'Player Data'!A1:D667,3,FALSE)</f>
        <v>33</v>
      </c>
      <c r="H68" s="73">
        <f>_xlfn.IFERROR(VLOOKUP(B68,'ADP'!A1:G665,7,FALSE)/1000000,VLOOKUP(B68,'ADP'!A1:G665,7,FALSE))</f>
        <v>6.5</v>
      </c>
      <c r="I68" s="74">
        <f>IF('Settings'!$E$15="POINTS",((R68*Q68)*'Settings'!$B$12)+(S68*'Settings'!$B$2)+(T68*'Settings'!$B$3)+(U68*'Settings'!$B$4)+(V68*'Settings'!$B$5)+(X68*'Settings'!$B$9)+(AA68*'Settings'!$B$6)+(W68*'Settings'!$B$8)+(AB68*'Settings'!$B$7)+(AC68*'Settings'!$B$14)+(AD68*'Settings'!$B$15)+(AE68*'Settings'!$B$16)+(AF68*'Settings'!$B$17)+(AG68*'Settings'!$B$18)+(Y68*'Settings'!$B$10)+(Z68*'Settings'!$B$11),VLOOKUP(B68,'Standard Deviations'!A1:C666,3,FALSE))</f>
        <v>335.803194624843</v>
      </c>
      <c r="J68" s="75">
        <f>IF(D68="G",I68/AJ68,I68/Q68)</f>
        <v>4.11940006286801</v>
      </c>
      <c r="K68" s="74">
        <f>IF('Settings'!$E$18="C/LW/RW",VLOOKUP(B68,'LW'!A1:F152,6,FALSE),VLOOKUP(B68,'F'!A1:F392,6,FALSE))</f>
        <v>4.083082858631</v>
      </c>
      <c r="L68" s="76">
        <f>_xlfn.IFERROR(K68/H68,"N/A")</f>
        <v>0.628166593635538</v>
      </c>
      <c r="M68" s="77">
        <f>IF('Settings'!$E$9="YAHOO",VLOOKUP(B68,'ADP'!A1:E665,2,FALSE),IF('Settings'!$E$9="ESPN",VLOOKUP(B68,'ADP'!A1:E665,3,FALSE),IF('Settings'!$E$9="FANTRAX",VLOOKUP(B68,'ADP'!A1:E665,4,FALSE),VLOOKUP(B68,'ADP'!A1:E665,5,FALSE))))</f>
        <v>0</v>
      </c>
      <c r="N68" s="77">
        <f>_xlfn.IFERROR(M68-A68,"N/A")</f>
        <v>-69</v>
      </c>
      <c r="O68" s="77"/>
      <c r="P68" t="s" s="78">
        <f>IF('Settings'!$E$27="ON",VLOOKUP(B68,'ADP'!A1:H665,8,FALSE)," ")</f>
        <v>138</v>
      </c>
      <c r="Q68" s="79">
        <f>IF('Settings'!$E$12="YES",VLOOKUP(B68,'Player Data'!A1:E667,5,FALSE),82)</f>
        <v>81.5175</v>
      </c>
      <c r="R68" s="77">
        <f>VLOOKUP(B68,'Player Data'!$A1:$AE667,6,FALSE)</f>
        <v>18.8387935653515</v>
      </c>
      <c r="S68" s="79">
        <f>VLOOKUP(B68,'Player Data'!$A1:$AE667,7,FALSE)*$Q68*_xlfn.IFERROR((VLOOKUP(P68,'Settings'!$E$28:$F$33,2,FALSE)+1),1)</f>
        <v>37.3353080133836</v>
      </c>
      <c r="T68" s="79">
        <f>VLOOKUP(B68,'Player Data'!$A1:$AE667,8,FALSE)*$Q68*_xlfn.IFERROR((VLOOKUP(P68,'Settings'!$E$28:$F$33,2,FALSE)+1),1)</f>
        <v>28.489619125631</v>
      </c>
      <c r="U68" s="79">
        <f>SUM(S68:T68)</f>
        <v>65.8249271390146</v>
      </c>
      <c r="V68" s="79">
        <f>VLOOKUP(B68,'Player Data'!$A1:$AE667,10,FALSE)*$Q68*_xlfn.IFERROR(((VLOOKUP(P68,'Settings'!$E$28:$F$33,2,FALSE)/2)+1),1)</f>
        <v>242.201707531464</v>
      </c>
      <c r="W68" s="79">
        <f>VLOOKUP(B68,'Player Data'!$A1:$AE667,11,FALSE)*$Q68*_xlfn.IFERROR((VLOOKUP(P68,'Settings'!$E$28:$F$33,2,FALSE)+1),1)</f>
        <v>13.9802523064079</v>
      </c>
      <c r="X68" s="80">
        <f>VLOOKUP(B68,'Player Data'!$A1:$AE667,12,FALSE)*$Q68*_xlfn.IFERROR((VLOOKUP(P68,'Settings'!$E$28:$F$33,2,FALSE)+1),1)</f>
        <v>23.5920335515006</v>
      </c>
      <c r="Y68" s="79">
        <f>VLOOKUP(B68,'Player Data'!$A1:$AE667,13,FALSE)*$Q68</f>
        <v>2.65325814068205</v>
      </c>
      <c r="Z68" s="79">
        <f>VLOOKUP(B68,'Player Data'!$A1:$AE667,14,FALSE)*$Q68</f>
        <v>4.17648663441369</v>
      </c>
      <c r="AA68" s="79">
        <f>VLOOKUP(B68,'Player Data'!$A1:$AE667,15,FALSE)*$Q68</f>
        <v>25.5183356680002</v>
      </c>
      <c r="AB68" s="79">
        <f>VLOOKUP(B68,'Player Data'!$A1:$AE667,16,FALSE)*$Q68</f>
        <v>106.870658847824</v>
      </c>
      <c r="AC68" s="79">
        <f>VLOOKUP(B68,'Player Data'!$A1:$AE667,17,FALSE)*$Q68*_xlfn.IFERROR((VLOOKUP(P68,'Settings'!$E$28:$F$33,2,FALSE)+1),1)</f>
        <v>5.21687872808132</v>
      </c>
      <c r="AD68" s="79">
        <f>VLOOKUP(B68,'Player Data'!$A1:$AE667,18,FALSE)*$Q68</f>
        <v>28.4162524856132</v>
      </c>
      <c r="AE68" s="79">
        <f>VLOOKUP(B68,'Player Data'!$A1:$AE667,19,FALSE)*$Q68*_xlfn.IFERROR((VLOOKUP(P68,'Settings'!$E$28:$F$33,2,FALSE)+1),1)</f>
        <v>6.10276612144587</v>
      </c>
      <c r="AF68" s="79">
        <f>VLOOKUP(B68,'Player Data'!$A1:$AE667,20,FALSE)*$Q68</f>
        <v>42.8338448896001</v>
      </c>
      <c r="AG68" s="79">
        <f>VLOOKUP(B68,'Player Data'!$A1:$AE667,21,FALSE)*$Q68</f>
        <v>58.1383710157061</v>
      </c>
      <c r="AH68" s="81">
        <f>VLOOKUP(B68,'Player Data'!$A1:$AE667,22,FALSE)</f>
        <v>0.42421417125054</v>
      </c>
      <c r="AI68" s="77"/>
      <c r="AJ68" s="89"/>
      <c r="AK68" s="79"/>
      <c r="AL68" s="79"/>
      <c r="AM68" s="79"/>
      <c r="AN68" s="79"/>
      <c r="AO68" s="79"/>
      <c r="AP68" s="79"/>
      <c r="AQ68" s="82"/>
      <c r="AR68" s="83"/>
      <c r="AS68" s="84"/>
    </row>
    <row r="69" ht="21.25" customHeight="1">
      <c r="A69" s="85">
        <f>RANK(K69,K$1:K$665)</f>
        <v>77</v>
      </c>
      <c r="B69" t="s" s="16">
        <v>238</v>
      </c>
      <c r="C69" t="s" s="69">
        <v>127</v>
      </c>
      <c r="D69" t="s" s="70">
        <f>VLOOKUP(B69,'Player Data'!A1:D667,4,FALSE)</f>
        <v>128</v>
      </c>
      <c r="E69" s="71">
        <f>VLOOKUP(B69,'C'!A1:C206,3,FALSE)</f>
        <v>28</v>
      </c>
      <c r="F69" t="s" s="88">
        <f>VLOOKUP(B69,'Player Data'!A1:B667,2,FALSE)</f>
        <v>239</v>
      </c>
      <c r="G69" s="11">
        <f>VLOOKUP(B69,'Player Data'!A1:D667,3,FALSE)</f>
        <v>25</v>
      </c>
      <c r="H69" s="73">
        <f>_xlfn.IFERROR(VLOOKUP(B69,'ADP'!A1:G665,7,FALSE)/1000000,VLOOKUP(B69,'ADP'!A1:G665,7,FALSE))</f>
        <v>7.875</v>
      </c>
      <c r="I69" s="74">
        <f>IF('Settings'!$E$15="POINTS",((R69*Q69)*'Settings'!$B$12)+(S69*'Settings'!$B$2)+(T69*'Settings'!$B$3)+(U69*'Settings'!$B$4)+(V69*'Settings'!$B$5)+(X69*'Settings'!$B$9)+(AA69*'Settings'!$B$6)+(W69*'Settings'!$B$8)+(AB69*'Settings'!$B$7)+(AC69*'Settings'!$B$14)+(AD69*'Settings'!$B$15)+(AE69*'Settings'!$B$16)+(AF69*'Settings'!$B$17)+(AG69*'Settings'!$B$18)+(Y69*'Settings'!$B$10)+(Z69*'Settings'!$B$11),VLOOKUP(B69,'Standard Deviations'!A1:C666,3,FALSE))</f>
        <v>330.166903996450</v>
      </c>
      <c r="J69" s="75">
        <f>IF(D69="G",I69/AJ69,I69/Q69)</f>
        <v>4.02495311467085</v>
      </c>
      <c r="K69" s="74">
        <f>IF('Settings'!$E$18="C/LW/RW",VLOOKUP(B69,'C'!A1:F206,6,FALSE),VLOOKUP(B69,'F'!A1:F392,6,FALSE))</f>
        <v>0.475009915272</v>
      </c>
      <c r="L69" s="76">
        <f>_xlfn.IFERROR(K69/H69,"N/A")</f>
        <v>0.060318719399619</v>
      </c>
      <c r="M69" s="77">
        <f>IF('Settings'!$E$9="YAHOO",VLOOKUP(B69,'ADP'!A1:E665,2,FALSE),IF('Settings'!$E$9="ESPN",VLOOKUP(B69,'ADP'!A1:E665,3,FALSE),IF('Settings'!$E$9="FANTRAX",VLOOKUP(B69,'ADP'!A1:E665,4,FALSE),VLOOKUP(B69,'ADP'!A1:E665,5,FALSE))))</f>
        <v>0</v>
      </c>
      <c r="N69" s="77">
        <f>_xlfn.IFERROR(M69-A69,"N/A")</f>
        <v>-77</v>
      </c>
      <c r="O69" s="77"/>
      <c r="P69" t="s" s="78">
        <f>IF('Settings'!$E$27="ON",VLOOKUP(B69,'ADP'!A1:H665,8,FALSE)," ")</f>
        <v>138</v>
      </c>
      <c r="Q69" s="79">
        <f>IF('Settings'!$E$12="YES",VLOOKUP(B69,'Player Data'!A1:E667,5,FALSE),82)</f>
        <v>82.03</v>
      </c>
      <c r="R69" s="77">
        <f>VLOOKUP(B69,'Player Data'!$A1:$AE667,6,FALSE)</f>
        <v>21.4197757510177</v>
      </c>
      <c r="S69" s="79">
        <f>VLOOKUP(B69,'Player Data'!$A1:$AE667,7,FALSE)*$Q69*_xlfn.IFERROR((VLOOKUP(P69,'Settings'!$E$28:$F$33,2,FALSE)+1),1)</f>
        <v>31.4616772536068</v>
      </c>
      <c r="T69" s="79">
        <f>VLOOKUP(B69,'Player Data'!$A1:$AE667,8,FALSE)*$Q69*_xlfn.IFERROR((VLOOKUP(P69,'Settings'!$E$28:$F$33,2,FALSE)+1),1)</f>
        <v>46.0648467456805</v>
      </c>
      <c r="U69" s="79">
        <f>SUM(S69:T69)</f>
        <v>77.52652399928731</v>
      </c>
      <c r="V69" s="79">
        <f>VLOOKUP(B69,'Player Data'!$A1:$AE667,10,FALSE)*$Q69*_xlfn.IFERROR(((VLOOKUP(P69,'Settings'!$E$28:$F$33,2,FALSE)/2)+1),1)</f>
        <v>191.589024186927</v>
      </c>
      <c r="W69" s="79">
        <f>VLOOKUP(B69,'Player Data'!$A1:$AE667,11,FALSE)*$Q69*_xlfn.IFERROR((VLOOKUP(P69,'Settings'!$E$28:$F$33,2,FALSE)+1),1)</f>
        <v>10.6745705227117</v>
      </c>
      <c r="X69" s="80">
        <f>VLOOKUP(B69,'Player Data'!$A1:$AE667,12,FALSE)*$Q69*_xlfn.IFERROR((VLOOKUP(P69,'Settings'!$E$28:$F$33,2,FALSE)+1),1)</f>
        <v>27.2439490283454</v>
      </c>
      <c r="Y69" s="79">
        <f>VLOOKUP(B69,'Player Data'!$A1:$AE667,13,FALSE)*$Q69</f>
        <v>0.650845553638528</v>
      </c>
      <c r="Z69" s="79">
        <f>VLOOKUP(B69,'Player Data'!$A1:$AE667,14,FALSE)*$Q69</f>
        <v>0.976974166966154</v>
      </c>
      <c r="AA69" s="79">
        <f>VLOOKUP(B69,'Player Data'!$A1:$AE667,15,FALSE)*$Q69</f>
        <v>50.3381237033509</v>
      </c>
      <c r="AB69" s="79">
        <f>VLOOKUP(B69,'Player Data'!$A1:$AE667,16,FALSE)*$Q69</f>
        <v>64.81240366719101</v>
      </c>
      <c r="AC69" s="79">
        <f>VLOOKUP(B69,'Player Data'!$A1:$AE667,17,FALSE)*$Q69*_xlfn.IFERROR((VLOOKUP(P69,'Settings'!$E$28:$F$33,2,FALSE)+1),1)</f>
        <v>-3.73037498228741</v>
      </c>
      <c r="AD69" s="79">
        <f>VLOOKUP(B69,'Player Data'!$A1:$AE667,18,FALSE)*$Q69</f>
        <v>33.639484813149</v>
      </c>
      <c r="AE69" s="79">
        <f>VLOOKUP(B69,'Player Data'!$A1:$AE667,19,FALSE)*$Q69*_xlfn.IFERROR((VLOOKUP(P69,'Settings'!$E$28:$F$33,2,FALSE)+1),1)</f>
        <v>3.64644843386264</v>
      </c>
      <c r="AF69" s="79">
        <f>VLOOKUP(B69,'Player Data'!$A1:$AE667,20,FALSE)*$Q69</f>
        <v>679.357366320595</v>
      </c>
      <c r="AG69" s="79">
        <f>VLOOKUP(B69,'Player Data'!$A1:$AE667,21,FALSE)*$Q69</f>
        <v>678.092843678663</v>
      </c>
      <c r="AH69" s="81">
        <f>VLOOKUP(B69,'Player Data'!$A1:$AE667,22,FALSE)</f>
        <v>0.500465771279351</v>
      </c>
      <c r="AI69" s="77"/>
      <c r="AJ69" s="89"/>
      <c r="AK69" s="79"/>
      <c r="AL69" s="79"/>
      <c r="AM69" s="79"/>
      <c r="AN69" s="79"/>
      <c r="AO69" s="79"/>
      <c r="AP69" s="79"/>
      <c r="AQ69" s="82"/>
      <c r="AR69" s="83"/>
      <c r="AS69" s="84"/>
    </row>
    <row r="70" ht="21.25" customHeight="1">
      <c r="A70" s="85">
        <f>RANK(K70,K$1:K$665)</f>
        <v>82</v>
      </c>
      <c r="B70" t="s" s="16">
        <v>240</v>
      </c>
      <c r="C70" t="s" s="69">
        <v>127</v>
      </c>
      <c r="D70" t="s" s="70">
        <f>VLOOKUP(B70,'Player Data'!A1:D667,4,FALSE)</f>
        <v>128</v>
      </c>
      <c r="E70" s="71">
        <f>VLOOKUP(B70,'C'!A1:C206,3,FALSE)</f>
        <v>30</v>
      </c>
      <c r="F70" t="s" s="103">
        <f>VLOOKUP(B70,'Player Data'!A1:B667,2,FALSE)</f>
        <v>190</v>
      </c>
      <c r="G70" s="11">
        <f>VLOOKUP(B70,'Player Data'!A1:D667,3,FALSE)</f>
        <v>29</v>
      </c>
      <c r="H70" s="73">
        <f>_xlfn.IFERROR(VLOOKUP(B70,'ADP'!A1:G665,7,FALSE)/1000000,VLOOKUP(B70,'ADP'!A1:G665,7,FALSE))</f>
        <v>8.5</v>
      </c>
      <c r="I70" s="74">
        <f>IF('Settings'!$E$15="POINTS",((R70*Q70)*'Settings'!$B$12)+(S70*'Settings'!$B$2)+(T70*'Settings'!$B$3)+(U70*'Settings'!$B$4)+(V70*'Settings'!$B$5)+(X70*'Settings'!$B$9)+(AA70*'Settings'!$B$6)+(W70*'Settings'!$B$8)+(AB70*'Settings'!$B$7)+(AC70*'Settings'!$B$14)+(AD70*'Settings'!$B$15)+(AE70*'Settings'!$B$16)+(AF70*'Settings'!$B$17)+(AG70*'Settings'!$B$18)+(Y70*'Settings'!$B$10)+(Z70*'Settings'!$B$11),VLOOKUP(B70,'Standard Deviations'!A1:C666,3,FALSE))</f>
        <v>329.270027925468</v>
      </c>
      <c r="J70" s="75">
        <f>IF(D70="G",I70/AJ70,I70/Q70)</f>
        <v>4.10356465510304</v>
      </c>
      <c r="K70" s="74">
        <f>IF('Settings'!$E$18="C/LW/RW",VLOOKUP(B70,'C'!A1:F206,6,FALSE),VLOOKUP(B70,'F'!A1:F392,6,FALSE))</f>
        <v>-0.421866155710</v>
      </c>
      <c r="L70" s="76">
        <f>_xlfn.IFERROR(K70/H70,"N/A")</f>
        <v>-0.0496313124364706</v>
      </c>
      <c r="M70" s="77">
        <f>IF('Settings'!$E$9="YAHOO",VLOOKUP(B70,'ADP'!A1:E665,2,FALSE),IF('Settings'!$E$9="ESPN",VLOOKUP(B70,'ADP'!A1:E665,3,FALSE),IF('Settings'!$E$9="FANTRAX",VLOOKUP(B70,'ADP'!A1:E665,4,FALSE),VLOOKUP(B70,'ADP'!A1:E665,5,FALSE))))</f>
        <v>0</v>
      </c>
      <c r="N70" s="77">
        <f>_xlfn.IFERROR(M70-A70,"N/A")</f>
        <v>-82</v>
      </c>
      <c r="O70" s="77"/>
      <c r="P70" t="s" s="78">
        <f>IF('Settings'!$E$27="ON",VLOOKUP(B70,'ADP'!A1:H665,8,FALSE)," ")</f>
        <v>138</v>
      </c>
      <c r="Q70" s="79">
        <f>IF('Settings'!$E$12="YES",VLOOKUP(B70,'Player Data'!A1:E667,5,FALSE),82)</f>
        <v>80.23999999999999</v>
      </c>
      <c r="R70" s="77">
        <f>VLOOKUP(B70,'Player Data'!$A1:$AE667,6,FALSE)</f>
        <v>20.1073567807708</v>
      </c>
      <c r="S70" s="79">
        <f>VLOOKUP(B70,'Player Data'!$A1:$AE667,7,FALSE)*$Q70*_xlfn.IFERROR((VLOOKUP(P70,'Settings'!$E$28:$F$33,2,FALSE)+1),1)</f>
        <v>34.4435007128687</v>
      </c>
      <c r="T70" s="79">
        <f>VLOOKUP(B70,'Player Data'!$A1:$AE667,8,FALSE)*$Q70*_xlfn.IFERROR((VLOOKUP(P70,'Settings'!$E$28:$F$33,2,FALSE)+1),1)</f>
        <v>33.9717596592616</v>
      </c>
      <c r="U70" s="79">
        <f>SUM(S70:T70)</f>
        <v>68.41526037213031</v>
      </c>
      <c r="V70" s="79">
        <f>VLOOKUP(B70,'Player Data'!$A1:$AE667,10,FALSE)*$Q70*_xlfn.IFERROR(((VLOOKUP(P70,'Settings'!$E$28:$F$33,2,FALSE)/2)+1),1)</f>
        <v>244.208034481347</v>
      </c>
      <c r="W70" s="79">
        <f>VLOOKUP(B70,'Player Data'!$A1:$AE667,11,FALSE)*$Q70*_xlfn.IFERROR((VLOOKUP(P70,'Settings'!$E$28:$F$33,2,FALSE)+1),1)</f>
        <v>10.504995791627</v>
      </c>
      <c r="X70" s="80">
        <f>VLOOKUP(B70,'Player Data'!$A1:$AE667,12,FALSE)*$Q70*_xlfn.IFERROR((VLOOKUP(P70,'Settings'!$E$28:$F$33,2,FALSE)+1),1)</f>
        <v>19.5491739419866</v>
      </c>
      <c r="Y70" s="79">
        <f>VLOOKUP(B70,'Player Data'!$A1:$AE667,13,FALSE)*$Q70</f>
        <v>0.9723044906959</v>
      </c>
      <c r="Z70" s="79">
        <f>VLOOKUP(B70,'Player Data'!$A1:$AE667,14,FALSE)*$Q70</f>
        <v>1.60055216649188</v>
      </c>
      <c r="AA70" s="79">
        <f>VLOOKUP(B70,'Player Data'!$A1:$AE667,15,FALSE)*$Q70</f>
        <v>45.3209224399184</v>
      </c>
      <c r="AB70" s="79">
        <f>VLOOKUP(B70,'Player Data'!$A1:$AE667,16,FALSE)*$Q70</f>
        <v>62.308379391518</v>
      </c>
      <c r="AC70" s="79">
        <f>VLOOKUP(B70,'Player Data'!$A1:$AE667,17,FALSE)*$Q70*_xlfn.IFERROR((VLOOKUP(P70,'Settings'!$E$28:$F$33,2,FALSE)+1),1)</f>
        <v>3.21297725658546</v>
      </c>
      <c r="AD70" s="79">
        <f>VLOOKUP(B70,'Player Data'!$A1:$AE667,18,FALSE)*$Q70</f>
        <v>31.6396935079169</v>
      </c>
      <c r="AE70" s="79">
        <f>VLOOKUP(B70,'Player Data'!$A1:$AE667,19,FALSE)*$Q70*_xlfn.IFERROR((VLOOKUP(P70,'Settings'!$E$28:$F$33,2,FALSE)+1),1)</f>
        <v>5.4131040018096</v>
      </c>
      <c r="AF70" s="79">
        <f>VLOOKUP(B70,'Player Data'!$A1:$AE667,20,FALSE)*$Q70</f>
        <v>840.1939771232491</v>
      </c>
      <c r="AG70" s="79">
        <f>VLOOKUP(B70,'Player Data'!$A1:$AE667,21,FALSE)*$Q70</f>
        <v>669.343327588229</v>
      </c>
      <c r="AH70" s="81">
        <f>VLOOKUP(B70,'Player Data'!$A1:$AE667,22,FALSE)</f>
        <v>0.556590403232093</v>
      </c>
      <c r="AI70" s="77"/>
      <c r="AJ70" s="89"/>
      <c r="AK70" s="79"/>
      <c r="AL70" s="79"/>
      <c r="AM70" s="79"/>
      <c r="AN70" s="79"/>
      <c r="AO70" s="79"/>
      <c r="AP70" s="79"/>
      <c r="AQ70" s="82"/>
      <c r="AR70" s="83"/>
      <c r="AS70" s="84"/>
    </row>
    <row r="71" ht="21.25" customHeight="1">
      <c r="A71" s="85">
        <f>RANK(K71,K$1:K$665)</f>
        <v>68</v>
      </c>
      <c r="B71" t="s" s="16">
        <v>241</v>
      </c>
      <c r="C71" t="s" s="69">
        <v>127</v>
      </c>
      <c r="D71" t="s" s="70">
        <f>VLOOKUP(B71,'Player Data'!A1:D667,4,FALSE)</f>
        <v>148</v>
      </c>
      <c r="E71" s="87">
        <f>VLOOKUP(B71,'RW'!A1:C136,3,FALSE)</f>
        <v>15</v>
      </c>
      <c r="F71" t="s" s="106">
        <f>VLOOKUP(B71,'Player Data'!A1:B667,2,FALSE)</f>
        <v>242</v>
      </c>
      <c r="G71" s="11">
        <f>VLOOKUP(B71,'Player Data'!A1:D667,3,FALSE)</f>
        <v>27</v>
      </c>
      <c r="H71" s="94">
        <f>_xlfn.IFERROR(VLOOKUP(B71,'ADP'!A1:G665,7,FALSE)/1000000,VLOOKUP(B71,'ADP'!A1:G665,7,FALSE))</f>
        <v>5.5</v>
      </c>
      <c r="I71" s="74">
        <f>IF('Settings'!$E$15="POINTS",((R71*Q71)*'Settings'!$B$12)+(S71*'Settings'!$B$2)+(T71*'Settings'!$B$3)+(U71*'Settings'!$B$4)+(V71*'Settings'!$B$5)+(X71*'Settings'!$B$9)+(AA71*'Settings'!$B$6)+(W71*'Settings'!$B$8)+(AB71*'Settings'!$B$7)+(AC71*'Settings'!$B$14)+(AD71*'Settings'!$B$15)+(AE71*'Settings'!$B$16)+(AF71*'Settings'!$B$17)+(AG71*'Settings'!$B$18)+(Y71*'Settings'!$B$10)+(Z71*'Settings'!$B$11),VLOOKUP(B71,'Standard Deviations'!A1:C666,3,FALSE))</f>
        <v>334.098127711234</v>
      </c>
      <c r="J71" s="75">
        <f>IF(D71="G",I71/AJ71,I71/Q71)</f>
        <v>4.30317011477633</v>
      </c>
      <c r="K71" s="74">
        <f>IF('Settings'!$E$18="C/LW/RW",VLOOKUP(B71,'RW'!A1:F136,6,FALSE),VLOOKUP(B71,'F'!A1:F392,6,FALSE))</f>
        <v>4.406233630056</v>
      </c>
      <c r="L71" s="76">
        <f>_xlfn.IFERROR(K71/H71,"N/A")</f>
        <v>0.8011333872829089</v>
      </c>
      <c r="M71" s="77">
        <f>IF('Settings'!$E$9="YAHOO",VLOOKUP(B71,'ADP'!A1:E665,2,FALSE),IF('Settings'!$E$9="ESPN",VLOOKUP(B71,'ADP'!A1:E665,3,FALSE),IF('Settings'!$E$9="FANTRAX",VLOOKUP(B71,'ADP'!A1:E665,4,FALSE),VLOOKUP(B71,'ADP'!A1:E665,5,FALSE))))</f>
        <v>0</v>
      </c>
      <c r="N71" s="77">
        <f>_xlfn.IFERROR(M71-A71,"N/A")</f>
        <v>-68</v>
      </c>
      <c r="O71" s="77"/>
      <c r="P71" t="s" s="78">
        <f>IF('Settings'!$E$27="ON",VLOOKUP(B71,'ADP'!A1:H665,8,FALSE)," ")</f>
        <v>138</v>
      </c>
      <c r="Q71" s="79">
        <f>IF('Settings'!$E$12="YES",VLOOKUP(B71,'Player Data'!A1:E667,5,FALSE),82)</f>
        <v>77.64</v>
      </c>
      <c r="R71" s="77">
        <f>VLOOKUP(B71,'Player Data'!$A1:$AE667,6,FALSE)</f>
        <v>19.6229153737227</v>
      </c>
      <c r="S71" s="79">
        <f>VLOOKUP(B71,'Player Data'!$A1:$AE667,7,FALSE)*$Q71*_xlfn.IFERROR((VLOOKUP(P71,'Settings'!$E$28:$F$33,2,FALSE)+1),1)</f>
        <v>31.4511334382101</v>
      </c>
      <c r="T71" s="79">
        <f>VLOOKUP(B71,'Player Data'!$A1:$AE667,8,FALSE)*$Q71*_xlfn.IFERROR((VLOOKUP(P71,'Settings'!$E$28:$F$33,2,FALSE)+1),1)</f>
        <v>36.8267375050768</v>
      </c>
      <c r="U71" s="79">
        <f>SUM(S71:T71)</f>
        <v>68.2778709432869</v>
      </c>
      <c r="V71" s="79">
        <f>VLOOKUP(B71,'Player Data'!$A1:$AE667,10,FALSE)*$Q71*_xlfn.IFERROR(((VLOOKUP(P71,'Settings'!$E$28:$F$33,2,FALSE)/2)+1),1)</f>
        <v>242.067342077592</v>
      </c>
      <c r="W71" s="79">
        <f>VLOOKUP(B71,'Player Data'!$A1:$AE667,11,FALSE)*$Q71*_xlfn.IFERROR((VLOOKUP(P71,'Settings'!$E$28:$F$33,2,FALSE)+1),1)</f>
        <v>4.19300531051599</v>
      </c>
      <c r="X71" s="101">
        <f>VLOOKUP(B71,'Player Data'!$A1:$AE667,12,FALSE)*$Q71*_xlfn.IFERROR((VLOOKUP(P71,'Settings'!$E$28:$F$33,2,FALSE)+1),1)</f>
        <v>11.8553387674078</v>
      </c>
      <c r="Y71" s="79">
        <f>VLOOKUP(B71,'Player Data'!$A1:$AE667,13,FALSE)*$Q71</f>
        <v>4.48193112768566</v>
      </c>
      <c r="Z71" s="79">
        <f>VLOOKUP(B71,'Player Data'!$A1:$AE667,14,FALSE)*$Q71</f>
        <v>6.18217869778061</v>
      </c>
      <c r="AA71" s="79">
        <f>VLOOKUP(B71,'Player Data'!$A1:$AE667,15,FALSE)*$Q71</f>
        <v>37.6766796288548</v>
      </c>
      <c r="AB71" s="79">
        <f>VLOOKUP(B71,'Player Data'!$A1:$AE667,16,FALSE)*$Q71</f>
        <v>83.2664412999668</v>
      </c>
      <c r="AC71" s="79">
        <f>VLOOKUP(B71,'Player Data'!$A1:$AE667,17,FALSE)*$Q71*_xlfn.IFERROR((VLOOKUP(P71,'Settings'!$E$28:$F$33,2,FALSE)+1),1)</f>
        <v>-1.61336976260061</v>
      </c>
      <c r="AD71" s="79">
        <f>VLOOKUP(B71,'Player Data'!$A1:$AE667,18,FALSE)*$Q71</f>
        <v>52.6193014851312</v>
      </c>
      <c r="AE71" s="79">
        <f>VLOOKUP(B71,'Player Data'!$A1:$AE667,19,FALSE)*$Q71*_xlfn.IFERROR((VLOOKUP(P71,'Settings'!$E$28:$F$33,2,FALSE)+1),1)</f>
        <v>4.55882691565594</v>
      </c>
      <c r="AF71" s="79">
        <f>VLOOKUP(B71,'Player Data'!$A1:$AE667,20,FALSE)*$Q71</f>
        <v>36.7491460063724</v>
      </c>
      <c r="AG71" s="79">
        <f>VLOOKUP(B71,'Player Data'!$A1:$AE667,21,FALSE)*$Q71</f>
        <v>49.5675427534713</v>
      </c>
      <c r="AH71" s="81">
        <f>VLOOKUP(B71,'Player Data'!$A1:$AE667,22,FALSE)</f>
        <v>0.425747865614011</v>
      </c>
      <c r="AI71" s="77"/>
      <c r="AJ71" s="79"/>
      <c r="AK71" s="79"/>
      <c r="AL71" s="79"/>
      <c r="AM71" s="79"/>
      <c r="AN71" s="79"/>
      <c r="AO71" s="79"/>
      <c r="AP71" s="79"/>
      <c r="AQ71" s="82"/>
      <c r="AR71" s="83"/>
      <c r="AS71" s="84"/>
    </row>
    <row r="72" ht="21.25" customHeight="1">
      <c r="A72" s="85">
        <f>RANK(K72,K$1:K$665)</f>
        <v>85</v>
      </c>
      <c r="B72" t="s" s="16">
        <v>243</v>
      </c>
      <c r="C72" t="s" s="69">
        <v>127</v>
      </c>
      <c r="D72" t="s" s="70">
        <f>VLOOKUP(B72,'Player Data'!A1:D667,4,FALSE)</f>
        <v>128</v>
      </c>
      <c r="E72" s="71">
        <f>VLOOKUP(B72,'C'!A1:C206,3,FALSE)</f>
        <v>31</v>
      </c>
      <c r="F72" t="s" s="78">
        <f>VLOOKUP(B72,'Player Data'!A1:B667,2,FALSE)</f>
        <v>244</v>
      </c>
      <c r="G72" s="96">
        <f>VLOOKUP(B72,'Player Data'!A1:D667,3,FALSE)</f>
        <v>19</v>
      </c>
      <c r="H72" s="73">
        <f>_xlfn.IFERROR(VLOOKUP(B72,'ADP'!A1:G665,7,FALSE)/1000000,VLOOKUP(B72,'ADP'!A1:G665,7,FALSE))</f>
        <v>0.95</v>
      </c>
      <c r="I72" s="74">
        <f>IF('Settings'!$E$15="POINTS",((R72*Q72)*'Settings'!$B$12)+(S72*'Settings'!$B$2)+(T72*'Settings'!$B$3)+(U72*'Settings'!$B$4)+(V72*'Settings'!$B$5)+(X72*'Settings'!$B$9)+(AA72*'Settings'!$B$6)+(W72*'Settings'!$B$8)+(AB72*'Settings'!$B$7)+(AC72*'Settings'!$B$14)+(AD72*'Settings'!$B$15)+(AE72*'Settings'!$B$16)+(AF72*'Settings'!$B$17)+(AG72*'Settings'!$B$18)+(Y72*'Settings'!$B$10)+(Z72*'Settings'!$B$11),VLOOKUP(B72,'Standard Deviations'!A1:C666,3,FALSE))</f>
        <v>328.397685695025</v>
      </c>
      <c r="J72" s="75">
        <f>IF(D72="G",I72/AJ72,I72/Q72)</f>
        <v>4.30855006159833</v>
      </c>
      <c r="K72" s="74">
        <f>IF('Settings'!$E$18="C/LW/RW",VLOOKUP(B72,'C'!A1:F206,6,FALSE),VLOOKUP(B72,'F'!A1:F392,6,FALSE))</f>
        <v>-1.294208386153</v>
      </c>
      <c r="L72" s="76">
        <f>_xlfn.IFERROR(K72/H72,"N/A")</f>
        <v>-1.36232461700316</v>
      </c>
      <c r="M72" s="77">
        <f>IF('Settings'!$E$9="YAHOO",VLOOKUP(B72,'ADP'!A1:E665,2,FALSE),IF('Settings'!$E$9="ESPN",VLOOKUP(B72,'ADP'!A1:E665,3,FALSE),IF('Settings'!$E$9="FANTRAX",VLOOKUP(B72,'ADP'!A1:E665,4,FALSE),VLOOKUP(B72,'ADP'!A1:E665,5,FALSE))))</f>
        <v>0</v>
      </c>
      <c r="N72" s="77">
        <f>_xlfn.IFERROR(M72-A72,"N/A")</f>
        <v>-85</v>
      </c>
      <c r="O72" s="77"/>
      <c r="P72" t="s" s="78">
        <f>IF('Settings'!$E$27="ON",VLOOKUP(B72,'ADP'!A1:H665,8,FALSE)," ")</f>
        <v>138</v>
      </c>
      <c r="Q72" s="79">
        <f>IF('Settings'!$E$12="YES",VLOOKUP(B72,'Player Data'!A1:E667,5,FALSE),82)</f>
        <v>76.22</v>
      </c>
      <c r="R72" s="77">
        <f>VLOOKUP(B72,'Player Data'!$A1:$AE667,6,FALSE)</f>
        <v>20.1941393345999</v>
      </c>
      <c r="S72" s="79">
        <f>VLOOKUP(B72,'Player Data'!$A1:$AE667,7,FALSE)*$Q72*_xlfn.IFERROR((VLOOKUP(P72,'Settings'!$E$28:$F$33,2,FALSE)+1),1)</f>
        <v>30.906649836241</v>
      </c>
      <c r="T72" s="79">
        <f>VLOOKUP(B72,'Player Data'!$A1:$AE667,8,FALSE)*$Q72*_xlfn.IFERROR((VLOOKUP(P72,'Settings'!$E$28:$F$33,2,FALSE)+1),1)</f>
        <v>51.7510329739963</v>
      </c>
      <c r="U72" s="79">
        <f>SUM(S72:T72)</f>
        <v>82.6576828102373</v>
      </c>
      <c r="V72" s="79">
        <f>VLOOKUP(B72,'Player Data'!$A1:$AE667,10,FALSE)*$Q72*_xlfn.IFERROR(((VLOOKUP(P72,'Settings'!$E$28:$F$33,2,FALSE)/2)+1),1)</f>
        <v>241.225455809258</v>
      </c>
      <c r="W72" s="79">
        <f>VLOOKUP(B72,'Player Data'!$A1:$AE667,11,FALSE)*$Q72*_xlfn.IFERROR((VLOOKUP(P72,'Settings'!$E$28:$F$33,2,FALSE)+1),1)</f>
        <v>6.88074669190853</v>
      </c>
      <c r="X72" s="80">
        <f>VLOOKUP(B72,'Player Data'!$A1:$AE667,12,FALSE)*$Q72*_xlfn.IFERROR((VLOOKUP(P72,'Settings'!$E$28:$F$33,2,FALSE)+1),1)</f>
        <v>29.3335800413981</v>
      </c>
      <c r="Y72" s="79">
        <f>VLOOKUP(B72,'Player Data'!$A1:$AE667,13,FALSE)*$Q72</f>
        <v>0.00662666483200278</v>
      </c>
      <c r="Z72" s="79">
        <f>VLOOKUP(B72,'Player Data'!$A1:$AE667,14,FALSE)*$Q72</f>
        <v>0.011036870927865</v>
      </c>
      <c r="AA72" s="79">
        <f>VLOOKUP(B72,'Player Data'!$A1:$AE667,15,FALSE)*$Q72</f>
        <v>31.4052659699524</v>
      </c>
      <c r="AB72" s="79">
        <f>VLOOKUP(B72,'Player Data'!$A1:$AE667,16,FALSE)*$Q72</f>
        <v>59.0340992553079</v>
      </c>
      <c r="AC72" s="79">
        <f>VLOOKUP(B72,'Player Data'!$A1:$AE667,17,FALSE)*$Q72*_xlfn.IFERROR((VLOOKUP(P72,'Settings'!$E$28:$F$33,2,FALSE)+1),1)</f>
        <v>-9.45471040648647</v>
      </c>
      <c r="AD72" s="79">
        <f>VLOOKUP(B72,'Player Data'!$A1:$AE667,18,FALSE)*$Q72</f>
        <v>35.0773088710355</v>
      </c>
      <c r="AE72" s="79">
        <f>VLOOKUP(B72,'Player Data'!$A1:$AE667,19,FALSE)*$Q72*_xlfn.IFERROR((VLOOKUP(P72,'Settings'!$E$28:$F$33,2,FALSE)+1),1)</f>
        <v>3.9942284737504</v>
      </c>
      <c r="AF72" s="79">
        <f>VLOOKUP(B72,'Player Data'!$A1:$AE667,20,FALSE)*$Q72</f>
        <v>236.843591241199</v>
      </c>
      <c r="AG72" s="79">
        <f>VLOOKUP(B72,'Player Data'!$A1:$AE667,21,FALSE)*$Q72</f>
        <v>371.855879968067</v>
      </c>
      <c r="AH72" s="81">
        <f>VLOOKUP(B72,'Player Data'!$A1:$AE667,22,FALSE)</f>
        <v>0.389097744360902</v>
      </c>
      <c r="AI72" s="77"/>
      <c r="AJ72" s="89"/>
      <c r="AK72" s="79"/>
      <c r="AL72" s="79"/>
      <c r="AM72" s="79"/>
      <c r="AN72" s="79"/>
      <c r="AO72" s="79"/>
      <c r="AP72" s="79"/>
      <c r="AQ72" s="82"/>
      <c r="AR72" s="83"/>
      <c r="AS72" s="84"/>
    </row>
    <row r="73" ht="21.25" customHeight="1">
      <c r="A73" s="85">
        <f>RANK(K73,K$1:K$665)</f>
        <v>61</v>
      </c>
      <c r="B73" t="s" s="16">
        <v>245</v>
      </c>
      <c r="C73" t="s" s="69">
        <v>127</v>
      </c>
      <c r="D73" t="s" s="70">
        <f>VLOOKUP(B73,'Player Data'!A1:D667,4,FALSE)</f>
        <v>161</v>
      </c>
      <c r="E73" s="99">
        <f>VLOOKUP(B73,'G'!A1:D65,3,FALSE)</f>
        <v>14</v>
      </c>
      <c r="F73" t="s" s="88">
        <f>VLOOKUP(B73,'Player Data'!A1:B667,2,FALSE)</f>
        <v>137</v>
      </c>
      <c r="G73" s="11">
        <f>VLOOKUP(B73,'Player Data'!A1:D667,3,FALSE)</f>
        <v>30</v>
      </c>
      <c r="H73" s="94">
        <f>_xlfn.IFERROR(VLOOKUP(B73,'ADP'!A1:G665,7,FALSE)/1000000,VLOOKUP(B73,'ADP'!A1:G665,7,FALSE))</f>
        <v>5</v>
      </c>
      <c r="I73" s="74">
        <f>IF('Settings'!$E$15="POINTS",(AJ73*'Settings'!$B$29)+(AK73*'Settings'!$B$21)+(AL73*'Settings'!$B$22)+(AN73*'Settings'!$B$24)+(AO73*'Settings'!$B$25)+(AP73*'Settings'!$B$27)+(AM73*'Settings'!$B$23),VLOOKUP(B73,'Standard Deviations'!A1:C666,3,FALSE))</f>
        <v>279.917024989839</v>
      </c>
      <c r="J73" s="75">
        <f>IF(D73="G",I73/AJ73,I73/Q73)</f>
        <v>5.83160468728831</v>
      </c>
      <c r="K73" s="74">
        <f>VLOOKUP(B73,'G'!A1:F65,6,FALSE)</f>
        <v>12.326010425249</v>
      </c>
      <c r="L73" s="76">
        <f>_xlfn.IFERROR(K73/H73,"N/A")</f>
        <v>2.4652020850498</v>
      </c>
      <c r="M73" s="77">
        <f>IF('Settings'!$E$9="YAHOO",VLOOKUP(B73,'ADP'!A1:E665,2,FALSE),IF('Settings'!$E$9="ESPN",VLOOKUP(B73,'ADP'!A1:E665,3,FALSE),IF('Settings'!$E$9="FANTRAX",VLOOKUP(B73,'ADP'!A1:E665,4,FALSE),VLOOKUP(B73,'ADP'!A1:E665,5,FALSE))))</f>
        <v>0</v>
      </c>
      <c r="N73" s="77">
        <f>_xlfn.IFERROR(M73-A73,"N/A")</f>
        <v>-61</v>
      </c>
      <c r="O73" s="77"/>
      <c r="P73" t="s" s="78">
        <f>IF('Settings'!$E$27="ON",VLOOKUP(B73,'ADP'!A1:H665,8,FALSE)," ")</f>
        <v>138</v>
      </c>
      <c r="Q73" s="79"/>
      <c r="R73" s="77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81"/>
      <c r="AI73" s="77"/>
      <c r="AJ73" s="89">
        <f>VLOOKUP(B73,'Player Data'!$A1:$AE667,24,FALSE)</f>
        <v>48</v>
      </c>
      <c r="AK73" s="79">
        <f>VLOOKUP(B73,'Player Data'!$A1:$AE667,25,FALSE)*$AJ73*_xlfn.IFERROR((VLOOKUP(P73,'Settings'!$E$28:$F$33,2,FALSE)+1),1)</f>
        <v>26.1715738242619</v>
      </c>
      <c r="AL73" s="79">
        <f>AJ73-AK73-AM73</f>
        <v>15.8284261757381</v>
      </c>
      <c r="AM73" s="79">
        <f>VLOOKUP(B73,'Player Data'!$A1:$AE667,27,FALSE)*$AJ73</f>
        <v>6</v>
      </c>
      <c r="AN73" s="79">
        <f>VLOOKUP(B73,'Player Data'!$A1:$AE667,28,FALSE)*AJ73</f>
        <v>3.2160548714214</v>
      </c>
      <c r="AO73" s="79">
        <f>VLOOKUP(B73,'Player Data'!$A1:$AE667,29,FALSE)*$AJ73*_xlfn.IFERROR((VLOOKUP(P73,'Settings'!$E$28:$F$33,2,FALSE)/4)+1,1)</f>
        <v>1341.3685457958</v>
      </c>
      <c r="AP73" s="79">
        <f>VLOOKUP(B73,'Player Data'!$A1:$AE667,31,FALSE)*$AJ73*(_xlfn.IFERROR(1-(VLOOKUP(P73,'Settings'!$E$28:$F$33,2,FALSE)/4),1))</f>
        <v>127.819346642098</v>
      </c>
      <c r="AQ73" s="82">
        <f>1-(AP73/(AO73+AP73))</f>
        <v>0.912999999999999</v>
      </c>
      <c r="AR73" s="83">
        <f>AP73/AJ73</f>
        <v>2.66290305504371</v>
      </c>
      <c r="AS73" s="84"/>
    </row>
    <row r="74" ht="21.25" customHeight="1">
      <c r="A74" s="85">
        <f>RANK(K74,K$1:K$665)</f>
        <v>64</v>
      </c>
      <c r="B74" t="s" s="16">
        <v>246</v>
      </c>
      <c r="C74" t="s" s="69">
        <v>127</v>
      </c>
      <c r="D74" t="s" s="70">
        <f>VLOOKUP(B74,'Player Data'!A1:D667,4,FALSE)</f>
        <v>153</v>
      </c>
      <c r="E74" s="95">
        <f>VLOOKUP(B74,'D'!A1:C213,3,FALSE)</f>
        <v>13</v>
      </c>
      <c r="F74" t="s" s="78">
        <f>VLOOKUP(B74,'Player Data'!A1:B667,2,FALSE)</f>
        <v>168</v>
      </c>
      <c r="G74" s="11">
        <f>VLOOKUP(B74,'Player Data'!A1:D667,3,FALSE)</f>
        <v>29</v>
      </c>
      <c r="H74" s="73">
        <f>_xlfn.IFERROR(VLOOKUP(B74,'ADP'!A1:G665,7,FALSE)/1000000,VLOOKUP(B74,'ADP'!A1:G665,7,FALSE))</f>
        <v>6.25</v>
      </c>
      <c r="I74" s="74">
        <f>IF('Settings'!$E$15="POINTS",((R74*Q74)*'Settings'!$B$12)+(S74*'Settings'!$B$2)+(T74*'Settings'!$B$3)+(U74*'Settings'!$B$4)+(V74*'Settings'!$B$5)+(X74*'Settings'!$B$9)+(AA74*'Settings'!$B$6)+(W74*'Settings'!$B$8)+(AB74*'Settings'!$B$7)+(AC74*'Settings'!$B$14)+(AD74*'Settings'!$B$15)+(AE74*'Settings'!$B$16)+(AF74*'Settings'!$B$17)+(AG74*'Settings'!$B$18)+(U74*'Settings'!$B$13)+(Y74*'Settings'!$B$10)+(Z74*'Settings'!$B$11),VLOOKUP(B74,'Standard Deviations'!A1:C666,3,FALSE))</f>
        <v>339.324252494952</v>
      </c>
      <c r="J74" s="75">
        <f>IF(D74="G",I74/AJ74,I74/Q74)</f>
        <v>4.18905901046205</v>
      </c>
      <c r="K74" s="74">
        <f>VLOOKUP(B74,'D'!A1:F213,6,FALSE)</f>
        <v>7.784044574870</v>
      </c>
      <c r="L74" s="76">
        <f>_xlfn.IFERROR(K74/H74,"N/A")</f>
        <v>1.2454471319792</v>
      </c>
      <c r="M74" s="77">
        <f>IF('Settings'!$E$9="YAHOO",VLOOKUP(B74,'ADP'!A1:E665,2,FALSE),IF('Settings'!$E$9="ESPN",VLOOKUP(B74,'ADP'!A1:E665,3,FALSE),IF('Settings'!$E$9="FANTRAX",VLOOKUP(B74,'ADP'!A1:E665,4,FALSE),VLOOKUP(B74,'ADP'!A1:E665,5,FALSE))))</f>
        <v>0</v>
      </c>
      <c r="N74" s="77">
        <f>_xlfn.IFERROR(M74-A74,"N/A")</f>
        <v>-64</v>
      </c>
      <c r="O74" s="77"/>
      <c r="P74" t="s" s="78">
        <f>IF('Settings'!$E$27="ON",VLOOKUP(B74,'ADP'!A1:H665,8,FALSE)," ")</f>
        <v>138</v>
      </c>
      <c r="Q74" s="79">
        <f>IF('Settings'!$E$12="YES",VLOOKUP(B74,'Player Data'!A1:E667,5,FALSE),82)</f>
        <v>81.0025</v>
      </c>
      <c r="R74" s="77">
        <f>VLOOKUP(B74,'Player Data'!$A1:$AE667,6,FALSE)</f>
        <v>24.1754959185637</v>
      </c>
      <c r="S74" s="79">
        <f>VLOOKUP(B74,'Player Data'!$A1:$AE667,7,FALSE)*$Q74*_xlfn.IFERROR((VLOOKUP(P74,'Settings'!$E$28:$F$33,2,FALSE)+1),1)</f>
        <v>12.6953583287957</v>
      </c>
      <c r="T74" s="79">
        <f>VLOOKUP(B74,'Player Data'!$A1:$AE667,8,FALSE)*$Q74*_xlfn.IFERROR((VLOOKUP(P74,'Settings'!$E$28:$F$33,2,FALSE)+1),1)</f>
        <v>51.0181936967414</v>
      </c>
      <c r="U74" s="79">
        <f>SUM(S74:T74)</f>
        <v>63.7135520255371</v>
      </c>
      <c r="V74" s="79">
        <f>VLOOKUP(B74,'Player Data'!$A1:$AE667,10,FALSE)*$Q74*_xlfn.IFERROR(((VLOOKUP(P74,'Settings'!$E$28:$F$33,2,FALSE)/2)+1),1)</f>
        <v>189.619247134987</v>
      </c>
      <c r="W74" s="79">
        <f>VLOOKUP(B74,'Player Data'!$A1:$AE667,11,FALSE)*$Q74*_xlfn.IFERROR((VLOOKUP(P74,'Settings'!$E$28:$F$33,2,FALSE)+1),1)</f>
        <v>3.00150246687053</v>
      </c>
      <c r="X74" s="80">
        <f>VLOOKUP(B74,'Player Data'!$A1:$AE667,12,FALSE)*$Q74*_xlfn.IFERROR((VLOOKUP(P74,'Settings'!$E$28:$F$33,2,FALSE)+1),1)</f>
        <v>20.6945870392961</v>
      </c>
      <c r="Y74" s="79">
        <f>VLOOKUP(B74,'Player Data'!$A1:$AE667,13,FALSE)*$Q74</f>
        <v>0.00429793689424698</v>
      </c>
      <c r="Z74" s="79">
        <f>VLOOKUP(B74,'Player Data'!$A1:$AE667,14,FALSE)*$Q74</f>
        <v>0.0212375119873437</v>
      </c>
      <c r="AA74" s="79">
        <f>VLOOKUP(B74,'Player Data'!$A1:$AE667,15,FALSE)*$Q74</f>
        <v>112.387654171473</v>
      </c>
      <c r="AB74" s="79">
        <f>VLOOKUP(B74,'Player Data'!$A1:$AE667,16,FALSE)*$Q74</f>
        <v>96.05963619974879</v>
      </c>
      <c r="AC74" s="79">
        <f>VLOOKUP(B74,'Player Data'!$A1:$AE667,17,FALSE)*$Q74*_xlfn.IFERROR((VLOOKUP(P74,'Settings'!$E$28:$F$33,2,FALSE)+1),1)</f>
        <v>5.83282284729313</v>
      </c>
      <c r="AD74" s="79">
        <f>VLOOKUP(B74,'Player Data'!$A1:$AE667,18,FALSE)*$Q74</f>
        <v>47.9167447577474</v>
      </c>
      <c r="AE74" s="79">
        <f>VLOOKUP(B74,'Player Data'!$A1:$AE667,19,FALSE)*$Q74*_xlfn.IFERROR((VLOOKUP(P74,'Settings'!$E$28:$F$33,2,FALSE)+1),1)</f>
        <v>2.1103057158441</v>
      </c>
      <c r="AF74" s="79">
        <f>VLOOKUP(B74,'Player Data'!$A1:$AE667,20,FALSE)*$Q74</f>
        <v>0</v>
      </c>
      <c r="AG74" s="79">
        <f>VLOOKUP(B74,'Player Data'!$A1:$AE667,21,FALSE)*$Q74</f>
        <v>0</v>
      </c>
      <c r="AH74" s="81">
        <f>VLOOKUP(B74,'Player Data'!$A1:$AE667,22,FALSE)</f>
        <v>0</v>
      </c>
      <c r="AI74" s="77"/>
      <c r="AJ74" s="79"/>
      <c r="AK74" s="79"/>
      <c r="AL74" s="79"/>
      <c r="AM74" s="79"/>
      <c r="AN74" s="79"/>
      <c r="AO74" s="79"/>
      <c r="AP74" s="79"/>
      <c r="AQ74" s="82"/>
      <c r="AR74" s="83"/>
      <c r="AS74" s="84"/>
    </row>
    <row r="75" ht="21.25" customHeight="1">
      <c r="A75" s="85">
        <f>RANK(K75,K$1:K$665)</f>
        <v>73</v>
      </c>
      <c r="B75" t="s" s="16">
        <v>247</v>
      </c>
      <c r="C75" t="s" s="69">
        <v>127</v>
      </c>
      <c r="D75" t="s" s="70">
        <f>VLOOKUP(B75,'Player Data'!A1:D667,4,FALSE)</f>
        <v>148</v>
      </c>
      <c r="E75" s="87">
        <f>VLOOKUP(B75,'RW'!A1:C136,3,FALSE)</f>
        <v>16</v>
      </c>
      <c r="F75" t="s" s="78">
        <f>VLOOKUP(B75,'Player Data'!A1:B667,2,FALSE)</f>
        <v>194</v>
      </c>
      <c r="G75" s="11">
        <f>VLOOKUP(B75,'Player Data'!A1:D667,3,FALSE)</f>
        <v>26</v>
      </c>
      <c r="H75" s="73">
        <f>_xlfn.IFERROR(VLOOKUP(B75,'ADP'!A1:G665,7,FALSE)/1000000,VLOOKUP(B75,'ADP'!A1:G665,7,FALSE))</f>
        <v>7.85</v>
      </c>
      <c r="I75" s="74">
        <f>IF('Settings'!$E$15="POINTS",((R75*Q75)*'Settings'!$B$12)+(S75*'Settings'!$B$2)+(T75*'Settings'!$B$3)+(U75*'Settings'!$B$4)+(V75*'Settings'!$B$5)+(X75*'Settings'!$B$9)+(AA75*'Settings'!$B$6)+(W75*'Settings'!$B$8)+(AB75*'Settings'!$B$7)+(AC75*'Settings'!$B$14)+(AD75*'Settings'!$B$15)+(AE75*'Settings'!$B$16)+(AF75*'Settings'!$B$17)+(AG75*'Settings'!$B$18)+(Y75*'Settings'!$B$10)+(Z75*'Settings'!$B$11),VLOOKUP(B75,'Standard Deviations'!A1:C666,3,FALSE))</f>
        <v>331.720111766212</v>
      </c>
      <c r="J75" s="75">
        <f>IF(D75="G",I75/AJ75,I75/Q75)</f>
        <v>4.07368429038698</v>
      </c>
      <c r="K75" s="74">
        <f>IF('Settings'!$E$18="C/LW/RW",VLOOKUP(B75,'RW'!A1:F136,6,FALSE),VLOOKUP(B75,'F'!A1:F392,6,FALSE))</f>
        <v>2.028217685034</v>
      </c>
      <c r="L75" s="76">
        <f>_xlfn.IFERROR(K75/H75,"N/A")</f>
        <v>0.258371679622166</v>
      </c>
      <c r="M75" s="77">
        <f>IF('Settings'!$E$9="YAHOO",VLOOKUP(B75,'ADP'!A1:E665,2,FALSE),IF('Settings'!$E$9="ESPN",VLOOKUP(B75,'ADP'!A1:E665,3,FALSE),IF('Settings'!$E$9="FANTRAX",VLOOKUP(B75,'ADP'!A1:E665,4,FALSE),VLOOKUP(B75,'ADP'!A1:E665,5,FALSE))))</f>
        <v>0</v>
      </c>
      <c r="N75" s="77">
        <f>_xlfn.IFERROR(M75-A75,"N/A")</f>
        <v>-73</v>
      </c>
      <c r="O75" s="77"/>
      <c r="P75" t="s" s="78">
        <f>IF('Settings'!$E$27="ON",VLOOKUP(B75,'ADP'!A1:H665,8,FALSE)," ")</f>
        <v>235</v>
      </c>
      <c r="Q75" s="79">
        <f>IF('Settings'!$E$12="YES",VLOOKUP(B75,'Player Data'!A1:E667,5,FALSE),82)</f>
        <v>81.43000000000001</v>
      </c>
      <c r="R75" s="77">
        <f>VLOOKUP(B75,'Player Data'!$A1:$AE667,6,FALSE)</f>
        <v>19.6709605173006</v>
      </c>
      <c r="S75" s="79">
        <f>VLOOKUP(B75,'Player Data'!$A1:$AE667,7,FALSE)*$Q75*_xlfn.IFERROR((VLOOKUP(P75,'Settings'!$E$28:$F$33,2,FALSE)+1),1)</f>
        <v>29.4686280091915</v>
      </c>
      <c r="T75" s="79">
        <f>VLOOKUP(B75,'Player Data'!$A1:$AE667,8,FALSE)*$Q75*_xlfn.IFERROR((VLOOKUP(P75,'Settings'!$E$28:$F$33,2,FALSE)+1),1)</f>
        <v>51.8967188001464</v>
      </c>
      <c r="U75" s="79">
        <f>SUM(S75:T75)</f>
        <v>81.36534680933789</v>
      </c>
      <c r="V75" s="79">
        <f>VLOOKUP(B75,'Player Data'!$A1:$AE667,10,FALSE)*$Q75*_xlfn.IFERROR(((VLOOKUP(P75,'Settings'!$E$28:$F$33,2,FALSE)/2)+1),1)</f>
        <v>237.244747710815</v>
      </c>
      <c r="W75" s="79">
        <f>VLOOKUP(B75,'Player Data'!$A1:$AE667,11,FALSE)*$Q75*_xlfn.IFERROR((VLOOKUP(P75,'Settings'!$E$28:$F$33,2,FALSE)+1),1)</f>
        <v>7.33265208640994</v>
      </c>
      <c r="X75" s="80">
        <f>VLOOKUP(B75,'Player Data'!$A1:$AE667,12,FALSE)*$Q75*_xlfn.IFERROR((VLOOKUP(P75,'Settings'!$E$28:$F$33,2,FALSE)+1),1)</f>
        <v>26.9219089401913</v>
      </c>
      <c r="Y75" s="79">
        <f>VLOOKUP(B75,'Player Data'!$A1:$AE667,13,FALSE)*$Q75</f>
        <v>0.180986148673353</v>
      </c>
      <c r="Z75" s="79">
        <f>VLOOKUP(B75,'Player Data'!$A1:$AE667,14,FALSE)*$Q75</f>
        <v>1.09504228503294</v>
      </c>
      <c r="AA75" s="79">
        <f>VLOOKUP(B75,'Player Data'!$A1:$AE667,15,FALSE)*$Q75</f>
        <v>33.0524996923978</v>
      </c>
      <c r="AB75" s="79">
        <f>VLOOKUP(B75,'Player Data'!$A1:$AE667,16,FALSE)*$Q75</f>
        <v>55.7059894020116</v>
      </c>
      <c r="AC75" s="79">
        <f>VLOOKUP(B75,'Player Data'!$A1:$AE667,17,FALSE)*$Q75*_xlfn.IFERROR((VLOOKUP(P75,'Settings'!$E$28:$F$33,2,FALSE)+1),1)</f>
        <v>6.40189564855909</v>
      </c>
      <c r="AD75" s="79">
        <f>VLOOKUP(B75,'Player Data'!$A1:$AE667,18,FALSE)*$Q75</f>
        <v>17.2447953785948</v>
      </c>
      <c r="AE75" s="79">
        <f>VLOOKUP(B75,'Player Data'!$A1:$AE667,19,FALSE)*$Q75*_xlfn.IFERROR((VLOOKUP(P75,'Settings'!$E$28:$F$33,2,FALSE)+1),1)</f>
        <v>4.44611818104931</v>
      </c>
      <c r="AF75" s="79">
        <f>VLOOKUP(B75,'Player Data'!$A1:$AE667,20,FALSE)*$Q75</f>
        <v>2.73863672383266</v>
      </c>
      <c r="AG75" s="79">
        <f>VLOOKUP(B75,'Player Data'!$A1:$AE667,21,FALSE)*$Q75</f>
        <v>14.1184545431526</v>
      </c>
      <c r="AH75" s="81">
        <f>VLOOKUP(B75,'Player Data'!$A1:$AE667,22,FALSE)</f>
        <v>0.162461997770416</v>
      </c>
      <c r="AI75" s="77"/>
      <c r="AJ75" s="79"/>
      <c r="AK75" s="79"/>
      <c r="AL75" s="79"/>
      <c r="AM75" s="79"/>
      <c r="AN75" s="79"/>
      <c r="AO75" s="79"/>
      <c r="AP75" s="79"/>
      <c r="AQ75" s="82"/>
      <c r="AR75" s="83"/>
      <c r="AS75" s="84"/>
    </row>
    <row r="76" ht="21.25" customHeight="1">
      <c r="A76" s="85">
        <f>RANK(K76,K$1:K$665)</f>
        <v>75</v>
      </c>
      <c r="B76" t="s" s="16">
        <v>248</v>
      </c>
      <c r="C76" t="s" s="69">
        <v>127</v>
      </c>
      <c r="D76" t="s" s="70">
        <f>VLOOKUP(B76,'Player Data'!A1:D667,4,FALSE)</f>
        <v>148</v>
      </c>
      <c r="E76" s="87">
        <f>VLOOKUP(B76,'RW'!A1:C136,3,FALSE)</f>
        <v>17</v>
      </c>
      <c r="F76" t="s" s="106">
        <f>VLOOKUP(B76,'Player Data'!A1:B667,2,FALSE)</f>
        <v>242</v>
      </c>
      <c r="G76" s="11">
        <f>VLOOKUP(B76,'Player Data'!A1:D667,3,FALSE)</f>
        <v>25</v>
      </c>
      <c r="H76" s="73">
        <f>_xlfn.IFERROR(VLOOKUP(B76,'ADP'!A1:G665,7,FALSE)/1000000,VLOOKUP(B76,'ADP'!A1:G665,7,FALSE))</f>
        <v>6.2</v>
      </c>
      <c r="I76" s="74">
        <f>IF('Settings'!$E$15="POINTS",((R76*Q76)*'Settings'!$B$12)+(S76*'Settings'!$B$2)+(T76*'Settings'!$B$3)+(U76*'Settings'!$B$4)+(V76*'Settings'!$B$5)+(X76*'Settings'!$B$9)+(AA76*'Settings'!$B$6)+(W76*'Settings'!$B$8)+(AB76*'Settings'!$B$7)+(AC76*'Settings'!$B$14)+(AD76*'Settings'!$B$15)+(AE76*'Settings'!$B$16)+(AF76*'Settings'!$B$17)+(AG76*'Settings'!$B$18)+(Y76*'Settings'!$B$10)+(Z76*'Settings'!$B$11),VLOOKUP(B76,'Standard Deviations'!A1:C666,3,FALSE))</f>
        <v>331.526586077197</v>
      </c>
      <c r="J76" s="75">
        <f>IF(D76="G",I76/AJ76,I76/Q76)</f>
        <v>4.21079714320258</v>
      </c>
      <c r="K76" s="74">
        <f>IF('Settings'!$E$18="C/LW/RW",VLOOKUP(B76,'RW'!A1:F136,6,FALSE),VLOOKUP(B76,'F'!A1:F392,6,FALSE))</f>
        <v>1.834691996019</v>
      </c>
      <c r="L76" s="76">
        <f>_xlfn.IFERROR(K76/H76,"N/A")</f>
        <v>0.295918063874032</v>
      </c>
      <c r="M76" s="77">
        <f>IF('Settings'!$E$9="YAHOO",VLOOKUP(B76,'ADP'!A1:E665,2,FALSE),IF('Settings'!$E$9="ESPN",VLOOKUP(B76,'ADP'!A1:E665,3,FALSE),IF('Settings'!$E$9="FANTRAX",VLOOKUP(B76,'ADP'!A1:E665,4,FALSE),VLOOKUP(B76,'ADP'!A1:E665,5,FALSE))))</f>
        <v>0</v>
      </c>
      <c r="N76" s="77">
        <f>_xlfn.IFERROR(M76-A76,"N/A")</f>
        <v>-75</v>
      </c>
      <c r="O76" s="77"/>
      <c r="P76" t="s" s="78">
        <f>IF('Settings'!$E$27="ON",VLOOKUP(B76,'ADP'!A1:H665,8,FALSE)," ")</f>
        <v>138</v>
      </c>
      <c r="Q76" s="79">
        <f>IF('Settings'!$E$12="YES",VLOOKUP(B76,'Player Data'!A1:E667,5,FALSE),82)</f>
        <v>78.7325</v>
      </c>
      <c r="R76" s="77">
        <f>VLOOKUP(B76,'Player Data'!$A1:$AE667,6,FALSE)</f>
        <v>17.4747066562133</v>
      </c>
      <c r="S76" s="79">
        <f>VLOOKUP(B76,'Player Data'!$A1:$AE667,7,FALSE)*$Q76*_xlfn.IFERROR((VLOOKUP(P76,'Settings'!$E$28:$F$33,2,FALSE)+1),1)</f>
        <v>27.8272326743099</v>
      </c>
      <c r="T76" s="79">
        <f>VLOOKUP(B76,'Player Data'!$A1:$AE667,8,FALSE)*$Q76*_xlfn.IFERROR((VLOOKUP(P76,'Settings'!$E$28:$F$33,2,FALSE)+1),1)</f>
        <v>27.029351825936</v>
      </c>
      <c r="U76" s="79">
        <f>SUM(S76:T76)</f>
        <v>54.8565845002459</v>
      </c>
      <c r="V76" s="79">
        <f>VLOOKUP(B76,'Player Data'!$A1:$AE667,10,FALSE)*$Q76*_xlfn.IFERROR(((VLOOKUP(P76,'Settings'!$E$28:$F$33,2,FALSE)/2)+1),1)</f>
        <v>273.610660485342</v>
      </c>
      <c r="W76" s="79">
        <f>VLOOKUP(B76,'Player Data'!$A1:$AE667,11,FALSE)*$Q76*_xlfn.IFERROR((VLOOKUP(P76,'Settings'!$E$28:$F$33,2,FALSE)+1),1)</f>
        <v>6.255816553967</v>
      </c>
      <c r="X76" s="101">
        <f>VLOOKUP(B76,'Player Data'!$A1:$AE667,12,FALSE)*$Q76*_xlfn.IFERROR((VLOOKUP(P76,'Settings'!$E$28:$F$33,2,FALSE)+1),1)</f>
        <v>11.2079493198534</v>
      </c>
      <c r="Y76" s="79">
        <f>VLOOKUP(B76,'Player Data'!$A1:$AE667,13,FALSE)*$Q76</f>
        <v>0.00873324734391955</v>
      </c>
      <c r="Z76" s="79">
        <f>VLOOKUP(B76,'Player Data'!$A1:$AE667,14,FALSE)*$Q76</f>
        <v>0.0147673621244463</v>
      </c>
      <c r="AA76" s="79">
        <f>VLOOKUP(B76,'Player Data'!$A1:$AE667,15,FALSE)*$Q76</f>
        <v>52.4014768344038</v>
      </c>
      <c r="AB76" s="79">
        <f>VLOOKUP(B76,'Player Data'!$A1:$AE667,16,FALSE)*$Q76</f>
        <v>138.794704925728</v>
      </c>
      <c r="AC76" s="79">
        <f>VLOOKUP(B76,'Player Data'!$A1:$AE667,17,FALSE)*$Q76*_xlfn.IFERROR((VLOOKUP(P76,'Settings'!$E$28:$F$33,2,FALSE)+1),1)</f>
        <v>-2.60539205153662</v>
      </c>
      <c r="AD76" s="79">
        <f>VLOOKUP(B76,'Player Data'!$A1:$AE667,18,FALSE)*$Q76</f>
        <v>18.9326301417112</v>
      </c>
      <c r="AE76" s="79">
        <f>VLOOKUP(B76,'Player Data'!$A1:$AE667,19,FALSE)*$Q76*_xlfn.IFERROR((VLOOKUP(P76,'Settings'!$E$28:$F$33,2,FALSE)+1),1)</f>
        <v>4.03354421401367</v>
      </c>
      <c r="AF76" s="79">
        <f>VLOOKUP(B76,'Player Data'!$A1:$AE667,20,FALSE)*$Q76</f>
        <v>24.4549817443045</v>
      </c>
      <c r="AG76" s="79">
        <f>VLOOKUP(B76,'Player Data'!$A1:$AE667,21,FALSE)*$Q76</f>
        <v>24.8300533321971</v>
      </c>
      <c r="AH76" s="81">
        <f>VLOOKUP(B76,'Player Data'!$A1:$AE667,22,FALSE)</f>
        <v>0.496194873481266</v>
      </c>
      <c r="AI76" s="77"/>
      <c r="AJ76" s="79"/>
      <c r="AK76" s="79"/>
      <c r="AL76" s="79"/>
      <c r="AM76" s="79"/>
      <c r="AN76" s="79"/>
      <c r="AO76" s="79"/>
      <c r="AP76" s="79"/>
      <c r="AQ76" s="82"/>
      <c r="AR76" s="83"/>
      <c r="AS76" s="84"/>
    </row>
    <row r="77" ht="21.25" customHeight="1">
      <c r="A77" s="85">
        <f>RANK(K77,K$1:K$665)</f>
        <v>76</v>
      </c>
      <c r="B77" t="s" s="16">
        <v>249</v>
      </c>
      <c r="C77" t="s" s="69">
        <v>127</v>
      </c>
      <c r="D77" t="s" s="70">
        <f>VLOOKUP(B77,'Player Data'!A1:D667,4,FALSE)</f>
        <v>145</v>
      </c>
      <c r="E77" s="87">
        <f>VLOOKUP(B77,'RW'!A1:C136,3,FALSE)</f>
        <v>18</v>
      </c>
      <c r="F77" t="s" s="78">
        <f>VLOOKUP(B77,'Player Data'!A1:B667,2,FALSE)</f>
        <v>204</v>
      </c>
      <c r="G77" s="96">
        <f>VLOOKUP(B77,'Player Data'!A1:D667,3,FALSE)</f>
        <v>21</v>
      </c>
      <c r="H77" s="94">
        <f>_xlfn.IFERROR(VLOOKUP(B77,'ADP'!A1:G665,7,FALSE)/1000000,VLOOKUP(B77,'ADP'!A1:G665,7,FALSE))</f>
        <v>0.894167</v>
      </c>
      <c r="I77" s="74">
        <f>IF('Settings'!$E$15="POINTS",((R77*Q77)*'Settings'!$B$12)+(S77*'Settings'!$B$2)+(T77*'Settings'!$B$3)+(U77*'Settings'!$B$4)+(V77*'Settings'!$B$5)+(X77*'Settings'!$B$9)+(AA77*'Settings'!$B$6)+(W77*'Settings'!$B$8)+(AB77*'Settings'!$B$7)+(AC77*'Settings'!$B$14)+(AD77*'Settings'!$B$15)+(AE77*'Settings'!$B$16)+(AF77*'Settings'!$B$17)+(AG77*'Settings'!$B$18)+(Y77*'Settings'!$B$10)+(Z77*'Settings'!$B$11),VLOOKUP(B77,'Standard Deviations'!A1:C666,3,FALSE))</f>
        <v>330.466334966661</v>
      </c>
      <c r="J77" s="75">
        <f>IF(D77="G",I77/AJ77,I77/Q77)</f>
        <v>4.02860337640694</v>
      </c>
      <c r="K77" s="74">
        <f>IF('Settings'!$E$18="C/LW/RW",VLOOKUP(B77,'RW'!A1:F136,6,FALSE),VLOOKUP(B77,'F'!A1:F392,6,FALSE))</f>
        <v>0.7744408854830001</v>
      </c>
      <c r="L77" s="76">
        <f>_xlfn.IFERROR(K77/H77,"N/A")</f>
        <v>0.866103183726306</v>
      </c>
      <c r="M77" s="77">
        <f>IF('Settings'!$E$9="YAHOO",VLOOKUP(B77,'ADP'!A1:E665,2,FALSE),IF('Settings'!$E$9="ESPN",VLOOKUP(B77,'ADP'!A1:E665,3,FALSE),IF('Settings'!$E$9="FANTRAX",VLOOKUP(B77,'ADP'!A1:E665,4,FALSE),VLOOKUP(B77,'ADP'!A1:E665,5,FALSE))))</f>
        <v>0</v>
      </c>
      <c r="N77" s="77">
        <f>_xlfn.IFERROR(M77-A77,"N/A")</f>
        <v>-76</v>
      </c>
      <c r="O77" s="77"/>
      <c r="P77" t="s" s="78">
        <f>IF('Settings'!$E$27="ON",VLOOKUP(B77,'ADP'!A1:H665,8,FALSE)," ")</f>
        <v>138</v>
      </c>
      <c r="Q77" s="79">
        <f>IF('Settings'!$E$12="YES",VLOOKUP(B77,'Player Data'!A1:E667,5,FALSE),82)</f>
        <v>82.03</v>
      </c>
      <c r="R77" s="98">
        <f>VLOOKUP(B77,'Player Data'!$A1:$AE667,6,FALSE)</f>
        <v>19.9465854027308</v>
      </c>
      <c r="S77" s="79">
        <f>VLOOKUP(B77,'Player Data'!$A1:$AE667,7,FALSE)*$Q77*_xlfn.IFERROR((VLOOKUP(P77,'Settings'!$E$28:$F$33,2,FALSE)+1),1)</f>
        <v>36.2286901438543</v>
      </c>
      <c r="T77" s="79">
        <f>VLOOKUP(B77,'Player Data'!$A1:$AE667,8,FALSE)*$Q77*_xlfn.IFERROR((VLOOKUP(P77,'Settings'!$E$28:$F$33,2,FALSE)+1),1)</f>
        <v>37.8216646134277</v>
      </c>
      <c r="U77" s="79">
        <f>SUM(S77:T77)</f>
        <v>74.05035475728199</v>
      </c>
      <c r="V77" s="79">
        <f>VLOOKUP(B77,'Player Data'!$A1:$AE667,10,FALSE)*$Q77*_xlfn.IFERROR(((VLOOKUP(P77,'Settings'!$E$28:$F$33,2,FALSE)/2)+1),1)</f>
        <v>247.786938136199</v>
      </c>
      <c r="W77" s="79">
        <f>VLOOKUP(B77,'Player Data'!$A1:$AE667,11,FALSE)*$Q77*_xlfn.IFERROR((VLOOKUP(P77,'Settings'!$E$28:$F$33,2,FALSE)+1),1)</f>
        <v>6.62823282540718</v>
      </c>
      <c r="X77" s="80">
        <f>VLOOKUP(B77,'Player Data'!$A1:$AE667,12,FALSE)*$Q77*_xlfn.IFERROR((VLOOKUP(P77,'Settings'!$E$28:$F$33,2,FALSE)+1),1)</f>
        <v>18.9742203367802</v>
      </c>
      <c r="Y77" s="79">
        <f>VLOOKUP(B77,'Player Data'!$A1:$AE667,13,FALSE)*$Q77</f>
        <v>2.52659944538606</v>
      </c>
      <c r="Z77" s="79">
        <f>VLOOKUP(B77,'Player Data'!$A1:$AE667,14,FALSE)*$Q77</f>
        <v>2.6707786406764</v>
      </c>
      <c r="AA77" s="79">
        <f>VLOOKUP(B77,'Player Data'!$A1:$AE667,15,FALSE)*$Q77</f>
        <v>44.4577857931451</v>
      </c>
      <c r="AB77" s="79">
        <f>VLOOKUP(B77,'Player Data'!$A1:$AE667,16,FALSE)*$Q77</f>
        <v>51.598176401165</v>
      </c>
      <c r="AC77" s="79">
        <f>VLOOKUP(B77,'Player Data'!$A1:$AE667,17,FALSE)*$Q77*_xlfn.IFERROR((VLOOKUP(P77,'Settings'!$E$28:$F$33,2,FALSE)+1),1)</f>
        <v>6.76972298815228</v>
      </c>
      <c r="AD77" s="79">
        <f>VLOOKUP(B77,'Player Data'!$A1:$AE667,18,FALSE)*$Q77</f>
        <v>37.4674827407592</v>
      </c>
      <c r="AE77" s="79">
        <f>VLOOKUP(B77,'Player Data'!$A1:$AE667,19,FALSE)*$Q77*_xlfn.IFERROR((VLOOKUP(P77,'Settings'!$E$28:$F$33,2,FALSE)+1),1)</f>
        <v>5.79364552965384</v>
      </c>
      <c r="AF77" s="79">
        <f>VLOOKUP(B77,'Player Data'!$A1:$AE667,20,FALSE)*$Q77</f>
        <v>327.928877162968</v>
      </c>
      <c r="AG77" s="79">
        <f>VLOOKUP(B77,'Player Data'!$A1:$AE667,21,FALSE)*$Q77</f>
        <v>366.837913080214</v>
      </c>
      <c r="AH77" s="81">
        <f>VLOOKUP(B77,'Player Data'!$A1:$AE667,22,FALSE)</f>
        <v>0.471998491822251</v>
      </c>
      <c r="AI77" s="77"/>
      <c r="AJ77" s="89"/>
      <c r="AK77" s="79"/>
      <c r="AL77" s="79"/>
      <c r="AM77" s="79"/>
      <c r="AN77" s="79"/>
      <c r="AO77" s="79"/>
      <c r="AP77" s="79"/>
      <c r="AQ77" s="82"/>
      <c r="AR77" s="83"/>
      <c r="AS77" s="84"/>
    </row>
    <row r="78" ht="21.25" customHeight="1">
      <c r="A78" s="85">
        <f>RANK(K78,K$1:K$665)</f>
        <v>78</v>
      </c>
      <c r="B78" t="s" s="16">
        <v>250</v>
      </c>
      <c r="C78" t="s" s="69">
        <v>127</v>
      </c>
      <c r="D78" t="s" s="70">
        <f>VLOOKUP(B78,'Player Data'!A1:D667,4,FALSE)</f>
        <v>145</v>
      </c>
      <c r="E78" s="87">
        <f>VLOOKUP(B78,'RW'!A1:C136,3,FALSE)</f>
        <v>19</v>
      </c>
      <c r="F78" t="s" s="103">
        <f>VLOOKUP(B78,'Player Data'!A1:B667,2,FALSE)</f>
        <v>190</v>
      </c>
      <c r="G78" s="11">
        <f>VLOOKUP(B78,'Player Data'!A1:D667,3,FALSE)</f>
        <v>27</v>
      </c>
      <c r="H78" s="73">
        <f>_xlfn.IFERROR(VLOOKUP(B78,'ADP'!A1:G665,7,FALSE)/1000000,VLOOKUP(B78,'ADP'!A1:G665,7,FALSE))</f>
        <v>9.15</v>
      </c>
      <c r="I78" s="74">
        <f>IF('Settings'!$E$15="POINTS",((R78*Q78)*'Settings'!$B$12)+(S78*'Settings'!$B$2)+(T78*'Settings'!$B$3)+(U78*'Settings'!$B$4)+(V78*'Settings'!$B$5)+(X78*'Settings'!$B$9)+(AA78*'Settings'!$B$6)+(W78*'Settings'!$B$8)+(AB78*'Settings'!$B$7)+(AC78*'Settings'!$B$14)+(AD78*'Settings'!$B$15)+(AE78*'Settings'!$B$16)+(AF78*'Settings'!$B$17)+(AG78*'Settings'!$B$18)+(Y78*'Settings'!$B$10)+(Z78*'Settings'!$B$11),VLOOKUP(B78,'Standard Deviations'!A1:C666,3,FALSE))</f>
        <v>329.691894081178</v>
      </c>
      <c r="J78" s="75">
        <f>IF(D78="G",I78/AJ78,I78/Q78)</f>
        <v>4.25546168546212</v>
      </c>
      <c r="K78" s="74">
        <f>IF('Settings'!$E$18="C/LW/RW",VLOOKUP(B78,'RW'!A1:F136,6,FALSE),VLOOKUP(B78,'F'!A1:F392,6,FALSE))</f>
        <v>0</v>
      </c>
      <c r="L78" s="76">
        <f>_xlfn.IFERROR(K78/H78,"N/A")</f>
        <v>0</v>
      </c>
      <c r="M78" s="77">
        <f>IF('Settings'!$E$9="YAHOO",VLOOKUP(B78,'ADP'!A1:E665,2,FALSE),IF('Settings'!$E$9="ESPN",VLOOKUP(B78,'ADP'!A1:E665,3,FALSE),IF('Settings'!$E$9="FANTRAX",VLOOKUP(B78,'ADP'!A1:E665,4,FALSE),VLOOKUP(B78,'ADP'!A1:E665,5,FALSE))))</f>
        <v>0</v>
      </c>
      <c r="N78" s="77">
        <f>_xlfn.IFERROR(M78-A78,"N/A")</f>
        <v>-78</v>
      </c>
      <c r="O78" s="77"/>
      <c r="P78" t="s" s="78">
        <f>IF('Settings'!$E$27="ON",VLOOKUP(B78,'ADP'!A1:H665,8,FALSE)," ")</f>
        <v>130</v>
      </c>
      <c r="Q78" s="79">
        <f>IF('Settings'!$E$12="YES",VLOOKUP(B78,'Player Data'!A1:E667,5,FALSE),82)</f>
        <v>77.47499999999999</v>
      </c>
      <c r="R78" s="77">
        <f>VLOOKUP(B78,'Player Data'!$A1:$AE667,6,FALSE)</f>
        <v>20.4388190146933</v>
      </c>
      <c r="S78" s="79">
        <f>VLOOKUP(B78,'Player Data'!$A1:$AE667,7,FALSE)*$Q78*_xlfn.IFERROR((VLOOKUP(P78,'Settings'!$E$28:$F$33,2,FALSE)+1),1)</f>
        <v>24.192576207166</v>
      </c>
      <c r="T78" s="79">
        <f>VLOOKUP(B78,'Player Data'!$A1:$AE667,8,FALSE)*$Q78*_xlfn.IFERROR((VLOOKUP(P78,'Settings'!$E$28:$F$33,2,FALSE)+1),1)</f>
        <v>57.5516638238733</v>
      </c>
      <c r="U78" s="79">
        <f>SUM(S78:T78)</f>
        <v>81.7442400310393</v>
      </c>
      <c r="V78" s="79">
        <f>VLOOKUP(B78,'Player Data'!$A1:$AE667,10,FALSE)*$Q78*_xlfn.IFERROR(((VLOOKUP(P78,'Settings'!$E$28:$F$33,2,FALSE)/2)+1),1)</f>
        <v>232.923784462870</v>
      </c>
      <c r="W78" s="79">
        <f>VLOOKUP(B78,'Player Data'!$A1:$AE667,11,FALSE)*$Q78*_xlfn.IFERROR((VLOOKUP(P78,'Settings'!$E$28:$F$33,2,FALSE)+1),1)</f>
        <v>5.11192757529583</v>
      </c>
      <c r="X78" s="80">
        <f>VLOOKUP(B78,'Player Data'!$A1:$AE667,12,FALSE)*$Q78*_xlfn.IFERROR((VLOOKUP(P78,'Settings'!$E$28:$F$33,2,FALSE)+1),1)</f>
        <v>25.8611063332645</v>
      </c>
      <c r="Y78" s="79">
        <f>VLOOKUP(B78,'Player Data'!$A1:$AE667,13,FALSE)*$Q78</f>
        <v>0.0157646517897139</v>
      </c>
      <c r="Z78" s="79">
        <f>VLOOKUP(B78,'Player Data'!$A1:$AE667,14,FALSE)*$Q78</f>
        <v>0.0267768141127964</v>
      </c>
      <c r="AA78" s="79">
        <f>VLOOKUP(B78,'Player Data'!$A1:$AE667,15,FALSE)*$Q78</f>
        <v>47.7295599306955</v>
      </c>
      <c r="AB78" s="79">
        <f>VLOOKUP(B78,'Player Data'!$A1:$AE667,16,FALSE)*$Q78</f>
        <v>50.1575743649251</v>
      </c>
      <c r="AC78" s="79">
        <f>VLOOKUP(B78,'Player Data'!$A1:$AE667,17,FALSE)*$Q78*_xlfn.IFERROR((VLOOKUP(P78,'Settings'!$E$28:$F$33,2,FALSE)+1),1)</f>
        <v>4.03036155047239</v>
      </c>
      <c r="AD78" s="79">
        <f>VLOOKUP(B78,'Player Data'!$A1:$AE667,18,FALSE)*$Q78</f>
        <v>32.3080615722994</v>
      </c>
      <c r="AE78" s="79">
        <f>VLOOKUP(B78,'Player Data'!$A1:$AE667,19,FALSE)*$Q78*_xlfn.IFERROR((VLOOKUP(P78,'Settings'!$E$28:$F$33,2,FALSE)+1),1)</f>
        <v>3.80207959036424</v>
      </c>
      <c r="AF78" s="79">
        <f>VLOOKUP(B78,'Player Data'!$A1:$AE667,20,FALSE)*$Q78</f>
        <v>87.35228245679259</v>
      </c>
      <c r="AG78" s="79">
        <f>VLOOKUP(B78,'Player Data'!$A1:$AE667,21,FALSE)*$Q78</f>
        <v>121.858126626481</v>
      </c>
      <c r="AH78" s="81">
        <f>VLOOKUP(B78,'Player Data'!$A1:$AE667,22,FALSE)</f>
        <v>0.417533156402476</v>
      </c>
      <c r="AI78" s="77"/>
      <c r="AJ78" s="79"/>
      <c r="AK78" s="79"/>
      <c r="AL78" s="79"/>
      <c r="AM78" s="79"/>
      <c r="AN78" s="79"/>
      <c r="AO78" s="79"/>
      <c r="AP78" s="79"/>
      <c r="AQ78" s="82"/>
      <c r="AR78" s="83"/>
      <c r="AS78" s="84"/>
    </row>
    <row r="79" ht="21.25" customHeight="1">
      <c r="A79" s="85">
        <f>RANK(K79,K$1:K$665)</f>
        <v>87</v>
      </c>
      <c r="B79" t="s" s="16">
        <v>251</v>
      </c>
      <c r="C79" t="s" s="69">
        <v>127</v>
      </c>
      <c r="D79" t="s" s="70">
        <f>VLOOKUP(B79,'Player Data'!A1:D667,4,FALSE)</f>
        <v>178</v>
      </c>
      <c r="E79" s="102">
        <f>VLOOKUP(B79,'LW'!A1:C152,3,FALSE)</f>
        <v>21</v>
      </c>
      <c r="F79" t="s" s="88">
        <f>VLOOKUP(B79,'Player Data'!A1:B667,2,FALSE)</f>
        <v>239</v>
      </c>
      <c r="G79" s="96">
        <f>VLOOKUP(B79,'Player Data'!A1:D667,3,FALSE)</f>
        <v>20</v>
      </c>
      <c r="H79" s="73">
        <f>_xlfn.IFERROR(VLOOKUP(B79,'ADP'!A1:G665,7,FALSE)/1000000,VLOOKUP(B79,'ADP'!A1:G665,7,FALSE))</f>
        <v>0.95</v>
      </c>
      <c r="I79" s="74">
        <f>IF('Settings'!$E$15="POINTS",((R79*Q79)*'Settings'!$B$12)+(S79*'Settings'!$B$2)+(T79*'Settings'!$B$3)+(U79*'Settings'!$B$4)+(V79*'Settings'!$B$5)+(X79*'Settings'!$B$9)+(AA79*'Settings'!$B$6)+(W79*'Settings'!$B$8)+(AB79*'Settings'!$B$7)+(AC79*'Settings'!$B$14)+(AD79*'Settings'!$B$15)+(AE79*'Settings'!$B$16)+(AF79*'Settings'!$B$17)+(AG79*'Settings'!$B$18)+(Y79*'Settings'!$B$10)+(Z79*'Settings'!$B$11),VLOOKUP(B79,'Standard Deviations'!A1:C666,3,FALSE))</f>
        <v>329.060709527179</v>
      </c>
      <c r="J79" s="75">
        <f>IF(D79="G",I79/AJ79,I79/Q79)</f>
        <v>4.31739048810547</v>
      </c>
      <c r="K79" s="74">
        <f>IF('Settings'!$E$18="C/LW/RW",VLOOKUP(B79,'LW'!A1:F152,6,FALSE),VLOOKUP(B79,'F'!A1:F392,6,FALSE))</f>
        <v>-2.659402239033</v>
      </c>
      <c r="L79" s="76">
        <f>_xlfn.IFERROR(K79/H79,"N/A")</f>
        <v>-2.79937077792947</v>
      </c>
      <c r="M79" s="77">
        <f>IF('Settings'!$E$9="YAHOO",VLOOKUP(B79,'ADP'!A1:E665,2,FALSE),IF('Settings'!$E$9="ESPN",VLOOKUP(B79,'ADP'!A1:E665,3,FALSE),IF('Settings'!$E$9="FANTRAX",VLOOKUP(B79,'ADP'!A1:E665,4,FALSE),VLOOKUP(B79,'ADP'!A1:E665,5,FALSE))))</f>
        <v>0</v>
      </c>
      <c r="N79" s="77">
        <f>_xlfn.IFERROR(M79-A79,"N/A")</f>
        <v>-87</v>
      </c>
      <c r="O79" s="77"/>
      <c r="P79" t="s" s="78">
        <f>IF('Settings'!$E$27="ON",VLOOKUP(B79,'ADP'!A1:H665,8,FALSE)," ")</f>
        <v>185</v>
      </c>
      <c r="Q79" s="79">
        <f>IF('Settings'!$E$12="YES",VLOOKUP(B79,'Player Data'!A1:E667,5,FALSE),82)</f>
        <v>76.2175</v>
      </c>
      <c r="R79" s="98">
        <f>VLOOKUP(B79,'Player Data'!$A1:$AE667,6,FALSE)</f>
        <v>19.2690625217244</v>
      </c>
      <c r="S79" s="79">
        <f>VLOOKUP(B79,'Player Data'!$A1:$AE667,7,FALSE)*$Q79*_xlfn.IFERROR((VLOOKUP(P79,'Settings'!$E$28:$F$33,2,FALSE)+1),1)</f>
        <v>25.5010981212054</v>
      </c>
      <c r="T79" s="79">
        <f>VLOOKUP(B79,'Player Data'!$A1:$AE667,8,FALSE)*$Q79*_xlfn.IFERROR((VLOOKUP(P79,'Settings'!$E$28:$F$33,2,FALSE)+1),1)</f>
        <v>37.2599123204769</v>
      </c>
      <c r="U79" s="79">
        <f>SUM(S79:T79)</f>
        <v>62.7610104416823</v>
      </c>
      <c r="V79" s="79">
        <f>VLOOKUP(B79,'Player Data'!$A1:$AE667,10,FALSE)*$Q79*_xlfn.IFERROR(((VLOOKUP(P79,'Settings'!$E$28:$F$33,2,FALSE)/2)+1),1)</f>
        <v>169.806513691462</v>
      </c>
      <c r="W79" s="79">
        <f>VLOOKUP(B79,'Player Data'!$A1:$AE667,11,FALSE)*$Q79*_xlfn.IFERROR((VLOOKUP(P79,'Settings'!$E$28:$F$33,2,FALSE)+1),1)</f>
        <v>8.84790044639635</v>
      </c>
      <c r="X79" s="80">
        <f>VLOOKUP(B79,'Player Data'!$A1:$AE667,12,FALSE)*$Q79*_xlfn.IFERROR((VLOOKUP(P79,'Settings'!$E$28:$F$33,2,FALSE)+1),1)</f>
        <v>20.9135514329008</v>
      </c>
      <c r="Y79" s="79">
        <f>VLOOKUP(B79,'Player Data'!$A1:$AE667,13,FALSE)*$Q79</f>
        <v>0.00583871682079996</v>
      </c>
      <c r="Z79" s="79">
        <f>VLOOKUP(B79,'Player Data'!$A1:$AE667,14,FALSE)*$Q79</f>
        <v>0.009772739192945031</v>
      </c>
      <c r="AA79" s="79">
        <f>VLOOKUP(B79,'Player Data'!$A1:$AE667,15,FALSE)*$Q79</f>
        <v>64.25076089428759</v>
      </c>
      <c r="AB79" s="79">
        <f>VLOOKUP(B79,'Player Data'!$A1:$AE667,16,FALSE)*$Q79</f>
        <v>133.124912564028</v>
      </c>
      <c r="AC79" s="79">
        <f>VLOOKUP(B79,'Player Data'!$A1:$AE667,17,FALSE)*$Q79*_xlfn.IFERROR((VLOOKUP(P79,'Settings'!$E$28:$F$33,2,FALSE)+1),1)</f>
        <v>-4.46344707137485</v>
      </c>
      <c r="AD79" s="79">
        <f>VLOOKUP(B79,'Player Data'!$A1:$AE667,18,FALSE)*$Q79</f>
        <v>52.8317503723927</v>
      </c>
      <c r="AE79" s="79">
        <f>VLOOKUP(B79,'Player Data'!$A1:$AE667,19,FALSE)*$Q79*_xlfn.IFERROR((VLOOKUP(P79,'Settings'!$E$28:$F$33,2,FALSE)+1),1)</f>
        <v>2.95560972659799</v>
      </c>
      <c r="AF79" s="79">
        <f>VLOOKUP(B79,'Player Data'!$A1:$AE667,20,FALSE)*$Q79</f>
        <v>10.3252244986737</v>
      </c>
      <c r="AG79" s="79">
        <f>VLOOKUP(B79,'Player Data'!$A1:$AE667,21,FALSE)*$Q79</f>
        <v>10.3252244986736</v>
      </c>
      <c r="AH79" s="81">
        <f>VLOOKUP(B79,'Player Data'!$A1:$AE667,22,FALSE)</f>
        <v>0.5</v>
      </c>
      <c r="AI79" s="77"/>
      <c r="AJ79" s="89"/>
      <c r="AK79" s="79"/>
      <c r="AL79" s="79"/>
      <c r="AM79" s="79"/>
      <c r="AN79" s="79"/>
      <c r="AO79" s="79"/>
      <c r="AP79" s="79"/>
      <c r="AQ79" s="82"/>
      <c r="AR79" s="83"/>
      <c r="AS79" s="84"/>
    </row>
    <row r="80" ht="21.25" customHeight="1">
      <c r="A80" s="85">
        <f>RANK(K80,K$1:K$665)</f>
        <v>83</v>
      </c>
      <c r="B80" t="s" s="16">
        <v>252</v>
      </c>
      <c r="C80" t="s" s="69">
        <v>127</v>
      </c>
      <c r="D80" t="s" s="70">
        <f>VLOOKUP(B80,'Player Data'!A1:D667,4,FALSE)</f>
        <v>140</v>
      </c>
      <c r="E80" s="90">
        <f>VLOOKUP(B80,'RW'!A1:F136,3,FALSE)</f>
        <v>20</v>
      </c>
      <c r="F80" t="s" s="86">
        <f>VLOOKUP(B80,'Player Data'!A1:B667,2,FALSE)</f>
        <v>154</v>
      </c>
      <c r="G80" s="11">
        <f>VLOOKUP(B80,'Player Data'!A1:D667,3,FALSE)</f>
        <v>28</v>
      </c>
      <c r="H80" s="73">
        <f>_xlfn.IFERROR(VLOOKUP(B80,'ADP'!A1:G665,7,FALSE)/1000000,VLOOKUP(B80,'ADP'!A1:G665,7,FALSE))</f>
        <v>4.75</v>
      </c>
      <c r="I80" s="74">
        <f>IF('Settings'!$E$15="POINTS",((R80*Q80)*'Settings'!$B$12)+(S80*'Settings'!$B$2)+(T80*'Settings'!$B$3)+(U80*'Settings'!$B$4)+(V80*'Settings'!$B$5)+(X80*'Settings'!$B$9)+(AA80*'Settings'!$B$6)+(W80*'Settings'!$B$8)+(AB80*'Settings'!$B$7)+(AC80*'Settings'!$B$14)+(AD80*'Settings'!$B$15)+(AE80*'Settings'!$B$16)+(AF80*'Settings'!$B$17)+(AG80*'Settings'!$B$18)+(Y80*'Settings'!$B$10)+(Z80*'Settings'!$B$11),VLOOKUP(B80,'Standard Deviations'!A1:C666,3,FALSE))</f>
        <v>328.948973168702</v>
      </c>
      <c r="J80" s="75">
        <f>IF(D80="G",I80/AJ80,I80/Q80)</f>
        <v>4.30068930437917</v>
      </c>
      <c r="K80" s="74">
        <f>IF('Settings'!$E$18="C/LW/RW",VLOOKUP(B80,'RW'!A1:F136,6,FALSE),VLOOKUP(B80,'F'!A1:F392,6,FALSE))</f>
        <v>-0.742920912476</v>
      </c>
      <c r="L80" s="76">
        <f>_xlfn.IFERROR(K80/H80,"N/A")</f>
        <v>-0.156404402626526</v>
      </c>
      <c r="M80" s="77">
        <f>IF('Settings'!$E$9="YAHOO",VLOOKUP(B80,'ADP'!A1:E665,2,FALSE),IF('Settings'!$E$9="ESPN",VLOOKUP(B80,'ADP'!A1:E665,3,FALSE),IF('Settings'!$E$9="FANTRAX",VLOOKUP(B80,'ADP'!A1:E665,4,FALSE),VLOOKUP(B80,'ADP'!A1:E665,5,FALSE))))</f>
        <v>0</v>
      </c>
      <c r="N80" s="77">
        <f>_xlfn.IFERROR(M80-A80,"N/A")</f>
        <v>-83</v>
      </c>
      <c r="O80" s="77"/>
      <c r="P80" t="s" s="78">
        <f>IF('Settings'!$E$27="ON",VLOOKUP(B80,'ADP'!A1:H665,8,FALSE)," ")</f>
        <v>138</v>
      </c>
      <c r="Q80" s="79">
        <f>IF('Settings'!$E$12="YES",VLOOKUP(B80,'Player Data'!A1:E667,5,FALSE),82)</f>
        <v>76.4875</v>
      </c>
      <c r="R80" s="77">
        <f>VLOOKUP(B80,'Player Data'!$A1:$AE667,6,FALSE)</f>
        <v>19.886386341682</v>
      </c>
      <c r="S80" s="79">
        <f>VLOOKUP(B80,'Player Data'!$A1:$AE667,7,FALSE)*$Q80*_xlfn.IFERROR((VLOOKUP(P80,'Settings'!$E$28:$F$33,2,FALSE)+1),1)</f>
        <v>27.8248825813457</v>
      </c>
      <c r="T80" s="79">
        <f>VLOOKUP(B80,'Player Data'!$A1:$AE667,8,FALSE)*$Q80*_xlfn.IFERROR((VLOOKUP(P80,'Settings'!$E$28:$F$33,2,FALSE)+1),1)</f>
        <v>42.5204922960285</v>
      </c>
      <c r="U80" s="79">
        <f>SUM(S80:T80)</f>
        <v>70.3453748773742</v>
      </c>
      <c r="V80" s="79">
        <f>VLOOKUP(B80,'Player Data'!$A1:$AE667,10,FALSE)*$Q80*_xlfn.IFERROR(((VLOOKUP(P80,'Settings'!$E$28:$F$33,2,FALSE)/2)+1),1)</f>
        <v>210.607204048774</v>
      </c>
      <c r="W80" s="79">
        <f>VLOOKUP(B80,'Player Data'!$A1:$AE667,11,FALSE)*$Q80*_xlfn.IFERROR((VLOOKUP(P80,'Settings'!$E$28:$F$33,2,FALSE)+1),1)</f>
        <v>5.08061707707103</v>
      </c>
      <c r="X80" s="80">
        <f>VLOOKUP(B80,'Player Data'!$A1:$AE667,12,FALSE)*$Q80*_xlfn.IFERROR((VLOOKUP(P80,'Settings'!$E$28:$F$33,2,FALSE)+1),1)</f>
        <v>16.7421303075498</v>
      </c>
      <c r="Y80" s="79">
        <f>VLOOKUP(B80,'Player Data'!$A1:$AE667,13,FALSE)*$Q80</f>
        <v>1.03900849039005</v>
      </c>
      <c r="Z80" s="79">
        <f>VLOOKUP(B80,'Player Data'!$A1:$AE667,14,FALSE)*$Q80</f>
        <v>1.12751216710414</v>
      </c>
      <c r="AA80" s="79">
        <f>VLOOKUP(B80,'Player Data'!$A1:$AE667,15,FALSE)*$Q80</f>
        <v>70.6537604421686</v>
      </c>
      <c r="AB80" s="79">
        <f>VLOOKUP(B80,'Player Data'!$A1:$AE667,16,FALSE)*$Q80</f>
        <v>68.77182793814529</v>
      </c>
      <c r="AC80" s="79">
        <f>VLOOKUP(B80,'Player Data'!$A1:$AE667,17,FALSE)*$Q80*_xlfn.IFERROR((VLOOKUP(P80,'Settings'!$E$28:$F$33,2,FALSE)+1),1)</f>
        <v>1.02574021651195</v>
      </c>
      <c r="AD80" s="79">
        <f>VLOOKUP(B80,'Player Data'!$A1:$AE667,18,FALSE)*$Q80</f>
        <v>34.8390390640358</v>
      </c>
      <c r="AE80" s="79">
        <f>VLOOKUP(B80,'Player Data'!$A1:$AE667,19,FALSE)*$Q80*_xlfn.IFERROR((VLOOKUP(P80,'Settings'!$E$28:$F$33,2,FALSE)+1),1)</f>
        <v>3.93598089365459</v>
      </c>
      <c r="AF80" s="79">
        <f>VLOOKUP(B80,'Player Data'!$A1:$AE667,20,FALSE)*$Q80</f>
        <v>40.0068532171208</v>
      </c>
      <c r="AG80" s="79">
        <f>VLOOKUP(B80,'Player Data'!$A1:$AE667,21,FALSE)*$Q80</f>
        <v>57.9565543943437</v>
      </c>
      <c r="AH80" s="81">
        <f>VLOOKUP(B80,'Player Data'!$A1:$AE667,22,FALSE)</f>
        <v>0.408385683925912</v>
      </c>
      <c r="AI80" s="77"/>
      <c r="AJ80" s="79"/>
      <c r="AK80" s="79"/>
      <c r="AL80" s="79"/>
      <c r="AM80" s="79"/>
      <c r="AN80" s="79"/>
      <c r="AO80" s="79"/>
      <c r="AP80" s="79"/>
      <c r="AQ80" s="82"/>
      <c r="AR80" s="83"/>
      <c r="AS80" s="84"/>
    </row>
    <row r="81" ht="21.25" customHeight="1">
      <c r="A81" s="85">
        <f>RANK(K81,K$1:K$665)</f>
        <v>71</v>
      </c>
      <c r="B81" t="s" s="16">
        <v>253</v>
      </c>
      <c r="C81" t="s" s="69">
        <v>127</v>
      </c>
      <c r="D81" t="s" s="70">
        <f>VLOOKUP(B81,'Player Data'!A1:D667,4,FALSE)</f>
        <v>153</v>
      </c>
      <c r="E81" s="95">
        <f>VLOOKUP(B81,'D'!A1:C213,3,FALSE)</f>
        <v>14</v>
      </c>
      <c r="F81" t="s" s="92">
        <f>VLOOKUP(B81,'Player Data'!A1:B667,2,FALSE)</f>
        <v>146</v>
      </c>
      <c r="G81" s="96">
        <f>VLOOKUP(B81,'Player Data'!A1:D667,3,FALSE)</f>
        <v>24</v>
      </c>
      <c r="H81" s="73">
        <f>_xlfn.IFERROR(VLOOKUP(B81,'ADP'!A1:G665,7,FALSE)/1000000,VLOOKUP(B81,'ADP'!A1:G665,7,FALSE))</f>
        <v>7.85</v>
      </c>
      <c r="I81" s="74">
        <f>IF('Settings'!$E$15="POINTS",((R81*Q81)*'Settings'!$B$12)+(S81*'Settings'!$B$2)+(T81*'Settings'!$B$3)+(U81*'Settings'!$B$4)+(V81*'Settings'!$B$5)+(X81*'Settings'!$B$9)+(AA81*'Settings'!$B$6)+(W81*'Settings'!$B$8)+(AB81*'Settings'!$B$7)+(AC81*'Settings'!$B$14)+(AD81*'Settings'!$B$15)+(AE81*'Settings'!$B$16)+(AF81*'Settings'!$B$17)+(AG81*'Settings'!$B$18)+(U81*'Settings'!$B$13)+(Y81*'Settings'!$B$10)+(Z81*'Settings'!$B$11),VLOOKUP(B81,'Standard Deviations'!A1:C666,3,FALSE))</f>
        <v>334.708584082584</v>
      </c>
      <c r="J81" s="75">
        <f>IF(D81="G",I81/AJ81,I81/Q81)</f>
        <v>4.13833560932967</v>
      </c>
      <c r="K81" s="74">
        <f>VLOOKUP(B81,'D'!A1:F213,6,FALSE)</f>
        <v>3.168376162502</v>
      </c>
      <c r="L81" s="76">
        <f>_xlfn.IFERROR(K81/H81,"N/A")</f>
        <v>0.403614797770955</v>
      </c>
      <c r="M81" s="77">
        <f>IF('Settings'!$E$9="YAHOO",VLOOKUP(B81,'ADP'!A1:E665,2,FALSE),IF('Settings'!$E$9="ESPN",VLOOKUP(B81,'ADP'!A1:E665,3,FALSE),IF('Settings'!$E$9="FANTRAX",VLOOKUP(B81,'ADP'!A1:E665,4,FALSE),VLOOKUP(B81,'ADP'!A1:E665,5,FALSE))))</f>
        <v>0</v>
      </c>
      <c r="N81" s="77">
        <f>_xlfn.IFERROR(M81-A81,"N/A")</f>
        <v>-71</v>
      </c>
      <c r="O81" s="77"/>
      <c r="P81" t="s" s="78">
        <f>IF('Settings'!$E$27="ON",VLOOKUP(B81,'ADP'!A1:H665,8,FALSE)," ")</f>
        <v>130</v>
      </c>
      <c r="Q81" s="79">
        <f>IF('Settings'!$E$12="YES",VLOOKUP(B81,'Player Data'!A1:E667,5,FALSE),82)</f>
        <v>80.88</v>
      </c>
      <c r="R81" s="77">
        <f>VLOOKUP(B81,'Player Data'!$A1:$AE667,6,FALSE)</f>
        <v>24.4032796747473</v>
      </c>
      <c r="S81" s="79">
        <f>VLOOKUP(B81,'Player Data'!$A1:$AE667,7,FALSE)*$Q81*_xlfn.IFERROR((VLOOKUP(P81,'Settings'!$E$28:$F$33,2,FALSE)+1),1)</f>
        <v>13.0170274798161</v>
      </c>
      <c r="T81" s="79">
        <f>VLOOKUP(B81,'Player Data'!$A1:$AE667,8,FALSE)*$Q81*_xlfn.IFERROR((VLOOKUP(P81,'Settings'!$E$28:$F$33,2,FALSE)+1),1)</f>
        <v>73.2123511792191</v>
      </c>
      <c r="U81" s="79">
        <f>SUM(S81:T81)</f>
        <v>86.22937865903521</v>
      </c>
      <c r="V81" s="79">
        <f>VLOOKUP(B81,'Player Data'!$A1:$AE667,10,FALSE)*$Q81*_xlfn.IFERROR(((VLOOKUP(P81,'Settings'!$E$28:$F$33,2,FALSE)/2)+1),1)</f>
        <v>184.879246757586</v>
      </c>
      <c r="W81" s="79">
        <f>VLOOKUP(B81,'Player Data'!$A1:$AE667,11,FALSE)*$Q81*_xlfn.IFERROR((VLOOKUP(P81,'Settings'!$E$28:$F$33,2,FALSE)+1),1)</f>
        <v>3.16748234968403</v>
      </c>
      <c r="X81" s="80">
        <f>VLOOKUP(B81,'Player Data'!$A1:$AE667,12,FALSE)*$Q81*_xlfn.IFERROR((VLOOKUP(P81,'Settings'!$E$28:$F$33,2,FALSE)+1),1)</f>
        <v>36.2564366030334</v>
      </c>
      <c r="Y81" s="79">
        <f>VLOOKUP(B81,'Player Data'!$A1:$AE667,13,FALSE)*$Q81</f>
        <v>0.0128598795588449</v>
      </c>
      <c r="Z81" s="79">
        <f>VLOOKUP(B81,'Player Data'!$A1:$AE667,14,FALSE)*$Q81</f>
        <v>0.279142747083566</v>
      </c>
      <c r="AA81" s="79">
        <f>VLOOKUP(B81,'Player Data'!$A1:$AE667,15,FALSE)*$Q81</f>
        <v>72.0113677854546</v>
      </c>
      <c r="AB81" s="79">
        <f>VLOOKUP(B81,'Player Data'!$A1:$AE667,16,FALSE)*$Q81</f>
        <v>38.6473181763859</v>
      </c>
      <c r="AC81" s="79">
        <f>VLOOKUP(B81,'Player Data'!$A1:$AE667,17,FALSE)*$Q81*_xlfn.IFERROR((VLOOKUP(P81,'Settings'!$E$28:$F$33,2,FALSE)+1),1)</f>
        <v>9.548869236841769</v>
      </c>
      <c r="AD81" s="79">
        <f>VLOOKUP(B81,'Player Data'!$A1:$AE667,18,FALSE)*$Q81</f>
        <v>36.9745130975929</v>
      </c>
      <c r="AE81" s="79">
        <f>VLOOKUP(B81,'Player Data'!$A1:$AE667,19,FALSE)*$Q81*_xlfn.IFERROR((VLOOKUP(P81,'Settings'!$E$28:$F$33,2,FALSE)+1),1)</f>
        <v>2.2229724989935</v>
      </c>
      <c r="AF81" s="79">
        <f>VLOOKUP(B81,'Player Data'!$A1:$AE667,20,FALSE)*$Q81</f>
        <v>0.0495262442970367</v>
      </c>
      <c r="AG81" s="79">
        <f>VLOOKUP(B81,'Player Data'!$A1:$AE667,21,FALSE)*$Q81</f>
        <v>0.0940336021259283</v>
      </c>
      <c r="AH81" s="81">
        <f>VLOOKUP(B81,'Player Data'!$A1:$AE667,22,FALSE)</f>
        <v>0.344986746162429</v>
      </c>
      <c r="AI81" s="77"/>
      <c r="AJ81" s="79"/>
      <c r="AK81" s="79"/>
      <c r="AL81" s="79"/>
      <c r="AM81" s="79"/>
      <c r="AN81" s="79"/>
      <c r="AO81" s="79"/>
      <c r="AP81" s="79"/>
      <c r="AQ81" s="82"/>
      <c r="AR81" s="83"/>
      <c r="AS81" s="93"/>
    </row>
    <row r="82" ht="21.25" customHeight="1">
      <c r="A82" s="85">
        <f>RANK(K82,K$1:K$665)</f>
        <v>72</v>
      </c>
      <c r="B82" t="s" s="16">
        <v>254</v>
      </c>
      <c r="C82" t="s" s="69">
        <v>127</v>
      </c>
      <c r="D82" t="s" s="70">
        <f>VLOOKUP(B82,'Player Data'!A1:D667,4,FALSE)</f>
        <v>153</v>
      </c>
      <c r="E82" s="95">
        <f>VLOOKUP(B82,'D'!A1:C213,3,FALSE)</f>
        <v>15</v>
      </c>
      <c r="F82" t="s" s="92">
        <f>VLOOKUP(B82,'Player Data'!A1:B667,2,FALSE)</f>
        <v>170</v>
      </c>
      <c r="G82" s="11">
        <f>VLOOKUP(B82,'Player Data'!A1:D667,3,FALSE)</f>
        <v>30</v>
      </c>
      <c r="H82" s="73">
        <f>_xlfn.IFERROR(VLOOKUP(B82,'ADP'!A1:G665,7,FALSE)/1000000,VLOOKUP(B82,'ADP'!A1:G665,7,FALSE))</f>
        <v>8</v>
      </c>
      <c r="I82" s="74">
        <f>IF('Settings'!$E$15="POINTS",((R82*Q82)*'Settings'!$B$12)+(S82*'Settings'!$B$2)+(T82*'Settings'!$B$3)+(U82*'Settings'!$B$4)+(V82*'Settings'!$B$5)+(X82*'Settings'!$B$9)+(AA82*'Settings'!$B$6)+(W82*'Settings'!$B$8)+(AB82*'Settings'!$B$7)+(AC82*'Settings'!$B$14)+(AD82*'Settings'!$B$15)+(AE82*'Settings'!$B$16)+(AF82*'Settings'!$B$17)+(AG82*'Settings'!$B$18)+(U82*'Settings'!$B$13)+(Y82*'Settings'!$B$10)+(Z82*'Settings'!$B$11),VLOOKUP(B82,'Standard Deviations'!A1:C666,3,FALSE))</f>
        <v>334.261635286498</v>
      </c>
      <c r="J82" s="75">
        <f>IF(D82="G",I82/AJ82,I82/Q82)</f>
        <v>4.1980801317027</v>
      </c>
      <c r="K82" s="74">
        <f>VLOOKUP(B82,'D'!A1:F213,6,FALSE)</f>
        <v>2.721427366416</v>
      </c>
      <c r="L82" s="76">
        <f>_xlfn.IFERROR(K82/H82,"N/A")</f>
        <v>0.340178420802</v>
      </c>
      <c r="M82" s="77">
        <f>IF('Settings'!$E$9="YAHOO",VLOOKUP(B82,'ADP'!A1:E665,2,FALSE),IF('Settings'!$E$9="ESPN",VLOOKUP(B82,'ADP'!A1:E665,3,FALSE),IF('Settings'!$E$9="FANTRAX",VLOOKUP(B82,'ADP'!A1:E665,4,FALSE),VLOOKUP(B82,'ADP'!A1:E665,5,FALSE))))</f>
        <v>0</v>
      </c>
      <c r="N82" s="77">
        <f>_xlfn.IFERROR(M82-A82,"N/A")</f>
        <v>-72</v>
      </c>
      <c r="O82" s="77"/>
      <c r="P82" t="s" s="78">
        <f>IF('Settings'!$E$27="ON",VLOOKUP(B82,'ADP'!A1:H665,8,FALSE)," ")</f>
        <v>138</v>
      </c>
      <c r="Q82" s="79">
        <f>IF('Settings'!$E$12="YES",VLOOKUP(B82,'Player Data'!A1:E667,5,FALSE),82)</f>
        <v>79.6225</v>
      </c>
      <c r="R82" s="77">
        <f>VLOOKUP(B82,'Player Data'!$A1:$AE667,6,FALSE)</f>
        <v>20.2870827622156</v>
      </c>
      <c r="S82" s="79">
        <f>VLOOKUP(B82,'Player Data'!$A1:$AE667,7,FALSE)*$Q82*_xlfn.IFERROR((VLOOKUP(P82,'Settings'!$E$28:$F$33,2,FALSE)+1),1)</f>
        <v>5.63476755544586</v>
      </c>
      <c r="T82" s="79">
        <f>VLOOKUP(B82,'Player Data'!$A1:$AE667,8,FALSE)*$Q82*_xlfn.IFERROR((VLOOKUP(P82,'Settings'!$E$28:$F$33,2,FALSE)+1),1)</f>
        <v>20.1978245439906</v>
      </c>
      <c r="U82" s="79">
        <f>SUM(S82:T82)</f>
        <v>25.8325920994365</v>
      </c>
      <c r="V82" s="79">
        <f>VLOOKUP(B82,'Player Data'!$A1:$AE667,10,FALSE)*$Q82*_xlfn.IFERROR(((VLOOKUP(P82,'Settings'!$E$28:$F$33,2,FALSE)/2)+1),1)</f>
        <v>148.008642676060</v>
      </c>
      <c r="W82" s="79">
        <f>VLOOKUP(B82,'Player Data'!$A1:$AE667,11,FALSE)*$Q82*_xlfn.IFERROR((VLOOKUP(P82,'Settings'!$E$28:$F$33,2,FALSE)+1),1)</f>
        <v>0.301622933248499</v>
      </c>
      <c r="X82" s="79">
        <f>VLOOKUP(B82,'Player Data'!$A1:$AE667,12,FALSE)*$Q82*_xlfn.IFERROR((VLOOKUP(P82,'Settings'!$E$28:$F$33,2,FALSE)+1),1)</f>
        <v>1.10580392301474</v>
      </c>
      <c r="Y82" s="79">
        <f>VLOOKUP(B82,'Player Data'!$A1:$AE667,13,FALSE)*$Q82</f>
        <v>0.0314575864847587</v>
      </c>
      <c r="Z82" s="79">
        <f>VLOOKUP(B82,'Player Data'!$A1:$AE667,14,FALSE)*$Q82</f>
        <v>1.13462951075519</v>
      </c>
      <c r="AA82" s="79">
        <f>VLOOKUP(B82,'Player Data'!$A1:$AE667,15,FALSE)*$Q82</f>
        <v>183.916596860710</v>
      </c>
      <c r="AB82" s="79">
        <f>VLOOKUP(B82,'Player Data'!$A1:$AE667,16,FALSE)*$Q82</f>
        <v>185.250465254266</v>
      </c>
      <c r="AC82" s="79">
        <f>VLOOKUP(B82,'Player Data'!$A1:$AE667,17,FALSE)*$Q82*_xlfn.IFERROR((VLOOKUP(P82,'Settings'!$E$28:$F$33,2,FALSE)+1),1)</f>
        <v>2.02567881942196</v>
      </c>
      <c r="AD82" s="79">
        <f>VLOOKUP(B82,'Player Data'!$A1:$AE667,18,FALSE)*$Q82</f>
        <v>59.6901160206153</v>
      </c>
      <c r="AE82" s="79">
        <f>VLOOKUP(B82,'Player Data'!$A1:$AE667,19,FALSE)*$Q82*_xlfn.IFERROR((VLOOKUP(P82,'Settings'!$E$28:$F$33,2,FALSE)+1),1)</f>
        <v>0.921049547181193</v>
      </c>
      <c r="AF82" s="79">
        <f>VLOOKUP(B82,'Player Data'!$A1:$AE667,20,FALSE)*$Q82</f>
        <v>0</v>
      </c>
      <c r="AG82" s="79">
        <f>VLOOKUP(B82,'Player Data'!$A1:$AE667,21,FALSE)*$Q82</f>
        <v>0.151328053110125</v>
      </c>
      <c r="AH82" s="81">
        <f>VLOOKUP(B82,'Player Data'!$A1:$AE667,22,FALSE)</f>
        <v>0</v>
      </c>
      <c r="AI82" s="77"/>
      <c r="AJ82" s="79"/>
      <c r="AK82" s="79"/>
      <c r="AL82" s="79"/>
      <c r="AM82" s="79"/>
      <c r="AN82" s="79"/>
      <c r="AO82" s="79"/>
      <c r="AP82" s="79"/>
      <c r="AQ82" s="82"/>
      <c r="AR82" s="83"/>
      <c r="AS82" s="84"/>
    </row>
    <row r="83" ht="21.25" customHeight="1">
      <c r="A83" s="85">
        <f>RANK(K83,K$1:K$665)</f>
        <v>94</v>
      </c>
      <c r="B83" t="s" s="16">
        <v>255</v>
      </c>
      <c r="C83" t="s" s="69">
        <v>127</v>
      </c>
      <c r="D83" t="s" s="70">
        <f>VLOOKUP(B83,'Player Data'!A1:D667,4,FALSE)</f>
        <v>128</v>
      </c>
      <c r="E83" s="71">
        <f>VLOOKUP(B83,'C'!A1:C206,3,FALSE)</f>
        <v>32</v>
      </c>
      <c r="F83" t="s" s="78">
        <f>VLOOKUP(B83,'Player Data'!A1:B667,2,FALSE)</f>
        <v>204</v>
      </c>
      <c r="G83" s="11">
        <f>VLOOKUP(B83,'Player Data'!A1:D667,3,FALSE)</f>
        <v>27</v>
      </c>
      <c r="H83" s="73">
        <f>_xlfn.IFERROR(VLOOKUP(B83,'ADP'!A1:G665,7,FALSE)/1000000,VLOOKUP(B83,'ADP'!A1:G665,7,FALSE))</f>
        <v>8.449999999999999</v>
      </c>
      <c r="I83" s="74">
        <f>IF('Settings'!$E$15="POINTS",((R83*Q83)*'Settings'!$B$12)+(S83*'Settings'!$B$2)+(T83*'Settings'!$B$3)+(U83*'Settings'!$B$4)+(V83*'Settings'!$B$5)+(X83*'Settings'!$B$9)+(AA83*'Settings'!$B$6)+(W83*'Settings'!$B$8)+(AB83*'Settings'!$B$7)+(AC83*'Settings'!$B$14)+(AD83*'Settings'!$B$15)+(AE83*'Settings'!$B$16)+(AF83*'Settings'!$B$17)+(AG83*'Settings'!$B$18)+(Y83*'Settings'!$B$10)+(Z83*'Settings'!$B$11),VLOOKUP(B83,'Standard Deviations'!A1:C666,3,FALSE))</f>
        <v>321.037300797620</v>
      </c>
      <c r="J83" s="75">
        <f>IF(D83="G",I83/AJ83,I83/Q83)</f>
        <v>4.00108802988154</v>
      </c>
      <c r="K83" s="74">
        <f>IF('Settings'!$E$18="C/LW/RW",VLOOKUP(B83,'C'!A1:F206,6,FALSE),VLOOKUP(B83,'F'!A1:F392,6,FALSE))</f>
        <v>-8.654593283558</v>
      </c>
      <c r="L83" s="76">
        <f>_xlfn.IFERROR(K83/H83,"N/A")</f>
        <v>-1.02421222290627</v>
      </c>
      <c r="M83" s="77">
        <f>IF('Settings'!$E$9="YAHOO",VLOOKUP(B83,'ADP'!A1:E665,2,FALSE),IF('Settings'!$E$9="ESPN",VLOOKUP(B83,'ADP'!A1:E665,3,FALSE),IF('Settings'!$E$9="FANTRAX",VLOOKUP(B83,'ADP'!A1:E665,4,FALSE),VLOOKUP(B83,'ADP'!A1:E665,5,FALSE))))</f>
        <v>0</v>
      </c>
      <c r="N83" s="77">
        <f>_xlfn.IFERROR(M83-A83,"N/A")</f>
        <v>-94</v>
      </c>
      <c r="O83" s="77"/>
      <c r="P83" t="s" s="78">
        <f>IF('Settings'!$E$27="ON",VLOOKUP(B83,'ADP'!A1:H665,8,FALSE)," ")</f>
        <v>138</v>
      </c>
      <c r="Q83" s="79">
        <f>IF('Settings'!$E$12="YES",VLOOKUP(B83,'Player Data'!A1:E667,5,FALSE),82)</f>
        <v>80.2375</v>
      </c>
      <c r="R83" s="98">
        <f>VLOOKUP(B83,'Player Data'!$A1:$AE667,6,FALSE)</f>
        <v>18.4107987578245</v>
      </c>
      <c r="S83" s="79">
        <f>VLOOKUP(B83,'Player Data'!$A1:$AE667,7,FALSE)*$Q83*_xlfn.IFERROR((VLOOKUP(P83,'Settings'!$E$28:$F$33,2,FALSE)+1),1)</f>
        <v>34.4459314723953</v>
      </c>
      <c r="T83" s="79">
        <f>VLOOKUP(B83,'Player Data'!$A1:$AE667,8,FALSE)*$Q83*_xlfn.IFERROR((VLOOKUP(P83,'Settings'!$E$28:$F$33,2,FALSE)+1),1)</f>
        <v>38.6561331170707</v>
      </c>
      <c r="U83" s="79">
        <f>SUM(S83:T83)</f>
        <v>73.102064589466</v>
      </c>
      <c r="V83" s="79">
        <f>VLOOKUP(B83,'Player Data'!$A1:$AE667,10,FALSE)*$Q83*_xlfn.IFERROR(((VLOOKUP(P83,'Settings'!$E$28:$F$33,2,FALSE)/2)+1),1)</f>
        <v>201.863773389828</v>
      </c>
      <c r="W83" s="79">
        <f>VLOOKUP(B83,'Player Data'!$A1:$AE667,11,FALSE)*$Q83*_xlfn.IFERROR((VLOOKUP(P83,'Settings'!$E$28:$F$33,2,FALSE)+1),1)</f>
        <v>9.22093590845015</v>
      </c>
      <c r="X83" s="80">
        <f>VLOOKUP(B83,'Player Data'!$A1:$AE667,12,FALSE)*$Q83*_xlfn.IFERROR((VLOOKUP(P83,'Settings'!$E$28:$F$33,2,FALSE)+1),1)</f>
        <v>22.4338320440111</v>
      </c>
      <c r="Y83" s="79">
        <f>VLOOKUP(B83,'Player Data'!$A1:$AE667,13,FALSE)*$Q83</f>
        <v>2.4532087223706</v>
      </c>
      <c r="Z83" s="79">
        <f>VLOOKUP(B83,'Player Data'!$A1:$AE667,14,FALSE)*$Q83</f>
        <v>3.21515461046618</v>
      </c>
      <c r="AA83" s="79">
        <f>VLOOKUP(B83,'Player Data'!$A1:$AE667,15,FALSE)*$Q83</f>
        <v>44.3042972429148</v>
      </c>
      <c r="AB83" s="79">
        <f>VLOOKUP(B83,'Player Data'!$A1:$AE667,16,FALSE)*$Q83</f>
        <v>49.3059799017408</v>
      </c>
      <c r="AC83" s="79">
        <f>VLOOKUP(B83,'Player Data'!$A1:$AE667,17,FALSE)*$Q83*_xlfn.IFERROR((VLOOKUP(P83,'Settings'!$E$28:$F$33,2,FALSE)+1),1)</f>
        <v>8.665220609926079</v>
      </c>
      <c r="AD83" s="79">
        <f>VLOOKUP(B83,'Player Data'!$A1:$AE667,18,FALSE)*$Q83</f>
        <v>30.1805301937481</v>
      </c>
      <c r="AE83" s="79">
        <f>VLOOKUP(B83,'Player Data'!$A1:$AE667,19,FALSE)*$Q83*_xlfn.IFERROR((VLOOKUP(P83,'Settings'!$E$28:$F$33,2,FALSE)+1),1)</f>
        <v>5.50854905593819</v>
      </c>
      <c r="AF83" s="79">
        <f>VLOOKUP(B83,'Player Data'!$A1:$AE667,20,FALSE)*$Q83</f>
        <v>330.306263323689</v>
      </c>
      <c r="AG83" s="79">
        <f>VLOOKUP(B83,'Player Data'!$A1:$AE667,21,FALSE)*$Q83</f>
        <v>281.401790815590</v>
      </c>
      <c r="AH83" s="81">
        <f>VLOOKUP(B83,'Player Data'!$A1:$AE667,22,FALSE)</f>
        <v>0.539973703286375</v>
      </c>
      <c r="AI83" s="77"/>
      <c r="AJ83" s="79"/>
      <c r="AK83" s="79"/>
      <c r="AL83" s="79"/>
      <c r="AM83" s="79"/>
      <c r="AN83" s="79"/>
      <c r="AO83" s="79"/>
      <c r="AP83" s="79"/>
      <c r="AQ83" s="82"/>
      <c r="AR83" s="83"/>
      <c r="AS83" s="84"/>
    </row>
    <row r="84" ht="21.25" customHeight="1">
      <c r="A84" s="85">
        <f>RANK(K84,K$1:K$665)</f>
        <v>89</v>
      </c>
      <c r="B84" t="s" s="16">
        <v>256</v>
      </c>
      <c r="C84" t="s" s="69">
        <v>127</v>
      </c>
      <c r="D84" t="s" s="70">
        <f>VLOOKUP(B84,'Player Data'!A1:D667,4,FALSE)</f>
        <v>140</v>
      </c>
      <c r="E84" s="90">
        <f>VLOOKUP(B84,'RW'!A1:F136,3,FALSE)</f>
        <v>21</v>
      </c>
      <c r="F84" t="s" s="86">
        <f>VLOOKUP(B84,'Player Data'!A1:B667,2,FALSE)</f>
        <v>192</v>
      </c>
      <c r="G84" s="91">
        <f>VLOOKUP(B84,'Player Data'!A1:D667,3,FALSE)</f>
        <v>30</v>
      </c>
      <c r="H84" s="73">
        <f>_xlfn.IFERROR(VLOOKUP(B84,'ADP'!A1:G665,7,FALSE)/1000000,VLOOKUP(B84,'ADP'!A1:G665,7,FALSE))</f>
        <v>6.5</v>
      </c>
      <c r="I84" s="74">
        <f>IF('Settings'!$E$15="POINTS",((R84*Q84)*'Settings'!$B$12)+(S84*'Settings'!$B$2)+(T84*'Settings'!$B$3)+(U84*'Settings'!$B$4)+(V84*'Settings'!$B$5)+(X84*'Settings'!$B$9)+(AA84*'Settings'!$B$6)+(W84*'Settings'!$B$8)+(AB84*'Settings'!$B$7)+(AC84*'Settings'!$B$14)+(AD84*'Settings'!$B$15)+(AE84*'Settings'!$B$16)+(AF84*'Settings'!$B$17)+(AG84*'Settings'!$B$18)+(Y84*'Settings'!$B$10)+(Z84*'Settings'!$B$11),VLOOKUP(B84,'Standard Deviations'!A1:C666,3,FALSE))</f>
        <v>325.348904988892</v>
      </c>
      <c r="J84" s="75">
        <f>IF(D84="G",I84/AJ84,I84/Q84)</f>
        <v>4.42817251337428</v>
      </c>
      <c r="K84" s="74">
        <f>IF('Settings'!$E$18="C/LW/RW",VLOOKUP(B84,'RW'!A1:F136,6,FALSE),VLOOKUP(B84,'F'!A1:F392,6,FALSE))</f>
        <v>-4.342989092286</v>
      </c>
      <c r="L84" s="76">
        <f>_xlfn.IFERROR(K84/H84,"N/A")</f>
        <v>-0.668152168044</v>
      </c>
      <c r="M84" s="77">
        <f>IF('Settings'!$E$9="YAHOO",VLOOKUP(B84,'ADP'!A1:E665,2,FALSE),IF('Settings'!$E$9="ESPN",VLOOKUP(B84,'ADP'!A1:E665,3,FALSE),IF('Settings'!$E$9="FANTRAX",VLOOKUP(B84,'ADP'!A1:E665,4,FALSE),VLOOKUP(B84,'ADP'!A1:E665,5,FALSE))))</f>
        <v>0</v>
      </c>
      <c r="N84" s="77">
        <f>_xlfn.IFERROR(M84-A84,"N/A")</f>
        <v>-89</v>
      </c>
      <c r="O84" s="77"/>
      <c r="P84" t="s" s="78">
        <f>IF('Settings'!$E$27="ON",VLOOKUP(B84,'ADP'!A1:H665,8,FALSE)," ")</f>
        <v>138</v>
      </c>
      <c r="Q84" s="79">
        <f>IF('Settings'!$E$12="YES",VLOOKUP(B84,'Player Data'!A1:E667,5,FALSE),82)</f>
        <v>73.4725</v>
      </c>
      <c r="R84" s="77">
        <f>VLOOKUP(B84,'Player Data'!$A1:$AE667,6,FALSE)</f>
        <v>18.3943843388978</v>
      </c>
      <c r="S84" s="79">
        <f>VLOOKUP(B84,'Player Data'!$A1:$AE667,7,FALSE)*$Q84*_xlfn.IFERROR((VLOOKUP(P84,'Settings'!$E$28:$F$33,2,FALSE)+1),1)</f>
        <v>21.2765730607082</v>
      </c>
      <c r="T84" s="79">
        <f>VLOOKUP(B84,'Player Data'!$A1:$AE667,8,FALSE)*$Q84*_xlfn.IFERROR((VLOOKUP(P84,'Settings'!$E$28:$F$33,2,FALSE)+1),1)</f>
        <v>21.8555540892311</v>
      </c>
      <c r="U84" s="79">
        <f>SUM(S84:T84)</f>
        <v>43.1321271499393</v>
      </c>
      <c r="V84" s="79">
        <f>VLOOKUP(B84,'Player Data'!$A1:$AE667,10,FALSE)*$Q84*_xlfn.IFERROR(((VLOOKUP(P84,'Settings'!$E$28:$F$33,2,FALSE)/2)+1),1)</f>
        <v>166.076762725430</v>
      </c>
      <c r="W84" s="79">
        <f>VLOOKUP(B84,'Player Data'!$A1:$AE667,11,FALSE)*$Q84*_xlfn.IFERROR((VLOOKUP(P84,'Settings'!$E$28:$F$33,2,FALSE)+1),1)</f>
        <v>5.37434840787348</v>
      </c>
      <c r="X84" s="101">
        <f>VLOOKUP(B84,'Player Data'!$A1:$AE667,12,FALSE)*$Q84*_xlfn.IFERROR((VLOOKUP(P84,'Settings'!$E$28:$F$33,2,FALSE)+1),1)</f>
        <v>11.0326527214976</v>
      </c>
      <c r="Y84" s="79">
        <f>VLOOKUP(B84,'Player Data'!$A1:$AE667,13,FALSE)*$Q84</f>
        <v>1.61533274909774</v>
      </c>
      <c r="Z84" s="79">
        <f>VLOOKUP(B84,'Player Data'!$A1:$AE667,14,FALSE)*$Q84</f>
        <v>1.94827483721897</v>
      </c>
      <c r="AA84" s="79">
        <f>VLOOKUP(B84,'Player Data'!$A1:$AE667,15,FALSE)*$Q84</f>
        <v>67.2460453720461</v>
      </c>
      <c r="AB84" s="79">
        <f>VLOOKUP(B84,'Player Data'!$A1:$AE667,16,FALSE)*$Q84</f>
        <v>206.318501152829</v>
      </c>
      <c r="AC84" s="79">
        <f>VLOOKUP(B84,'Player Data'!$A1:$AE667,17,FALSE)*$Q84*_xlfn.IFERROR((VLOOKUP(P84,'Settings'!$E$28:$F$33,2,FALSE)+1),1)</f>
        <v>-2.59066413159693</v>
      </c>
      <c r="AD84" s="79">
        <f>VLOOKUP(B84,'Player Data'!$A1:$AE667,18,FALSE)*$Q84</f>
        <v>85.7952312393315</v>
      </c>
      <c r="AE84" s="79">
        <f>VLOOKUP(B84,'Player Data'!$A1:$AE667,19,FALSE)*$Q84*_xlfn.IFERROR((VLOOKUP(P84,'Settings'!$E$28:$F$33,2,FALSE)+1),1)</f>
        <v>3.01941241988433</v>
      </c>
      <c r="AF84" s="79">
        <f>VLOOKUP(B84,'Player Data'!$A1:$AE667,20,FALSE)*$Q84</f>
        <v>21.4866349596391</v>
      </c>
      <c r="AG84" s="79">
        <f>VLOOKUP(B84,'Player Data'!$A1:$AE667,21,FALSE)*$Q84</f>
        <v>35.2601699573445</v>
      </c>
      <c r="AH84" s="81">
        <f>VLOOKUP(B84,'Player Data'!$A1:$AE667,22,FALSE)</f>
        <v>0.378640436075167</v>
      </c>
      <c r="AI84" s="77"/>
      <c r="AJ84" s="79"/>
      <c r="AK84" s="79"/>
      <c r="AL84" s="79"/>
      <c r="AM84" s="79"/>
      <c r="AN84" s="79"/>
      <c r="AO84" s="79"/>
      <c r="AP84" s="79"/>
      <c r="AQ84" s="82"/>
      <c r="AR84" s="83"/>
      <c r="AS84" s="84"/>
    </row>
    <row r="85" ht="21.25" customHeight="1">
      <c r="A85" s="85">
        <f>RANK(K85,K$1:K$665)</f>
        <v>78</v>
      </c>
      <c r="B85" t="s" s="16">
        <v>257</v>
      </c>
      <c r="C85" t="s" s="69">
        <v>127</v>
      </c>
      <c r="D85" t="s" s="70">
        <f>VLOOKUP(B85,'Player Data'!A1:D667,4,FALSE)</f>
        <v>153</v>
      </c>
      <c r="E85" s="95">
        <f>VLOOKUP(B85,'D'!A1:C213,3,FALSE)</f>
        <v>16</v>
      </c>
      <c r="F85" t="s" s="78">
        <f>VLOOKUP(B85,'Player Data'!A1:B667,2,FALSE)</f>
        <v>204</v>
      </c>
      <c r="G85" s="11">
        <f>VLOOKUP(B85,'Player Data'!A1:D667,3,FALSE)</f>
        <v>25</v>
      </c>
      <c r="H85" s="73">
        <f>_xlfn.IFERROR(VLOOKUP(B85,'ADP'!A1:G665,7,FALSE)/1000000,VLOOKUP(B85,'ADP'!A1:G665,7,FALSE))</f>
        <v>8.449999999999999</v>
      </c>
      <c r="I85" s="74">
        <f>IF('Settings'!$E$15="POINTS",((R85*Q85)*'Settings'!$B$12)+(S85*'Settings'!$B$2)+(T85*'Settings'!$B$3)+(U85*'Settings'!$B$4)+(V85*'Settings'!$B$5)+(X85*'Settings'!$B$9)+(AA85*'Settings'!$B$6)+(W85*'Settings'!$B$8)+(AB85*'Settings'!$B$7)+(AC85*'Settings'!$B$14)+(AD85*'Settings'!$B$15)+(AE85*'Settings'!$B$16)+(AF85*'Settings'!$B$17)+(AG85*'Settings'!$B$18)+(U85*'Settings'!$B$13)+(Y85*'Settings'!$B$10)+(Z85*'Settings'!$B$11),VLOOKUP(B85,'Standard Deviations'!A1:C666,3,FALSE))</f>
        <v>331.540207920082</v>
      </c>
      <c r="J85" s="75">
        <f>IF(D85="G",I85/AJ85,I85/Q85)</f>
        <v>4.22532604244035</v>
      </c>
      <c r="K85" s="74">
        <f>VLOOKUP(B85,'D'!A1:F213,6,FALSE)</f>
        <v>0</v>
      </c>
      <c r="L85" s="76">
        <f>_xlfn.IFERROR(K85/H85,"N/A")</f>
        <v>0</v>
      </c>
      <c r="M85" s="77">
        <f>IF('Settings'!$E$9="YAHOO",VLOOKUP(B85,'ADP'!A1:E665,2,FALSE),IF('Settings'!$E$9="ESPN",VLOOKUP(B85,'ADP'!A1:E665,3,FALSE),IF('Settings'!$E$9="FANTRAX",VLOOKUP(B85,'ADP'!A1:E665,4,FALSE),VLOOKUP(B85,'ADP'!A1:E665,5,FALSE))))</f>
        <v>0</v>
      </c>
      <c r="N85" s="77">
        <f>_xlfn.IFERROR(M85-A85,"N/A")</f>
        <v>-78</v>
      </c>
      <c r="O85" s="77"/>
      <c r="P85" t="s" s="78">
        <f>IF('Settings'!$E$27="ON",VLOOKUP(B85,'ADP'!A1:H665,8,FALSE)," ")</f>
        <v>130</v>
      </c>
      <c r="Q85" s="79">
        <f>IF('Settings'!$E$12="YES",VLOOKUP(B85,'Player Data'!A1:E667,5,FALSE),82)</f>
        <v>78.465</v>
      </c>
      <c r="R85" s="77">
        <f>VLOOKUP(B85,'Player Data'!$A1:$AE667,6,FALSE)</f>
        <v>24.6868002490022</v>
      </c>
      <c r="S85" s="79">
        <f>VLOOKUP(B85,'Player Data'!$A1:$AE667,7,FALSE)*$Q85*_xlfn.IFERROR((VLOOKUP(P85,'Settings'!$E$28:$F$33,2,FALSE)+1),1)</f>
        <v>10.9505311229606</v>
      </c>
      <c r="T85" s="79">
        <f>VLOOKUP(B85,'Player Data'!$A1:$AE667,8,FALSE)*$Q85*_xlfn.IFERROR((VLOOKUP(P85,'Settings'!$E$28:$F$33,2,FALSE)+1),1)</f>
        <v>57.3084166573527</v>
      </c>
      <c r="U85" s="79">
        <f>SUM(S85:T85)</f>
        <v>68.25894778031331</v>
      </c>
      <c r="V85" s="79">
        <f>VLOOKUP(B85,'Player Data'!$A1:$AE667,10,FALSE)*$Q85*_xlfn.IFERROR(((VLOOKUP(P85,'Settings'!$E$28:$F$33,2,FALSE)/2)+1),1)</f>
        <v>192.510692714601</v>
      </c>
      <c r="W85" s="79">
        <f>VLOOKUP(B85,'Player Data'!$A1:$AE667,11,FALSE)*$Q85*_xlfn.IFERROR((VLOOKUP(P85,'Settings'!$E$28:$F$33,2,FALSE)+1),1)</f>
        <v>3.03264701298154</v>
      </c>
      <c r="X85" s="80">
        <f>VLOOKUP(B85,'Player Data'!$A1:$AE667,12,FALSE)*$Q85*_xlfn.IFERROR((VLOOKUP(P85,'Settings'!$E$28:$F$33,2,FALSE)+1),1)</f>
        <v>29.4624701107194</v>
      </c>
      <c r="Y85" s="79">
        <f>VLOOKUP(B85,'Player Data'!$A1:$AE667,13,FALSE)*$Q85</f>
        <v>0.0143582805116773</v>
      </c>
      <c r="Z85" s="79">
        <f>VLOOKUP(B85,'Player Data'!$A1:$AE667,14,FALSE)*$Q85</f>
        <v>0.220682137086953</v>
      </c>
      <c r="AA85" s="79">
        <f>VLOOKUP(B85,'Player Data'!$A1:$AE667,15,FALSE)*$Q85</f>
        <v>108.428522786452</v>
      </c>
      <c r="AB85" s="79">
        <f>VLOOKUP(B85,'Player Data'!$A1:$AE667,16,FALSE)*$Q85</f>
        <v>63.9373337947151</v>
      </c>
      <c r="AC85" s="79">
        <f>VLOOKUP(B85,'Player Data'!$A1:$AE667,17,FALSE)*$Q85*_xlfn.IFERROR((VLOOKUP(P85,'Settings'!$E$28:$F$33,2,FALSE)+1),1)</f>
        <v>8.16449355562299</v>
      </c>
      <c r="AD85" s="79">
        <f>VLOOKUP(B85,'Player Data'!$A1:$AE667,18,FALSE)*$Q85</f>
        <v>32.0887387495523</v>
      </c>
      <c r="AE85" s="79">
        <f>VLOOKUP(B85,'Player Data'!$A1:$AE667,19,FALSE)*$Q85*_xlfn.IFERROR((VLOOKUP(P85,'Settings'!$E$28:$F$33,2,FALSE)+1),1)</f>
        <v>1.75119485236587</v>
      </c>
      <c r="AF85" s="79">
        <f>VLOOKUP(B85,'Player Data'!$A1:$AE667,20,FALSE)*$Q85</f>
        <v>0</v>
      </c>
      <c r="AG85" s="79">
        <f>VLOOKUP(B85,'Player Data'!$A1:$AE667,21,FALSE)*$Q85</f>
        <v>0</v>
      </c>
      <c r="AH85" s="81">
        <f>VLOOKUP(B85,'Player Data'!$A1:$AE667,22,FALSE)</f>
        <v>0</v>
      </c>
      <c r="AI85" s="77"/>
      <c r="AJ85" s="89"/>
      <c r="AK85" s="79"/>
      <c r="AL85" s="79"/>
      <c r="AM85" s="79"/>
      <c r="AN85" s="79"/>
      <c r="AO85" s="79"/>
      <c r="AP85" s="79"/>
      <c r="AQ85" s="82"/>
      <c r="AR85" s="83"/>
      <c r="AS85" s="93"/>
    </row>
    <row r="86" ht="21.25" customHeight="1">
      <c r="A86" s="85">
        <f>RANK(K86,K$1:K$665)</f>
        <v>74</v>
      </c>
      <c r="B86" t="s" s="16">
        <v>258</v>
      </c>
      <c r="C86" t="s" s="69">
        <v>127</v>
      </c>
      <c r="D86" t="s" s="70">
        <f>VLOOKUP(B86,'Player Data'!A1:D667,4,FALSE)</f>
        <v>161</v>
      </c>
      <c r="E86" s="99">
        <f>VLOOKUP(B86,'G'!A1:D65,3,FALSE)</f>
        <v>15</v>
      </c>
      <c r="F86" t="s" s="86">
        <f>VLOOKUP(B86,'Player Data'!A1:B667,2,FALSE)</f>
        <v>259</v>
      </c>
      <c r="G86" s="11">
        <f>VLOOKUP(B86,'Player Data'!A1:D667,3,FALSE)</f>
        <v>29</v>
      </c>
      <c r="H86" s="73">
        <f>_xlfn.IFERROR(VLOOKUP(B86,'ADP'!A1:G665,7,FALSE)/1000000,VLOOKUP(B86,'ADP'!A1:G665,7,FALSE))</f>
        <v>5.375</v>
      </c>
      <c r="I86" s="74">
        <f>IF('Settings'!$E$15="POINTS",(AJ86*'Settings'!$B$29)+(AK86*'Settings'!$B$21)+(AL86*'Settings'!$B$22)+(AN86*'Settings'!$B$24)+(AO86*'Settings'!$B$25)+(AP86*'Settings'!$B$27)+(AM86*'Settings'!$B$23),VLOOKUP(B86,'Standard Deviations'!A1:C666,3,FALSE))</f>
        <v>269.506656792762</v>
      </c>
      <c r="J86" s="75">
        <f>IF(D86="G",I86/AJ86,I86/Q86)</f>
        <v>5.61472201651588</v>
      </c>
      <c r="K86" s="74">
        <f>VLOOKUP(B86,'G'!A1:F65,6,FALSE)</f>
        <v>1.915642228172</v>
      </c>
      <c r="L86" s="76">
        <f>_xlfn.IFERROR(K86/H86,"N/A")</f>
        <v>0.356398554078512</v>
      </c>
      <c r="M86" s="77">
        <f>IF('Settings'!$E$9="YAHOO",VLOOKUP(B86,'ADP'!A1:E665,2,FALSE),IF('Settings'!$E$9="ESPN",VLOOKUP(B86,'ADP'!A1:E665,3,FALSE),IF('Settings'!$E$9="FANTRAX",VLOOKUP(B86,'ADP'!A1:E665,4,FALSE),VLOOKUP(B86,'ADP'!A1:E665,5,FALSE))))</f>
        <v>0</v>
      </c>
      <c r="N86" s="77">
        <f>_xlfn.IFERROR(M86-A86,"N/A")</f>
        <v>-74</v>
      </c>
      <c r="O86" s="77"/>
      <c r="P86" t="s" s="78">
        <f>IF('Settings'!$E$27="ON",VLOOKUP(B86,'ADP'!A1:H665,8,FALSE)," ")</f>
        <v>138</v>
      </c>
      <c r="Q86" s="79"/>
      <c r="R86" s="77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81"/>
      <c r="AI86" s="77"/>
      <c r="AJ86" s="89">
        <f>VLOOKUP(B86,'Player Data'!$A1:$AE667,24,FALSE)</f>
        <v>48</v>
      </c>
      <c r="AK86" s="79">
        <f>VLOOKUP(B86,'Player Data'!$A1:$AE667,25,FALSE)*$AJ86*_xlfn.IFERROR((VLOOKUP(P86,'Settings'!$E$28:$F$33,2,FALSE)+1),1)</f>
        <v>25.2500114947553</v>
      </c>
      <c r="AL86" s="79">
        <f>AJ86-AK86-AM86</f>
        <v>16.7499885052447</v>
      </c>
      <c r="AM86" s="79">
        <f>VLOOKUP(B86,'Player Data'!$A1:$AE667,27,FALSE)*$AJ86</f>
        <v>6</v>
      </c>
      <c r="AN86" s="79">
        <f>VLOOKUP(B86,'Player Data'!$A1:$AE667,28,FALSE)*AJ86</f>
        <v>2.59454265435117</v>
      </c>
      <c r="AO86" s="79">
        <f>VLOOKUP(B86,'Player Data'!$A1:$AE667,29,FALSE)*$AJ86*_xlfn.IFERROR((VLOOKUP(P86,'Settings'!$E$28:$F$33,2,FALSE)/4)+1,1)</f>
        <v>1353.553304720140</v>
      </c>
      <c r="AP86" s="79">
        <f>VLOOKUP(B86,'Player Data'!$A1:$AE667,31,FALSE)*$AJ86*(_xlfn.IFERROR(1-(VLOOKUP(P86,'Settings'!$E$28:$F$33,2,FALSE)/4),1))</f>
        <v>137.916677316360</v>
      </c>
      <c r="AQ86" s="82">
        <f>1-(AP86/(AO86+AP86))</f>
        <v>0.907529699573273</v>
      </c>
      <c r="AR86" s="83">
        <f>AP86/AJ86</f>
        <v>2.8732641107575</v>
      </c>
      <c r="AS86" s="93"/>
    </row>
    <row r="87" ht="21.25" customHeight="1">
      <c r="A87" s="85">
        <f>RANK(K87,K$1:K$665)</f>
        <v>86</v>
      </c>
      <c r="B87" t="s" s="16">
        <v>260</v>
      </c>
      <c r="C87" t="s" s="69">
        <v>127</v>
      </c>
      <c r="D87" t="s" s="70">
        <f>VLOOKUP(B87,'Player Data'!A1:D667,4,FALSE)</f>
        <v>153</v>
      </c>
      <c r="E87" s="95">
        <f>VLOOKUP(B87,'D'!A1:C213,3,FALSE)</f>
        <v>17</v>
      </c>
      <c r="F87" t="s" s="78">
        <f>VLOOKUP(B87,'Player Data'!A1:B667,2,FALSE)</f>
        <v>261</v>
      </c>
      <c r="G87" s="11">
        <f>VLOOKUP(B87,'Player Data'!A1:D667,3,FALSE)</f>
        <v>26</v>
      </c>
      <c r="H87" s="73">
        <f>_xlfn.IFERROR(VLOOKUP(B87,'ADP'!A1:G665,7,FALSE)/1000000,VLOOKUP(B87,'ADP'!A1:G665,7,FALSE))</f>
        <v>8.5</v>
      </c>
      <c r="I87" s="74">
        <f>IF('Settings'!$E$15="POINTS",((R87*Q87)*'Settings'!$B$12)+(S87*'Settings'!$B$2)+(T87*'Settings'!$B$3)+(U87*'Settings'!$B$4)+(V87*'Settings'!$B$5)+(X87*'Settings'!$B$9)+(AA87*'Settings'!$B$6)+(W87*'Settings'!$B$8)+(AB87*'Settings'!$B$7)+(AC87*'Settings'!$B$14)+(AD87*'Settings'!$B$15)+(AE87*'Settings'!$B$16)+(AF87*'Settings'!$B$17)+(AG87*'Settings'!$B$18)+(U87*'Settings'!$B$13)+(Y87*'Settings'!$B$10)+(Z87*'Settings'!$B$11),VLOOKUP(B87,'Standard Deviations'!A1:C666,3,FALSE))</f>
        <v>329.677094955164</v>
      </c>
      <c r="J87" s="75">
        <f>IF(D87="G",I87/AJ87,I87/Q87)</f>
        <v>4.53491653709088</v>
      </c>
      <c r="K87" s="74">
        <f>VLOOKUP(B87,'D'!A1:F213,6,FALSE)</f>
        <v>-1.863112964918</v>
      </c>
      <c r="L87" s="76">
        <f>_xlfn.IFERROR(K87/H87,"N/A")</f>
        <v>-0.219189760578588</v>
      </c>
      <c r="M87" s="77">
        <f>IF('Settings'!$E$9="YAHOO",VLOOKUP(B87,'ADP'!A1:E665,2,FALSE),IF('Settings'!$E$9="ESPN",VLOOKUP(B87,'ADP'!A1:E665,3,FALSE),IF('Settings'!$E$9="FANTRAX",VLOOKUP(B87,'ADP'!A1:E665,4,FALSE),VLOOKUP(B87,'ADP'!A1:E665,5,FALSE))))</f>
        <v>0</v>
      </c>
      <c r="N87" s="77">
        <f>_xlfn.IFERROR(M87-A87,"N/A")</f>
        <v>-86</v>
      </c>
      <c r="O87" s="77"/>
      <c r="P87" t="s" s="78">
        <f>IF('Settings'!$E$27="ON",VLOOKUP(B87,'ADP'!A1:H665,8,FALSE)," ")</f>
        <v>138</v>
      </c>
      <c r="Q87" s="79">
        <f>IF('Settings'!$E$12="YES",VLOOKUP(B87,'Player Data'!A1:E667,5,FALSE),82)</f>
        <v>72.69750000000001</v>
      </c>
      <c r="R87" s="98">
        <f>VLOOKUP(B87,'Player Data'!$A1:$AE667,6,FALSE)</f>
        <v>24.2848853180643</v>
      </c>
      <c r="S87" s="79">
        <f>VLOOKUP(B87,'Player Data'!$A1:$AE667,7,FALSE)*$Q87*_xlfn.IFERROR((VLOOKUP(P87,'Settings'!$E$28:$F$33,2,FALSE)+1),1)</f>
        <v>8.45239922510218</v>
      </c>
      <c r="T87" s="79">
        <f>VLOOKUP(B87,'Player Data'!$A1:$AE667,8,FALSE)*$Q87*_xlfn.IFERROR((VLOOKUP(P87,'Settings'!$E$28:$F$33,2,FALSE)+1),1)</f>
        <v>47.634397978886</v>
      </c>
      <c r="U87" s="79">
        <f>SUM(S87:T87)</f>
        <v>56.0867972039882</v>
      </c>
      <c r="V87" s="79">
        <f>VLOOKUP(B87,'Player Data'!$A1:$AE667,10,FALSE)*$Q87*_xlfn.IFERROR(((VLOOKUP(P87,'Settings'!$E$28:$F$33,2,FALSE)/2)+1),1)</f>
        <v>145.515866597331</v>
      </c>
      <c r="W87" s="79">
        <f>VLOOKUP(B87,'Player Data'!$A1:$AE667,11,FALSE)*$Q87*_xlfn.IFERROR((VLOOKUP(P87,'Settings'!$E$28:$F$33,2,FALSE)+1),1)</f>
        <v>2.62214490188197</v>
      </c>
      <c r="X87" s="80">
        <f>VLOOKUP(B87,'Player Data'!$A1:$AE667,12,FALSE)*$Q87*_xlfn.IFERROR((VLOOKUP(P87,'Settings'!$E$28:$F$33,2,FALSE)+1),1)</f>
        <v>25.4783762472939</v>
      </c>
      <c r="Y87" s="79">
        <f>VLOOKUP(B87,'Player Data'!$A1:$AE667,13,FALSE)*$Q87</f>
        <v>0.0357949900093506</v>
      </c>
      <c r="Z87" s="79">
        <f>VLOOKUP(B87,'Player Data'!$A1:$AE667,14,FALSE)*$Q87</f>
        <v>0.681736622052012</v>
      </c>
      <c r="AA87" s="79">
        <f>VLOOKUP(B87,'Player Data'!$A1:$AE667,15,FALSE)*$Q87</f>
        <v>138.111374531238</v>
      </c>
      <c r="AB87" s="79">
        <f>VLOOKUP(B87,'Player Data'!$A1:$AE667,16,FALSE)*$Q87</f>
        <v>97.5540901778482</v>
      </c>
      <c r="AC87" s="79">
        <f>VLOOKUP(B87,'Player Data'!$A1:$AE667,17,FALSE)*$Q87*_xlfn.IFERROR((VLOOKUP(P87,'Settings'!$E$28:$F$33,2,FALSE)+1),1)</f>
        <v>0.64514556267634</v>
      </c>
      <c r="AD87" s="79">
        <f>VLOOKUP(B87,'Player Data'!$A1:$AE667,18,FALSE)*$Q87</f>
        <v>48.6864353173505</v>
      </c>
      <c r="AE87" s="79">
        <f>VLOOKUP(B87,'Player Data'!$A1:$AE667,19,FALSE)*$Q87*_xlfn.IFERROR((VLOOKUP(P87,'Settings'!$E$28:$F$33,2,FALSE)+1),1)</f>
        <v>1.23683444667365</v>
      </c>
      <c r="AF87" s="79">
        <f>VLOOKUP(B87,'Player Data'!$A1:$AE667,20,FALSE)*$Q87</f>
        <v>0</v>
      </c>
      <c r="AG87" s="79">
        <f>VLOOKUP(B87,'Player Data'!$A1:$AE667,21,FALSE)*$Q87</f>
        <v>0</v>
      </c>
      <c r="AH87" s="81">
        <f>VLOOKUP(B87,'Player Data'!$A1:$AE667,22,FALSE)</f>
        <v>0</v>
      </c>
      <c r="AI87" s="77"/>
      <c r="AJ87" s="79"/>
      <c r="AK87" s="79"/>
      <c r="AL87" s="79"/>
      <c r="AM87" s="79"/>
      <c r="AN87" s="79"/>
      <c r="AO87" s="79"/>
      <c r="AP87" s="79"/>
      <c r="AQ87" s="82"/>
      <c r="AR87" s="83"/>
      <c r="AS87" s="84"/>
    </row>
    <row r="88" ht="21.25" customHeight="1">
      <c r="A88" s="85">
        <f>RANK(K88,K$1:K$665)</f>
        <v>93</v>
      </c>
      <c r="B88" t="s" s="16">
        <v>262</v>
      </c>
      <c r="C88" t="s" s="69">
        <v>127</v>
      </c>
      <c r="D88" t="s" s="70">
        <f>VLOOKUP(B88,'Player Data'!A1:D667,4,FALSE)</f>
        <v>148</v>
      </c>
      <c r="E88" s="87">
        <f>VLOOKUP(B88,'RW'!A1:C136,3,FALSE)</f>
        <v>22</v>
      </c>
      <c r="F88" t="s" s="88">
        <f>VLOOKUP(B88,'Player Data'!A1:B667,2,FALSE)</f>
        <v>141</v>
      </c>
      <c r="G88" s="11">
        <f>VLOOKUP(B88,'Player Data'!A1:D667,3,FALSE)</f>
        <v>26</v>
      </c>
      <c r="H88" s="73">
        <f>_xlfn.IFERROR(VLOOKUP(B88,'ADP'!A1:G665,7,FALSE)/1000000,VLOOKUP(B88,'ADP'!A1:G665,7,FALSE))</f>
        <v>6.5</v>
      </c>
      <c r="I88" s="74">
        <f>IF('Settings'!$E$15="POINTS",((R88*Q88)*'Settings'!$B$12)+(S88*'Settings'!$B$2)+(T88*'Settings'!$B$3)+(U88*'Settings'!$B$4)+(V88*'Settings'!$B$5)+(X88*'Settings'!$B$9)+(AA88*'Settings'!$B$6)+(W88*'Settings'!$B$8)+(AB88*'Settings'!$B$7)+(AC88*'Settings'!$B$14)+(AD88*'Settings'!$B$15)+(AE88*'Settings'!$B$16)+(AF88*'Settings'!$B$17)+(AG88*'Settings'!$B$18)+(Y88*'Settings'!$B$10)+(Z88*'Settings'!$B$11),VLOOKUP(B88,'Standard Deviations'!A1:C666,3,FALSE))</f>
        <v>321.741508062660</v>
      </c>
      <c r="J88" s="75">
        <f>IF(D88="G",I88/AJ88,I88/Q88)</f>
        <v>3.95296259560353</v>
      </c>
      <c r="K88" s="74">
        <f>IF('Settings'!$E$18="C/LW/RW",VLOOKUP(B88,'RW'!A1:F136,6,FALSE),VLOOKUP(B88,'F'!A1:F392,6,FALSE))</f>
        <v>-7.950386018518</v>
      </c>
      <c r="L88" s="76">
        <f>_xlfn.IFERROR(K88/H88,"N/A")</f>
        <v>-1.22313631054123</v>
      </c>
      <c r="M88" s="77">
        <f>IF('Settings'!$E$9="YAHOO",VLOOKUP(B88,'ADP'!A1:E665,2,FALSE),IF('Settings'!$E$9="ESPN",VLOOKUP(B88,'ADP'!A1:E665,3,FALSE),IF('Settings'!$E$9="FANTRAX",VLOOKUP(B88,'ADP'!A1:E665,4,FALSE),VLOOKUP(B88,'ADP'!A1:E665,5,FALSE))))</f>
        <v>0</v>
      </c>
      <c r="N88" s="77">
        <f>_xlfn.IFERROR(M88-A88,"N/A")</f>
        <v>-93</v>
      </c>
      <c r="O88" s="77"/>
      <c r="P88" t="s" s="78">
        <f>IF('Settings'!$E$27="ON",VLOOKUP(B88,'ADP'!A1:H665,8,FALSE)," ")</f>
        <v>130</v>
      </c>
      <c r="Q88" s="79">
        <f>IF('Settings'!$E$12="YES",VLOOKUP(B88,'Player Data'!A1:E667,5,FALSE),82)</f>
        <v>81.3925</v>
      </c>
      <c r="R88" s="77">
        <f>VLOOKUP(B88,'Player Data'!$A1:$AE667,6,FALSE)</f>
        <v>19.9186361090581</v>
      </c>
      <c r="S88" s="79">
        <f>VLOOKUP(B88,'Player Data'!$A1:$AE667,7,FALSE)*$Q88*_xlfn.IFERROR((VLOOKUP(P88,'Settings'!$E$28:$F$33,2,FALSE)+1),1)</f>
        <v>30.4744557418984</v>
      </c>
      <c r="T88" s="79">
        <f>VLOOKUP(B88,'Player Data'!$A1:$AE667,8,FALSE)*$Q88*_xlfn.IFERROR((VLOOKUP(P88,'Settings'!$E$28:$F$33,2,FALSE)+1),1)</f>
        <v>43.9007417135763</v>
      </c>
      <c r="U88" s="79">
        <f>SUM(S88:T88)</f>
        <v>74.37519745547471</v>
      </c>
      <c r="V88" s="79">
        <f>VLOOKUP(B88,'Player Data'!$A1:$AE667,10,FALSE)*$Q88*_xlfn.IFERROR(((VLOOKUP(P88,'Settings'!$E$28:$F$33,2,FALSE)/2)+1),1)</f>
        <v>196.181108261123</v>
      </c>
      <c r="W88" s="79">
        <f>VLOOKUP(B88,'Player Data'!$A1:$AE667,11,FALSE)*$Q88*_xlfn.IFERROR((VLOOKUP(P88,'Settings'!$E$28:$F$33,2,FALSE)+1),1)</f>
        <v>7.39810823580929</v>
      </c>
      <c r="X88" s="80">
        <f>VLOOKUP(B88,'Player Data'!$A1:$AE667,12,FALSE)*$Q88*_xlfn.IFERROR((VLOOKUP(P88,'Settings'!$E$28:$F$33,2,FALSE)+1),1)</f>
        <v>17.8141055487774</v>
      </c>
      <c r="Y88" s="79">
        <f>VLOOKUP(B88,'Player Data'!$A1:$AE667,13,FALSE)*$Q88</f>
        <v>0.5718402787140759</v>
      </c>
      <c r="Z88" s="79">
        <f>VLOOKUP(B88,'Player Data'!$A1:$AE667,14,FALSE)*$Q88</f>
        <v>2.5330292845353</v>
      </c>
      <c r="AA88" s="79">
        <f>VLOOKUP(B88,'Player Data'!$A1:$AE667,15,FALSE)*$Q88</f>
        <v>46.5625366404336</v>
      </c>
      <c r="AB88" s="79">
        <f>VLOOKUP(B88,'Player Data'!$A1:$AE667,16,FALSE)*$Q88</f>
        <v>63.578706968099</v>
      </c>
      <c r="AC88" s="79">
        <f>VLOOKUP(B88,'Player Data'!$A1:$AE667,17,FALSE)*$Q88*_xlfn.IFERROR((VLOOKUP(P88,'Settings'!$E$28:$F$33,2,FALSE)+1),1)</f>
        <v>3.44936142576976</v>
      </c>
      <c r="AD88" s="79">
        <f>VLOOKUP(B88,'Player Data'!$A1:$AE667,18,FALSE)*$Q88</f>
        <v>48.701627195207</v>
      </c>
      <c r="AE88" s="79">
        <f>VLOOKUP(B88,'Player Data'!$A1:$AE667,19,FALSE)*$Q88*_xlfn.IFERROR((VLOOKUP(P88,'Settings'!$E$28:$F$33,2,FALSE)+1),1)</f>
        <v>4.80160467565484</v>
      </c>
      <c r="AF88" s="79">
        <f>VLOOKUP(B88,'Player Data'!$A1:$AE667,20,FALSE)*$Q88</f>
        <v>24.8218891699512</v>
      </c>
      <c r="AG88" s="79">
        <f>VLOOKUP(B88,'Player Data'!$A1:$AE667,21,FALSE)*$Q88</f>
        <v>42.6249269350025</v>
      </c>
      <c r="AH88" s="81">
        <f>VLOOKUP(B88,'Player Data'!$A1:$AE667,22,FALSE)</f>
        <v>0.368021659188864</v>
      </c>
      <c r="AI88" s="77"/>
      <c r="AJ88" s="79"/>
      <c r="AK88" s="79"/>
      <c r="AL88" s="79"/>
      <c r="AM88" s="79"/>
      <c r="AN88" s="79"/>
      <c r="AO88" s="79"/>
      <c r="AP88" s="79"/>
      <c r="AQ88" s="82"/>
      <c r="AR88" s="83"/>
      <c r="AS88" s="93"/>
    </row>
    <row r="89" ht="21.25" customHeight="1">
      <c r="A89" s="85">
        <f>RANK(K89,K$1:K$665)</f>
        <v>78</v>
      </c>
      <c r="B89" t="s" s="16">
        <v>263</v>
      </c>
      <c r="C89" t="s" s="69">
        <v>127</v>
      </c>
      <c r="D89" t="s" s="70">
        <f>VLOOKUP(B89,'Player Data'!A1:D667,4,FALSE)</f>
        <v>161</v>
      </c>
      <c r="E89" s="99">
        <f>VLOOKUP(B89,'G'!A1:D65,3,FALSE)</f>
        <v>16</v>
      </c>
      <c r="F89" t="s" s="92">
        <f>VLOOKUP(B89,'Player Data'!A1:B667,2,FALSE)</f>
        <v>264</v>
      </c>
      <c r="G89" s="96">
        <f>VLOOKUP(B89,'Player Data'!A1:D667,3,FALSE)</f>
        <v>27</v>
      </c>
      <c r="H89" s="73">
        <f>_xlfn.IFERROR(VLOOKUP(B89,'ADP'!A1:G665,7,FALSE)/1000000,VLOOKUP(B89,'ADP'!A1:G665,7,FALSE))</f>
        <v>1.95</v>
      </c>
      <c r="I89" s="74">
        <f>IF('Settings'!$E$15="POINTS",(AJ89*'Settings'!$B$29)+(AK89*'Settings'!$B$21)+(AL89*'Settings'!$B$22)+(AN89*'Settings'!$B$24)+(AO89*'Settings'!$B$25)+(AP89*'Settings'!$B$27)+(AM89*'Settings'!$B$23),VLOOKUP(B89,'Standard Deviations'!A1:C666,3,FALSE))</f>
        <v>267.591014564590</v>
      </c>
      <c r="J89" s="75">
        <f>IF(D89="G",I89/AJ89,I89/Q89)</f>
        <v>5.57481280342896</v>
      </c>
      <c r="K89" s="74">
        <f>VLOOKUP(B89,'G'!A1:F65,6,FALSE)</f>
        <v>0</v>
      </c>
      <c r="L89" s="76">
        <f>_xlfn.IFERROR(K89/H89,"N/A")</f>
        <v>0</v>
      </c>
      <c r="M89" s="77">
        <f>IF('Settings'!$E$9="YAHOO",VLOOKUP(B89,'ADP'!A1:E665,2,FALSE),IF('Settings'!$E$9="ESPN",VLOOKUP(B89,'ADP'!A1:E665,3,FALSE),IF('Settings'!$E$9="FANTRAX",VLOOKUP(B89,'ADP'!A1:E665,4,FALSE),VLOOKUP(B89,'ADP'!A1:E665,5,FALSE))))</f>
        <v>0</v>
      </c>
      <c r="N89" s="77">
        <f>_xlfn.IFERROR(M89-A89,"N/A")</f>
        <v>-78</v>
      </c>
      <c r="O89" s="77"/>
      <c r="P89" t="s" s="78">
        <f>IF('Settings'!$E$27="ON",VLOOKUP(B89,'ADP'!A1:H665,8,FALSE)," ")</f>
        <v>138</v>
      </c>
      <c r="Q89" s="79"/>
      <c r="R89" s="77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81"/>
      <c r="AI89" s="77"/>
      <c r="AJ89" s="89">
        <f>VLOOKUP(B89,'Player Data'!$A1:$AE667,24,FALSE)</f>
        <v>48</v>
      </c>
      <c r="AK89" s="79">
        <f>VLOOKUP(B89,'Player Data'!$A1:$AE667,25,FALSE)*$AJ89*_xlfn.IFERROR((VLOOKUP(P89,'Settings'!$E$28:$F$33,2,FALSE)+1),1)</f>
        <v>25.9115029724515</v>
      </c>
      <c r="AL89" s="79">
        <f>AJ89-AK89-AM89</f>
        <v>16.0884970275485</v>
      </c>
      <c r="AM89" s="79">
        <f>VLOOKUP(B89,'Player Data'!$A1:$AE667,27,FALSE)*$AJ89</f>
        <v>6</v>
      </c>
      <c r="AN89" s="79">
        <f>VLOOKUP(B89,'Player Data'!$A1:$AE667,28,FALSE)*AJ89</f>
        <v>2.64240474436281</v>
      </c>
      <c r="AO89" s="79">
        <f>VLOOKUP(B89,'Player Data'!$A1:$AE667,29,FALSE)*$AJ89*_xlfn.IFERROR((VLOOKUP(P89,'Settings'!$E$28:$F$33,2,FALSE)/4)+1,1)</f>
        <v>1329.647337582770</v>
      </c>
      <c r="AP89" s="79">
        <f>VLOOKUP(B89,'Player Data'!$A1:$AE667,31,FALSE)*$AJ89*(_xlfn.IFERROR(1-(VLOOKUP(P89,'Settings'!$E$28:$F$33,2,FALSE)/4),1))</f>
        <v>135.556504175818</v>
      </c>
      <c r="AQ89" s="82">
        <f>1-(AP89/(AO89+AP89))</f>
        <v>0.9074828359628661</v>
      </c>
      <c r="AR89" s="83">
        <f>AP89/AJ89</f>
        <v>2.82409383699621</v>
      </c>
      <c r="AS89" s="84"/>
    </row>
    <row r="90" ht="21.25" customHeight="1">
      <c r="A90" s="85">
        <f>RANK(K90,K$1:K$665)</f>
        <v>81</v>
      </c>
      <c r="B90" t="s" s="16">
        <v>265</v>
      </c>
      <c r="C90" t="s" s="69">
        <v>127</v>
      </c>
      <c r="D90" t="s" s="70">
        <f>VLOOKUP(B90,'Player Data'!A1:D667,4,FALSE)</f>
        <v>161</v>
      </c>
      <c r="E90" s="99">
        <f>VLOOKUP(B90,'G'!A1:D65,3,FALSE)</f>
        <v>17</v>
      </c>
      <c r="F90" t="s" s="78">
        <f>VLOOKUP(B90,'Player Data'!A1:B667,2,FALSE)</f>
        <v>216</v>
      </c>
      <c r="G90" s="11">
        <f>VLOOKUP(B90,'Player Data'!A1:D667,3,FALSE)</f>
        <v>28</v>
      </c>
      <c r="H90" s="94">
        <f>_xlfn.IFERROR(VLOOKUP(B90,'ADP'!A1:G665,7,FALSE)/1000000,VLOOKUP(B90,'ADP'!A1:G665,7,FALSE))</f>
        <v>4.9</v>
      </c>
      <c r="I90" s="74">
        <f>IF('Settings'!$E$15="POINTS",(AJ90*'Settings'!$B$29)+(AK90*'Settings'!$B$21)+(AL90*'Settings'!$B$22)+(AN90*'Settings'!$B$24)+(AO90*'Settings'!$B$25)+(AP90*'Settings'!$B$27)+(AM90*'Settings'!$B$23),VLOOKUP(B90,'Standard Deviations'!A1:C666,3,FALSE))</f>
        <v>267.238240367265</v>
      </c>
      <c r="J90" s="75">
        <f>IF(D90="G",I90/AJ90,I90/Q90)</f>
        <v>5.56746334098469</v>
      </c>
      <c r="K90" s="74">
        <f>VLOOKUP(B90,'G'!A1:F65,6,FALSE)</f>
        <v>-0.352774197325</v>
      </c>
      <c r="L90" s="76">
        <f>_xlfn.IFERROR(K90/H90,"N/A")</f>
        <v>-0.07199473414795921</v>
      </c>
      <c r="M90" s="77">
        <f>IF('Settings'!$E$9="YAHOO",VLOOKUP(B90,'ADP'!A1:E665,2,FALSE),IF('Settings'!$E$9="ESPN",VLOOKUP(B90,'ADP'!A1:E665,3,FALSE),IF('Settings'!$E$9="FANTRAX",VLOOKUP(B90,'ADP'!A1:E665,4,FALSE),VLOOKUP(B90,'ADP'!A1:E665,5,FALSE))))</f>
        <v>0</v>
      </c>
      <c r="N90" s="77">
        <f>_xlfn.IFERROR(M90-A90,"N/A")</f>
        <v>-81</v>
      </c>
      <c r="O90" s="77"/>
      <c r="P90" t="s" s="78">
        <f>IF('Settings'!$E$27="ON",VLOOKUP(B90,'ADP'!A1:H665,8,FALSE)," ")</f>
        <v>138</v>
      </c>
      <c r="Q90" s="79"/>
      <c r="R90" s="77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81"/>
      <c r="AI90" s="77"/>
      <c r="AJ90" s="89">
        <f>VLOOKUP(B90,'Player Data'!$A1:$AE667,24,FALSE)</f>
        <v>48</v>
      </c>
      <c r="AK90" s="79">
        <f>VLOOKUP(B90,'Player Data'!$A1:$AE667,25,FALSE)*$AJ90*_xlfn.IFERROR((VLOOKUP(P90,'Settings'!$E$28:$F$33,2,FALSE)+1),1)</f>
        <v>26.7469511503193</v>
      </c>
      <c r="AL90" s="79">
        <f>AJ90-AK90-AM90</f>
        <v>15.2530488496807</v>
      </c>
      <c r="AM90" s="79">
        <f>VLOOKUP(B90,'Player Data'!$A1:$AE667,27,FALSE)*$AJ90</f>
        <v>6</v>
      </c>
      <c r="AN90" s="79">
        <f>VLOOKUP(B90,'Player Data'!$A1:$AE667,28,FALSE)*AJ90</f>
        <v>3.20161902805593</v>
      </c>
      <c r="AO90" s="79">
        <f>VLOOKUP(B90,'Player Data'!$A1:$AE667,29,FALSE)*$AJ90*_xlfn.IFERROR((VLOOKUP(P90,'Settings'!$E$28:$F$33,2,FALSE)/4)+1,1)</f>
        <v>1282.801174714870</v>
      </c>
      <c r="AP90" s="79">
        <f>VLOOKUP(B90,'Player Data'!$A1:$AE667,31,FALSE)*$AJ90*(_xlfn.IFERROR(1-(VLOOKUP(P90,'Settings'!$E$28:$F$33,2,FALSE)/4),1))</f>
        <v>128.321771860171</v>
      </c>
      <c r="AQ90" s="82">
        <f>1-(AP90/(AO90+AP90))</f>
        <v>0.909064073990418</v>
      </c>
      <c r="AR90" s="83">
        <f>AP90/AJ90</f>
        <v>2.6733702470869</v>
      </c>
      <c r="AS90" s="84"/>
    </row>
    <row r="91" ht="21.25" customHeight="1">
      <c r="A91" s="85">
        <f>RANK(K91,K$1:K$665)</f>
        <v>84</v>
      </c>
      <c r="B91" t="s" s="16">
        <v>266</v>
      </c>
      <c r="C91" t="s" s="69">
        <v>127</v>
      </c>
      <c r="D91" t="s" s="70">
        <f>VLOOKUP(B91,'Player Data'!A1:D667,4,FALSE)</f>
        <v>161</v>
      </c>
      <c r="E91" s="99">
        <f>VLOOKUP(B91,'G'!A1:D65,3,FALSE)</f>
        <v>18</v>
      </c>
      <c r="F91" t="s" s="86">
        <f>VLOOKUP(B91,'Player Data'!A1:B667,2,FALSE)</f>
        <v>267</v>
      </c>
      <c r="G91" s="91">
        <f>VLOOKUP(B91,'Player Data'!A1:D667,3,FALSE)</f>
        <v>34</v>
      </c>
      <c r="H91" s="73">
        <f>_xlfn.IFERROR(VLOOKUP(B91,'ADP'!A1:G665,7,FALSE)/1000000,VLOOKUP(B91,'ADP'!A1:G665,7,FALSE))</f>
        <v>5.25</v>
      </c>
      <c r="I91" s="74">
        <f>IF('Settings'!$E$15="POINTS",(AJ91*'Settings'!$B$29)+(AK91*'Settings'!$B$21)+(AL91*'Settings'!$B$22)+(AN91*'Settings'!$B$24)+(AO91*'Settings'!$B$25)+(AP91*'Settings'!$B$27)+(AM91*'Settings'!$B$23),VLOOKUP(B91,'Standard Deviations'!A1:C666,3,FALSE))</f>
        <v>266.525924067690</v>
      </c>
      <c r="J91" s="75">
        <f>IF(D91="G",I91/AJ91,I91/Q91)</f>
        <v>5.3305184813538</v>
      </c>
      <c r="K91" s="74">
        <f>VLOOKUP(B91,'G'!A1:F65,6,FALSE)</f>
        <v>-1.0650904969</v>
      </c>
      <c r="L91" s="76">
        <f>_xlfn.IFERROR(K91/H91,"N/A")</f>
        <v>-0.202874380361905</v>
      </c>
      <c r="M91" s="77">
        <f>IF('Settings'!$E$9="YAHOO",VLOOKUP(B91,'ADP'!A1:E665,2,FALSE),IF('Settings'!$E$9="ESPN",VLOOKUP(B91,'ADP'!A1:E665,3,FALSE),IF('Settings'!$E$9="FANTRAX",VLOOKUP(B91,'ADP'!A1:E665,4,FALSE),VLOOKUP(B91,'ADP'!A1:E665,5,FALSE))))</f>
        <v>0</v>
      </c>
      <c r="N91" s="77">
        <f>_xlfn.IFERROR(M91-A91,"N/A")</f>
        <v>-84</v>
      </c>
      <c r="O91" s="77"/>
      <c r="P91" t="s" s="78">
        <f>IF('Settings'!$E$27="ON",VLOOKUP(B91,'ADP'!A1:H665,8,FALSE)," ")</f>
        <v>138</v>
      </c>
      <c r="Q91" s="79"/>
      <c r="R91" s="77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81"/>
      <c r="AI91" s="77"/>
      <c r="AJ91" s="89">
        <f>VLOOKUP(B91,'Player Data'!$A1:$AE667,24,FALSE)</f>
        <v>50</v>
      </c>
      <c r="AK91" s="79">
        <f>VLOOKUP(B91,'Player Data'!$A1:$AE667,25,FALSE)*$AJ91*_xlfn.IFERROR((VLOOKUP(P91,'Settings'!$E$28:$F$33,2,FALSE)+1),1)</f>
        <v>27.7356366241475</v>
      </c>
      <c r="AL91" s="79">
        <f>AJ91-AK91-AM91</f>
        <v>16.0143633758525</v>
      </c>
      <c r="AM91" s="79">
        <f>VLOOKUP(B91,'Player Data'!$A1:$AE667,27,FALSE)*$AJ91</f>
        <v>6.25</v>
      </c>
      <c r="AN91" s="79">
        <f>VLOOKUP(B91,'Player Data'!$A1:$AE667,28,FALSE)*AJ91</f>
        <v>3.23361643951859</v>
      </c>
      <c r="AO91" s="79">
        <f>VLOOKUP(B91,'Player Data'!$A1:$AE667,29,FALSE)*$AJ91*_xlfn.IFERROR((VLOOKUP(P91,'Settings'!$E$28:$F$33,2,FALSE)/4)+1,1)</f>
        <v>1290.617618866070</v>
      </c>
      <c r="AP91" s="79">
        <f>VLOOKUP(B91,'Player Data'!$A1:$AE667,31,FALSE)*$AJ91*(_xlfn.IFERROR(1-(VLOOKUP(P91,'Settings'!$E$28:$F$33,2,FALSE)/4),1))</f>
        <v>134.378263802780</v>
      </c>
      <c r="AQ91" s="82">
        <f>1-(AP91/(AO91+AP91))</f>
        <v>0.9056991915295181</v>
      </c>
      <c r="AR91" s="83">
        <f>AP91/AJ91</f>
        <v>2.6875652760556</v>
      </c>
      <c r="AS91" s="84"/>
    </row>
    <row r="92" ht="21.25" customHeight="1">
      <c r="A92" s="85">
        <f>RANK(K92,K$1:K$665)</f>
        <v>91</v>
      </c>
      <c r="B92" t="s" s="16">
        <v>268</v>
      </c>
      <c r="C92" t="s" s="69">
        <v>127</v>
      </c>
      <c r="D92" t="s" s="70">
        <f>VLOOKUP(B92,'Player Data'!A1:D667,4,FALSE)</f>
        <v>153</v>
      </c>
      <c r="E92" s="95">
        <f>VLOOKUP(B92,'D'!A1:C213,3,FALSE)</f>
        <v>18</v>
      </c>
      <c r="F92" t="s" s="100">
        <f>VLOOKUP(B92,'Player Data'!A1:B667,2,FALSE)</f>
        <v>172</v>
      </c>
      <c r="G92" s="91">
        <f>VLOOKUP(B92,'Player Data'!A1:D667,3,FALSE)</f>
        <v>37</v>
      </c>
      <c r="H92" s="73">
        <f>_xlfn.IFERROR(VLOOKUP(B92,'ADP'!A1:G665,7,FALSE)/1000000,VLOOKUP(B92,'ADP'!A1:G665,7,FALSE))</f>
        <v>6.1</v>
      </c>
      <c r="I92" s="74">
        <f>IF('Settings'!$E$15="POINTS",((R92*Q92)*'Settings'!$B$12)+(S92*'Settings'!$B$2)+(T92*'Settings'!$B$3)+(U92*'Settings'!$B$4)+(V92*'Settings'!$B$5)+(X92*'Settings'!$B$9)+(AA92*'Settings'!$B$6)+(W92*'Settings'!$B$8)+(AB92*'Settings'!$B$7)+(AC92*'Settings'!$B$14)+(AD92*'Settings'!$B$15)+(AE92*'Settings'!$B$16)+(AF92*'Settings'!$B$17)+(AG92*'Settings'!$B$18)+(U92*'Settings'!$B$13)+(Y92*'Settings'!$B$10)+(Z92*'Settings'!$B$11),VLOOKUP(B92,'Standard Deviations'!A1:C666,3,FALSE))</f>
        <v>326.557567760750</v>
      </c>
      <c r="J92" s="75">
        <f>IF(D92="G",I92/AJ92,I92/Q92)</f>
        <v>4.12554567318236</v>
      </c>
      <c r="K92" s="74">
        <f>VLOOKUP(B92,'D'!A1:F213,6,FALSE)</f>
        <v>-4.982640159332</v>
      </c>
      <c r="L92" s="76">
        <f>_xlfn.IFERROR(K92/H92,"N/A")</f>
        <v>-0.816826255628197</v>
      </c>
      <c r="M92" s="77">
        <f>IF('Settings'!$E$9="YAHOO",VLOOKUP(B92,'ADP'!A1:E665,2,FALSE),IF('Settings'!$E$9="ESPN",VLOOKUP(B92,'ADP'!A1:E665,3,FALSE),IF('Settings'!$E$9="FANTRAX",VLOOKUP(B92,'ADP'!A1:E665,4,FALSE),VLOOKUP(B92,'ADP'!A1:E665,5,FALSE))))</f>
        <v>0</v>
      </c>
      <c r="N92" s="77">
        <f>_xlfn.IFERROR(M92-A92,"N/A")</f>
        <v>-91</v>
      </c>
      <c r="O92" s="77"/>
      <c r="P92" t="s" s="78">
        <f>IF('Settings'!$E$27="ON",VLOOKUP(B92,'ADP'!A1:H665,8,FALSE)," ")</f>
        <v>138</v>
      </c>
      <c r="Q92" s="79">
        <f>IF('Settings'!$E$12="YES",VLOOKUP(B92,'Player Data'!A1:E667,5,FALSE),82)</f>
        <v>79.155</v>
      </c>
      <c r="R92" s="77">
        <f>VLOOKUP(B92,'Player Data'!$A1:$AE667,6,FALSE)</f>
        <v>24.7192504793146</v>
      </c>
      <c r="S92" s="79">
        <f>VLOOKUP(B92,'Player Data'!$A1:$AE667,7,FALSE)*$Q92*_xlfn.IFERROR((VLOOKUP(P92,'Settings'!$E$28:$F$33,2,FALSE)+1),1)</f>
        <v>8.870703822953949</v>
      </c>
      <c r="T92" s="79">
        <f>VLOOKUP(B92,'Player Data'!$A1:$AE667,8,FALSE)*$Q92*_xlfn.IFERROR((VLOOKUP(P92,'Settings'!$E$28:$F$33,2,FALSE)+1),1)</f>
        <v>35.5782219861175</v>
      </c>
      <c r="U92" s="79">
        <f>SUM(S92:T92)</f>
        <v>44.4489258090715</v>
      </c>
      <c r="V92" s="79">
        <f>VLOOKUP(B92,'Player Data'!$A1:$AE667,10,FALSE)*$Q92*_xlfn.IFERROR(((VLOOKUP(P92,'Settings'!$E$28:$F$33,2,FALSE)/2)+1),1)</f>
        <v>165.463193528837</v>
      </c>
      <c r="W92" s="79">
        <f>VLOOKUP(B92,'Player Data'!$A1:$AE667,11,FALSE)*$Q92*_xlfn.IFERROR((VLOOKUP(P92,'Settings'!$E$28:$F$33,2,FALSE)+1),1)</f>
        <v>1.37962831531846</v>
      </c>
      <c r="X92" s="79">
        <f>VLOOKUP(B92,'Player Data'!$A1:$AE667,12,FALSE)*$Q92*_xlfn.IFERROR((VLOOKUP(P92,'Settings'!$E$28:$F$33,2,FALSE)+1),1)</f>
        <v>8.71247162410029</v>
      </c>
      <c r="Y92" s="79">
        <f>VLOOKUP(B92,'Player Data'!$A1:$AE667,13,FALSE)*$Q92</f>
        <v>0.340326639208138</v>
      </c>
      <c r="Z92" s="79">
        <f>VLOOKUP(B92,'Player Data'!$A1:$AE667,14,FALSE)*$Q92</f>
        <v>0.47597267579648</v>
      </c>
      <c r="AA92" s="79">
        <f>VLOOKUP(B92,'Player Data'!$A1:$AE667,15,FALSE)*$Q92</f>
        <v>138.828590942548</v>
      </c>
      <c r="AB92" s="79">
        <f>VLOOKUP(B92,'Player Data'!$A1:$AE667,16,FALSE)*$Q92</f>
        <v>139.123591438616</v>
      </c>
      <c r="AC92" s="79">
        <f>VLOOKUP(B92,'Player Data'!$A1:$AE667,17,FALSE)*$Q92*_xlfn.IFERROR((VLOOKUP(P92,'Settings'!$E$28:$F$33,2,FALSE)+1),1)</f>
        <v>0.476210752343205</v>
      </c>
      <c r="AD92" s="79">
        <f>VLOOKUP(B92,'Player Data'!$A1:$AE667,18,FALSE)*$Q92</f>
        <v>46.9143915196946</v>
      </c>
      <c r="AE92" s="79">
        <f>VLOOKUP(B92,'Player Data'!$A1:$AE667,19,FALSE)*$Q92*_xlfn.IFERROR((VLOOKUP(P92,'Settings'!$E$28:$F$33,2,FALSE)+1),1)</f>
        <v>1.31501887935831</v>
      </c>
      <c r="AF92" s="79">
        <f>VLOOKUP(B92,'Player Data'!$A1:$AE667,20,FALSE)*$Q92</f>
        <v>0</v>
      </c>
      <c r="AG92" s="79">
        <f>VLOOKUP(B92,'Player Data'!$A1:$AE667,21,FALSE)*$Q92</f>
        <v>2.70468435410824e-05</v>
      </c>
      <c r="AH92" s="81">
        <f>VLOOKUP(B92,'Player Data'!$A1:$AE667,22,FALSE)</f>
        <v>0</v>
      </c>
      <c r="AI92" s="77"/>
      <c r="AJ92" s="79"/>
      <c r="AK92" s="79"/>
      <c r="AL92" s="79"/>
      <c r="AM92" s="79"/>
      <c r="AN92" s="79"/>
      <c r="AO92" s="79"/>
      <c r="AP92" s="79"/>
      <c r="AQ92" s="82"/>
      <c r="AR92" s="83"/>
      <c r="AS92" s="84"/>
    </row>
    <row r="93" ht="21.25" customHeight="1">
      <c r="A93" s="85">
        <f>RANK(K93,K$1:K$665)</f>
        <v>102</v>
      </c>
      <c r="B93" t="s" s="16">
        <v>269</v>
      </c>
      <c r="C93" t="s" s="69">
        <v>127</v>
      </c>
      <c r="D93" t="s" s="70">
        <f>VLOOKUP(B93,'Player Data'!A1:D667,4,FALSE)</f>
        <v>128</v>
      </c>
      <c r="E93" s="71">
        <f>VLOOKUP(B93,'C'!A1:C206,3,FALSE)</f>
        <v>34</v>
      </c>
      <c r="F93" t="s" s="86">
        <f>VLOOKUP(B93,'Player Data'!A1:B667,2,FALSE)</f>
        <v>154</v>
      </c>
      <c r="G93" s="96">
        <f>VLOOKUP(B93,'Player Data'!A1:D667,3,FALSE)</f>
        <v>23</v>
      </c>
      <c r="H93" s="73">
        <f>_xlfn.IFERROR(VLOOKUP(B93,'ADP'!A1:G665,7,FALSE)/1000000,VLOOKUP(B93,'ADP'!A1:G665,7,FALSE))</f>
        <v>7.1</v>
      </c>
      <c r="I93" s="74">
        <f>IF('Settings'!$E$15="POINTS",((R93*Q93)*'Settings'!$B$12)+(S93*'Settings'!$B$2)+(T93*'Settings'!$B$3)+(U93*'Settings'!$B$4)+(V93*'Settings'!$B$5)+(X93*'Settings'!$B$9)+(AA93*'Settings'!$B$6)+(W93*'Settings'!$B$8)+(AB93*'Settings'!$B$7)+(AC93*'Settings'!$B$14)+(AD93*'Settings'!$B$15)+(AE93*'Settings'!$B$16)+(AF93*'Settings'!$B$17)+(AG93*'Settings'!$B$18)+(Y93*'Settings'!$B$10)+(Z93*'Settings'!$B$11),VLOOKUP(B93,'Standard Deviations'!A1:C666,3,FALSE))</f>
        <v>311.712644061643</v>
      </c>
      <c r="J93" s="75">
        <f>IF(D93="G",I93/AJ93,I93/Q93)</f>
        <v>3.84545576192503</v>
      </c>
      <c r="K93" s="74">
        <f>IF('Settings'!$E$18="C/LW/RW",VLOOKUP(B93,'C'!A1:F206,6,FALSE),VLOOKUP(B93,'F'!A1:F392,6,FALSE))</f>
        <v>-17.979250019535</v>
      </c>
      <c r="L93" s="76">
        <f>_xlfn.IFERROR(K93/H93,"N/A")</f>
        <v>-2.53228873514577</v>
      </c>
      <c r="M93" s="77">
        <f>IF('Settings'!$E$9="YAHOO",VLOOKUP(B93,'ADP'!A1:E665,2,FALSE),IF('Settings'!$E$9="ESPN",VLOOKUP(B93,'ADP'!A1:E665,3,FALSE),IF('Settings'!$E$9="FANTRAX",VLOOKUP(B93,'ADP'!A1:E665,4,FALSE),VLOOKUP(B93,'ADP'!A1:E665,5,FALSE))))</f>
        <v>0</v>
      </c>
      <c r="N93" s="77">
        <f>_xlfn.IFERROR(M93-A93,"N/A")</f>
        <v>-102</v>
      </c>
      <c r="O93" s="77"/>
      <c r="P93" t="s" s="78">
        <f>IF('Settings'!$E$27="ON",VLOOKUP(B93,'ADP'!A1:H665,8,FALSE)," ")</f>
        <v>138</v>
      </c>
      <c r="Q93" s="79">
        <f>IF('Settings'!$E$12="YES",VLOOKUP(B93,'Player Data'!A1:E667,5,FALSE),82)</f>
        <v>81.06</v>
      </c>
      <c r="R93" s="98">
        <f>VLOOKUP(B93,'Player Data'!$A1:$AE667,6,FALSE)</f>
        <v>18.7394568936425</v>
      </c>
      <c r="S93" s="79">
        <f>VLOOKUP(B93,'Player Data'!$A1:$AE667,7,FALSE)*$Q93*_xlfn.IFERROR((VLOOKUP(P93,'Settings'!$E$28:$F$33,2,FALSE)+1),1)</f>
        <v>27.2014337406839</v>
      </c>
      <c r="T93" s="79">
        <f>VLOOKUP(B93,'Player Data'!$A1:$AE667,8,FALSE)*$Q93*_xlfn.IFERROR((VLOOKUP(P93,'Settings'!$E$28:$F$33,2,FALSE)+1),1)</f>
        <v>40.0060934048259</v>
      </c>
      <c r="U93" s="79">
        <f>SUM(S93:T93)</f>
        <v>67.2075271455098</v>
      </c>
      <c r="V93" s="79">
        <f>VLOOKUP(B93,'Player Data'!$A1:$AE667,10,FALSE)*$Q93*_xlfn.IFERROR(((VLOOKUP(P93,'Settings'!$E$28:$F$33,2,FALSE)/2)+1),1)</f>
        <v>223.366422930352</v>
      </c>
      <c r="W93" s="79">
        <f>VLOOKUP(B93,'Player Data'!$A1:$AE667,11,FALSE)*$Q93*_xlfn.IFERROR((VLOOKUP(P93,'Settings'!$E$28:$F$33,2,FALSE)+1),1)</f>
        <v>5.22996787480715</v>
      </c>
      <c r="X93" s="80">
        <f>VLOOKUP(B93,'Player Data'!$A1:$AE667,12,FALSE)*$Q93*_xlfn.IFERROR((VLOOKUP(P93,'Settings'!$E$28:$F$33,2,FALSE)+1),1)</f>
        <v>18.9409915415502</v>
      </c>
      <c r="Y93" s="79">
        <f>VLOOKUP(B93,'Player Data'!$A1:$AE667,13,FALSE)*$Q93</f>
        <v>1.7988848252733</v>
      </c>
      <c r="Z93" s="79">
        <f>VLOOKUP(B93,'Player Data'!$A1:$AE667,14,FALSE)*$Q93</f>
        <v>2.31057554846769</v>
      </c>
      <c r="AA93" s="79">
        <f>VLOOKUP(B93,'Player Data'!$A1:$AE667,15,FALSE)*$Q93</f>
        <v>31.6821009786489</v>
      </c>
      <c r="AB93" s="79">
        <f>VLOOKUP(B93,'Player Data'!$A1:$AE667,16,FALSE)*$Q93</f>
        <v>93.7081147148522</v>
      </c>
      <c r="AC93" s="79">
        <f>VLOOKUP(B93,'Player Data'!$A1:$AE667,17,FALSE)*$Q93*_xlfn.IFERROR((VLOOKUP(P93,'Settings'!$E$28:$F$33,2,FALSE)+1),1)</f>
        <v>-1.45094761424402</v>
      </c>
      <c r="AD93" s="79">
        <f>VLOOKUP(B93,'Player Data'!$A1:$AE667,18,FALSE)*$Q93</f>
        <v>40.6707944418363</v>
      </c>
      <c r="AE93" s="79">
        <f>VLOOKUP(B93,'Player Data'!$A1:$AE667,19,FALSE)*$Q93*_xlfn.IFERROR((VLOOKUP(P93,'Settings'!$E$28:$F$33,2,FALSE)+1),1)</f>
        <v>3.84779066615438</v>
      </c>
      <c r="AF93" s="79">
        <f>VLOOKUP(B93,'Player Data'!$A1:$AE667,20,FALSE)*$Q93</f>
        <v>581.908978067507</v>
      </c>
      <c r="AG93" s="79">
        <f>VLOOKUP(B93,'Player Data'!$A1:$AE667,21,FALSE)*$Q93</f>
        <v>669.641084860290</v>
      </c>
      <c r="AH93" s="81">
        <f>VLOOKUP(B93,'Player Data'!$A1:$AE667,22,FALSE)</f>
        <v>0.464950620278206</v>
      </c>
      <c r="AI93" s="77"/>
      <c r="AJ93" s="79"/>
      <c r="AK93" s="79"/>
      <c r="AL93" s="79"/>
      <c r="AM93" s="79"/>
      <c r="AN93" s="79"/>
      <c r="AO93" s="79"/>
      <c r="AP93" s="79"/>
      <c r="AQ93" s="82"/>
      <c r="AR93" s="83"/>
      <c r="AS93" s="84"/>
    </row>
    <row r="94" ht="21.25" customHeight="1">
      <c r="A94" s="85">
        <f>RANK(K94,K$1:K$665)</f>
        <v>103</v>
      </c>
      <c r="B94" t="s" s="16">
        <v>270</v>
      </c>
      <c r="C94" t="s" s="69">
        <v>127</v>
      </c>
      <c r="D94" t="s" s="70">
        <f>VLOOKUP(B94,'Player Data'!A1:D667,4,FALSE)</f>
        <v>128</v>
      </c>
      <c r="E94" s="71">
        <f>VLOOKUP(B94,'C'!A1:C206,3,FALSE)</f>
        <v>35</v>
      </c>
      <c r="F94" t="s" s="104">
        <f>VLOOKUP(B94,'Player Data'!A1:B667,2,FALSE)</f>
        <v>271</v>
      </c>
      <c r="G94" s="11">
        <f>VLOOKUP(B94,'Player Data'!A1:D667,3,FALSE)</f>
        <v>25</v>
      </c>
      <c r="H94" s="73">
        <f>_xlfn.IFERROR(VLOOKUP(B94,'ADP'!A1:G665,7,FALSE)/1000000,VLOOKUP(B94,'ADP'!A1:G665,7,FALSE))</f>
        <v>8.125</v>
      </c>
      <c r="I94" s="74">
        <f>IF('Settings'!$E$15="POINTS",((R94*Q94)*'Settings'!$B$12)+(S94*'Settings'!$B$2)+(T94*'Settings'!$B$3)+(U94*'Settings'!$B$4)+(V94*'Settings'!$B$5)+(X94*'Settings'!$B$9)+(AA94*'Settings'!$B$6)+(W94*'Settings'!$B$8)+(AB94*'Settings'!$B$7)+(AC94*'Settings'!$B$14)+(AD94*'Settings'!$B$15)+(AE94*'Settings'!$B$16)+(AF94*'Settings'!$B$17)+(AG94*'Settings'!$B$18)+(Y94*'Settings'!$B$10)+(Z94*'Settings'!$B$11),VLOOKUP(B94,'Standard Deviations'!A1:C666,3,FALSE))</f>
        <v>311.673419816241</v>
      </c>
      <c r="J94" s="75">
        <f>IF(D94="G",I94/AJ94,I94/Q94)</f>
        <v>3.90604906245876</v>
      </c>
      <c r="K94" s="74">
        <f>IF('Settings'!$E$18="C/LW/RW",VLOOKUP(B94,'C'!A1:F206,6,FALSE),VLOOKUP(B94,'F'!A1:F392,6,FALSE))</f>
        <v>-18.018474264937</v>
      </c>
      <c r="L94" s="76">
        <f>_xlfn.IFERROR(K94/H94,"N/A")</f>
        <v>-2.21765837106917</v>
      </c>
      <c r="M94" s="77">
        <f>IF('Settings'!$E$9="YAHOO",VLOOKUP(B94,'ADP'!A1:E665,2,FALSE),IF('Settings'!$E$9="ESPN",VLOOKUP(B94,'ADP'!A1:E665,3,FALSE),IF('Settings'!$E$9="FANTRAX",VLOOKUP(B94,'ADP'!A1:E665,4,FALSE),VLOOKUP(B94,'ADP'!A1:E665,5,FALSE))))</f>
        <v>0</v>
      </c>
      <c r="N94" s="77">
        <f>_xlfn.IFERROR(M94-A94,"N/A")</f>
        <v>-103</v>
      </c>
      <c r="O94" s="77"/>
      <c r="P94" t="s" s="78">
        <f>IF('Settings'!$E$27="ON",VLOOKUP(B94,'ADP'!A1:H665,8,FALSE)," ")</f>
        <v>138</v>
      </c>
      <c r="Q94" s="79">
        <f>IF('Settings'!$E$12="YES",VLOOKUP(B94,'Player Data'!A1:E667,5,FALSE),82)</f>
        <v>79.7925</v>
      </c>
      <c r="R94" s="77">
        <f>VLOOKUP(B94,'Player Data'!$A1:$AE667,6,FALSE)</f>
        <v>20.8917236499054</v>
      </c>
      <c r="S94" s="79">
        <f>VLOOKUP(B94,'Player Data'!$A1:$AE667,7,FALSE)*$Q94*_xlfn.IFERROR((VLOOKUP(P94,'Settings'!$E$28:$F$33,2,FALSE)+1),1)</f>
        <v>25.5202244179827</v>
      </c>
      <c r="T94" s="79">
        <f>VLOOKUP(B94,'Player Data'!$A1:$AE667,8,FALSE)*$Q94*_xlfn.IFERROR((VLOOKUP(P94,'Settings'!$E$28:$F$33,2,FALSE)+1),1)</f>
        <v>58.5365044339375</v>
      </c>
      <c r="U94" s="79">
        <f>SUM(S94:T94)</f>
        <v>84.0567288519202</v>
      </c>
      <c r="V94" s="79">
        <f>VLOOKUP(B94,'Player Data'!$A1:$AE667,10,FALSE)*$Q94*_xlfn.IFERROR(((VLOOKUP(P94,'Settings'!$E$28:$F$33,2,FALSE)/2)+1),1)</f>
        <v>165.289136374566</v>
      </c>
      <c r="W94" s="79">
        <f>VLOOKUP(B94,'Player Data'!$A1:$AE667,11,FALSE)*$Q94*_xlfn.IFERROR((VLOOKUP(P94,'Settings'!$E$28:$F$33,2,FALSE)+1),1)</f>
        <v>7.76910569581512</v>
      </c>
      <c r="X94" s="80">
        <f>VLOOKUP(B94,'Player Data'!$A1:$AE667,12,FALSE)*$Q94*_xlfn.IFERROR((VLOOKUP(P94,'Settings'!$E$28:$F$33,2,FALSE)+1),1)</f>
        <v>27.5953361835939</v>
      </c>
      <c r="Y94" s="79">
        <f>VLOOKUP(B94,'Player Data'!$A1:$AE667,13,FALSE)*$Q94</f>
        <v>1.15685494761495</v>
      </c>
      <c r="Z94" s="79">
        <f>VLOOKUP(B94,'Player Data'!$A1:$AE667,14,FALSE)*$Q94</f>
        <v>2.1729491758367</v>
      </c>
      <c r="AA94" s="79">
        <f>VLOOKUP(B94,'Player Data'!$A1:$AE667,15,FALSE)*$Q94</f>
        <v>42.1122950223438</v>
      </c>
      <c r="AB94" s="79">
        <f>VLOOKUP(B94,'Player Data'!$A1:$AE667,16,FALSE)*$Q94</f>
        <v>22.4522303623285</v>
      </c>
      <c r="AC94" s="79">
        <f>VLOOKUP(B94,'Player Data'!$A1:$AE667,17,FALSE)*$Q94*_xlfn.IFERROR((VLOOKUP(P94,'Settings'!$E$28:$F$33,2,FALSE)+1),1)</f>
        <v>-1.24075470228976</v>
      </c>
      <c r="AD94" s="79">
        <f>VLOOKUP(B94,'Player Data'!$A1:$AE667,18,FALSE)*$Q94</f>
        <v>31.9312272998703</v>
      </c>
      <c r="AE94" s="79">
        <f>VLOOKUP(B94,'Player Data'!$A1:$AE667,19,FALSE)*$Q94*_xlfn.IFERROR((VLOOKUP(P94,'Settings'!$E$28:$F$33,2,FALSE)+1),1)</f>
        <v>3.07248428074686</v>
      </c>
      <c r="AF94" s="79">
        <f>VLOOKUP(B94,'Player Data'!$A1:$AE667,20,FALSE)*$Q94</f>
        <v>812.731275126845</v>
      </c>
      <c r="AG94" s="79">
        <f>VLOOKUP(B94,'Player Data'!$A1:$AE667,21,FALSE)*$Q94</f>
        <v>740.430168600156</v>
      </c>
      <c r="AH94" s="81">
        <f>VLOOKUP(B94,'Player Data'!$A1:$AE667,22,FALSE)</f>
        <v>0.5232754639959381</v>
      </c>
      <c r="AI94" s="77"/>
      <c r="AJ94" s="79"/>
      <c r="AK94" s="79"/>
      <c r="AL94" s="79"/>
      <c r="AM94" s="79"/>
      <c r="AN94" s="79"/>
      <c r="AO94" s="79"/>
      <c r="AP94" s="79"/>
      <c r="AQ94" s="82"/>
      <c r="AR94" s="83"/>
      <c r="AS94" s="84"/>
    </row>
    <row r="95" ht="21.25" customHeight="1">
      <c r="A95" s="85">
        <f>RANK(K95,K$1:K$665)</f>
        <v>92</v>
      </c>
      <c r="B95" t="s" s="16">
        <v>272</v>
      </c>
      <c r="C95" t="s" s="69">
        <v>127</v>
      </c>
      <c r="D95" t="s" s="70">
        <f>VLOOKUP(B95,'Player Data'!A1:D667,4,FALSE)</f>
        <v>153</v>
      </c>
      <c r="E95" s="95">
        <f>VLOOKUP(B95,'D'!A1:C213,3,FALSE)</f>
        <v>19</v>
      </c>
      <c r="F95" t="s" s="78">
        <f>VLOOKUP(B95,'Player Data'!A1:B667,2,FALSE)</f>
        <v>244</v>
      </c>
      <c r="G95" s="11">
        <f>VLOOKUP(B95,'Player Data'!A1:D667,3,FALSE)</f>
        <v>29</v>
      </c>
      <c r="H95" s="73">
        <f>_xlfn.IFERROR(VLOOKUP(B95,'ADP'!A1:G665,7,FALSE)/1000000,VLOOKUP(B95,'ADP'!A1:G665,7,FALSE))</f>
        <v>9.5</v>
      </c>
      <c r="I95" s="74">
        <f>IF('Settings'!$E$15="POINTS",((R95*Q95)*'Settings'!$B$12)+(S95*'Settings'!$B$2)+(T95*'Settings'!$B$3)+(U95*'Settings'!$B$4)+(V95*'Settings'!$B$5)+(X95*'Settings'!$B$9)+(AA95*'Settings'!$B$6)+(W95*'Settings'!$B$8)+(AB95*'Settings'!$B$7)+(AC95*'Settings'!$B$14)+(AD95*'Settings'!$B$15)+(AE95*'Settings'!$B$16)+(AF95*'Settings'!$B$17)+(AG95*'Settings'!$B$18)+(U95*'Settings'!$B$13)+(Y95*'Settings'!$B$10)+(Z95*'Settings'!$B$11),VLOOKUP(B95,'Standard Deviations'!A1:C666,3,FALSE))</f>
        <v>323.701262409184</v>
      </c>
      <c r="J95" s="75">
        <f>IF(D95="G",I95/AJ95,I95/Q95)</f>
        <v>4.1718112241413</v>
      </c>
      <c r="K95" s="74">
        <f>VLOOKUP(B95,'D'!A1:F213,6,FALSE)</f>
        <v>-7.838945510898</v>
      </c>
      <c r="L95" s="76">
        <f>_xlfn.IFERROR(K95/H95,"N/A")</f>
        <v>-0.825152159041895</v>
      </c>
      <c r="M95" s="77">
        <f>IF('Settings'!$E$9="YAHOO",VLOOKUP(B95,'ADP'!A1:E665,2,FALSE),IF('Settings'!$E$9="ESPN",VLOOKUP(B95,'ADP'!A1:E665,3,FALSE),IF('Settings'!$E$9="FANTRAX",VLOOKUP(B95,'ADP'!A1:E665,4,FALSE),VLOOKUP(B95,'ADP'!A1:E665,5,FALSE))))</f>
        <v>0</v>
      </c>
      <c r="N95" s="77">
        <f>_xlfn.IFERROR(M95-A95,"N/A")</f>
        <v>-92</v>
      </c>
      <c r="O95" s="77"/>
      <c r="P95" t="s" s="78">
        <f>IF('Settings'!$E$27="ON",VLOOKUP(B95,'ADP'!A1:H665,8,FALSE)," ")</f>
        <v>138</v>
      </c>
      <c r="Q95" s="79">
        <f>IF('Settings'!$E$12="YES",VLOOKUP(B95,'Player Data'!A1:E667,5,FALSE),82)</f>
        <v>77.5925</v>
      </c>
      <c r="R95" s="77">
        <f>VLOOKUP(B95,'Player Data'!$A1:$AE667,6,FALSE)</f>
        <v>25.8583008478248</v>
      </c>
      <c r="S95" s="79">
        <f>VLOOKUP(B95,'Player Data'!$A1:$AE667,7,FALSE)*$Q95*_xlfn.IFERROR((VLOOKUP(P95,'Settings'!$E$28:$F$33,2,FALSE)+1),1)</f>
        <v>10.0740978391056</v>
      </c>
      <c r="T95" s="79">
        <f>VLOOKUP(B95,'Player Data'!$A1:$AE667,8,FALSE)*$Q95*_xlfn.IFERROR((VLOOKUP(P95,'Settings'!$E$28:$F$33,2,FALSE)+1),1)</f>
        <v>35.0272765920923</v>
      </c>
      <c r="U95" s="79">
        <f>SUM(S95:T95)</f>
        <v>45.1013744311979</v>
      </c>
      <c r="V95" s="79">
        <f>VLOOKUP(B95,'Player Data'!$A1:$AE667,10,FALSE)*$Q95*_xlfn.IFERROR(((VLOOKUP(P95,'Settings'!$E$28:$F$33,2,FALSE)/2)+1),1)</f>
        <v>196.993453722328</v>
      </c>
      <c r="W95" s="79">
        <f>VLOOKUP(B95,'Player Data'!$A1:$AE667,11,FALSE)*$Q95*_xlfn.IFERROR((VLOOKUP(P95,'Settings'!$E$28:$F$33,2,FALSE)+1),1)</f>
        <v>2.40802099393783</v>
      </c>
      <c r="X95" s="80">
        <f>VLOOKUP(B95,'Player Data'!$A1:$AE667,12,FALSE)*$Q95*_xlfn.IFERROR((VLOOKUP(P95,'Settings'!$E$28:$F$33,2,FALSE)+1),1)</f>
        <v>15.0950348408669</v>
      </c>
      <c r="Y95" s="79">
        <f>VLOOKUP(B95,'Player Data'!$A1:$AE667,13,FALSE)*$Q95</f>
        <v>0.0339379413298141</v>
      </c>
      <c r="Z95" s="79">
        <f>VLOOKUP(B95,'Player Data'!$A1:$AE667,14,FALSE)*$Q95</f>
        <v>0.655595167980206</v>
      </c>
      <c r="AA95" s="79">
        <f>VLOOKUP(B95,'Player Data'!$A1:$AE667,15,FALSE)*$Q95</f>
        <v>150.361976363863</v>
      </c>
      <c r="AB95" s="79">
        <f>VLOOKUP(B95,'Player Data'!$A1:$AE667,16,FALSE)*$Q95</f>
        <v>96.16253929959259</v>
      </c>
      <c r="AC95" s="79">
        <f>VLOOKUP(B95,'Player Data'!$A1:$AE667,17,FALSE)*$Q95*_xlfn.IFERROR((VLOOKUP(P95,'Settings'!$E$28:$F$33,2,FALSE)+1),1)</f>
        <v>-6.98949915339328</v>
      </c>
      <c r="AD95" s="79">
        <f>VLOOKUP(B95,'Player Data'!$A1:$AE667,18,FALSE)*$Q95</f>
        <v>37.0899877004167</v>
      </c>
      <c r="AE95" s="79">
        <f>VLOOKUP(B95,'Player Data'!$A1:$AE667,19,FALSE)*$Q95*_xlfn.IFERROR((VLOOKUP(P95,'Settings'!$E$28:$F$33,2,FALSE)+1),1)</f>
        <v>1.30192850566158</v>
      </c>
      <c r="AF95" s="79">
        <f>VLOOKUP(B95,'Player Data'!$A1:$AE667,20,FALSE)*$Q95</f>
        <v>0</v>
      </c>
      <c r="AG95" s="79">
        <f>VLOOKUP(B95,'Player Data'!$A1:$AE667,21,FALSE)*$Q95</f>
        <v>0</v>
      </c>
      <c r="AH95" s="81">
        <f>VLOOKUP(B95,'Player Data'!$A1:$AE667,22,FALSE)</f>
        <v>0</v>
      </c>
      <c r="AI95" s="77"/>
      <c r="AJ95" s="79"/>
      <c r="AK95" s="79"/>
      <c r="AL95" s="79"/>
      <c r="AM95" s="79"/>
      <c r="AN95" s="79"/>
      <c r="AO95" s="79"/>
      <c r="AP95" s="79"/>
      <c r="AQ95" s="82"/>
      <c r="AR95" s="83"/>
      <c r="AS95" s="84"/>
    </row>
    <row r="96" ht="21.25" customHeight="1">
      <c r="A96" s="85">
        <f>RANK(K96,K$1:K$665)</f>
        <v>98</v>
      </c>
      <c r="B96" t="s" s="16">
        <v>273</v>
      </c>
      <c r="C96" t="s" s="69">
        <v>127</v>
      </c>
      <c r="D96" t="s" s="70">
        <f>VLOOKUP(B96,'Player Data'!A1:D667,4,FALSE)</f>
        <v>148</v>
      </c>
      <c r="E96" s="87">
        <f>VLOOKUP(B96,'RW'!A1:C136,3,FALSE)</f>
        <v>23</v>
      </c>
      <c r="F96" t="s" s="92">
        <f>VLOOKUP(B96,'Player Data'!A1:B667,2,FALSE)</f>
        <v>146</v>
      </c>
      <c r="G96" s="11">
        <f>VLOOKUP(B96,'Player Data'!A1:D667,3,FALSE)</f>
        <v>27</v>
      </c>
      <c r="H96" s="73">
        <f>_xlfn.IFERROR(VLOOKUP(B96,'ADP'!A1:G665,7,FALSE)/1000000,VLOOKUP(B96,'ADP'!A1:G665,7,FALSE))</f>
        <v>5.5</v>
      </c>
      <c r="I96" s="74">
        <f>IF('Settings'!$E$15="POINTS",((R96*Q96)*'Settings'!$B$12)+(S96*'Settings'!$B$2)+(T96*'Settings'!$B$3)+(U96*'Settings'!$B$4)+(V96*'Settings'!$B$5)+(X96*'Settings'!$B$9)+(AA96*'Settings'!$B$6)+(W96*'Settings'!$B$8)+(AB96*'Settings'!$B$7)+(AC96*'Settings'!$B$14)+(AD96*'Settings'!$B$15)+(AE96*'Settings'!$B$16)+(AF96*'Settings'!$B$17)+(AG96*'Settings'!$B$18)+(Y96*'Settings'!$B$10)+(Z96*'Settings'!$B$11),VLOOKUP(B96,'Standard Deviations'!A1:C666,3,FALSE))</f>
        <v>316.787179073946</v>
      </c>
      <c r="J96" s="75">
        <f>IF(D96="G",I96/AJ96,I96/Q96)</f>
        <v>4.02525005176551</v>
      </c>
      <c r="K96" s="74">
        <f>IF('Settings'!$E$18="C/LW/RW",VLOOKUP(B96,'RW'!A1:F136,6,FALSE),VLOOKUP(B96,'F'!A1:F392,6,FALSE))</f>
        <v>-12.904715007232</v>
      </c>
      <c r="L96" s="76">
        <f>_xlfn.IFERROR(K96/H96,"N/A")</f>
        <v>-2.34631181949673</v>
      </c>
      <c r="M96" s="77">
        <f>IF('Settings'!$E$9="YAHOO",VLOOKUP(B96,'ADP'!A1:E665,2,FALSE),IF('Settings'!$E$9="ESPN",VLOOKUP(B96,'ADP'!A1:E665,3,FALSE),IF('Settings'!$E$9="FANTRAX",VLOOKUP(B96,'ADP'!A1:E665,4,FALSE),VLOOKUP(B96,'ADP'!A1:E665,5,FALSE))))</f>
        <v>0</v>
      </c>
      <c r="N96" s="77">
        <f>_xlfn.IFERROR(M96-A96,"N/A")</f>
        <v>-98</v>
      </c>
      <c r="O96" s="77"/>
      <c r="P96" t="s" s="78">
        <f>IF('Settings'!$E$27="ON",VLOOKUP(B96,'ADP'!A1:H665,8,FALSE)," ")</f>
        <v>138</v>
      </c>
      <c r="Q96" s="79">
        <f>IF('Settings'!$E$12="YES",VLOOKUP(B96,'Player Data'!A1:E667,5,FALSE),82)</f>
        <v>78.7</v>
      </c>
      <c r="R96" s="98">
        <f>VLOOKUP(B96,'Player Data'!$A1:$AE667,6,FALSE)</f>
        <v>18.7885664555986</v>
      </c>
      <c r="S96" s="79">
        <f>VLOOKUP(B96,'Player Data'!$A1:$AE667,7,FALSE)*$Q96*_xlfn.IFERROR((VLOOKUP(P96,'Settings'!$E$28:$F$33,2,FALSE)+1),1)</f>
        <v>29.8630298792526</v>
      </c>
      <c r="T96" s="79">
        <f>VLOOKUP(B96,'Player Data'!$A1:$AE667,8,FALSE)*$Q96*_xlfn.IFERROR((VLOOKUP(P96,'Settings'!$E$28:$F$33,2,FALSE)+1),1)</f>
        <v>31.6465155063986</v>
      </c>
      <c r="U96" s="79">
        <f>SUM(S96:T96)</f>
        <v>61.5095453856512</v>
      </c>
      <c r="V96" s="79">
        <f>VLOOKUP(B96,'Player Data'!$A1:$AE667,10,FALSE)*$Q96*_xlfn.IFERROR(((VLOOKUP(P96,'Settings'!$E$28:$F$33,2,FALSE)/2)+1),1)</f>
        <v>221.339305627458</v>
      </c>
      <c r="W96" s="79">
        <f>VLOOKUP(B96,'Player Data'!$A1:$AE667,11,FALSE)*$Q96*_xlfn.IFERROR((VLOOKUP(P96,'Settings'!$E$28:$F$33,2,FALSE)+1),1)</f>
        <v>6.20505807622014</v>
      </c>
      <c r="X96" s="80">
        <f>VLOOKUP(B96,'Player Data'!$A1:$AE667,12,FALSE)*$Q96*_xlfn.IFERROR((VLOOKUP(P96,'Settings'!$E$28:$F$33,2,FALSE)+1),1)</f>
        <v>18.0463794018482</v>
      </c>
      <c r="Y96" s="79">
        <f>VLOOKUP(B96,'Player Data'!$A1:$AE667,13,FALSE)*$Q96</f>
        <v>0.459475935178213</v>
      </c>
      <c r="Z96" s="79">
        <f>VLOOKUP(B96,'Player Data'!$A1:$AE667,14,FALSE)*$Q96</f>
        <v>0.736898372729979</v>
      </c>
      <c r="AA96" s="79">
        <f>VLOOKUP(B96,'Player Data'!$A1:$AE667,15,FALSE)*$Q96</f>
        <v>44.0854064295498</v>
      </c>
      <c r="AB96" s="79">
        <f>VLOOKUP(B96,'Player Data'!$A1:$AE667,16,FALSE)*$Q96</f>
        <v>108.264916134045</v>
      </c>
      <c r="AC96" s="79">
        <f>VLOOKUP(B96,'Player Data'!$A1:$AE667,17,FALSE)*$Q96*_xlfn.IFERROR((VLOOKUP(P96,'Settings'!$E$28:$F$33,2,FALSE)+1),1)</f>
        <v>3.99113718513363</v>
      </c>
      <c r="AD96" s="79">
        <f>VLOOKUP(B96,'Player Data'!$A1:$AE667,18,FALSE)*$Q96</f>
        <v>22.1929257515427</v>
      </c>
      <c r="AE96" s="79">
        <f>VLOOKUP(B96,'Player Data'!$A1:$AE667,19,FALSE)*$Q96*_xlfn.IFERROR((VLOOKUP(P96,'Settings'!$E$28:$F$33,2,FALSE)+1),1)</f>
        <v>5.09983513986847</v>
      </c>
      <c r="AF96" s="79">
        <f>VLOOKUP(B96,'Player Data'!$A1:$AE667,20,FALSE)*$Q96</f>
        <v>8.21778232022613</v>
      </c>
      <c r="AG96" s="79">
        <f>VLOOKUP(B96,'Player Data'!$A1:$AE667,21,FALSE)*$Q96</f>
        <v>16.845687463184</v>
      </c>
      <c r="AH96" s="81">
        <f>VLOOKUP(B96,'Player Data'!$A1:$AE667,22,FALSE)</f>
        <v>0.327878876757342</v>
      </c>
      <c r="AI96" s="77"/>
      <c r="AJ96" s="79"/>
      <c r="AK96" s="79"/>
      <c r="AL96" s="79"/>
      <c r="AM96" s="79"/>
      <c r="AN96" s="79"/>
      <c r="AO96" s="79"/>
      <c r="AP96" s="79"/>
      <c r="AQ96" s="82"/>
      <c r="AR96" s="83"/>
      <c r="AS96" s="84"/>
    </row>
    <row r="97" ht="21.25" customHeight="1">
      <c r="A97" s="85">
        <f>RANK(K97,K$1:K$665)</f>
        <v>88</v>
      </c>
      <c r="B97" t="s" s="16">
        <v>274</v>
      </c>
      <c r="C97" t="s" s="69">
        <v>127</v>
      </c>
      <c r="D97" t="s" s="70">
        <f>VLOOKUP(B97,'Player Data'!A1:D667,4,FALSE)</f>
        <v>161</v>
      </c>
      <c r="E97" s="99">
        <f>VLOOKUP(B97,'G'!A1:D65,3,FALSE)</f>
        <v>19</v>
      </c>
      <c r="F97" t="s" s="86">
        <f>VLOOKUP(B97,'Player Data'!A1:B667,2,FALSE)</f>
        <v>275</v>
      </c>
      <c r="G97" s="96">
        <f>VLOOKUP(B97,'Player Data'!A1:D667,3,FALSE)</f>
        <v>26</v>
      </c>
      <c r="H97" s="73">
        <f>_xlfn.IFERROR(VLOOKUP(B97,'ADP'!A1:G665,7,FALSE)/1000000,VLOOKUP(B97,'ADP'!A1:G665,7,FALSE))</f>
        <v>3.75</v>
      </c>
      <c r="I97" s="74">
        <f>IF('Settings'!$E$15="POINTS",(AJ97*'Settings'!$B$29)+(AK97*'Settings'!$B$21)+(AL97*'Settings'!$B$22)+(AN97*'Settings'!$B$24)+(AO97*'Settings'!$B$25)+(AP97*'Settings'!$B$27)+(AM97*'Settings'!$B$23),VLOOKUP(B97,'Standard Deviations'!A1:C666,3,FALSE))</f>
        <v>263.342309244771</v>
      </c>
      <c r="J97" s="75">
        <f>IF(D97="G",I97/AJ97,I97/Q97)</f>
        <v>5.26684618489542</v>
      </c>
      <c r="K97" s="74">
        <f>VLOOKUP(B97,'G'!A1:F65,6,FALSE)</f>
        <v>-4.248705319819</v>
      </c>
      <c r="L97" s="76">
        <f>_xlfn.IFERROR(K97/H97,"N/A")</f>
        <v>-1.13298808528507</v>
      </c>
      <c r="M97" s="77">
        <f>IF('Settings'!$E$9="YAHOO",VLOOKUP(B97,'ADP'!A1:E665,2,FALSE),IF('Settings'!$E$9="ESPN",VLOOKUP(B97,'ADP'!A1:E665,3,FALSE),IF('Settings'!$E$9="FANTRAX",VLOOKUP(B97,'ADP'!A1:E665,4,FALSE),VLOOKUP(B97,'ADP'!A1:E665,5,FALSE))))</f>
        <v>0</v>
      </c>
      <c r="N97" s="77">
        <f>_xlfn.IFERROR(M97-A97,"N/A")</f>
        <v>-88</v>
      </c>
      <c r="O97" s="77"/>
      <c r="P97" t="s" s="78">
        <f>IF('Settings'!$E$27="ON",VLOOKUP(B97,'ADP'!A1:H665,8,FALSE)," ")</f>
        <v>235</v>
      </c>
      <c r="Q97" s="79"/>
      <c r="R97" s="77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81"/>
      <c r="AI97" s="77"/>
      <c r="AJ97" s="89">
        <f>VLOOKUP(B97,'Player Data'!$A1:$AE667,24,FALSE)</f>
        <v>50</v>
      </c>
      <c r="AK97" s="79">
        <f>VLOOKUP(B97,'Player Data'!$A1:$AE667,25,FALSE)*$AJ97*_xlfn.IFERROR((VLOOKUP(P97,'Settings'!$E$28:$F$33,2,FALSE)+1),1)</f>
        <v>25.706318377697</v>
      </c>
      <c r="AL97" s="79">
        <f>AJ97-AK97-AM97</f>
        <v>18.043681622303</v>
      </c>
      <c r="AM97" s="79">
        <f>VLOOKUP(B97,'Player Data'!$A1:$AE667,27,FALSE)*$AJ97</f>
        <v>6.25</v>
      </c>
      <c r="AN97" s="79">
        <f>VLOOKUP(B97,'Player Data'!$A1:$AE667,28,FALSE)*AJ97</f>
        <v>3.94243845794288</v>
      </c>
      <c r="AO97" s="79">
        <f>VLOOKUP(B97,'Player Data'!$A1:$AE667,29,FALSE)*$AJ97*_xlfn.IFERROR((VLOOKUP(P97,'Settings'!$E$28:$F$33,2,FALSE)/4)+1,1)</f>
        <v>1254.974550903580</v>
      </c>
      <c r="AP97" s="79">
        <f>VLOOKUP(B97,'Player Data'!$A1:$AE667,31,FALSE)*$AJ97*(_xlfn.IFERROR(1-(VLOOKUP(P97,'Settings'!$E$28:$F$33,2,FALSE)/4),1))</f>
        <v>126.959912729625</v>
      </c>
      <c r="AQ97" s="82">
        <f>1-(AP97/(AO97+AP97))</f>
        <v>0.9081288468659811</v>
      </c>
      <c r="AR97" s="83">
        <f>AP97/AJ97</f>
        <v>2.5391982545925</v>
      </c>
      <c r="AS97" s="84"/>
    </row>
    <row r="98" ht="21.25" customHeight="1">
      <c r="A98" s="85">
        <f>RANK(K98,K$1:K$665)</f>
        <v>90</v>
      </c>
      <c r="B98" t="s" s="16">
        <v>276</v>
      </c>
      <c r="C98" t="s" s="69">
        <v>127</v>
      </c>
      <c r="D98" t="s" s="70">
        <f>VLOOKUP(B98,'Player Data'!A1:D667,4,FALSE)</f>
        <v>161</v>
      </c>
      <c r="E98" s="99">
        <f>VLOOKUP(B98,'G'!A1:D65,3,FALSE)</f>
        <v>20</v>
      </c>
      <c r="F98" t="s" s="104">
        <f>VLOOKUP(B98,'Player Data'!A1:B667,2,FALSE)</f>
        <v>277</v>
      </c>
      <c r="G98" s="96">
        <f>VLOOKUP(B98,'Player Data'!A1:D667,3,FALSE)</f>
        <v>27</v>
      </c>
      <c r="H98" s="73">
        <f>_xlfn.IFERROR(VLOOKUP(B98,'ADP'!A1:G665,7,FALSE)/1000000,VLOOKUP(B98,'ADP'!A1:G665,7,FALSE))</f>
        <v>3.15</v>
      </c>
      <c r="I98" s="74">
        <f>IF('Settings'!$E$15="POINTS",(AJ98*'Settings'!$B$29)+(AK98*'Settings'!$B$21)+(AL98*'Settings'!$B$22)+(AN98*'Settings'!$B$24)+(AO98*'Settings'!$B$25)+(AP98*'Settings'!$B$27)+(AM98*'Settings'!$B$23),VLOOKUP(B98,'Standard Deviations'!A1:C666,3,FALSE))</f>
        <v>263.155951422558</v>
      </c>
      <c r="J98" s="75">
        <f>IF(D98="G",I98/AJ98,I98/Q98)</f>
        <v>5.26311902845116</v>
      </c>
      <c r="K98" s="74">
        <f>VLOOKUP(B98,'G'!A1:F65,6,FALSE)</f>
        <v>-4.435063142032</v>
      </c>
      <c r="L98" s="76">
        <f>_xlfn.IFERROR(K98/H98,"N/A")</f>
        <v>-1.40795655302603</v>
      </c>
      <c r="M98" s="77">
        <f>IF('Settings'!$E$9="YAHOO",VLOOKUP(B98,'ADP'!A1:E665,2,FALSE),IF('Settings'!$E$9="ESPN",VLOOKUP(B98,'ADP'!A1:E665,3,FALSE),IF('Settings'!$E$9="FANTRAX",VLOOKUP(B98,'ADP'!A1:E665,4,FALSE),VLOOKUP(B98,'ADP'!A1:E665,5,FALSE))))</f>
        <v>0</v>
      </c>
      <c r="N98" s="77">
        <f>_xlfn.IFERROR(M98-A98,"N/A")</f>
        <v>-90</v>
      </c>
      <c r="O98" s="77"/>
      <c r="P98" t="s" s="78">
        <f>IF('Settings'!$E$27="ON",VLOOKUP(B98,'ADP'!A1:H665,8,FALSE)," ")</f>
        <v>235</v>
      </c>
      <c r="Q98" s="79"/>
      <c r="R98" s="77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81"/>
      <c r="AI98" s="77"/>
      <c r="AJ98" s="89">
        <f>VLOOKUP(B98,'Player Data'!$A1:$AE667,24,FALSE)</f>
        <v>50</v>
      </c>
      <c r="AK98" s="79">
        <f>VLOOKUP(B98,'Player Data'!$A1:$AE667,25,FALSE)*$AJ98*_xlfn.IFERROR((VLOOKUP(P98,'Settings'!$E$28:$F$33,2,FALSE)+1),1)</f>
        <v>22.4575890913471</v>
      </c>
      <c r="AL98" s="79">
        <f>AJ98-AK98-AM98</f>
        <v>21.2924109086529</v>
      </c>
      <c r="AM98" s="79">
        <f>VLOOKUP(B98,'Player Data'!$A1:$AE667,27,FALSE)*$AJ98</f>
        <v>6.25</v>
      </c>
      <c r="AN98" s="79">
        <f>VLOOKUP(B98,'Player Data'!$A1:$AE667,28,FALSE)*AJ98</f>
        <v>1.95554205822216</v>
      </c>
      <c r="AO98" s="79">
        <f>VLOOKUP(B98,'Player Data'!$A1:$AE667,29,FALSE)*$AJ98*_xlfn.IFERROR((VLOOKUP(P98,'Settings'!$E$28:$F$33,2,FALSE)/4)+1,1)</f>
        <v>1422.026088462390</v>
      </c>
      <c r="AP98" s="79">
        <f>VLOOKUP(B98,'Player Data'!$A1:$AE667,31,FALSE)*$AJ98*(_xlfn.IFERROR(1-(VLOOKUP(P98,'Settings'!$E$28:$F$33,2,FALSE)/4),1))</f>
        <v>153.868069019833</v>
      </c>
      <c r="AQ98" s="82">
        <f>1-(AP98/(AO98+AP98))</f>
        <v>0.902361419204913</v>
      </c>
      <c r="AR98" s="83">
        <f>AP98/AJ98</f>
        <v>3.07736138039666</v>
      </c>
      <c r="AS98" s="84"/>
    </row>
    <row r="99" ht="21.25" customHeight="1">
      <c r="A99" s="85">
        <f>RANK(K99,K$1:K$665)</f>
        <v>96</v>
      </c>
      <c r="B99" t="s" s="16">
        <v>278</v>
      </c>
      <c r="C99" t="s" s="69">
        <v>127</v>
      </c>
      <c r="D99" t="s" s="70">
        <f>VLOOKUP(B99,'Player Data'!A1:D667,4,FALSE)</f>
        <v>153</v>
      </c>
      <c r="E99" s="95">
        <f>VLOOKUP(B99,'D'!A1:C213,3,FALSE)</f>
        <v>20</v>
      </c>
      <c r="F99" t="s" s="107">
        <f>VLOOKUP(B99,'Player Data'!A1:B667,2,FALSE)</f>
        <v>279</v>
      </c>
      <c r="G99" s="91">
        <f>VLOOKUP(B99,'Player Data'!A1:D667,3,FALSE)</f>
        <v>34</v>
      </c>
      <c r="H99" s="73">
        <f>_xlfn.IFERROR(VLOOKUP(B99,'ADP'!A1:G665,7,FALSE)/1000000,VLOOKUP(B99,'ADP'!A1:G665,7,FALSE))</f>
        <v>4</v>
      </c>
      <c r="I99" s="74">
        <f>IF('Settings'!$E$15="POINTS",((R99*Q99)*'Settings'!$B$12)+(S99*'Settings'!$B$2)+(T99*'Settings'!$B$3)+(U99*'Settings'!$B$4)+(V99*'Settings'!$B$5)+(X99*'Settings'!$B$9)+(AA99*'Settings'!$B$6)+(W99*'Settings'!$B$8)+(AB99*'Settings'!$B$7)+(AC99*'Settings'!$B$14)+(AD99*'Settings'!$B$15)+(AE99*'Settings'!$B$16)+(AF99*'Settings'!$B$17)+(AG99*'Settings'!$B$18)+(U99*'Settings'!$B$13)+(Y99*'Settings'!$B$10)+(Z99*'Settings'!$B$11),VLOOKUP(B99,'Standard Deviations'!A1:C666,3,FALSE))</f>
        <v>321.917431182773</v>
      </c>
      <c r="J99" s="75">
        <f>IF(D99="G",I99/AJ99,I99/Q99)</f>
        <v>4.16371249023828</v>
      </c>
      <c r="K99" s="74">
        <f>VLOOKUP(B99,'D'!A1:F213,6,FALSE)</f>
        <v>-9.622776737309</v>
      </c>
      <c r="L99" s="76">
        <f>_xlfn.IFERROR(K99/H99,"N/A")</f>
        <v>-2.40569418432725</v>
      </c>
      <c r="M99" s="77">
        <f>IF('Settings'!$E$9="YAHOO",VLOOKUP(B99,'ADP'!A1:E665,2,FALSE),IF('Settings'!$E$9="ESPN",VLOOKUP(B99,'ADP'!A1:E665,3,FALSE),IF('Settings'!$E$9="FANTRAX",VLOOKUP(B99,'ADP'!A1:E665,4,FALSE),VLOOKUP(B99,'ADP'!A1:E665,5,FALSE))))</f>
        <v>0</v>
      </c>
      <c r="N99" s="77">
        <f>_xlfn.IFERROR(M99-A99,"N/A")</f>
        <v>-96</v>
      </c>
      <c r="O99" s="77"/>
      <c r="P99" t="s" s="78">
        <f>IF('Settings'!$E$27="ON",VLOOKUP(B99,'ADP'!A1:H665,8,FALSE)," ")</f>
        <v>138</v>
      </c>
      <c r="Q99" s="79">
        <f>IF('Settings'!$E$12="YES",VLOOKUP(B99,'Player Data'!A1:E667,5,FALSE),82)</f>
        <v>77.315</v>
      </c>
      <c r="R99" s="77">
        <f>VLOOKUP(B99,'Player Data'!$A1:$AE667,6,FALSE)</f>
        <v>19.1232146929552</v>
      </c>
      <c r="S99" s="79">
        <f>VLOOKUP(B99,'Player Data'!$A1:$AE667,7,FALSE)*$Q99*_xlfn.IFERROR((VLOOKUP(P99,'Settings'!$E$28:$F$33,2,FALSE)+1),1)</f>
        <v>3.53739646520045</v>
      </c>
      <c r="T99" s="79">
        <f>VLOOKUP(B99,'Player Data'!$A1:$AE667,8,FALSE)*$Q99*_xlfn.IFERROR((VLOOKUP(P99,'Settings'!$E$28:$F$33,2,FALSE)+1),1)</f>
        <v>14.2061813613305</v>
      </c>
      <c r="U99" s="79">
        <f>SUM(S99:T99)</f>
        <v>17.743577826531</v>
      </c>
      <c r="V99" s="79">
        <f>VLOOKUP(B99,'Player Data'!$A1:$AE667,10,FALSE)*$Q99*_xlfn.IFERROR(((VLOOKUP(P99,'Settings'!$E$28:$F$33,2,FALSE)/2)+1),1)</f>
        <v>102.932939265685</v>
      </c>
      <c r="W99" s="79">
        <f>VLOOKUP(B99,'Player Data'!$A1:$AE667,11,FALSE)*$Q99*_xlfn.IFERROR((VLOOKUP(P99,'Settings'!$E$28:$F$33,2,FALSE)+1),1)</f>
        <v>0.0252987070965287</v>
      </c>
      <c r="X99" s="79">
        <f>VLOOKUP(B99,'Player Data'!$A1:$AE667,12,FALSE)*$Q99*_xlfn.IFERROR((VLOOKUP(P99,'Settings'!$E$28:$F$33,2,FALSE)+1),1)</f>
        <v>0.172244649748104</v>
      </c>
      <c r="Y99" s="79">
        <f>VLOOKUP(B99,'Player Data'!$A1:$AE667,13,FALSE)*$Q99</f>
        <v>0.163185245770216</v>
      </c>
      <c r="Z99" s="79">
        <f>VLOOKUP(B99,'Player Data'!$A1:$AE667,14,FALSE)*$Q99</f>
        <v>0.693393392983231</v>
      </c>
      <c r="AA99" s="79">
        <f>VLOOKUP(B99,'Player Data'!$A1:$AE667,15,FALSE)*$Q99</f>
        <v>157.265970928257</v>
      </c>
      <c r="AB99" s="79">
        <f>VLOOKUP(B99,'Player Data'!$A1:$AE667,16,FALSE)*$Q99</f>
        <v>256.623045966239</v>
      </c>
      <c r="AC99" s="79">
        <f>VLOOKUP(B99,'Player Data'!$A1:$AE667,17,FALSE)*$Q99*_xlfn.IFERROR((VLOOKUP(P99,'Settings'!$E$28:$F$33,2,FALSE)+1),1)</f>
        <v>-3.82257189079683</v>
      </c>
      <c r="AD99" s="79">
        <f>VLOOKUP(B99,'Player Data'!$A1:$AE667,18,FALSE)*$Q99</f>
        <v>89.27509159994879</v>
      </c>
      <c r="AE99" s="79">
        <f>VLOOKUP(B99,'Player Data'!$A1:$AE667,19,FALSE)*$Q99*_xlfn.IFERROR((VLOOKUP(P99,'Settings'!$E$28:$F$33,2,FALSE)+1),1)</f>
        <v>0.412317337785708</v>
      </c>
      <c r="AF99" s="79">
        <f>VLOOKUP(B99,'Player Data'!$A1:$AE667,20,FALSE)*$Q99</f>
        <v>0</v>
      </c>
      <c r="AG99" s="79">
        <f>VLOOKUP(B99,'Player Data'!$A1:$AE667,21,FALSE)*$Q99</f>
        <v>0</v>
      </c>
      <c r="AH99" s="81">
        <f>VLOOKUP(B99,'Player Data'!$A1:$AE667,22,FALSE)</f>
        <v>0</v>
      </c>
      <c r="AI99" s="77"/>
      <c r="AJ99" s="79"/>
      <c r="AK99" s="79"/>
      <c r="AL99" s="79"/>
      <c r="AM99" s="79"/>
      <c r="AN99" s="79"/>
      <c r="AO99" s="79"/>
      <c r="AP99" s="79"/>
      <c r="AQ99" s="82"/>
      <c r="AR99" s="83"/>
      <c r="AS99" s="93"/>
    </row>
    <row r="100" ht="21.25" customHeight="1">
      <c r="A100" s="85">
        <f>RANK(K100,K$1:K$665)</f>
        <v>99</v>
      </c>
      <c r="B100" t="s" s="16">
        <v>280</v>
      </c>
      <c r="C100" t="s" s="69">
        <v>127</v>
      </c>
      <c r="D100" t="s" s="70">
        <f>VLOOKUP(B100,'Player Data'!A1:D667,4,FALSE)</f>
        <v>136</v>
      </c>
      <c r="E100" s="87">
        <f>VLOOKUP(B100,'LW'!A1:C152,3,FALSE)</f>
        <v>24</v>
      </c>
      <c r="F100" t="s" s="104">
        <f>VLOOKUP(B100,'Player Data'!A1:B667,2,FALSE)</f>
        <v>281</v>
      </c>
      <c r="G100" s="91">
        <f>VLOOKUP(B100,'Player Data'!A1:D667,3,FALSE)</f>
        <v>31</v>
      </c>
      <c r="H100" s="73">
        <f>_xlfn.IFERROR(VLOOKUP(B100,'ADP'!A1:G665,7,FALSE)/1000000,VLOOKUP(B100,'ADP'!A1:G665,7,FALSE))</f>
        <v>3.75</v>
      </c>
      <c r="I100" s="74">
        <f>IF('Settings'!$E$15="POINTS",((R100*Q100)*'Settings'!$B$12)+(S100*'Settings'!$B$2)+(T100*'Settings'!$B$3)+(U100*'Settings'!$B$4)+(V100*'Settings'!$B$5)+(X100*'Settings'!$B$9)+(AA100*'Settings'!$B$6)+(W100*'Settings'!$B$8)+(AB100*'Settings'!$B$7)+(AC100*'Settings'!$B$14)+(AD100*'Settings'!$B$15)+(AE100*'Settings'!$B$16)+(AF100*'Settings'!$B$17)+(AG100*'Settings'!$B$18)+(Y100*'Settings'!$B$10)+(Z100*'Settings'!$B$11),VLOOKUP(B100,'Standard Deviations'!A1:C666,3,FALSE))</f>
        <v>314.505784228817</v>
      </c>
      <c r="J100" s="75">
        <f>IF(D100="G",I100/AJ100,I100/Q100)</f>
        <v>4.27637207463209</v>
      </c>
      <c r="K100" s="74">
        <f>IF('Settings'!$E$18="C/LW/RW",VLOOKUP(B100,'LW'!A1:F152,6,FALSE),VLOOKUP(B100,'F'!A1:F392,6,FALSE))</f>
        <v>-17.214327537395</v>
      </c>
      <c r="L100" s="76">
        <f>_xlfn.IFERROR(K100/H100,"N/A")</f>
        <v>-4.59048734330533</v>
      </c>
      <c r="M100" s="77">
        <f>IF('Settings'!$E$9="YAHOO",VLOOKUP(B100,'ADP'!A1:E665,2,FALSE),IF('Settings'!$E$9="ESPN",VLOOKUP(B100,'ADP'!A1:E665,3,FALSE),IF('Settings'!$E$9="FANTRAX",VLOOKUP(B100,'ADP'!A1:E665,4,FALSE),VLOOKUP(B100,'ADP'!A1:E665,5,FALSE))))</f>
        <v>0</v>
      </c>
      <c r="N100" s="77">
        <f>_xlfn.IFERROR(M100-A100,"N/A")</f>
        <v>-99</v>
      </c>
      <c r="O100" s="77"/>
      <c r="P100" t="s" s="78">
        <f>IF('Settings'!$E$27="ON",VLOOKUP(B100,'ADP'!A1:H665,8,FALSE)," ")</f>
        <v>138</v>
      </c>
      <c r="Q100" s="79">
        <f>IF('Settings'!$E$12="YES",VLOOKUP(B100,'Player Data'!A1:E667,5,FALSE),82)</f>
        <v>73.545</v>
      </c>
      <c r="R100" s="77">
        <f>VLOOKUP(B100,'Player Data'!$A1:$AE667,6,FALSE)</f>
        <v>20.0777547330518</v>
      </c>
      <c r="S100" s="79">
        <f>VLOOKUP(B100,'Player Data'!$A1:$AE667,7,FALSE)*$Q100*_xlfn.IFERROR((VLOOKUP(P100,'Settings'!$E$28:$F$33,2,FALSE)+1),1)</f>
        <v>25.5721370477366</v>
      </c>
      <c r="T100" s="79">
        <f>VLOOKUP(B100,'Player Data'!$A1:$AE667,8,FALSE)*$Q100*_xlfn.IFERROR((VLOOKUP(P100,'Settings'!$E$28:$F$33,2,FALSE)+1),1)</f>
        <v>20.8886561417359</v>
      </c>
      <c r="U100" s="79">
        <f>SUM(S100:T100)</f>
        <v>46.4607931894725</v>
      </c>
      <c r="V100" s="79">
        <f>VLOOKUP(B100,'Player Data'!$A1:$AE667,10,FALSE)*$Q100*_xlfn.IFERROR(((VLOOKUP(P100,'Settings'!$E$28:$F$33,2,FALSE)/2)+1),1)</f>
        <v>201.213864441321</v>
      </c>
      <c r="W100" s="79">
        <f>VLOOKUP(B100,'Player Data'!$A1:$AE667,11,FALSE)*$Q100*_xlfn.IFERROR((VLOOKUP(P100,'Settings'!$E$28:$F$33,2,FALSE)+1),1)</f>
        <v>6.39656966802125</v>
      </c>
      <c r="X100" s="101">
        <f>VLOOKUP(B100,'Player Data'!$A1:$AE667,12,FALSE)*$Q100*_xlfn.IFERROR((VLOOKUP(P100,'Settings'!$E$28:$F$33,2,FALSE)+1),1)</f>
        <v>10.7400243021358</v>
      </c>
      <c r="Y100" s="79">
        <f>VLOOKUP(B100,'Player Data'!$A1:$AE667,13,FALSE)*$Q100</f>
        <v>0.180755097430533</v>
      </c>
      <c r="Z100" s="79">
        <f>VLOOKUP(B100,'Player Data'!$A1:$AE667,14,FALSE)*$Q100</f>
        <v>0.33237664010163</v>
      </c>
      <c r="AA100" s="79">
        <f>VLOOKUP(B100,'Player Data'!$A1:$AE667,15,FALSE)*$Q100</f>
        <v>81.97951994863131</v>
      </c>
      <c r="AB100" s="79">
        <f>VLOOKUP(B100,'Player Data'!$A1:$AE667,16,FALSE)*$Q100</f>
        <v>129.230578375559</v>
      </c>
      <c r="AC100" s="79">
        <f>VLOOKUP(B100,'Player Data'!$A1:$AE667,17,FALSE)*$Q100*_xlfn.IFERROR((VLOOKUP(P100,'Settings'!$E$28:$F$33,2,FALSE)+1),1)</f>
        <v>-6.98768650577433</v>
      </c>
      <c r="AD100" s="79">
        <f>VLOOKUP(B100,'Player Data'!$A1:$AE667,18,FALSE)*$Q100</f>
        <v>36.7345502229913</v>
      </c>
      <c r="AE100" s="79">
        <f>VLOOKUP(B100,'Player Data'!$A1:$AE667,19,FALSE)*$Q100*_xlfn.IFERROR((VLOOKUP(P100,'Settings'!$E$28:$F$33,2,FALSE)+1),1)</f>
        <v>2.82787813133321</v>
      </c>
      <c r="AF100" s="79">
        <f>VLOOKUP(B100,'Player Data'!$A1:$AE667,20,FALSE)*$Q100</f>
        <v>776.739746053948</v>
      </c>
      <c r="AG100" s="79">
        <f>VLOOKUP(B100,'Player Data'!$A1:$AE667,21,FALSE)*$Q100</f>
        <v>654.578056133431</v>
      </c>
      <c r="AH100" s="81">
        <f>VLOOKUP(B100,'Player Data'!$A1:$AE667,22,FALSE)</f>
        <v>0.542674551288968</v>
      </c>
      <c r="AI100" s="77"/>
      <c r="AJ100" s="79"/>
      <c r="AK100" s="79"/>
      <c r="AL100" s="79"/>
      <c r="AM100" s="79"/>
      <c r="AN100" s="79"/>
      <c r="AO100" s="79"/>
      <c r="AP100" s="79"/>
      <c r="AQ100" s="82"/>
      <c r="AR100" s="83"/>
      <c r="AS100" s="84"/>
    </row>
    <row r="101" ht="21.25" customHeight="1">
      <c r="A101" s="85">
        <f>RANK(K101,K$1:K$665)</f>
        <v>97</v>
      </c>
      <c r="B101" t="s" s="16">
        <v>282</v>
      </c>
      <c r="C101" t="s" s="69">
        <v>127</v>
      </c>
      <c r="D101" t="s" s="70">
        <f>VLOOKUP(B101,'Player Data'!A1:D667,4,FALSE)</f>
        <v>153</v>
      </c>
      <c r="E101" s="95">
        <f>VLOOKUP(B101,'D'!A1:C213,3,FALSE)</f>
        <v>21</v>
      </c>
      <c r="F101" t="s" s="88">
        <f>VLOOKUP(B101,'Player Data'!A1:B667,2,FALSE)</f>
        <v>239</v>
      </c>
      <c r="G101" s="11">
        <f>VLOOKUP(B101,'Player Data'!A1:D667,3,FALSE)</f>
        <v>30</v>
      </c>
      <c r="H101" s="73">
        <f>_xlfn.IFERROR(VLOOKUP(B101,'ADP'!A1:G665,7,FALSE)/1000000,VLOOKUP(B101,'ADP'!A1:G665,7,FALSE))</f>
        <v>4.875</v>
      </c>
      <c r="I101" s="74">
        <f>IF('Settings'!$E$15="POINTS",((R101*Q101)*'Settings'!$B$12)+(S101*'Settings'!$B$2)+(T101*'Settings'!$B$3)+(U101*'Settings'!$B$4)+(V101*'Settings'!$B$5)+(X101*'Settings'!$B$9)+(AA101*'Settings'!$B$6)+(W101*'Settings'!$B$8)+(AB101*'Settings'!$B$7)+(AC101*'Settings'!$B$14)+(AD101*'Settings'!$B$15)+(AE101*'Settings'!$B$16)+(AF101*'Settings'!$B$17)+(AG101*'Settings'!$B$18)+(U101*'Settings'!$B$13)+(Y101*'Settings'!$B$10)+(Z101*'Settings'!$B$11),VLOOKUP(B101,'Standard Deviations'!A1:C666,3,FALSE))</f>
        <v>321.147090343755</v>
      </c>
      <c r="J101" s="75">
        <f>IF(D101="G",I101/AJ101,I101/Q101)</f>
        <v>4.19498517854817</v>
      </c>
      <c r="K101" s="74">
        <f>VLOOKUP(B101,'D'!A1:F213,6,FALSE)</f>
        <v>-10.393117576327</v>
      </c>
      <c r="L101" s="76">
        <f>_xlfn.IFERROR(K101/H101,"N/A")</f>
        <v>-2.13192155411836</v>
      </c>
      <c r="M101" s="77">
        <f>IF('Settings'!$E$9="YAHOO",VLOOKUP(B101,'ADP'!A1:E665,2,FALSE),IF('Settings'!$E$9="ESPN",VLOOKUP(B101,'ADP'!A1:E665,3,FALSE),IF('Settings'!$E$9="FANTRAX",VLOOKUP(B101,'ADP'!A1:E665,4,FALSE),VLOOKUP(B101,'ADP'!A1:E665,5,FALSE))))</f>
        <v>0</v>
      </c>
      <c r="N101" s="77">
        <f>_xlfn.IFERROR(M101-A101,"N/A")</f>
        <v>-97</v>
      </c>
      <c r="O101" s="77"/>
      <c r="P101" t="s" s="78">
        <f>IF('Settings'!$E$27="ON",VLOOKUP(B101,'ADP'!A1:H665,8,FALSE)," ")</f>
        <v>138</v>
      </c>
      <c r="Q101" s="79">
        <f>IF('Settings'!$E$12="YES",VLOOKUP(B101,'Player Data'!A1:E667,5,FALSE),82)</f>
        <v>76.55500000000001</v>
      </c>
      <c r="R101" s="108">
        <f>VLOOKUP(B101,'Player Data'!$A1:$AE667,6,FALSE)</f>
        <v>24.4563510761505</v>
      </c>
      <c r="S101" s="79">
        <f>VLOOKUP(B101,'Player Data'!$A1:$AE667,7,FALSE)*$Q101*_xlfn.IFERROR((VLOOKUP(P101,'Settings'!$E$28:$F$33,2,FALSE)+1),1)</f>
        <v>11.2009101250092</v>
      </c>
      <c r="T101" s="79">
        <f>VLOOKUP(B101,'Player Data'!$A1:$AE667,8,FALSE)*$Q101*_xlfn.IFERROR((VLOOKUP(P101,'Settings'!$E$28:$F$33,2,FALSE)+1),1)</f>
        <v>37.7781137705567</v>
      </c>
      <c r="U101" s="79">
        <f>SUM(S101:T101)</f>
        <v>48.9790238955659</v>
      </c>
      <c r="V101" s="79">
        <f>VLOOKUP(B101,'Player Data'!$A1:$AE667,10,FALSE)*$Q101*_xlfn.IFERROR(((VLOOKUP(P101,'Settings'!$E$28:$F$33,2,FALSE)/2)+1),1)</f>
        <v>168.380043684008</v>
      </c>
      <c r="W101" s="79">
        <f>VLOOKUP(B101,'Player Data'!$A1:$AE667,11,FALSE)*$Q101*_xlfn.IFERROR((VLOOKUP(P101,'Settings'!$E$28:$F$33,2,FALSE)+1),1)</f>
        <v>1.89849596506745</v>
      </c>
      <c r="X101" s="101">
        <f>VLOOKUP(B101,'Player Data'!$A1:$AE667,12,FALSE)*$Q101*_xlfn.IFERROR((VLOOKUP(P101,'Settings'!$E$28:$F$33,2,FALSE)+1),1)</f>
        <v>15.5605266486782</v>
      </c>
      <c r="Y101" s="79">
        <f>VLOOKUP(B101,'Player Data'!$A1:$AE667,13,FALSE)*$Q101</f>
        <v>1.15481513801107</v>
      </c>
      <c r="Z101" s="79">
        <f>VLOOKUP(B101,'Player Data'!$A1:$AE667,14,FALSE)*$Q101</f>
        <v>1.93921106898439</v>
      </c>
      <c r="AA101" s="79">
        <f>VLOOKUP(B101,'Player Data'!$A1:$AE667,15,FALSE)*$Q101</f>
        <v>156.582347674723</v>
      </c>
      <c r="AB101" s="79">
        <f>VLOOKUP(B101,'Player Data'!$A1:$AE667,16,FALSE)*$Q101</f>
        <v>71.9567975400259</v>
      </c>
      <c r="AC101" s="79">
        <f>VLOOKUP(B101,'Player Data'!$A1:$AE667,17,FALSE)*$Q101*_xlfn.IFERROR((VLOOKUP(P101,'Settings'!$E$28:$F$33,2,FALSE)+1),1)</f>
        <v>-5.10260782431287</v>
      </c>
      <c r="AD101" s="79">
        <f>VLOOKUP(B101,'Player Data'!$A1:$AE667,18,FALSE)*$Q101</f>
        <v>49.6168239337569</v>
      </c>
      <c r="AE101" s="79">
        <f>VLOOKUP(B101,'Player Data'!$A1:$AE667,19,FALSE)*$Q101*_xlfn.IFERROR((VLOOKUP(P101,'Settings'!$E$28:$F$33,2,FALSE)+1),1)</f>
        <v>1.29819973849276</v>
      </c>
      <c r="AF101" s="79">
        <f>VLOOKUP(B101,'Player Data'!$A1:$AE667,20,FALSE)*$Q101</f>
        <v>0</v>
      </c>
      <c r="AG101" s="79">
        <f>VLOOKUP(B101,'Player Data'!$A1:$AE667,21,FALSE)*$Q101</f>
        <v>0</v>
      </c>
      <c r="AH101" s="81">
        <f>VLOOKUP(B101,'Player Data'!$A1:$AE667,22,FALSE)</f>
        <v>0</v>
      </c>
      <c r="AI101" s="77"/>
      <c r="AJ101" s="89"/>
      <c r="AK101" s="79"/>
      <c r="AL101" s="79"/>
      <c r="AM101" s="79"/>
      <c r="AN101" s="79"/>
      <c r="AO101" s="79"/>
      <c r="AP101" s="79"/>
      <c r="AQ101" s="82"/>
      <c r="AR101" s="83"/>
      <c r="AS101" s="84"/>
    </row>
    <row r="102" ht="21.25" customHeight="1">
      <c r="A102" s="85">
        <f>RANK(K102,K$1:K$665)</f>
        <v>100</v>
      </c>
      <c r="B102" t="s" s="16">
        <v>283</v>
      </c>
      <c r="C102" t="s" s="69">
        <v>127</v>
      </c>
      <c r="D102" t="s" s="70">
        <f>VLOOKUP(B102,'Player Data'!A1:D667,4,FALSE)</f>
        <v>178</v>
      </c>
      <c r="E102" s="102">
        <f>VLOOKUP(B102,'LW'!A1:C152,3,FALSE)</f>
        <v>25</v>
      </c>
      <c r="F102" t="s" s="103">
        <f>VLOOKUP(B102,'Player Data'!A1:B667,2,FALSE)</f>
        <v>225</v>
      </c>
      <c r="G102" s="11">
        <f>VLOOKUP(B102,'Player Data'!A1:D667,3,FALSE)</f>
        <v>28</v>
      </c>
      <c r="H102" s="73">
        <f>_xlfn.IFERROR(VLOOKUP(B102,'ADP'!A1:G665,7,FALSE)/1000000,VLOOKUP(B102,'ADP'!A1:G665,7,FALSE))</f>
        <v>7.875</v>
      </c>
      <c r="I102" s="74">
        <f>IF('Settings'!$E$15="POINTS",((R102*Q102)*'Settings'!$B$12)+(S102*'Settings'!$B$2)+(T102*'Settings'!$B$3)+(U102*'Settings'!$B$4)+(V102*'Settings'!$B$5)+(X102*'Settings'!$B$9)+(AA102*'Settings'!$B$6)+(W102*'Settings'!$B$8)+(AB102*'Settings'!$B$7)+(AC102*'Settings'!$B$14)+(AD102*'Settings'!$B$15)+(AE102*'Settings'!$B$16)+(AF102*'Settings'!$B$17)+(AG102*'Settings'!$B$18)+(Y102*'Settings'!$B$10)+(Z102*'Settings'!$B$11),VLOOKUP(B102,'Standard Deviations'!A1:C666,3,FALSE))</f>
        <v>313.895928132871</v>
      </c>
      <c r="J102" s="75">
        <f>IF(D102="G",I102/AJ102,I102/Q102)</f>
        <v>3.91184133262138</v>
      </c>
      <c r="K102" s="74">
        <f>IF('Settings'!$E$18="C/LW/RW",VLOOKUP(B102,'LW'!A1:F152,6,FALSE),VLOOKUP(B102,'F'!A1:F392,6,FALSE))</f>
        <v>-17.824183633341</v>
      </c>
      <c r="L102" s="76">
        <f>_xlfn.IFERROR(K102/H102,"N/A")</f>
        <v>-2.26338839788457</v>
      </c>
      <c r="M102" s="77">
        <f>IF('Settings'!$E$9="YAHOO",VLOOKUP(B102,'ADP'!A1:E665,2,FALSE),IF('Settings'!$E$9="ESPN",VLOOKUP(B102,'ADP'!A1:E665,3,FALSE),IF('Settings'!$E$9="FANTRAX",VLOOKUP(B102,'ADP'!A1:E665,4,FALSE),VLOOKUP(B102,'ADP'!A1:E665,5,FALSE))))</f>
        <v>0</v>
      </c>
      <c r="N102" s="77">
        <f>_xlfn.IFERROR(M102-A102,"N/A")</f>
        <v>-100</v>
      </c>
      <c r="O102" s="77"/>
      <c r="P102" t="s" s="78">
        <f>IF('Settings'!$E$27="ON",VLOOKUP(B102,'ADP'!A1:H665,8,FALSE)," ")</f>
        <v>138</v>
      </c>
      <c r="Q102" s="79">
        <f>IF('Settings'!$E$12="YES",VLOOKUP(B102,'Player Data'!A1:E667,5,FALSE),82)</f>
        <v>80.24250000000001</v>
      </c>
      <c r="R102" s="77">
        <f>VLOOKUP(B102,'Player Data'!$A1:$AE667,6,FALSE)</f>
        <v>17.9557551136951</v>
      </c>
      <c r="S102" s="79">
        <f>VLOOKUP(B102,'Player Data'!$A1:$AE667,7,FALSE)*$Q102*_xlfn.IFERROR((VLOOKUP(P102,'Settings'!$E$28:$F$33,2,FALSE)+1),1)</f>
        <v>28.5294699280235</v>
      </c>
      <c r="T102" s="79">
        <f>VLOOKUP(B102,'Player Data'!$A1:$AE667,8,FALSE)*$Q102*_xlfn.IFERROR((VLOOKUP(P102,'Settings'!$E$28:$F$33,2,FALSE)+1),1)</f>
        <v>48.0593654429529</v>
      </c>
      <c r="U102" s="79">
        <f>SUM(S102:T102)</f>
        <v>76.5888353709764</v>
      </c>
      <c r="V102" s="79">
        <f>VLOOKUP(B102,'Player Data'!$A1:$AE667,10,FALSE)*$Q102*_xlfn.IFERROR(((VLOOKUP(P102,'Settings'!$E$28:$F$33,2,FALSE)/2)+1),1)</f>
        <v>230.290115498113</v>
      </c>
      <c r="W102" s="79">
        <f>VLOOKUP(B102,'Player Data'!$A1:$AE667,11,FALSE)*$Q102*_xlfn.IFERROR((VLOOKUP(P102,'Settings'!$E$28:$F$33,2,FALSE)+1),1)</f>
        <v>9.179856996862309</v>
      </c>
      <c r="X102" s="80">
        <f>VLOOKUP(B102,'Player Data'!$A1:$AE667,12,FALSE)*$Q102*_xlfn.IFERROR((VLOOKUP(P102,'Settings'!$E$28:$F$33,2,FALSE)+1),1)</f>
        <v>26.174052321358</v>
      </c>
      <c r="Y102" s="79">
        <f>VLOOKUP(B102,'Player Data'!$A1:$AE667,13,FALSE)*$Q102</f>
        <v>0.0161658296413036</v>
      </c>
      <c r="Z102" s="79">
        <f>VLOOKUP(B102,'Player Data'!$A1:$AE667,14,FALSE)*$Q102</f>
        <v>0.0207607893248219</v>
      </c>
      <c r="AA102" s="79">
        <f>VLOOKUP(B102,'Player Data'!$A1:$AE667,15,FALSE)*$Q102</f>
        <v>26.9700541326635</v>
      </c>
      <c r="AB102" s="79">
        <f>VLOOKUP(B102,'Player Data'!$A1:$AE667,16,FALSE)*$Q102</f>
        <v>60.440490893729</v>
      </c>
      <c r="AC102" s="79">
        <f>VLOOKUP(B102,'Player Data'!$A1:$AE667,17,FALSE)*$Q102*_xlfn.IFERROR((VLOOKUP(P102,'Settings'!$E$28:$F$33,2,FALSE)+1),1)</f>
        <v>4.68764257987873</v>
      </c>
      <c r="AD102" s="79">
        <f>VLOOKUP(B102,'Player Data'!$A1:$AE667,18,FALSE)*$Q102</f>
        <v>49.1295280189788</v>
      </c>
      <c r="AE102" s="79">
        <f>VLOOKUP(B102,'Player Data'!$A1:$AE667,19,FALSE)*$Q102*_xlfn.IFERROR((VLOOKUP(P102,'Settings'!$E$28:$F$33,2,FALSE)+1),1)</f>
        <v>5.08428449034355</v>
      </c>
      <c r="AF102" s="79">
        <f>VLOOKUP(B102,'Player Data'!$A1:$AE667,20,FALSE)*$Q102</f>
        <v>10.8527834706702</v>
      </c>
      <c r="AG102" s="79">
        <f>VLOOKUP(B102,'Player Data'!$A1:$AE667,21,FALSE)*$Q102</f>
        <v>20.5519717781753</v>
      </c>
      <c r="AH102" s="81">
        <f>VLOOKUP(B102,'Player Data'!$A1:$AE667,22,FALSE)</f>
        <v>0.345577712186409</v>
      </c>
      <c r="AI102" s="77"/>
      <c r="AJ102" s="89"/>
      <c r="AK102" s="79"/>
      <c r="AL102" s="79"/>
      <c r="AM102" s="79"/>
      <c r="AN102" s="79"/>
      <c r="AO102" s="79"/>
      <c r="AP102" s="79"/>
      <c r="AQ102" s="82"/>
      <c r="AR102" s="83"/>
      <c r="AS102" s="84"/>
    </row>
    <row r="103" ht="21.25" customHeight="1">
      <c r="A103" s="85">
        <f>RANK(K103,K$1:K$665)</f>
        <v>95</v>
      </c>
      <c r="B103" t="s" s="16">
        <v>284</v>
      </c>
      <c r="C103" t="s" s="69">
        <v>127</v>
      </c>
      <c r="D103" t="s" s="70">
        <f>VLOOKUP(B103,'Player Data'!A1:D667,4,FALSE)</f>
        <v>161</v>
      </c>
      <c r="E103" s="99">
        <f>VLOOKUP(B103,'G'!A1:D65,3,FALSE)</f>
        <v>21</v>
      </c>
      <c r="F103" t="s" s="86">
        <f>VLOOKUP(B103,'Player Data'!A1:B667,2,FALSE)</f>
        <v>132</v>
      </c>
      <c r="G103" s="96">
        <f>VLOOKUP(B103,'Player Data'!A1:D667,3,FALSE)</f>
        <v>26</v>
      </c>
      <c r="H103" s="73">
        <f>_xlfn.IFERROR(VLOOKUP(B103,'ADP'!A1:G665,7,FALSE)/1000000,VLOOKUP(B103,'ADP'!A1:G665,7,FALSE))</f>
        <v>0.766667</v>
      </c>
      <c r="I103" s="74">
        <f>IF('Settings'!$E$15="POINTS",(AJ103*'Settings'!$B$29)+(AK103*'Settings'!$B$21)+(AL103*'Settings'!$B$22)+(AN103*'Settings'!$B$24)+(AO103*'Settings'!$B$25)+(AP103*'Settings'!$B$27)+(AM103*'Settings'!$B$23),VLOOKUP(B103,'Standard Deviations'!A1:C666,3,FALSE))</f>
        <v>258.394152314649</v>
      </c>
      <c r="J103" s="75">
        <f>IF(D103="G",I103/AJ103,I103/Q103)</f>
        <v>5.87259437078748</v>
      </c>
      <c r="K103" s="74">
        <f>VLOOKUP(B103,'G'!A1:F65,6,FALSE)</f>
        <v>-9.196862249941001</v>
      </c>
      <c r="L103" s="76">
        <f>_xlfn.IFERROR(K103/H103,"N/A")</f>
        <v>-11.9959020669221</v>
      </c>
      <c r="M103" s="77">
        <f>IF('Settings'!$E$9="YAHOO",VLOOKUP(B103,'ADP'!A1:E665,2,FALSE),IF('Settings'!$E$9="ESPN",VLOOKUP(B103,'ADP'!A1:E665,3,FALSE),IF('Settings'!$E$9="FANTRAX",VLOOKUP(B103,'ADP'!A1:E665,4,FALSE),VLOOKUP(B103,'ADP'!A1:E665,5,FALSE))))</f>
        <v>0</v>
      </c>
      <c r="N103" s="77">
        <f>_xlfn.IFERROR(M103-A103,"N/A")</f>
        <v>-95</v>
      </c>
      <c r="O103" s="77"/>
      <c r="P103" t="s" s="78">
        <f>IF('Settings'!$E$27="ON",VLOOKUP(B103,'ADP'!A1:H665,8,FALSE)," ")</f>
        <v>130</v>
      </c>
      <c r="Q103" s="79"/>
      <c r="R103" s="77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81"/>
      <c r="AI103" s="77"/>
      <c r="AJ103" s="89">
        <f>VLOOKUP(B103,'Player Data'!$A1:$AE667,24,FALSE)</f>
        <v>44</v>
      </c>
      <c r="AK103" s="79">
        <f>VLOOKUP(B103,'Player Data'!$A1:$AE667,25,FALSE)*$AJ103*_xlfn.IFERROR((VLOOKUP(P103,'Settings'!$E$28:$F$33,2,FALSE)+1),1)</f>
        <v>29.121104864685</v>
      </c>
      <c r="AL103" s="79">
        <f>AJ103-AK103-AM103</f>
        <v>9.378895135315</v>
      </c>
      <c r="AM103" s="79">
        <f>VLOOKUP(B103,'Player Data'!$A1:$AE667,27,FALSE)*$AJ103</f>
        <v>5.5</v>
      </c>
      <c r="AN103" s="79">
        <f>VLOOKUP(B103,'Player Data'!$A1:$AE667,28,FALSE)*AJ103</f>
        <v>2.70852656092383</v>
      </c>
      <c r="AO103" s="79">
        <f>VLOOKUP(B103,'Player Data'!$A1:$AE667,29,FALSE)*$AJ103*_xlfn.IFERROR((VLOOKUP(P103,'Settings'!$E$28:$F$33,2,FALSE)/4)+1,1)</f>
        <v>1200.078262675960</v>
      </c>
      <c r="AP103" s="79">
        <f>VLOOKUP(B103,'Player Data'!$A1:$AE667,31,FALSE)*$AJ103*(_xlfn.IFERROR(1-(VLOOKUP(P103,'Settings'!$E$28:$F$33,2,FALSE)/4),1))</f>
        <v>119.041139509685</v>
      </c>
      <c r="AQ103" s="82">
        <f>1-(AP103/(AO103+AP103))</f>
        <v>0.909757115760373</v>
      </c>
      <c r="AR103" s="83">
        <f>AP103/AJ103</f>
        <v>2.70548044340193</v>
      </c>
      <c r="AS103" s="84"/>
    </row>
    <row r="104" ht="21.25" customHeight="1">
      <c r="A104" s="85">
        <f>RANK(K104,K$1:K$665)</f>
        <v>106</v>
      </c>
      <c r="B104" t="s" s="16">
        <v>285</v>
      </c>
      <c r="C104" t="s" s="69">
        <v>127</v>
      </c>
      <c r="D104" t="s" s="70">
        <f>VLOOKUP(B104,'Player Data'!A1:D667,4,FALSE)</f>
        <v>178</v>
      </c>
      <c r="E104" s="102">
        <f>VLOOKUP(B104,'LW'!A1:C152,3,FALSE)</f>
        <v>26</v>
      </c>
      <c r="F104" t="s" s="78">
        <f>VLOOKUP(B104,'Player Data'!A1:B667,2,FALSE)</f>
        <v>168</v>
      </c>
      <c r="G104" s="11">
        <f>VLOOKUP(B104,'Player Data'!A1:D667,3,FALSE)</f>
        <v>27</v>
      </c>
      <c r="H104" s="73">
        <f>_xlfn.IFERROR(VLOOKUP(B104,'ADP'!A1:G665,7,FALSE)/1000000,VLOOKUP(B104,'ADP'!A1:G665,7,FALSE))</f>
        <v>7.142857</v>
      </c>
      <c r="I104" s="74">
        <f>IF('Settings'!$E$15="POINTS",((R104*Q104)*'Settings'!$B$12)+(S104*'Settings'!$B$2)+(T104*'Settings'!$B$3)+(U104*'Settings'!$B$4)+(V104*'Settings'!$B$5)+(X104*'Settings'!$B$9)+(AA104*'Settings'!$B$6)+(W104*'Settings'!$B$8)+(AB104*'Settings'!$B$7)+(AC104*'Settings'!$B$14)+(AD104*'Settings'!$B$15)+(AE104*'Settings'!$B$16)+(AF104*'Settings'!$B$17)+(AG104*'Settings'!$B$18)+(Y104*'Settings'!$B$10)+(Z104*'Settings'!$B$11),VLOOKUP(B104,'Standard Deviations'!A1:C666,3,FALSE))</f>
        <v>311.538199898735</v>
      </c>
      <c r="J104" s="75">
        <f>IF(D104="G",I104/AJ104,I104/Q104)</f>
        <v>3.95792535999663</v>
      </c>
      <c r="K104" s="74">
        <f>IF('Settings'!$E$18="C/LW/RW",VLOOKUP(B104,'LW'!A1:F152,6,FALSE),VLOOKUP(B104,'F'!A1:F392,6,FALSE))</f>
        <v>-20.181911867477</v>
      </c>
      <c r="L104" s="76">
        <f>_xlfn.IFERROR(K104/H104,"N/A")</f>
        <v>-2.82546771795613</v>
      </c>
      <c r="M104" s="77">
        <f>IF('Settings'!$E$9="YAHOO",VLOOKUP(B104,'ADP'!A1:E665,2,FALSE),IF('Settings'!$E$9="ESPN",VLOOKUP(B104,'ADP'!A1:E665,3,FALSE),IF('Settings'!$E$9="FANTRAX",VLOOKUP(B104,'ADP'!A1:E665,4,FALSE),VLOOKUP(B104,'ADP'!A1:E665,5,FALSE))))</f>
        <v>0</v>
      </c>
      <c r="N104" s="77">
        <f>_xlfn.IFERROR(M104-A104,"N/A")</f>
        <v>-106</v>
      </c>
      <c r="O104" s="77"/>
      <c r="P104" t="s" s="78">
        <f>IF('Settings'!$E$27="ON",VLOOKUP(B104,'ADP'!A1:H665,8,FALSE)," ")</f>
        <v>138</v>
      </c>
      <c r="Q104" s="79">
        <f>IF('Settings'!$E$12="YES",VLOOKUP(B104,'Player Data'!A1:E667,5,FALSE),82)</f>
        <v>78.71250000000001</v>
      </c>
      <c r="R104" s="77">
        <f>VLOOKUP(B104,'Player Data'!$A1:$AE667,6,FALSE)</f>
        <v>19.6732946695179</v>
      </c>
      <c r="S104" s="79">
        <f>VLOOKUP(B104,'Player Data'!$A1:$AE667,7,FALSE)*$Q104*_xlfn.IFERROR((VLOOKUP(P104,'Settings'!$E$28:$F$33,2,FALSE)+1),1)</f>
        <v>36.7718275040472</v>
      </c>
      <c r="T104" s="79">
        <f>VLOOKUP(B104,'Player Data'!$A1:$AE667,8,FALSE)*$Q104*_xlfn.IFERROR((VLOOKUP(P104,'Settings'!$E$28:$F$33,2,FALSE)+1),1)</f>
        <v>40.4414371866115</v>
      </c>
      <c r="U104" s="79">
        <f>SUM(S104:T104)</f>
        <v>77.2132646906587</v>
      </c>
      <c r="V104" s="79">
        <f>VLOOKUP(B104,'Player Data'!$A1:$AE667,10,FALSE)*$Q104*_xlfn.IFERROR(((VLOOKUP(P104,'Settings'!$E$28:$F$33,2,FALSE)/2)+1),1)</f>
        <v>265.7282451239</v>
      </c>
      <c r="W104" s="79">
        <f>VLOOKUP(B104,'Player Data'!$A1:$AE667,11,FALSE)*$Q104*_xlfn.IFERROR((VLOOKUP(P104,'Settings'!$E$28:$F$33,2,FALSE)+1),1)</f>
        <v>6.36640726222076</v>
      </c>
      <c r="X104" s="80">
        <f>VLOOKUP(B104,'Player Data'!$A1:$AE667,12,FALSE)*$Q104*_xlfn.IFERROR((VLOOKUP(P104,'Settings'!$E$28:$F$33,2,FALSE)+1),1)</f>
        <v>23.0731931098178</v>
      </c>
      <c r="Y104" s="79">
        <f>VLOOKUP(B104,'Player Data'!$A1:$AE667,13,FALSE)*$Q104</f>
        <v>0.119818130518893</v>
      </c>
      <c r="Z104" s="79">
        <f>VLOOKUP(B104,'Player Data'!$A1:$AE667,14,FALSE)*$Q104</f>
        <v>0.140995677849176</v>
      </c>
      <c r="AA104" s="79">
        <f>VLOOKUP(B104,'Player Data'!$A1:$AE667,15,FALSE)*$Q104</f>
        <v>24.1763177857883</v>
      </c>
      <c r="AB104" s="79">
        <f>VLOOKUP(B104,'Player Data'!$A1:$AE667,16,FALSE)*$Q104</f>
        <v>29.2216735382351</v>
      </c>
      <c r="AC104" s="79">
        <f>VLOOKUP(B104,'Player Data'!$A1:$AE667,17,FALSE)*$Q104*_xlfn.IFERROR((VLOOKUP(P104,'Settings'!$E$28:$F$33,2,FALSE)+1),1)</f>
        <v>0.675140817371352</v>
      </c>
      <c r="AD104" s="79">
        <f>VLOOKUP(B104,'Player Data'!$A1:$AE667,18,FALSE)*$Q104</f>
        <v>15.1570866437472</v>
      </c>
      <c r="AE104" s="79">
        <f>VLOOKUP(B104,'Player Data'!$A1:$AE667,19,FALSE)*$Q104*_xlfn.IFERROR((VLOOKUP(P104,'Settings'!$E$28:$F$33,2,FALSE)+1),1)</f>
        <v>6.11245431236167</v>
      </c>
      <c r="AF104" s="79">
        <f>VLOOKUP(B104,'Player Data'!$A1:$AE667,20,FALSE)*$Q104</f>
        <v>1.83595860744429</v>
      </c>
      <c r="AG104" s="79">
        <f>VLOOKUP(B104,'Player Data'!$A1:$AE667,21,FALSE)*$Q104</f>
        <v>6.04271889240532</v>
      </c>
      <c r="AH104" s="81">
        <f>VLOOKUP(B104,'Player Data'!$A1:$AE667,22,FALSE)</f>
        <v>0.233028780208269</v>
      </c>
      <c r="AI104" s="77"/>
      <c r="AJ104" s="79"/>
      <c r="AK104" s="79"/>
      <c r="AL104" s="79"/>
      <c r="AM104" s="79"/>
      <c r="AN104" s="79"/>
      <c r="AO104" s="79"/>
      <c r="AP104" s="79"/>
      <c r="AQ104" s="82"/>
      <c r="AR104" s="83"/>
      <c r="AS104" s="84"/>
    </row>
    <row r="105" ht="21.25" customHeight="1">
      <c r="A105" s="85">
        <f>RANK(K105,K$1:K$665)</f>
        <v>104</v>
      </c>
      <c r="B105" t="s" s="16">
        <v>286</v>
      </c>
      <c r="C105" t="s" s="69">
        <v>127</v>
      </c>
      <c r="D105" t="s" s="70">
        <f>VLOOKUP(B105,'Player Data'!A1:D667,4,FALSE)</f>
        <v>148</v>
      </c>
      <c r="E105" s="87">
        <f>VLOOKUP(B105,'RW'!A1:C136,3,FALSE)</f>
        <v>24</v>
      </c>
      <c r="F105" t="s" s="86">
        <f>VLOOKUP(B105,'Player Data'!A1:B667,2,FALSE)</f>
        <v>156</v>
      </c>
      <c r="G105" s="11">
        <f>VLOOKUP(B105,'Player Data'!A1:D667,3,FALSE)</f>
        <v>26</v>
      </c>
      <c r="H105" s="73">
        <f>_xlfn.IFERROR(VLOOKUP(B105,'ADP'!A1:G665,7,FALSE)/1000000,VLOOKUP(B105,'ADP'!A1:G665,7,FALSE))</f>
        <v>7.875</v>
      </c>
      <c r="I105" s="74">
        <f>IF('Settings'!$E$15="POINTS",((R105*Q105)*'Settings'!$B$12)+(S105*'Settings'!$B$2)+(T105*'Settings'!$B$3)+(U105*'Settings'!$B$4)+(V105*'Settings'!$B$5)+(X105*'Settings'!$B$9)+(AA105*'Settings'!$B$6)+(W105*'Settings'!$B$8)+(AB105*'Settings'!$B$7)+(AC105*'Settings'!$B$14)+(AD105*'Settings'!$B$15)+(AE105*'Settings'!$B$16)+(AF105*'Settings'!$B$17)+(AG105*'Settings'!$B$18)+(Y105*'Settings'!$B$10)+(Z105*'Settings'!$B$11),VLOOKUP(B105,'Standard Deviations'!A1:C666,3,FALSE))</f>
        <v>311.185759768805</v>
      </c>
      <c r="J105" s="75">
        <f>IF(D105="G",I105/AJ105,I105/Q105)</f>
        <v>3.79356040191156</v>
      </c>
      <c r="K105" s="74">
        <f>IF('Settings'!$E$18="C/LW/RW",VLOOKUP(B105,'RW'!A1:F136,6,FALSE),VLOOKUP(B105,'F'!A1:F392,6,FALSE))</f>
        <v>-18.506134312373</v>
      </c>
      <c r="L105" s="76">
        <f>_xlfn.IFERROR(K105/H105,"N/A")</f>
        <v>-2.34998530950768</v>
      </c>
      <c r="M105" s="77">
        <f>IF('Settings'!$E$9="YAHOO",VLOOKUP(B105,'ADP'!A1:E665,2,FALSE),IF('Settings'!$E$9="ESPN",VLOOKUP(B105,'ADP'!A1:E665,3,FALSE),IF('Settings'!$E$9="FANTRAX",VLOOKUP(B105,'ADP'!A1:E665,4,FALSE),VLOOKUP(B105,'ADP'!A1:E665,5,FALSE))))</f>
        <v>0</v>
      </c>
      <c r="N105" s="77">
        <f>_xlfn.IFERROR(M105-A105,"N/A")</f>
        <v>-104</v>
      </c>
      <c r="O105" s="77"/>
      <c r="P105" t="s" s="78">
        <f>IF('Settings'!$E$27="ON",VLOOKUP(B105,'ADP'!A1:H665,8,FALSE)," ")</f>
        <v>138</v>
      </c>
      <c r="Q105" s="79">
        <f>IF('Settings'!$E$12="YES",VLOOKUP(B105,'Player Data'!A1:E667,5,FALSE),82)</f>
        <v>82.03</v>
      </c>
      <c r="R105" s="77">
        <f>VLOOKUP(B105,'Player Data'!$A1:$AE667,6,FALSE)</f>
        <v>18.2025138776383</v>
      </c>
      <c r="S105" s="79">
        <f>VLOOKUP(B105,'Player Data'!$A1:$AE667,7,FALSE)*$Q105*_xlfn.IFERROR((VLOOKUP(P105,'Settings'!$E$28:$F$33,2,FALSE)+1),1)</f>
        <v>29.0984464971687</v>
      </c>
      <c r="T105" s="79">
        <f>VLOOKUP(B105,'Player Data'!$A1:$AE667,8,FALSE)*$Q105*_xlfn.IFERROR((VLOOKUP(P105,'Settings'!$E$28:$F$33,2,FALSE)+1),1)</f>
        <v>39.0413844933277</v>
      </c>
      <c r="U105" s="79">
        <f>SUM(S105:T105)</f>
        <v>68.13983099049641</v>
      </c>
      <c r="V105" s="79">
        <f>VLOOKUP(B105,'Player Data'!$A1:$AE667,10,FALSE)*$Q105*_xlfn.IFERROR(((VLOOKUP(P105,'Settings'!$E$28:$F$33,2,FALSE)/2)+1),1)</f>
        <v>241.201516902403</v>
      </c>
      <c r="W105" s="79">
        <f>VLOOKUP(B105,'Player Data'!$A1:$AE667,11,FALSE)*$Q105*_xlfn.IFERROR((VLOOKUP(P105,'Settings'!$E$28:$F$33,2,FALSE)+1),1)</f>
        <v>9.99160205515356</v>
      </c>
      <c r="X105" s="80">
        <f>VLOOKUP(B105,'Player Data'!$A1:$AE667,12,FALSE)*$Q105*_xlfn.IFERROR((VLOOKUP(P105,'Settings'!$E$28:$F$33,2,FALSE)+1),1)</f>
        <v>22.0064852935352</v>
      </c>
      <c r="Y105" s="79">
        <f>VLOOKUP(B105,'Player Data'!$A1:$AE667,13,FALSE)*$Q105</f>
        <v>0.00926935723064567</v>
      </c>
      <c r="Z105" s="79">
        <f>VLOOKUP(B105,'Player Data'!$A1:$AE667,14,FALSE)*$Q105</f>
        <v>0.0156652593458007</v>
      </c>
      <c r="AA105" s="79">
        <f>VLOOKUP(B105,'Player Data'!$A1:$AE667,15,FALSE)*$Q105</f>
        <v>35.8824890999721</v>
      </c>
      <c r="AB105" s="79">
        <f>VLOOKUP(B105,'Player Data'!$A1:$AE667,16,FALSE)*$Q105</f>
        <v>75.9894616097373</v>
      </c>
      <c r="AC105" s="79">
        <f>VLOOKUP(B105,'Player Data'!$A1:$AE667,17,FALSE)*$Q105*_xlfn.IFERROR((VLOOKUP(P105,'Settings'!$E$28:$F$33,2,FALSE)+1),1)</f>
        <v>-1.91909032556235</v>
      </c>
      <c r="AD105" s="79">
        <f>VLOOKUP(B105,'Player Data'!$A1:$AE667,18,FALSE)*$Q105</f>
        <v>28.7564601893417</v>
      </c>
      <c r="AE105" s="79">
        <f>VLOOKUP(B105,'Player Data'!$A1:$AE667,19,FALSE)*$Q105*_xlfn.IFERROR((VLOOKUP(P105,'Settings'!$E$28:$F$33,2,FALSE)+1),1)</f>
        <v>3.99645819294202</v>
      </c>
      <c r="AF105" s="79">
        <f>VLOOKUP(B105,'Player Data'!$A1:$AE667,20,FALSE)*$Q105</f>
        <v>17.0988318749439</v>
      </c>
      <c r="AG105" s="79">
        <f>VLOOKUP(B105,'Player Data'!$A1:$AE667,21,FALSE)*$Q105</f>
        <v>21.3355637847079</v>
      </c>
      <c r="AH105" s="81">
        <f>VLOOKUP(B105,'Player Data'!$A1:$AE667,22,FALSE)</f>
        <v>0.4448835888135</v>
      </c>
      <c r="AI105" s="77"/>
      <c r="AJ105" s="79"/>
      <c r="AK105" s="79"/>
      <c r="AL105" s="79"/>
      <c r="AM105" s="79"/>
      <c r="AN105" s="79"/>
      <c r="AO105" s="79"/>
      <c r="AP105" s="79"/>
      <c r="AQ105" s="82"/>
      <c r="AR105" s="83"/>
      <c r="AS105" s="84"/>
    </row>
    <row r="106" ht="21.25" customHeight="1">
      <c r="A106" s="85">
        <f>RANK(K106,K$1:K$665)</f>
        <v>115</v>
      </c>
      <c r="B106" t="s" s="16">
        <v>287</v>
      </c>
      <c r="C106" t="s" s="69">
        <v>127</v>
      </c>
      <c r="D106" t="s" s="70">
        <f>VLOOKUP(B106,'Player Data'!A1:D667,4,FALSE)</f>
        <v>128</v>
      </c>
      <c r="E106" s="71">
        <f>VLOOKUP(B106,'C'!A1:C206,3,FALSE)</f>
        <v>39</v>
      </c>
      <c r="F106" t="s" s="103">
        <f>VLOOKUP(B106,'Player Data'!A1:B667,2,FALSE)</f>
        <v>190</v>
      </c>
      <c r="G106" s="91">
        <f>VLOOKUP(B106,'Player Data'!A1:D667,3,FALSE)</f>
        <v>32</v>
      </c>
      <c r="H106" s="94">
        <f>_xlfn.IFERROR(VLOOKUP(B106,'ADP'!A1:G665,7,FALSE)/1000000,VLOOKUP(B106,'ADP'!A1:G665,7,FALSE))</f>
        <v>6</v>
      </c>
      <c r="I106" s="74">
        <f>IF('Settings'!$E$15="POINTS",((R106*Q106)*'Settings'!$B$12)+(S106*'Settings'!$B$2)+(T106*'Settings'!$B$3)+(U106*'Settings'!$B$4)+(V106*'Settings'!$B$5)+(X106*'Settings'!$B$9)+(AA106*'Settings'!$B$6)+(W106*'Settings'!$B$8)+(AB106*'Settings'!$B$7)+(AC106*'Settings'!$B$14)+(AD106*'Settings'!$B$15)+(AE106*'Settings'!$B$16)+(AF106*'Settings'!$B$17)+(AG106*'Settings'!$B$18)+(Y106*'Settings'!$B$10)+(Z106*'Settings'!$B$11),VLOOKUP(B106,'Standard Deviations'!A1:C666,3,FALSE))</f>
        <v>305.991524204619</v>
      </c>
      <c r="J106" s="75">
        <f>IF(D106="G",I106/AJ106,I106/Q106)</f>
        <v>3.77627451813673</v>
      </c>
      <c r="K106" s="74">
        <f>IF('Settings'!$E$18="C/LW/RW",VLOOKUP(B106,'C'!A1:F206,6,FALSE),VLOOKUP(B106,'F'!A1:F392,6,FALSE))</f>
        <v>-23.700369876559</v>
      </c>
      <c r="L106" s="76">
        <f>_xlfn.IFERROR(K106/H106,"N/A")</f>
        <v>-3.95006164609317</v>
      </c>
      <c r="M106" s="77">
        <f>IF('Settings'!$E$9="YAHOO",VLOOKUP(B106,'ADP'!A1:E665,2,FALSE),IF('Settings'!$E$9="ESPN",VLOOKUP(B106,'ADP'!A1:E665,3,FALSE),IF('Settings'!$E$9="FANTRAX",VLOOKUP(B106,'ADP'!A1:E665,4,FALSE),VLOOKUP(B106,'ADP'!A1:E665,5,FALSE))))</f>
        <v>0</v>
      </c>
      <c r="N106" s="77">
        <f>_xlfn.IFERROR(M106-A106,"N/A")</f>
        <v>-115</v>
      </c>
      <c r="O106" s="77"/>
      <c r="P106" t="s" s="78">
        <f>IF('Settings'!$E$27="ON",VLOOKUP(B106,'ADP'!A1:H665,8,FALSE)," ")</f>
        <v>138</v>
      </c>
      <c r="Q106" s="79">
        <f>IF('Settings'!$E$12="YES",VLOOKUP(B106,'Player Data'!A1:E667,5,FALSE),82)</f>
        <v>81.03</v>
      </c>
      <c r="R106" s="77">
        <f>VLOOKUP(B106,'Player Data'!$A1:$AE667,6,FALSE)</f>
        <v>18.7872021367005</v>
      </c>
      <c r="S106" s="79">
        <f>VLOOKUP(B106,'Player Data'!$A1:$AE667,7,FALSE)*$Q106*_xlfn.IFERROR((VLOOKUP(P106,'Settings'!$E$28:$F$33,2,FALSE)+1),1)</f>
        <v>33.6959257550865</v>
      </c>
      <c r="T106" s="79">
        <f>VLOOKUP(B106,'Player Data'!$A1:$AE667,8,FALSE)*$Q106*_xlfn.IFERROR((VLOOKUP(P106,'Settings'!$E$28:$F$33,2,FALSE)+1),1)</f>
        <v>34.9137163650083</v>
      </c>
      <c r="U106" s="79">
        <f>SUM(S106:T106)</f>
        <v>68.6096421200948</v>
      </c>
      <c r="V106" s="79">
        <f>VLOOKUP(B106,'Player Data'!$A1:$AE667,10,FALSE)*$Q106*_xlfn.IFERROR(((VLOOKUP(P106,'Settings'!$E$28:$F$33,2,FALSE)/2)+1),1)</f>
        <v>239.908734706363</v>
      </c>
      <c r="W106" s="79">
        <f>VLOOKUP(B106,'Player Data'!$A1:$AE667,11,FALSE)*$Q106*_xlfn.IFERROR((VLOOKUP(P106,'Settings'!$E$28:$F$33,2,FALSE)+1),1)</f>
        <v>8.44124400943927</v>
      </c>
      <c r="X106" s="80">
        <f>VLOOKUP(B106,'Player Data'!$A1:$AE667,12,FALSE)*$Q106*_xlfn.IFERROR((VLOOKUP(P106,'Settings'!$E$28:$F$33,2,FALSE)+1),1)</f>
        <v>18.6127244192761</v>
      </c>
      <c r="Y106" s="79">
        <f>VLOOKUP(B106,'Player Data'!$A1:$AE667,13,FALSE)*$Q106</f>
        <v>0.647652621946473</v>
      </c>
      <c r="Z106" s="79">
        <f>VLOOKUP(B106,'Player Data'!$A1:$AE667,14,FALSE)*$Q106</f>
        <v>1.26471166237874</v>
      </c>
      <c r="AA106" s="79">
        <f>VLOOKUP(B106,'Player Data'!$A1:$AE667,15,FALSE)*$Q106</f>
        <v>46.2790859890022</v>
      </c>
      <c r="AB106" s="79">
        <f>VLOOKUP(B106,'Player Data'!$A1:$AE667,16,FALSE)*$Q106</f>
        <v>44.0288975222327</v>
      </c>
      <c r="AC106" s="79">
        <f>VLOOKUP(B106,'Player Data'!$A1:$AE667,17,FALSE)*$Q106*_xlfn.IFERROR((VLOOKUP(P106,'Settings'!$E$28:$F$33,2,FALSE)+1),1)</f>
        <v>3.71481583487967</v>
      </c>
      <c r="AD106" s="79">
        <f>VLOOKUP(B106,'Player Data'!$A1:$AE667,18,FALSE)*$Q106</f>
        <v>32.2135963165881</v>
      </c>
      <c r="AE106" s="79">
        <f>VLOOKUP(B106,'Player Data'!$A1:$AE667,19,FALSE)*$Q106*_xlfn.IFERROR((VLOOKUP(P106,'Settings'!$E$28:$F$33,2,FALSE)+1),1)</f>
        <v>5.29561591517876</v>
      </c>
      <c r="AF106" s="79">
        <f>VLOOKUP(B106,'Player Data'!$A1:$AE667,20,FALSE)*$Q106</f>
        <v>415.891369278009</v>
      </c>
      <c r="AG106" s="79">
        <f>VLOOKUP(B106,'Player Data'!$A1:$AE667,21,FALSE)*$Q106</f>
        <v>471.808854279116</v>
      </c>
      <c r="AH106" s="81">
        <f>VLOOKUP(B106,'Player Data'!$A1:$AE667,22,FALSE)</f>
        <v>0.468504297105481</v>
      </c>
      <c r="AI106" s="77"/>
      <c r="AJ106" s="79"/>
      <c r="AK106" s="79"/>
      <c r="AL106" s="79"/>
      <c r="AM106" s="79"/>
      <c r="AN106" s="79"/>
      <c r="AO106" s="79"/>
      <c r="AP106" s="79"/>
      <c r="AQ106" s="82"/>
      <c r="AR106" s="83"/>
      <c r="AS106" s="84"/>
    </row>
    <row r="107" ht="21.25" customHeight="1">
      <c r="A107" s="85">
        <f>RANK(K107,K$1:K$665)</f>
        <v>108</v>
      </c>
      <c r="B107" t="s" s="16">
        <v>288</v>
      </c>
      <c r="C107" t="s" s="69">
        <v>127</v>
      </c>
      <c r="D107" t="s" s="70">
        <f>VLOOKUP(B107,'Player Data'!A1:D667,4,FALSE)</f>
        <v>178</v>
      </c>
      <c r="E107" s="102">
        <f>VLOOKUP(B107,'LW'!A1:C152,3,FALSE)</f>
        <v>28</v>
      </c>
      <c r="F107" t="s" s="88">
        <f>VLOOKUP(B107,'Player Data'!A1:B667,2,FALSE)</f>
        <v>143</v>
      </c>
      <c r="G107" s="91">
        <f>VLOOKUP(B107,'Player Data'!A1:D667,3,FALSE)</f>
        <v>36</v>
      </c>
      <c r="H107" s="94">
        <f>_xlfn.IFERROR(VLOOKUP(B107,'ADP'!A1:G665,7,FALSE)/1000000,VLOOKUP(B107,'ADP'!A1:G665,7,FALSE))</f>
        <v>6.125</v>
      </c>
      <c r="I107" s="74">
        <f>IF('Settings'!$E$15="POINTS",((R107*Q107)*'Settings'!$B$12)+(S107*'Settings'!$B$2)+(T107*'Settings'!$B$3)+(U107*'Settings'!$B$4)+(V107*'Settings'!$B$5)+(X107*'Settings'!$B$9)+(AA107*'Settings'!$B$6)+(W107*'Settings'!$B$8)+(AB107*'Settings'!$B$7)+(AC107*'Settings'!$B$14)+(AD107*'Settings'!$B$15)+(AE107*'Settings'!$B$16)+(AF107*'Settings'!$B$17)+(AG107*'Settings'!$B$18)+(Y107*'Settings'!$B$10)+(Z107*'Settings'!$B$11),VLOOKUP(B107,'Standard Deviations'!A1:C666,3,FALSE))</f>
        <v>311.009789530945</v>
      </c>
      <c r="J107" s="75">
        <f>IF(D107="G",I107/AJ107,I107/Q107)</f>
        <v>3.90752633138732</v>
      </c>
      <c r="K107" s="74">
        <f>IF('Settings'!$E$18="C/LW/RW",VLOOKUP(B107,'LW'!A1:F152,6,FALSE),VLOOKUP(B107,'F'!A1:F392,6,FALSE))</f>
        <v>-20.710322235267</v>
      </c>
      <c r="L107" s="76">
        <f>_xlfn.IFERROR(K107/H107,"N/A")</f>
        <v>-3.38127709963543</v>
      </c>
      <c r="M107" s="77">
        <f>IF('Settings'!$E$9="YAHOO",VLOOKUP(B107,'ADP'!A1:E665,2,FALSE),IF('Settings'!$E$9="ESPN",VLOOKUP(B107,'ADP'!A1:E665,3,FALSE),IF('Settings'!$E$9="FANTRAX",VLOOKUP(B107,'ADP'!A1:E665,4,FALSE),VLOOKUP(B107,'ADP'!A1:E665,5,FALSE))))</f>
        <v>0</v>
      </c>
      <c r="N107" s="77">
        <f>_xlfn.IFERROR(M107-A107,"N/A")</f>
        <v>-108</v>
      </c>
      <c r="O107" s="77"/>
      <c r="P107" t="s" s="78">
        <f>IF('Settings'!$E$27="ON",VLOOKUP(B107,'ADP'!A1:H665,8,FALSE)," ")</f>
        <v>138</v>
      </c>
      <c r="Q107" s="79">
        <f>IF('Settings'!$E$12="YES",VLOOKUP(B107,'Player Data'!A1:E667,5,FALSE),82)</f>
        <v>79.5925</v>
      </c>
      <c r="R107" s="77">
        <f>VLOOKUP(B107,'Player Data'!$A1:$AE667,6,FALSE)</f>
        <v>18.9353261930065</v>
      </c>
      <c r="S107" s="79">
        <f>VLOOKUP(B107,'Player Data'!$A1:$AE667,7,FALSE)*$Q107*_xlfn.IFERROR((VLOOKUP(P107,'Settings'!$E$28:$F$33,2,FALSE)+1),1)</f>
        <v>24.5311353288325</v>
      </c>
      <c r="T107" s="79">
        <f>VLOOKUP(B107,'Player Data'!$A1:$AE667,8,FALSE)*$Q107*_xlfn.IFERROR((VLOOKUP(P107,'Settings'!$E$28:$F$33,2,FALSE)+1),1)</f>
        <v>40.2583165534008</v>
      </c>
      <c r="U107" s="79">
        <f>SUM(S107:T107)</f>
        <v>64.78945188223329</v>
      </c>
      <c r="V107" s="79">
        <f>VLOOKUP(B107,'Player Data'!$A1:$AE667,10,FALSE)*$Q107*_xlfn.IFERROR(((VLOOKUP(P107,'Settings'!$E$28:$F$33,2,FALSE)/2)+1),1)</f>
        <v>208.879279178009</v>
      </c>
      <c r="W107" s="79">
        <f>VLOOKUP(B107,'Player Data'!$A1:$AE667,11,FALSE)*$Q107*_xlfn.IFERROR((VLOOKUP(P107,'Settings'!$E$28:$F$33,2,FALSE)+1),1)</f>
        <v>6.55897217219183</v>
      </c>
      <c r="X107" s="80">
        <f>VLOOKUP(B107,'Player Data'!$A1:$AE667,12,FALSE)*$Q107*_xlfn.IFERROR((VLOOKUP(P107,'Settings'!$E$28:$F$33,2,FALSE)+1),1)</f>
        <v>24.8399196002619</v>
      </c>
      <c r="Y107" s="79">
        <f>VLOOKUP(B107,'Player Data'!$A1:$AE667,13,FALSE)*$Q107</f>
        <v>1.54049579047674</v>
      </c>
      <c r="Z107" s="79">
        <f>VLOOKUP(B107,'Player Data'!$A1:$AE667,14,FALSE)*$Q107</f>
        <v>2.28104503671734</v>
      </c>
      <c r="AA107" s="79">
        <f>VLOOKUP(B107,'Player Data'!$A1:$AE667,15,FALSE)*$Q107</f>
        <v>31.9255602493018</v>
      </c>
      <c r="AB107" s="79">
        <f>VLOOKUP(B107,'Player Data'!$A1:$AE667,16,FALSE)*$Q107</f>
        <v>102.221210191588</v>
      </c>
      <c r="AC107" s="79">
        <f>VLOOKUP(B107,'Player Data'!$A1:$AE667,17,FALSE)*$Q107*_xlfn.IFERROR((VLOOKUP(P107,'Settings'!$E$28:$F$33,2,FALSE)+1),1)</f>
        <v>3.91653956140269</v>
      </c>
      <c r="AD107" s="79">
        <f>VLOOKUP(B107,'Player Data'!$A1:$AE667,18,FALSE)*$Q107</f>
        <v>71.343398362093</v>
      </c>
      <c r="AE107" s="79">
        <f>VLOOKUP(B107,'Player Data'!$A1:$AE667,19,FALSE)*$Q107*_xlfn.IFERROR((VLOOKUP(P107,'Settings'!$E$28:$F$33,2,FALSE)+1),1)</f>
        <v>3.82081553342894</v>
      </c>
      <c r="AF107" s="79">
        <f>VLOOKUP(B107,'Player Data'!$A1:$AE667,20,FALSE)*$Q107</f>
        <v>21.2745402414652</v>
      </c>
      <c r="AG107" s="79">
        <f>VLOOKUP(B107,'Player Data'!$A1:$AE667,21,FALSE)*$Q107</f>
        <v>32.110671949051</v>
      </c>
      <c r="AH107" s="81">
        <f>VLOOKUP(B107,'Player Data'!$A1:$AE667,22,FALSE)</f>
        <v>0.398509987476356</v>
      </c>
      <c r="AI107" s="77"/>
      <c r="AJ107" s="89"/>
      <c r="AK107" s="79"/>
      <c r="AL107" s="79"/>
      <c r="AM107" s="79"/>
      <c r="AN107" s="79"/>
      <c r="AO107" s="79"/>
      <c r="AP107" s="79"/>
      <c r="AQ107" s="82"/>
      <c r="AR107" s="83"/>
      <c r="AS107" s="84"/>
    </row>
    <row r="108" ht="21.25" customHeight="1">
      <c r="A108" s="85">
        <f>RANK(K108,K$1:K$665)</f>
        <v>110</v>
      </c>
      <c r="B108" t="s" s="16">
        <v>289</v>
      </c>
      <c r="C108" t="s" s="69">
        <v>127</v>
      </c>
      <c r="D108" t="s" s="70">
        <f>VLOOKUP(B108,'Player Data'!A1:D667,4,FALSE)</f>
        <v>136</v>
      </c>
      <c r="E108" s="87">
        <f>VLOOKUP(B108,'LW'!A1:C152,3,FALSE)</f>
        <v>29</v>
      </c>
      <c r="F108" t="s" s="86">
        <f>VLOOKUP(B108,'Player Data'!A1:B667,2,FALSE)</f>
        <v>129</v>
      </c>
      <c r="G108" s="91">
        <f>VLOOKUP(B108,'Player Data'!A1:D667,3,FALSE)</f>
        <v>31</v>
      </c>
      <c r="H108" s="73">
        <f>_xlfn.IFERROR(VLOOKUP(B108,'ADP'!A1:G665,7,FALSE)/1000000,VLOOKUP(B108,'ADP'!A1:G665,7,FALSE))</f>
        <v>5.125</v>
      </c>
      <c r="I108" s="74">
        <f>IF('Settings'!$E$15="POINTS",((R108*Q108)*'Settings'!$B$12)+(S108*'Settings'!$B$2)+(T108*'Settings'!$B$3)+(U108*'Settings'!$B$4)+(V108*'Settings'!$B$5)+(X108*'Settings'!$B$9)+(AA108*'Settings'!$B$6)+(W108*'Settings'!$B$8)+(AB108*'Settings'!$B$7)+(AC108*'Settings'!$B$14)+(AD108*'Settings'!$B$15)+(AE108*'Settings'!$B$16)+(AF108*'Settings'!$B$17)+(AG108*'Settings'!$B$18)+(Y108*'Settings'!$B$10)+(Z108*'Settings'!$B$11),VLOOKUP(B108,'Standard Deviations'!A1:C666,3,FALSE))</f>
        <v>310.097085248459</v>
      </c>
      <c r="J108" s="75">
        <f>IF(D108="G",I108/AJ108,I108/Q108)</f>
        <v>3.88714616419253</v>
      </c>
      <c r="K108" s="74">
        <f>IF('Settings'!$E$18="C/LW/RW",VLOOKUP(B108,'LW'!A1:F152,6,FALSE),VLOOKUP(B108,'F'!A1:F392,6,FALSE))</f>
        <v>-21.623026517753</v>
      </c>
      <c r="L108" s="76">
        <f>_xlfn.IFERROR(K108/H108,"N/A")</f>
        <v>-4.21912712541522</v>
      </c>
      <c r="M108" s="77">
        <f>IF('Settings'!$E$9="YAHOO",VLOOKUP(B108,'ADP'!A1:E665,2,FALSE),IF('Settings'!$E$9="ESPN",VLOOKUP(B108,'ADP'!A1:E665,3,FALSE),IF('Settings'!$E$9="FANTRAX",VLOOKUP(B108,'ADP'!A1:E665,4,FALSE),VLOOKUP(B108,'ADP'!A1:E665,5,FALSE))))</f>
        <v>0</v>
      </c>
      <c r="N108" s="77">
        <f>_xlfn.IFERROR(M108-A108,"N/A")</f>
        <v>-110</v>
      </c>
      <c r="O108" s="77"/>
      <c r="P108" t="s" s="78">
        <f>IF('Settings'!$E$27="ON",VLOOKUP(B108,'ADP'!A1:H665,8,FALSE)," ")</f>
        <v>138</v>
      </c>
      <c r="Q108" s="79">
        <f>IF('Settings'!$E$12="YES",VLOOKUP(B108,'Player Data'!A1:E667,5,FALSE),82)</f>
        <v>79.77500000000001</v>
      </c>
      <c r="R108" s="77">
        <f>VLOOKUP(B108,'Player Data'!$A1:$AE667,6,FALSE)</f>
        <v>19.8271352069898</v>
      </c>
      <c r="S108" s="79">
        <f>VLOOKUP(B108,'Player Data'!$A1:$AE667,7,FALSE)*$Q108*_xlfn.IFERROR((VLOOKUP(P108,'Settings'!$E$28:$F$33,2,FALSE)+1),1)</f>
        <v>22.5535357461657</v>
      </c>
      <c r="T108" s="79">
        <f>VLOOKUP(B108,'Player Data'!$A1:$AE667,8,FALSE)*$Q108*_xlfn.IFERROR((VLOOKUP(P108,'Settings'!$E$28:$F$33,2,FALSE)+1),1)</f>
        <v>52.2060256008731</v>
      </c>
      <c r="U108" s="79">
        <f>SUM(S108:T108)</f>
        <v>74.7595613470388</v>
      </c>
      <c r="V108" s="79">
        <f>VLOOKUP(B108,'Player Data'!$A1:$AE667,10,FALSE)*$Q108*_xlfn.IFERROR(((VLOOKUP(P108,'Settings'!$E$28:$F$33,2,FALSE)/2)+1),1)</f>
        <v>188.959526861301</v>
      </c>
      <c r="W108" s="79">
        <f>VLOOKUP(B108,'Player Data'!$A1:$AE667,11,FALSE)*$Q108*_xlfn.IFERROR((VLOOKUP(P108,'Settings'!$E$28:$F$33,2,FALSE)+1),1)</f>
        <v>6.81133231723172</v>
      </c>
      <c r="X108" s="80">
        <f>VLOOKUP(B108,'Player Data'!$A1:$AE667,12,FALSE)*$Q108*_xlfn.IFERROR((VLOOKUP(P108,'Settings'!$E$28:$F$33,2,FALSE)+1),1)</f>
        <v>32.5900108413323</v>
      </c>
      <c r="Y108" s="79">
        <f>VLOOKUP(B108,'Player Data'!$A1:$AE667,13,FALSE)*$Q108</f>
        <v>0.846555715671554</v>
      </c>
      <c r="Z108" s="79">
        <f>VLOOKUP(B108,'Player Data'!$A1:$AE667,14,FALSE)*$Q108</f>
        <v>3.49118216828668</v>
      </c>
      <c r="AA108" s="79">
        <f>VLOOKUP(B108,'Player Data'!$A1:$AE667,15,FALSE)*$Q108</f>
        <v>34.0552153740211</v>
      </c>
      <c r="AB108" s="79">
        <f>VLOOKUP(B108,'Player Data'!$A1:$AE667,16,FALSE)*$Q108</f>
        <v>61.482702953965</v>
      </c>
      <c r="AC108" s="79">
        <f>VLOOKUP(B108,'Player Data'!$A1:$AE667,17,FALSE)*$Q108*_xlfn.IFERROR((VLOOKUP(P108,'Settings'!$E$28:$F$33,2,FALSE)+1),1)</f>
        <v>8.73070784956465</v>
      </c>
      <c r="AD108" s="79">
        <f>VLOOKUP(B108,'Player Data'!$A1:$AE667,18,FALSE)*$Q108</f>
        <v>34.7136869113348</v>
      </c>
      <c r="AE108" s="79">
        <f>VLOOKUP(B108,'Player Data'!$A1:$AE667,19,FALSE)*$Q108*_xlfn.IFERROR((VLOOKUP(P108,'Settings'!$E$28:$F$33,2,FALSE)+1),1)</f>
        <v>3.64183573702577</v>
      </c>
      <c r="AF108" s="79">
        <f>VLOOKUP(B108,'Player Data'!$A1:$AE667,20,FALSE)*$Q108</f>
        <v>241.567487161820</v>
      </c>
      <c r="AG108" s="79">
        <f>VLOOKUP(B108,'Player Data'!$A1:$AE667,21,FALSE)*$Q108</f>
        <v>288.7024850278</v>
      </c>
      <c r="AH108" s="81">
        <f>VLOOKUP(B108,'Player Data'!$A1:$AE667,22,FALSE)</f>
        <v>0.455555660005274</v>
      </c>
      <c r="AI108" s="77"/>
      <c r="AJ108" s="79"/>
      <c r="AK108" s="79"/>
      <c r="AL108" s="79"/>
      <c r="AM108" s="79"/>
      <c r="AN108" s="79"/>
      <c r="AO108" s="79"/>
      <c r="AP108" s="79"/>
      <c r="AQ108" s="82"/>
      <c r="AR108" s="83"/>
      <c r="AS108" s="84"/>
    </row>
    <row r="109" ht="21.25" customHeight="1">
      <c r="A109" s="85">
        <f>RANK(K109,K$1:K$665)</f>
        <v>120</v>
      </c>
      <c r="B109" t="s" s="16">
        <v>290</v>
      </c>
      <c r="C109" t="s" s="69">
        <v>127</v>
      </c>
      <c r="D109" t="s" s="70">
        <f>VLOOKUP(B109,'Player Data'!A1:D667,4,FALSE)</f>
        <v>128</v>
      </c>
      <c r="E109" s="71">
        <f>VLOOKUP(B109,'C'!A1:C206,3,FALSE)</f>
        <v>41</v>
      </c>
      <c r="F109" t="s" s="86">
        <f>VLOOKUP(B109,'Player Data'!A1:B667,2,FALSE)</f>
        <v>174</v>
      </c>
      <c r="G109" s="91">
        <f>VLOOKUP(B109,'Player Data'!A1:D667,3,FALSE)</f>
        <v>33</v>
      </c>
      <c r="H109" s="73">
        <f>_xlfn.IFERROR(VLOOKUP(B109,'ADP'!A1:G665,7,FALSE)/1000000,VLOOKUP(B109,'ADP'!A1:G665,7,FALSE))</f>
        <v>7</v>
      </c>
      <c r="I109" s="74">
        <f>IF('Settings'!$E$15="POINTS",((R109*Q109)*'Settings'!$B$12)+(S109*'Settings'!$B$2)+(T109*'Settings'!$B$3)+(U109*'Settings'!$B$4)+(V109*'Settings'!$B$5)+(X109*'Settings'!$B$9)+(AA109*'Settings'!$B$6)+(W109*'Settings'!$B$8)+(AB109*'Settings'!$B$7)+(AC109*'Settings'!$B$14)+(AD109*'Settings'!$B$15)+(AE109*'Settings'!$B$16)+(AF109*'Settings'!$B$17)+(AG109*'Settings'!$B$18)+(Y109*'Settings'!$B$10)+(Z109*'Settings'!$B$11),VLOOKUP(B109,'Standard Deviations'!A1:C666,3,FALSE))</f>
        <v>304.254982136035</v>
      </c>
      <c r="J109" s="75">
        <f>IF(D109="G",I109/AJ109,I109/Q109)</f>
        <v>3.75948328352941</v>
      </c>
      <c r="K109" s="74">
        <f>IF('Settings'!$E$18="C/LW/RW",VLOOKUP(B109,'C'!A1:F206,6,FALSE),VLOOKUP(B109,'F'!A1:F392,6,FALSE))</f>
        <v>-25.436911945143</v>
      </c>
      <c r="L109" s="76">
        <f>_xlfn.IFERROR(K109/H109,"N/A")</f>
        <v>-3.63384456359186</v>
      </c>
      <c r="M109" s="77">
        <f>IF('Settings'!$E$9="YAHOO",VLOOKUP(B109,'ADP'!A1:E665,2,FALSE),IF('Settings'!$E$9="ESPN",VLOOKUP(B109,'ADP'!A1:E665,3,FALSE),IF('Settings'!$E$9="FANTRAX",VLOOKUP(B109,'ADP'!A1:E665,4,FALSE),VLOOKUP(B109,'ADP'!A1:E665,5,FALSE))))</f>
        <v>0</v>
      </c>
      <c r="N109" s="77">
        <f>_xlfn.IFERROR(M109-A109,"N/A")</f>
        <v>-120</v>
      </c>
      <c r="O109" s="77"/>
      <c r="P109" t="s" s="78">
        <f>IF('Settings'!$E$27="ON",VLOOKUP(B109,'ADP'!A1:H665,8,FALSE)," ")</f>
        <v>138</v>
      </c>
      <c r="Q109" s="79">
        <f>IF('Settings'!$E$12="YES",VLOOKUP(B109,'Player Data'!A1:E667,5,FALSE),82)</f>
        <v>80.93000000000001</v>
      </c>
      <c r="R109" s="77">
        <f>VLOOKUP(B109,'Player Data'!$A1:$AE667,6,FALSE)</f>
        <v>18.7311887700206</v>
      </c>
      <c r="S109" s="79">
        <f>VLOOKUP(B109,'Player Data'!$A1:$AE667,7,FALSE)*$Q109*_xlfn.IFERROR((VLOOKUP(P109,'Settings'!$E$28:$F$33,2,FALSE)+1),1)</f>
        <v>25.3905731545408</v>
      </c>
      <c r="T109" s="79">
        <f>VLOOKUP(B109,'Player Data'!$A1:$AE667,8,FALSE)*$Q109*_xlfn.IFERROR((VLOOKUP(P109,'Settings'!$E$28:$F$33,2,FALSE)+1),1)</f>
        <v>42.2400523765092</v>
      </c>
      <c r="U109" s="79">
        <f>SUM(S109:T109)</f>
        <v>67.630625531050</v>
      </c>
      <c r="V109" s="79">
        <f>VLOOKUP(B109,'Player Data'!$A1:$AE667,10,FALSE)*$Q109*_xlfn.IFERROR(((VLOOKUP(P109,'Settings'!$E$28:$F$33,2,FALSE)/2)+1),1)</f>
        <v>269.385672535764</v>
      </c>
      <c r="W109" s="79">
        <f>VLOOKUP(B109,'Player Data'!$A1:$AE667,11,FALSE)*$Q109*_xlfn.IFERROR((VLOOKUP(P109,'Settings'!$E$28:$F$33,2,FALSE)+1),1)</f>
        <v>8.63001525992604</v>
      </c>
      <c r="X109" s="80">
        <f>VLOOKUP(B109,'Player Data'!$A1:$AE667,12,FALSE)*$Q109*_xlfn.IFERROR((VLOOKUP(P109,'Settings'!$E$28:$F$33,2,FALSE)+1),1)</f>
        <v>20.5434385741723</v>
      </c>
      <c r="Y109" s="79">
        <f>VLOOKUP(B109,'Player Data'!$A1:$AE667,13,FALSE)*$Q109</f>
        <v>0.140436208988484</v>
      </c>
      <c r="Z109" s="79">
        <f>VLOOKUP(B109,'Player Data'!$A1:$AE667,14,FALSE)*$Q109</f>
        <v>0.241785432309959</v>
      </c>
      <c r="AA109" s="79">
        <f>VLOOKUP(B109,'Player Data'!$A1:$AE667,15,FALSE)*$Q109</f>
        <v>28.8913415582347</v>
      </c>
      <c r="AB109" s="79">
        <f>VLOOKUP(B109,'Player Data'!$A1:$AE667,16,FALSE)*$Q109</f>
        <v>69.16011507511659</v>
      </c>
      <c r="AC109" s="79">
        <f>VLOOKUP(B109,'Player Data'!$A1:$AE667,17,FALSE)*$Q109*_xlfn.IFERROR((VLOOKUP(P109,'Settings'!$E$28:$F$33,2,FALSE)+1),1)</f>
        <v>-1.30946852851866</v>
      </c>
      <c r="AD109" s="79">
        <f>VLOOKUP(B109,'Player Data'!$A1:$AE667,18,FALSE)*$Q109</f>
        <v>46.3856060219341</v>
      </c>
      <c r="AE109" s="79">
        <f>VLOOKUP(B109,'Player Data'!$A1:$AE667,19,FALSE)*$Q109*_xlfn.IFERROR((VLOOKUP(P109,'Settings'!$E$28:$F$33,2,FALSE)+1),1)</f>
        <v>3.68883840226907</v>
      </c>
      <c r="AF109" s="79">
        <f>VLOOKUP(B109,'Player Data'!$A1:$AE667,20,FALSE)*$Q109</f>
        <v>604.4072497222051</v>
      </c>
      <c r="AG109" s="79">
        <f>VLOOKUP(B109,'Player Data'!$A1:$AE667,21,FALSE)*$Q109</f>
        <v>637.746581748118</v>
      </c>
      <c r="AH109" s="81">
        <f>VLOOKUP(B109,'Player Data'!$A1:$AE667,22,FALSE)</f>
        <v>0.486580030918373</v>
      </c>
      <c r="AI109" s="77"/>
      <c r="AJ109" s="79"/>
      <c r="AK109" s="79"/>
      <c r="AL109" s="79"/>
      <c r="AM109" s="79"/>
      <c r="AN109" s="79"/>
      <c r="AO109" s="79"/>
      <c r="AP109" s="79"/>
      <c r="AQ109" s="82"/>
      <c r="AR109" s="83"/>
      <c r="AS109" s="84"/>
    </row>
    <row r="110" ht="21.25" customHeight="1">
      <c r="A110" s="85">
        <f>RANK(K110,K$1:K$665)</f>
        <v>109</v>
      </c>
      <c r="B110" t="s" s="16">
        <v>291</v>
      </c>
      <c r="C110" t="s" s="69">
        <v>127</v>
      </c>
      <c r="D110" t="s" s="70">
        <f>VLOOKUP(B110,'Player Data'!A1:D667,4,FALSE)</f>
        <v>145</v>
      </c>
      <c r="E110" s="87">
        <f>VLOOKUP(B110,'RW'!A1:C136,3,FALSE)</f>
        <v>25</v>
      </c>
      <c r="F110" t="s" s="104">
        <f>VLOOKUP(B110,'Player Data'!A1:B667,2,FALSE)</f>
        <v>271</v>
      </c>
      <c r="G110" s="11">
        <f>VLOOKUP(B110,'Player Data'!A1:D667,3,FALSE)</f>
        <v>26</v>
      </c>
      <c r="H110" s="73">
        <f>_xlfn.IFERROR(VLOOKUP(B110,'ADP'!A1:G665,7,FALSE)/1000000,VLOOKUP(B110,'ADP'!A1:G665,7,FALSE))</f>
        <v>8.125</v>
      </c>
      <c r="I110" s="74">
        <f>IF('Settings'!$E$15="POINTS",((R110*Q110)*'Settings'!$B$12)+(S110*'Settings'!$B$2)+(T110*'Settings'!$B$3)+(U110*'Settings'!$B$4)+(V110*'Settings'!$B$5)+(X110*'Settings'!$B$9)+(AA110*'Settings'!$B$6)+(W110*'Settings'!$B$8)+(AB110*'Settings'!$B$7)+(AC110*'Settings'!$B$14)+(AD110*'Settings'!$B$15)+(AE110*'Settings'!$B$16)+(AF110*'Settings'!$B$17)+(AG110*'Settings'!$B$18)+(Y110*'Settings'!$B$10)+(Z110*'Settings'!$B$11),VLOOKUP(B110,'Standard Deviations'!A1:C666,3,FALSE))</f>
        <v>308.127612095702</v>
      </c>
      <c r="J110" s="75">
        <f>IF(D110="G",I110/AJ110,I110/Q110)</f>
        <v>3.81263478944167</v>
      </c>
      <c r="K110" s="74">
        <f>IF('Settings'!$E$18="C/LW/RW",VLOOKUP(B110,'RW'!A1:F136,6,FALSE),VLOOKUP(B110,'F'!A1:F392,6,FALSE))</f>
        <v>-21.564281985476</v>
      </c>
      <c r="L110" s="76">
        <f>_xlfn.IFERROR(K110/H110,"N/A")</f>
        <v>-2.65406547513551</v>
      </c>
      <c r="M110" s="77">
        <f>IF('Settings'!$E$9="YAHOO",VLOOKUP(B110,'ADP'!A1:E665,2,FALSE),IF('Settings'!$E$9="ESPN",VLOOKUP(B110,'ADP'!A1:E665,3,FALSE),IF('Settings'!$E$9="FANTRAX",VLOOKUP(B110,'ADP'!A1:E665,4,FALSE),VLOOKUP(B110,'ADP'!A1:E665,5,FALSE))))</f>
        <v>0</v>
      </c>
      <c r="N110" s="77">
        <f>_xlfn.IFERROR(M110-A110,"N/A")</f>
        <v>-109</v>
      </c>
      <c r="O110" s="77"/>
      <c r="P110" t="s" s="78">
        <f>IF('Settings'!$E$27="ON",VLOOKUP(B110,'ADP'!A1:H665,8,FALSE)," ")</f>
        <v>138</v>
      </c>
      <c r="Q110" s="79">
        <f>IF('Settings'!$E$12="YES",VLOOKUP(B110,'Player Data'!A1:E667,5,FALSE),82)</f>
        <v>80.8175</v>
      </c>
      <c r="R110" s="77">
        <f>VLOOKUP(B110,'Player Data'!$A1:$AE667,6,FALSE)</f>
        <v>18.7253208698856</v>
      </c>
      <c r="S110" s="79">
        <f>VLOOKUP(B110,'Player Data'!$A1:$AE667,7,FALSE)*$Q110*_xlfn.IFERROR((VLOOKUP(P110,'Settings'!$E$28:$F$33,2,FALSE)+1),1)</f>
        <v>33.809248089739</v>
      </c>
      <c r="T110" s="79">
        <f>VLOOKUP(B110,'Player Data'!$A1:$AE667,8,FALSE)*$Q110*_xlfn.IFERROR((VLOOKUP(P110,'Settings'!$E$28:$F$33,2,FALSE)+1),1)</f>
        <v>41.9840428258012</v>
      </c>
      <c r="U110" s="79">
        <f>SUM(S110:T110)</f>
        <v>75.7932909155402</v>
      </c>
      <c r="V110" s="79">
        <f>VLOOKUP(B110,'Player Data'!$A1:$AE667,10,FALSE)*$Q110*_xlfn.IFERROR(((VLOOKUP(P110,'Settings'!$E$28:$F$33,2,FALSE)/2)+1),1)</f>
        <v>255.664447877422</v>
      </c>
      <c r="W110" s="79">
        <f>VLOOKUP(B110,'Player Data'!$A1:$AE667,11,FALSE)*$Q110*_xlfn.IFERROR((VLOOKUP(P110,'Settings'!$E$28:$F$33,2,FALSE)+1),1)</f>
        <v>9.51674704700816</v>
      </c>
      <c r="X110" s="80">
        <f>VLOOKUP(B110,'Player Data'!$A1:$AE667,12,FALSE)*$Q110*_xlfn.IFERROR((VLOOKUP(P110,'Settings'!$E$28:$F$33,2,FALSE)+1),1)</f>
        <v>25.0376367261714</v>
      </c>
      <c r="Y110" s="79">
        <f>VLOOKUP(B110,'Player Data'!$A1:$AE667,13,FALSE)*$Q110</f>
        <v>0.00109659092365442</v>
      </c>
      <c r="Z110" s="79">
        <f>VLOOKUP(B110,'Player Data'!$A1:$AE667,14,FALSE)*$Q110</f>
        <v>0.00185095470870504</v>
      </c>
      <c r="AA110" s="79">
        <f>VLOOKUP(B110,'Player Data'!$A1:$AE667,15,FALSE)*$Q110</f>
        <v>33.2567980486296</v>
      </c>
      <c r="AB110" s="79">
        <f>VLOOKUP(B110,'Player Data'!$A1:$AE667,16,FALSE)*$Q110</f>
        <v>27.7097681622068</v>
      </c>
      <c r="AC110" s="79">
        <f>VLOOKUP(B110,'Player Data'!$A1:$AE667,17,FALSE)*$Q110*_xlfn.IFERROR((VLOOKUP(P110,'Settings'!$E$28:$F$33,2,FALSE)+1),1)</f>
        <v>-2.89061414958579</v>
      </c>
      <c r="AD110" s="79">
        <f>VLOOKUP(B110,'Player Data'!$A1:$AE667,18,FALSE)*$Q110</f>
        <v>26.4515140589854</v>
      </c>
      <c r="AE110" s="79">
        <f>VLOOKUP(B110,'Player Data'!$A1:$AE667,19,FALSE)*$Q110*_xlfn.IFERROR((VLOOKUP(P110,'Settings'!$E$28:$F$33,2,FALSE)+1),1)</f>
        <v>4.07043377041764</v>
      </c>
      <c r="AF110" s="79">
        <f>VLOOKUP(B110,'Player Data'!$A1:$AE667,20,FALSE)*$Q110</f>
        <v>3.93405246767033</v>
      </c>
      <c r="AG110" s="79">
        <f>VLOOKUP(B110,'Player Data'!$A1:$AE667,21,FALSE)*$Q110</f>
        <v>7.12556783577893</v>
      </c>
      <c r="AH110" s="81">
        <f>VLOOKUP(B110,'Player Data'!$A1:$AE667,22,FALSE)</f>
        <v>0.355713158293815</v>
      </c>
      <c r="AI110" s="77"/>
      <c r="AJ110" s="89"/>
      <c r="AK110" s="79"/>
      <c r="AL110" s="79"/>
      <c r="AM110" s="79"/>
      <c r="AN110" s="79"/>
      <c r="AO110" s="79"/>
      <c r="AP110" s="79"/>
      <c r="AQ110" s="82"/>
      <c r="AR110" s="83"/>
      <c r="AS110" s="84"/>
    </row>
    <row r="111" ht="21.25" customHeight="1">
      <c r="A111" s="85">
        <f>RANK(K111,K$1:K$665)</f>
        <v>117</v>
      </c>
      <c r="B111" t="s" s="16">
        <v>292</v>
      </c>
      <c r="C111" t="s" s="69">
        <v>127</v>
      </c>
      <c r="D111" t="s" s="70">
        <f>VLOOKUP(B111,'Player Data'!A1:D667,4,FALSE)</f>
        <v>136</v>
      </c>
      <c r="E111" s="87">
        <f>VLOOKUP(B111,'LW'!A1:C152,3,FALSE)</f>
        <v>30</v>
      </c>
      <c r="F111" t="s" s="86">
        <f>VLOOKUP(B111,'Player Data'!A1:B667,2,FALSE)</f>
        <v>149</v>
      </c>
      <c r="G111" s="11">
        <f>VLOOKUP(B111,'Player Data'!A1:D667,3,FALSE)</f>
        <v>29</v>
      </c>
      <c r="H111" s="94">
        <f>_xlfn.IFERROR(VLOOKUP(B111,'ADP'!A1:G665,7,FALSE)/1000000,VLOOKUP(B111,'ADP'!A1:G665,7,FALSE))</f>
        <v>4.1667</v>
      </c>
      <c r="I111" s="74">
        <f>IF('Settings'!$E$15="POINTS",((R111*Q111)*'Settings'!$B$12)+(S111*'Settings'!$B$2)+(T111*'Settings'!$B$3)+(U111*'Settings'!$B$4)+(V111*'Settings'!$B$5)+(X111*'Settings'!$B$9)+(AA111*'Settings'!$B$6)+(W111*'Settings'!$B$8)+(AB111*'Settings'!$B$7)+(AC111*'Settings'!$B$14)+(AD111*'Settings'!$B$15)+(AE111*'Settings'!$B$16)+(AF111*'Settings'!$B$17)+(AG111*'Settings'!$B$18)+(Y111*'Settings'!$B$10)+(Z111*'Settings'!$B$11),VLOOKUP(B111,'Standard Deviations'!A1:C666,3,FALSE))</f>
        <v>306.987600152579</v>
      </c>
      <c r="J111" s="75">
        <f>IF(D111="G",I111/AJ111,I111/Q111)</f>
        <v>3.81694818504341</v>
      </c>
      <c r="K111" s="74">
        <f>IF('Settings'!$E$18="C/LW/RW",VLOOKUP(B111,'LW'!A1:F152,6,FALSE),VLOOKUP(B111,'F'!A1:F392,6,FALSE))</f>
        <v>-24.732511613633</v>
      </c>
      <c r="L111" s="76">
        <f>_xlfn.IFERROR(K111/H111,"N/A")</f>
        <v>-5.93575530122951</v>
      </c>
      <c r="M111" s="77">
        <f>IF('Settings'!$E$9="YAHOO",VLOOKUP(B111,'ADP'!A1:E665,2,FALSE),IF('Settings'!$E$9="ESPN",VLOOKUP(B111,'ADP'!A1:E665,3,FALSE),IF('Settings'!$E$9="FANTRAX",VLOOKUP(B111,'ADP'!A1:E665,4,FALSE),VLOOKUP(B111,'ADP'!A1:E665,5,FALSE))))</f>
        <v>0</v>
      </c>
      <c r="N111" s="77">
        <f>_xlfn.IFERROR(M111-A111,"N/A")</f>
        <v>-117</v>
      </c>
      <c r="O111" s="77"/>
      <c r="P111" t="s" s="78">
        <f>IF('Settings'!$E$27="ON",VLOOKUP(B111,'ADP'!A1:H665,8,FALSE)," ")</f>
        <v>235</v>
      </c>
      <c r="Q111" s="79">
        <f>IF('Settings'!$E$12="YES",VLOOKUP(B111,'Player Data'!A1:E667,5,FALSE),82)</f>
        <v>80.42749999999999</v>
      </c>
      <c r="R111" s="77">
        <f>VLOOKUP(B111,'Player Data'!$A1:$AE667,6,FALSE)</f>
        <v>18.4363587716247</v>
      </c>
      <c r="S111" s="79">
        <f>VLOOKUP(B111,'Player Data'!$A1:$AE667,7,FALSE)*$Q111*_xlfn.IFERROR((VLOOKUP(P111,'Settings'!$E$28:$F$33,2,FALSE)+1),1)</f>
        <v>34.7244350861577</v>
      </c>
      <c r="T111" s="79">
        <f>VLOOKUP(B111,'Player Data'!$A1:$AE667,8,FALSE)*$Q111*_xlfn.IFERROR((VLOOKUP(P111,'Settings'!$E$28:$F$33,2,FALSE)+1),1)</f>
        <v>36.0734368402132</v>
      </c>
      <c r="U111" s="79">
        <f>SUM(S111:T111)</f>
        <v>70.7978719263709</v>
      </c>
      <c r="V111" s="79">
        <f>VLOOKUP(B111,'Player Data'!$A1:$AE667,10,FALSE)*$Q111*_xlfn.IFERROR(((VLOOKUP(P111,'Settings'!$E$28:$F$33,2,FALSE)/2)+1),1)</f>
        <v>253.882776096467</v>
      </c>
      <c r="W111" s="79">
        <f>VLOOKUP(B111,'Player Data'!$A1:$AE667,11,FALSE)*$Q111*_xlfn.IFERROR((VLOOKUP(P111,'Settings'!$E$28:$F$33,2,FALSE)+1),1)</f>
        <v>8.021003674925391</v>
      </c>
      <c r="X111" s="80">
        <f>VLOOKUP(B111,'Player Data'!$A1:$AE667,12,FALSE)*$Q111*_xlfn.IFERROR((VLOOKUP(P111,'Settings'!$E$28:$F$33,2,FALSE)+1),1)</f>
        <v>18.3393114504512</v>
      </c>
      <c r="Y111" s="79">
        <f>VLOOKUP(B111,'Player Data'!$A1:$AE667,13,FALSE)*$Q111</f>
        <v>0.00545759621459902</v>
      </c>
      <c r="Z111" s="79">
        <f>VLOOKUP(B111,'Player Data'!$A1:$AE667,14,FALSE)*$Q111</f>
        <v>0.00921251861319802</v>
      </c>
      <c r="AA111" s="79">
        <f>VLOOKUP(B111,'Player Data'!$A1:$AE667,15,FALSE)*$Q111</f>
        <v>26.051440521466</v>
      </c>
      <c r="AB111" s="79">
        <f>VLOOKUP(B111,'Player Data'!$A1:$AE667,16,FALSE)*$Q111</f>
        <v>56.0364058187627</v>
      </c>
      <c r="AC111" s="79">
        <f>VLOOKUP(B111,'Player Data'!$A1:$AE667,17,FALSE)*$Q111*_xlfn.IFERROR((VLOOKUP(P111,'Settings'!$E$28:$F$33,2,FALSE)+1),1)</f>
        <v>7.46547133432964</v>
      </c>
      <c r="AD111" s="79">
        <f>VLOOKUP(B111,'Player Data'!$A1:$AE667,18,FALSE)*$Q111</f>
        <v>45.0680242446327</v>
      </c>
      <c r="AE111" s="79">
        <f>VLOOKUP(B111,'Player Data'!$A1:$AE667,19,FALSE)*$Q111*_xlfn.IFERROR((VLOOKUP(P111,'Settings'!$E$28:$F$33,2,FALSE)+1),1)</f>
        <v>5.91571485361627</v>
      </c>
      <c r="AF111" s="79">
        <f>VLOOKUP(B111,'Player Data'!$A1:$AE667,20,FALSE)*$Q111</f>
        <v>38.5397085859797</v>
      </c>
      <c r="AG111" s="79">
        <f>VLOOKUP(B111,'Player Data'!$A1:$AE667,21,FALSE)*$Q111</f>
        <v>37.6701783655945</v>
      </c>
      <c r="AH111" s="81">
        <f>VLOOKUP(B111,'Player Data'!$A1:$AE667,22,FALSE)</f>
        <v>0.505704838670983</v>
      </c>
      <c r="AI111" s="77"/>
      <c r="AJ111" s="79"/>
      <c r="AK111" s="79"/>
      <c r="AL111" s="79"/>
      <c r="AM111" s="79"/>
      <c r="AN111" s="79"/>
      <c r="AO111" s="79"/>
      <c r="AP111" s="79"/>
      <c r="AQ111" s="82"/>
      <c r="AR111" s="83"/>
      <c r="AS111" s="84"/>
    </row>
    <row r="112" ht="21.25" customHeight="1">
      <c r="A112" s="85">
        <f>RANK(K112,K$1:K$665)</f>
        <v>112</v>
      </c>
      <c r="B112" t="s" s="16">
        <v>293</v>
      </c>
      <c r="C112" t="s" s="69">
        <v>127</v>
      </c>
      <c r="D112" t="s" s="70">
        <f>VLOOKUP(B112,'Player Data'!A1:D667,4,FALSE)</f>
        <v>148</v>
      </c>
      <c r="E112" s="87">
        <f>VLOOKUP(B112,'RW'!A1:C136,3,FALSE)</f>
        <v>26</v>
      </c>
      <c r="F112" t="s" s="78">
        <f>VLOOKUP(B112,'Player Data'!A1:B667,2,FALSE)</f>
        <v>261</v>
      </c>
      <c r="G112" s="11">
        <f>VLOOKUP(B112,'Player Data'!A1:D667,3,FALSE)</f>
        <v>26</v>
      </c>
      <c r="H112" s="73">
        <f>_xlfn.IFERROR(VLOOKUP(B112,'ADP'!A1:G665,7,FALSE)/1000000,VLOOKUP(B112,'ADP'!A1:G665,7,FALSE))</f>
        <v>7.15</v>
      </c>
      <c r="I112" s="74">
        <f>IF('Settings'!$E$15="POINTS",((R112*Q112)*'Settings'!$B$12)+(S112*'Settings'!$B$2)+(T112*'Settings'!$B$3)+(U112*'Settings'!$B$4)+(V112*'Settings'!$B$5)+(X112*'Settings'!$B$9)+(AA112*'Settings'!$B$6)+(W112*'Settings'!$B$8)+(AB112*'Settings'!$B$7)+(AC112*'Settings'!$B$14)+(AD112*'Settings'!$B$15)+(AE112*'Settings'!$B$16)+(AF112*'Settings'!$B$17)+(AG112*'Settings'!$B$18)+(Y112*'Settings'!$B$10)+(Z112*'Settings'!$B$11),VLOOKUP(B112,'Standard Deviations'!A1:C666,3,FALSE))</f>
        <v>306.906004429591</v>
      </c>
      <c r="J112" s="75">
        <f>IF(D112="G",I112/AJ112,I112/Q112)</f>
        <v>3.84497625193675</v>
      </c>
      <c r="K112" s="74">
        <f>IF('Settings'!$E$18="C/LW/RW",VLOOKUP(B112,'RW'!A1:F136,6,FALSE),VLOOKUP(B112,'F'!A1:F392,6,FALSE))</f>
        <v>-22.785889651587</v>
      </c>
      <c r="L112" s="76">
        <f>_xlfn.IFERROR(K112/H112,"N/A")</f>
        <v>-3.18683771350867</v>
      </c>
      <c r="M112" s="77">
        <f>IF('Settings'!$E$9="YAHOO",VLOOKUP(B112,'ADP'!A1:E665,2,FALSE),IF('Settings'!$E$9="ESPN",VLOOKUP(B112,'ADP'!A1:E665,3,FALSE),IF('Settings'!$E$9="FANTRAX",VLOOKUP(B112,'ADP'!A1:E665,4,FALSE),VLOOKUP(B112,'ADP'!A1:E665,5,FALSE))))</f>
        <v>0</v>
      </c>
      <c r="N112" s="77">
        <f>_xlfn.IFERROR(M112-A112,"N/A")</f>
        <v>-112</v>
      </c>
      <c r="O112" s="77"/>
      <c r="P112" t="s" s="78">
        <f>IF('Settings'!$E$27="ON",VLOOKUP(B112,'ADP'!A1:H665,8,FALSE)," ")</f>
        <v>138</v>
      </c>
      <c r="Q112" s="79">
        <f>IF('Settings'!$E$12="YES",VLOOKUP(B112,'Player Data'!A1:E667,5,FALSE),82)</f>
        <v>79.81999999999999</v>
      </c>
      <c r="R112" s="77">
        <f>VLOOKUP(B112,'Player Data'!$A1:$AE667,6,FALSE)</f>
        <v>19.3294783870517</v>
      </c>
      <c r="S112" s="79">
        <f>VLOOKUP(B112,'Player Data'!$A1:$AE667,7,FALSE)*$Q112*_xlfn.IFERROR((VLOOKUP(P112,'Settings'!$E$28:$F$33,2,FALSE)+1),1)</f>
        <v>33.7245356599485</v>
      </c>
      <c r="T112" s="79">
        <f>VLOOKUP(B112,'Player Data'!$A1:$AE667,8,FALSE)*$Q112*_xlfn.IFERROR((VLOOKUP(P112,'Settings'!$E$28:$F$33,2,FALSE)+1),1)</f>
        <v>45.829152706757</v>
      </c>
      <c r="U112" s="79">
        <f>SUM(S112:T112)</f>
        <v>79.5536883667055</v>
      </c>
      <c r="V112" s="79">
        <f>VLOOKUP(B112,'Player Data'!$A1:$AE667,10,FALSE)*$Q112*_xlfn.IFERROR(((VLOOKUP(P112,'Settings'!$E$28:$F$33,2,FALSE)/2)+1),1)</f>
        <v>225.913674122973</v>
      </c>
      <c r="W112" s="79">
        <f>VLOOKUP(B112,'Player Data'!$A1:$AE667,11,FALSE)*$Q112*_xlfn.IFERROR((VLOOKUP(P112,'Settings'!$E$28:$F$33,2,FALSE)+1),1)</f>
        <v>8.57251009432888</v>
      </c>
      <c r="X112" s="80">
        <f>VLOOKUP(B112,'Player Data'!$A1:$AE667,12,FALSE)*$Q112*_xlfn.IFERROR((VLOOKUP(P112,'Settings'!$E$28:$F$33,2,FALSE)+1),1)</f>
        <v>26.1952904097615</v>
      </c>
      <c r="Y112" s="79">
        <f>VLOOKUP(B112,'Player Data'!$A1:$AE667,13,FALSE)*$Q112</f>
        <v>0.02615506001824</v>
      </c>
      <c r="Z112" s="79">
        <f>VLOOKUP(B112,'Player Data'!$A1:$AE667,14,FALSE)*$Q112</f>
        <v>0.0378290148236715</v>
      </c>
      <c r="AA112" s="79">
        <f>VLOOKUP(B112,'Player Data'!$A1:$AE667,15,FALSE)*$Q112</f>
        <v>31.4873535486529</v>
      </c>
      <c r="AB112" s="79">
        <f>VLOOKUP(B112,'Player Data'!$A1:$AE667,16,FALSE)*$Q112</f>
        <v>25.0102857353923</v>
      </c>
      <c r="AC112" s="79">
        <f>VLOOKUP(B112,'Player Data'!$A1:$AE667,17,FALSE)*$Q112*_xlfn.IFERROR((VLOOKUP(P112,'Settings'!$E$28:$F$33,2,FALSE)+1),1)</f>
        <v>-0.84773319561085</v>
      </c>
      <c r="AD112" s="79">
        <f>VLOOKUP(B112,'Player Data'!$A1:$AE667,18,FALSE)*$Q112</f>
        <v>35.5253830395097</v>
      </c>
      <c r="AE112" s="79">
        <f>VLOOKUP(B112,'Player Data'!$A1:$AE667,19,FALSE)*$Q112*_xlfn.IFERROR((VLOOKUP(P112,'Settings'!$E$28:$F$33,2,FALSE)+1),1)</f>
        <v>4.93489082702361</v>
      </c>
      <c r="AF112" s="79">
        <f>VLOOKUP(B112,'Player Data'!$A1:$AE667,20,FALSE)*$Q112</f>
        <v>27.4065642492565</v>
      </c>
      <c r="AG112" s="79">
        <f>VLOOKUP(B112,'Player Data'!$A1:$AE667,21,FALSE)*$Q112</f>
        <v>39.2351237160026</v>
      </c>
      <c r="AH112" s="81">
        <f>VLOOKUP(B112,'Player Data'!$A1:$AE667,22,FALSE)</f>
        <v>0.411252552059362</v>
      </c>
      <c r="AI112" s="77"/>
      <c r="AJ112" s="89"/>
      <c r="AK112" s="79"/>
      <c r="AL112" s="79"/>
      <c r="AM112" s="79"/>
      <c r="AN112" s="79"/>
      <c r="AO112" s="79"/>
      <c r="AP112" s="79"/>
      <c r="AQ112" s="82"/>
      <c r="AR112" s="83"/>
      <c r="AS112" s="84"/>
    </row>
    <row r="113" ht="21.25" customHeight="1">
      <c r="A113" s="85">
        <f>RANK(K113,K$1:K$665)</f>
        <v>101</v>
      </c>
      <c r="B113" t="s" s="16">
        <v>294</v>
      </c>
      <c r="C113" t="s" s="69">
        <v>127</v>
      </c>
      <c r="D113" t="s" s="70">
        <f>VLOOKUP(B113,'Player Data'!A1:D667,4,FALSE)</f>
        <v>153</v>
      </c>
      <c r="E113" s="95">
        <f>VLOOKUP(B113,'D'!A1:C213,3,FALSE)</f>
        <v>22</v>
      </c>
      <c r="F113" t="s" s="100">
        <f>VLOOKUP(B113,'Player Data'!A1:B667,2,FALSE)</f>
        <v>172</v>
      </c>
      <c r="G113" s="91">
        <f>VLOOKUP(B113,'Player Data'!A1:D667,3,FALSE)</f>
        <v>34</v>
      </c>
      <c r="H113" s="73">
        <f>_xlfn.IFERROR(VLOOKUP(B113,'ADP'!A1:G665,7,FALSE)/1000000,VLOOKUP(B113,'ADP'!A1:G665,7,FALSE))</f>
        <v>10</v>
      </c>
      <c r="I113" s="74">
        <f>IF('Settings'!$E$15="POINTS",((R113*Q113)*'Settings'!$B$12)+(S113*'Settings'!$B$2)+(T113*'Settings'!$B$3)+(U113*'Settings'!$B$4)+(V113*'Settings'!$B$5)+(X113*'Settings'!$B$9)+(AA113*'Settings'!$B$6)+(W113*'Settings'!$B$8)+(AB113*'Settings'!$B$7)+(AC113*'Settings'!$B$14)+(AD113*'Settings'!$B$15)+(AE113*'Settings'!$B$16)+(AF113*'Settings'!$B$17)+(AG113*'Settings'!$B$18)+(U113*'Settings'!$B$13)+(Y113*'Settings'!$B$10)+(Z113*'Settings'!$B$11),VLOOKUP(B113,'Standard Deviations'!A1:C666,3,FALSE))</f>
        <v>313.625340914491</v>
      </c>
      <c r="J113" s="75">
        <f>IF(D113="G",I113/AJ113,I113/Q113)</f>
        <v>3.97850235842307</v>
      </c>
      <c r="K113" s="74">
        <f>VLOOKUP(B113,'D'!A1:F213,6,FALSE)</f>
        <v>-17.914867005591</v>
      </c>
      <c r="L113" s="76">
        <f>_xlfn.IFERROR(K113/H113,"N/A")</f>
        <v>-1.7914867005591</v>
      </c>
      <c r="M113" s="77">
        <f>IF('Settings'!$E$9="YAHOO",VLOOKUP(B113,'ADP'!A1:E665,2,FALSE),IF('Settings'!$E$9="ESPN",VLOOKUP(B113,'ADP'!A1:E665,3,FALSE),IF('Settings'!$E$9="FANTRAX",VLOOKUP(B113,'ADP'!A1:E665,4,FALSE),VLOOKUP(B113,'ADP'!A1:E665,5,FALSE))))</f>
        <v>0</v>
      </c>
      <c r="N113" s="77">
        <f>_xlfn.IFERROR(M113-A113,"N/A")</f>
        <v>-101</v>
      </c>
      <c r="O113" s="77"/>
      <c r="P113" t="s" s="78">
        <f>IF('Settings'!$E$27="ON",VLOOKUP(B113,'ADP'!A1:H665,8,FALSE)," ")</f>
        <v>138</v>
      </c>
      <c r="Q113" s="79">
        <f>IF('Settings'!$E$12="YES",VLOOKUP(B113,'Player Data'!A1:E667,5,FALSE),82)</f>
        <v>78.83</v>
      </c>
      <c r="R113" s="77">
        <f>VLOOKUP(B113,'Player Data'!$A1:$AE667,6,FALSE)</f>
        <v>24.3868461809675</v>
      </c>
      <c r="S113" s="79">
        <f>VLOOKUP(B113,'Player Data'!$A1:$AE667,7,FALSE)*$Q113*_xlfn.IFERROR((VLOOKUP(P113,'Settings'!$E$28:$F$33,2,FALSE)+1),1)</f>
        <v>15.239014047368</v>
      </c>
      <c r="T113" s="79">
        <f>VLOOKUP(B113,'Player Data'!$A1:$AE667,8,FALSE)*$Q113*_xlfn.IFERROR((VLOOKUP(P113,'Settings'!$E$28:$F$33,2,FALSE)+1),1)</f>
        <v>52.6705566762874</v>
      </c>
      <c r="U113" s="79">
        <f>SUM(S113:T113)</f>
        <v>67.90957072365541</v>
      </c>
      <c r="V113" s="79">
        <f>VLOOKUP(B113,'Player Data'!$A1:$AE667,10,FALSE)*$Q113*_xlfn.IFERROR(((VLOOKUP(P113,'Settings'!$E$28:$F$33,2,FALSE)/2)+1),1)</f>
        <v>199.865295585659</v>
      </c>
      <c r="W113" s="79">
        <f>VLOOKUP(B113,'Player Data'!$A1:$AE667,11,FALSE)*$Q113*_xlfn.IFERROR((VLOOKUP(P113,'Settings'!$E$28:$F$33,2,FALSE)+1),1)</f>
        <v>2.74917483246293</v>
      </c>
      <c r="X113" s="80">
        <f>VLOOKUP(B113,'Player Data'!$A1:$AE667,12,FALSE)*$Q113*_xlfn.IFERROR((VLOOKUP(P113,'Settings'!$E$28:$F$33,2,FALSE)+1),1)</f>
        <v>20.5916100465376</v>
      </c>
      <c r="Y113" s="79">
        <f>VLOOKUP(B113,'Player Data'!$A1:$AE667,13,FALSE)*$Q113</f>
        <v>0.00513136644110756</v>
      </c>
      <c r="Z113" s="79">
        <f>VLOOKUP(B113,'Player Data'!$A1:$AE667,14,FALSE)*$Q113</f>
        <v>0.0255482143292262</v>
      </c>
      <c r="AA113" s="79">
        <f>VLOOKUP(B113,'Player Data'!$A1:$AE667,15,FALSE)*$Q113</f>
        <v>95.8190008547332</v>
      </c>
      <c r="AB113" s="79">
        <f>VLOOKUP(B113,'Player Data'!$A1:$AE667,16,FALSE)*$Q113</f>
        <v>45.0141414445278</v>
      </c>
      <c r="AC113" s="79">
        <f>VLOOKUP(B113,'Player Data'!$A1:$AE667,17,FALSE)*$Q113*_xlfn.IFERROR((VLOOKUP(P113,'Settings'!$E$28:$F$33,2,FALSE)+1),1)</f>
        <v>2.21874208101896</v>
      </c>
      <c r="AD113" s="79">
        <f>VLOOKUP(B113,'Player Data'!$A1:$AE667,18,FALSE)*$Q113</f>
        <v>34.7901534265339</v>
      </c>
      <c r="AE113" s="79">
        <f>VLOOKUP(B113,'Player Data'!$A1:$AE667,19,FALSE)*$Q113*_xlfn.IFERROR((VLOOKUP(P113,'Settings'!$E$28:$F$33,2,FALSE)+1),1)</f>
        <v>2.25907566919784</v>
      </c>
      <c r="AF113" s="79">
        <f>VLOOKUP(B113,'Player Data'!$A1:$AE667,20,FALSE)*$Q113</f>
        <v>0</v>
      </c>
      <c r="AG113" s="79">
        <f>VLOOKUP(B113,'Player Data'!$A1:$AE667,21,FALSE)*$Q113</f>
        <v>0.14858193890511</v>
      </c>
      <c r="AH113" s="81">
        <f>VLOOKUP(B113,'Player Data'!$A1:$AE667,22,FALSE)</f>
        <v>0</v>
      </c>
      <c r="AI113" s="77"/>
      <c r="AJ113" s="89"/>
      <c r="AK113" s="79"/>
      <c r="AL113" s="79"/>
      <c r="AM113" s="79"/>
      <c r="AN113" s="79"/>
      <c r="AO113" s="79"/>
      <c r="AP113" s="79"/>
      <c r="AQ113" s="82"/>
      <c r="AR113" s="83"/>
      <c r="AS113" s="84"/>
    </row>
    <row r="114" ht="21.25" customHeight="1">
      <c r="A114" s="85">
        <f>RANK(K114,K$1:K$665)</f>
        <v>127</v>
      </c>
      <c r="B114" t="s" s="16">
        <v>295</v>
      </c>
      <c r="C114" t="s" s="69">
        <v>127</v>
      </c>
      <c r="D114" t="s" s="70">
        <f>VLOOKUP(B114,'Player Data'!A1:D667,4,FALSE)</f>
        <v>128</v>
      </c>
      <c r="E114" s="71">
        <f>VLOOKUP(B114,'C'!A1:C206,3,FALSE)</f>
        <v>43</v>
      </c>
      <c r="F114" t="s" s="78">
        <f>VLOOKUP(B114,'Player Data'!A1:B667,2,FALSE)</f>
        <v>168</v>
      </c>
      <c r="G114" s="91">
        <f>VLOOKUP(B114,'Player Data'!A1:D667,3,FALSE)</f>
        <v>31</v>
      </c>
      <c r="H114" s="73">
        <f>_xlfn.IFERROR(VLOOKUP(B114,'ADP'!A1:G665,7,FALSE)/1000000,VLOOKUP(B114,'ADP'!A1:G665,7,FALSE))</f>
        <v>8.5</v>
      </c>
      <c r="I114" s="74">
        <f>IF('Settings'!$E$15="POINTS",((R114*Q114)*'Settings'!$B$12)+(S114*'Settings'!$B$2)+(T114*'Settings'!$B$3)+(U114*'Settings'!$B$4)+(V114*'Settings'!$B$5)+(X114*'Settings'!$B$9)+(AA114*'Settings'!$B$6)+(W114*'Settings'!$B$8)+(AB114*'Settings'!$B$7)+(AC114*'Settings'!$B$14)+(AD114*'Settings'!$B$15)+(AE114*'Settings'!$B$16)+(AF114*'Settings'!$B$17)+(AG114*'Settings'!$B$18)+(Y114*'Settings'!$B$10)+(Z114*'Settings'!$B$11),VLOOKUP(B114,'Standard Deviations'!A1:C666,3,FALSE))</f>
        <v>301.581697526914</v>
      </c>
      <c r="J114" s="75">
        <f>IF(D114="G",I114/AJ114,I114/Q114)</f>
        <v>3.81881917790261</v>
      </c>
      <c r="K114" s="74">
        <f>IF('Settings'!$E$18="C/LW/RW",VLOOKUP(B114,'C'!A1:F206,6,FALSE),VLOOKUP(B114,'F'!A1:F392,6,FALSE))</f>
        <v>-28.110196554264</v>
      </c>
      <c r="L114" s="76">
        <f>_xlfn.IFERROR(K114/H114,"N/A")</f>
        <v>-3.30708194756047</v>
      </c>
      <c r="M114" s="77">
        <f>IF('Settings'!$E$9="YAHOO",VLOOKUP(B114,'ADP'!A1:E665,2,FALSE),IF('Settings'!$E$9="ESPN",VLOOKUP(B114,'ADP'!A1:E665,3,FALSE),IF('Settings'!$E$9="FANTRAX",VLOOKUP(B114,'ADP'!A1:E665,4,FALSE),VLOOKUP(B114,'ADP'!A1:E665,5,FALSE))))</f>
        <v>0</v>
      </c>
      <c r="N114" s="77">
        <f>_xlfn.IFERROR(M114-A114,"N/A")</f>
        <v>-127</v>
      </c>
      <c r="O114" s="77"/>
      <c r="P114" t="s" s="78">
        <f>IF('Settings'!$E$27="ON",VLOOKUP(B114,'ADP'!A1:H665,8,FALSE)," ")</f>
        <v>138</v>
      </c>
      <c r="Q114" s="79">
        <f>IF('Settings'!$E$12="YES",VLOOKUP(B114,'Player Data'!A1:E667,5,FALSE),82)</f>
        <v>78.9725</v>
      </c>
      <c r="R114" s="77">
        <f>VLOOKUP(B114,'Player Data'!$A1:$AE667,6,FALSE)</f>
        <v>20.3001794042974</v>
      </c>
      <c r="S114" s="79">
        <f>VLOOKUP(B114,'Player Data'!$A1:$AE667,7,FALSE)*$Q114*_xlfn.IFERROR((VLOOKUP(P114,'Settings'!$E$28:$F$33,2,FALSE)+1),1)</f>
        <v>31.3701910192598</v>
      </c>
      <c r="T114" s="79">
        <f>VLOOKUP(B114,'Player Data'!$A1:$AE667,8,FALSE)*$Q114*_xlfn.IFERROR((VLOOKUP(P114,'Settings'!$E$28:$F$33,2,FALSE)+1),1)</f>
        <v>40.9499213516493</v>
      </c>
      <c r="U114" s="79">
        <f>SUM(S114:T114)</f>
        <v>72.3201123709091</v>
      </c>
      <c r="V114" s="79">
        <f>VLOOKUP(B114,'Player Data'!$A1:$AE667,10,FALSE)*$Q114*_xlfn.IFERROR(((VLOOKUP(P114,'Settings'!$E$28:$F$33,2,FALSE)/2)+1),1)</f>
        <v>180.065025888330</v>
      </c>
      <c r="W114" s="79">
        <f>VLOOKUP(B114,'Player Data'!$A1:$AE667,11,FALSE)*$Q114*_xlfn.IFERROR((VLOOKUP(P114,'Settings'!$E$28:$F$33,2,FALSE)+1),1)</f>
        <v>7.89218733046935</v>
      </c>
      <c r="X114" s="80">
        <f>VLOOKUP(B114,'Player Data'!$A1:$AE667,12,FALSE)*$Q114*_xlfn.IFERROR((VLOOKUP(P114,'Settings'!$E$28:$F$33,2,FALSE)+1),1)</f>
        <v>19.5746821583231</v>
      </c>
      <c r="Y114" s="79">
        <f>VLOOKUP(B114,'Player Data'!$A1:$AE667,13,FALSE)*$Q114</f>
        <v>0.0213686415426403</v>
      </c>
      <c r="Z114" s="79">
        <f>VLOOKUP(B114,'Player Data'!$A1:$AE667,14,FALSE)*$Q114</f>
        <v>0.0363207664984295</v>
      </c>
      <c r="AA114" s="79">
        <f>VLOOKUP(B114,'Player Data'!$A1:$AE667,15,FALSE)*$Q114</f>
        <v>41.817094473418</v>
      </c>
      <c r="AB114" s="79">
        <f>VLOOKUP(B114,'Player Data'!$A1:$AE667,16,FALSE)*$Q114</f>
        <v>61.0989774810251</v>
      </c>
      <c r="AC114" s="79">
        <f>VLOOKUP(B114,'Player Data'!$A1:$AE667,17,FALSE)*$Q114*_xlfn.IFERROR((VLOOKUP(P114,'Settings'!$E$28:$F$33,2,FALSE)+1),1)</f>
        <v>1.53823651986657</v>
      </c>
      <c r="AD114" s="79">
        <f>VLOOKUP(B114,'Player Data'!$A1:$AE667,18,FALSE)*$Q114</f>
        <v>36.3868027277161</v>
      </c>
      <c r="AE114" s="79">
        <f>VLOOKUP(B114,'Player Data'!$A1:$AE667,19,FALSE)*$Q114*_xlfn.IFERROR((VLOOKUP(P114,'Settings'!$E$28:$F$33,2,FALSE)+1),1)</f>
        <v>5.21455887266358</v>
      </c>
      <c r="AF114" s="79">
        <f>VLOOKUP(B114,'Player Data'!$A1:$AE667,20,FALSE)*$Q114</f>
        <v>614.981915661716</v>
      </c>
      <c r="AG114" s="79">
        <f>VLOOKUP(B114,'Player Data'!$A1:$AE667,21,FALSE)*$Q114</f>
        <v>648.361136875825</v>
      </c>
      <c r="AH114" s="81">
        <f>VLOOKUP(B114,'Player Data'!$A1:$AE667,22,FALSE)</f>
        <v>0.486789328066093</v>
      </c>
      <c r="AI114" s="77"/>
      <c r="AJ114" s="79"/>
      <c r="AK114" s="79"/>
      <c r="AL114" s="79"/>
      <c r="AM114" s="79"/>
      <c r="AN114" s="79"/>
      <c r="AO114" s="79"/>
      <c r="AP114" s="79"/>
      <c r="AQ114" s="82"/>
      <c r="AR114" s="83"/>
      <c r="AS114" s="84"/>
    </row>
    <row r="115" ht="21.25" customHeight="1">
      <c r="A115" s="85">
        <f>RANK(K115,K$1:K$665)</f>
        <v>114</v>
      </c>
      <c r="B115" t="s" s="16">
        <v>296</v>
      </c>
      <c r="C115" t="s" s="69">
        <v>127</v>
      </c>
      <c r="D115" t="s" s="70">
        <f>VLOOKUP(B115,'Player Data'!A1:D667,4,FALSE)</f>
        <v>140</v>
      </c>
      <c r="E115" s="90">
        <f>VLOOKUP(B115,'RW'!A1:F136,3,FALSE)</f>
        <v>27</v>
      </c>
      <c r="F115" t="s" s="86">
        <f>VLOOKUP(B115,'Player Data'!A1:B667,2,FALSE)</f>
        <v>165</v>
      </c>
      <c r="G115" s="91">
        <f>VLOOKUP(B115,'Player Data'!A1:D667,3,FALSE)</f>
        <v>33</v>
      </c>
      <c r="H115" s="73">
        <f>_xlfn.IFERROR(VLOOKUP(B115,'ADP'!A1:G665,7,FALSE)/1000000,VLOOKUP(B115,'ADP'!A1:G665,7,FALSE))</f>
        <v>5.5</v>
      </c>
      <c r="I115" s="74">
        <f>IF('Settings'!$E$15="POINTS",((R115*Q115)*'Settings'!$B$12)+(S115*'Settings'!$B$2)+(T115*'Settings'!$B$3)+(U115*'Settings'!$B$4)+(V115*'Settings'!$B$5)+(X115*'Settings'!$B$9)+(AA115*'Settings'!$B$6)+(W115*'Settings'!$B$8)+(AB115*'Settings'!$B$7)+(AC115*'Settings'!$B$14)+(AD115*'Settings'!$B$15)+(AE115*'Settings'!$B$16)+(AF115*'Settings'!$B$17)+(AG115*'Settings'!$B$18)+(Y115*'Settings'!$B$10)+(Z115*'Settings'!$B$11),VLOOKUP(B115,'Standard Deviations'!A1:C666,3,FALSE))</f>
        <v>306.478660755373</v>
      </c>
      <c r="J115" s="75">
        <f>IF(D115="G",I115/AJ115,I115/Q115)</f>
        <v>3.8022289033605</v>
      </c>
      <c r="K115" s="74">
        <f>IF('Settings'!$E$18="C/LW/RW",VLOOKUP(B115,'RW'!A1:F136,6,FALSE),VLOOKUP(B115,'F'!A1:F392,6,FALSE))</f>
        <v>-23.213233325805</v>
      </c>
      <c r="L115" s="76">
        <f>_xlfn.IFERROR(K115/H115,"N/A")</f>
        <v>-4.22058787741909</v>
      </c>
      <c r="M115" s="77">
        <f>IF('Settings'!$E$9="YAHOO",VLOOKUP(B115,'ADP'!A1:E665,2,FALSE),IF('Settings'!$E$9="ESPN",VLOOKUP(B115,'ADP'!A1:E665,3,FALSE),IF('Settings'!$E$9="FANTRAX",VLOOKUP(B115,'ADP'!A1:E665,4,FALSE),VLOOKUP(B115,'ADP'!A1:E665,5,FALSE))))</f>
        <v>0</v>
      </c>
      <c r="N115" s="77">
        <f>_xlfn.IFERROR(M115-A115,"N/A")</f>
        <v>-114</v>
      </c>
      <c r="O115" s="77"/>
      <c r="P115" t="s" s="78">
        <f>IF('Settings'!$E$27="ON",VLOOKUP(B115,'ADP'!A1:H665,8,FALSE)," ")</f>
        <v>235</v>
      </c>
      <c r="Q115" s="79">
        <f>IF('Settings'!$E$12="YES",VLOOKUP(B115,'Player Data'!A1:E667,5,FALSE),82)</f>
        <v>80.605</v>
      </c>
      <c r="R115" s="77">
        <f>VLOOKUP(B115,'Player Data'!$A1:$AE667,6,FALSE)</f>
        <v>17.7723797355315</v>
      </c>
      <c r="S115" s="79">
        <f>VLOOKUP(B115,'Player Data'!$A1:$AE667,7,FALSE)*$Q115*_xlfn.IFERROR((VLOOKUP(P115,'Settings'!$E$28:$F$33,2,FALSE)+1),1)</f>
        <v>33.3527717292907</v>
      </c>
      <c r="T115" s="79">
        <f>VLOOKUP(B115,'Player Data'!$A1:$AE667,8,FALSE)*$Q115*_xlfn.IFERROR((VLOOKUP(P115,'Settings'!$E$28:$F$33,2,FALSE)+1),1)</f>
        <v>30.204033085087</v>
      </c>
      <c r="U115" s="79">
        <f>SUM(S115:T115)</f>
        <v>63.5568048143777</v>
      </c>
      <c r="V115" s="79">
        <f>VLOOKUP(B115,'Player Data'!$A1:$AE667,10,FALSE)*$Q115*_xlfn.IFERROR(((VLOOKUP(P115,'Settings'!$E$28:$F$33,2,FALSE)/2)+1),1)</f>
        <v>251.081035134298</v>
      </c>
      <c r="W115" s="79">
        <f>VLOOKUP(B115,'Player Data'!$A1:$AE667,11,FALSE)*$Q115*_xlfn.IFERROR((VLOOKUP(P115,'Settings'!$E$28:$F$33,2,FALSE)+1),1)</f>
        <v>8.69743469449263</v>
      </c>
      <c r="X115" s="80">
        <f>VLOOKUP(B115,'Player Data'!$A1:$AE667,12,FALSE)*$Q115*_xlfn.IFERROR((VLOOKUP(P115,'Settings'!$E$28:$F$33,2,FALSE)+1),1)</f>
        <v>19.7664336692558</v>
      </c>
      <c r="Y115" s="79">
        <f>VLOOKUP(B115,'Player Data'!$A1:$AE667,13,FALSE)*$Q115</f>
        <v>0.00578669578882766</v>
      </c>
      <c r="Z115" s="79">
        <f>VLOOKUP(B115,'Player Data'!$A1:$AE667,14,FALSE)*$Q115</f>
        <v>0.009729853143971529</v>
      </c>
      <c r="AA115" s="79">
        <f>VLOOKUP(B115,'Player Data'!$A1:$AE667,15,FALSE)*$Q115</f>
        <v>23.0009849011468</v>
      </c>
      <c r="AB115" s="79">
        <f>VLOOKUP(B115,'Player Data'!$A1:$AE667,16,FALSE)*$Q115</f>
        <v>93.5742313931988</v>
      </c>
      <c r="AC115" s="79">
        <f>VLOOKUP(B115,'Player Data'!$A1:$AE667,17,FALSE)*$Q115*_xlfn.IFERROR((VLOOKUP(P115,'Settings'!$E$28:$F$33,2,FALSE)+1),1)</f>
        <v>0.394559559721247</v>
      </c>
      <c r="AD115" s="79">
        <f>VLOOKUP(B115,'Player Data'!$A1:$AE667,18,FALSE)*$Q115</f>
        <v>33.6959186357099</v>
      </c>
      <c r="AE115" s="79">
        <f>VLOOKUP(B115,'Player Data'!$A1:$AE667,19,FALSE)*$Q115*_xlfn.IFERROR((VLOOKUP(P115,'Settings'!$E$28:$F$33,2,FALSE)+1),1)</f>
        <v>4.72251300474495</v>
      </c>
      <c r="AF115" s="79">
        <f>VLOOKUP(B115,'Player Data'!$A1:$AE667,20,FALSE)*$Q115</f>
        <v>13.3137403341174</v>
      </c>
      <c r="AG115" s="79">
        <f>VLOOKUP(B115,'Player Data'!$A1:$AE667,21,FALSE)*$Q115</f>
        <v>26.6763766868624</v>
      </c>
      <c r="AH115" s="81">
        <f>VLOOKUP(B115,'Player Data'!$A1:$AE667,22,FALSE)</f>
        <v>0.332925765811904</v>
      </c>
      <c r="AI115" s="77"/>
      <c r="AJ115" s="79"/>
      <c r="AK115" s="79"/>
      <c r="AL115" s="79"/>
      <c r="AM115" s="79"/>
      <c r="AN115" s="79"/>
      <c r="AO115" s="79"/>
      <c r="AP115" s="79"/>
      <c r="AQ115" s="82"/>
      <c r="AR115" s="83"/>
      <c r="AS115" s="84"/>
    </row>
    <row r="116" ht="21.25" customHeight="1">
      <c r="A116" s="85">
        <f>RANK(K116,K$1:K$665)</f>
        <v>130</v>
      </c>
      <c r="B116" t="s" s="16">
        <v>297</v>
      </c>
      <c r="C116" t="s" s="69">
        <v>127</v>
      </c>
      <c r="D116" t="s" s="70">
        <f>VLOOKUP(B116,'Player Data'!A1:D667,4,FALSE)</f>
        <v>128</v>
      </c>
      <c r="E116" s="71">
        <f>VLOOKUP(B116,'C'!A1:C206,3,FALSE)</f>
        <v>44</v>
      </c>
      <c r="F116" t="s" s="78">
        <f>VLOOKUP(B116,'Player Data'!A1:B667,2,FALSE)</f>
        <v>216</v>
      </c>
      <c r="G116" s="91">
        <f>VLOOKUP(B116,'Player Data'!A1:D667,3,FALSE)</f>
        <v>30</v>
      </c>
      <c r="H116" s="73">
        <f>_xlfn.IFERROR(VLOOKUP(B116,'ADP'!A1:G665,7,FALSE)/1000000,VLOOKUP(B116,'ADP'!A1:G665,7,FALSE))</f>
        <v>6.75</v>
      </c>
      <c r="I116" s="74">
        <f>IF('Settings'!$E$15="POINTS",((R116*Q116)*'Settings'!$B$12)+(S116*'Settings'!$B$2)+(T116*'Settings'!$B$3)+(U116*'Settings'!$B$4)+(V116*'Settings'!$B$5)+(X116*'Settings'!$B$9)+(AA116*'Settings'!$B$6)+(W116*'Settings'!$B$8)+(AB116*'Settings'!$B$7)+(AC116*'Settings'!$B$14)+(AD116*'Settings'!$B$15)+(AE116*'Settings'!$B$16)+(AF116*'Settings'!$B$17)+(AG116*'Settings'!$B$18)+(Y116*'Settings'!$B$10)+(Z116*'Settings'!$B$11),VLOOKUP(B116,'Standard Deviations'!A1:C666,3,FALSE))</f>
        <v>300.560242430703</v>
      </c>
      <c r="J116" s="75">
        <f>IF(D116="G",I116/AJ116,I116/Q116)</f>
        <v>3.92133132105683</v>
      </c>
      <c r="K116" s="74">
        <f>IF('Settings'!$E$18="C/LW/RW",VLOOKUP(B116,'C'!A1:F206,6,FALSE),VLOOKUP(B116,'F'!A1:F392,6,FALSE))</f>
        <v>-29.131651650475</v>
      </c>
      <c r="L116" s="76">
        <f>_xlfn.IFERROR(K116/H116,"N/A")</f>
        <v>-4.31580024451481</v>
      </c>
      <c r="M116" s="77">
        <f>IF('Settings'!$E$9="YAHOO",VLOOKUP(B116,'ADP'!A1:E665,2,FALSE),IF('Settings'!$E$9="ESPN",VLOOKUP(B116,'ADP'!A1:E665,3,FALSE),IF('Settings'!$E$9="FANTRAX",VLOOKUP(B116,'ADP'!A1:E665,4,FALSE),VLOOKUP(B116,'ADP'!A1:E665,5,FALSE))))</f>
        <v>0</v>
      </c>
      <c r="N116" s="77">
        <f>_xlfn.IFERROR(M116-A116,"N/A")</f>
        <v>-130</v>
      </c>
      <c r="O116" s="77"/>
      <c r="P116" t="s" s="78">
        <f>IF('Settings'!$E$27="ON",VLOOKUP(B116,'ADP'!A1:H665,8,FALSE)," ")</f>
        <v>138</v>
      </c>
      <c r="Q116" s="79">
        <f>IF('Settings'!$E$12="YES",VLOOKUP(B116,'Player Data'!A1:E667,5,FALSE),82)</f>
        <v>76.64749999999999</v>
      </c>
      <c r="R116" s="77">
        <f>VLOOKUP(B116,'Player Data'!$A1:$AE667,6,FALSE)</f>
        <v>19.6578705778367</v>
      </c>
      <c r="S116" s="79">
        <f>VLOOKUP(B116,'Player Data'!$A1:$AE667,7,FALSE)*$Q116*_xlfn.IFERROR((VLOOKUP(P116,'Settings'!$E$28:$F$33,2,FALSE)+1),1)</f>
        <v>24.2005799480364</v>
      </c>
      <c r="T116" s="79">
        <f>VLOOKUP(B116,'Player Data'!$A1:$AE667,8,FALSE)*$Q116*_xlfn.IFERROR((VLOOKUP(P116,'Settings'!$E$28:$F$33,2,FALSE)+1),1)</f>
        <v>35.0243188978659</v>
      </c>
      <c r="U116" s="79">
        <f>SUM(S116:T116)</f>
        <v>59.2248988459023</v>
      </c>
      <c r="V116" s="79">
        <f>VLOOKUP(B116,'Player Data'!$A1:$AE667,10,FALSE)*$Q116*_xlfn.IFERROR(((VLOOKUP(P116,'Settings'!$E$28:$F$33,2,FALSE)/2)+1),1)</f>
        <v>180.680521418942</v>
      </c>
      <c r="W116" s="79">
        <f>VLOOKUP(B116,'Player Data'!$A1:$AE667,11,FALSE)*$Q116*_xlfn.IFERROR((VLOOKUP(P116,'Settings'!$E$28:$F$33,2,FALSE)+1),1)</f>
        <v>8.54065187522613</v>
      </c>
      <c r="X116" s="80">
        <f>VLOOKUP(B116,'Player Data'!$A1:$AE667,12,FALSE)*$Q116*_xlfn.IFERROR((VLOOKUP(P116,'Settings'!$E$28:$F$33,2,FALSE)+1),1)</f>
        <v>22.0372010262264</v>
      </c>
      <c r="Y116" s="79">
        <f>VLOOKUP(B116,'Player Data'!$A1:$AE667,13,FALSE)*$Q116</f>
        <v>0.72765885483753</v>
      </c>
      <c r="Z116" s="79">
        <f>VLOOKUP(B116,'Player Data'!$A1:$AE667,14,FALSE)*$Q116</f>
        <v>1.04346814132324</v>
      </c>
      <c r="AA116" s="79">
        <f>VLOOKUP(B116,'Player Data'!$A1:$AE667,15,FALSE)*$Q116</f>
        <v>57.6407273023285</v>
      </c>
      <c r="AB116" s="79">
        <f>VLOOKUP(B116,'Player Data'!$A1:$AE667,16,FALSE)*$Q116</f>
        <v>81.56145082486969</v>
      </c>
      <c r="AC116" s="79">
        <f>VLOOKUP(B116,'Player Data'!$A1:$AE667,17,FALSE)*$Q116*_xlfn.IFERROR((VLOOKUP(P116,'Settings'!$E$28:$F$33,2,FALSE)+1),1)</f>
        <v>0.172685532274695</v>
      </c>
      <c r="AD116" s="79">
        <f>VLOOKUP(B116,'Player Data'!$A1:$AE667,18,FALSE)*$Q116</f>
        <v>30.5376332103131</v>
      </c>
      <c r="AE116" s="79">
        <f>VLOOKUP(B116,'Player Data'!$A1:$AE667,19,FALSE)*$Q116*_xlfn.IFERROR((VLOOKUP(P116,'Settings'!$E$28:$F$33,2,FALSE)+1),1)</f>
        <v>3.68093940367596</v>
      </c>
      <c r="AF116" s="79">
        <f>VLOOKUP(B116,'Player Data'!$A1:$AE667,20,FALSE)*$Q116</f>
        <v>746.767986854735</v>
      </c>
      <c r="AG116" s="79">
        <f>VLOOKUP(B116,'Player Data'!$A1:$AE667,21,FALSE)*$Q116</f>
        <v>610.243601408572</v>
      </c>
      <c r="AH116" s="81">
        <f>VLOOKUP(B116,'Player Data'!$A1:$AE667,22,FALSE)</f>
        <v>0.550303323356614</v>
      </c>
      <c r="AI116" s="77"/>
      <c r="AJ116" s="89"/>
      <c r="AK116" s="79"/>
      <c r="AL116" s="79"/>
      <c r="AM116" s="79"/>
      <c r="AN116" s="79"/>
      <c r="AO116" s="79"/>
      <c r="AP116" s="79"/>
      <c r="AQ116" s="82"/>
      <c r="AR116" s="83"/>
      <c r="AS116" s="84"/>
    </row>
    <row r="117" ht="21.25" customHeight="1">
      <c r="A117" s="85">
        <f>RANK(K117,K$1:K$665)</f>
        <v>116</v>
      </c>
      <c r="B117" t="s" s="16">
        <v>298</v>
      </c>
      <c r="C117" t="s" s="69">
        <v>127</v>
      </c>
      <c r="D117" t="s" s="70">
        <f>VLOOKUP(B117,'Player Data'!A1:D667,4,FALSE)</f>
        <v>140</v>
      </c>
      <c r="E117" s="90">
        <f>VLOOKUP(B117,'RW'!A1:F136,3,FALSE)</f>
        <v>28</v>
      </c>
      <c r="F117" t="s" s="100">
        <f>VLOOKUP(B117,'Player Data'!A1:B667,2,FALSE)</f>
        <v>172</v>
      </c>
      <c r="G117" s="91">
        <f>VLOOKUP(B117,'Player Data'!A1:D667,3,FALSE)</f>
        <v>32</v>
      </c>
      <c r="H117" s="73">
        <f>_xlfn.IFERROR(VLOOKUP(B117,'ADP'!A1:G665,7,FALSE)/1000000,VLOOKUP(B117,'ADP'!A1:G665,7,FALSE))</f>
        <v>5.125</v>
      </c>
      <c r="I117" s="74">
        <f>IF('Settings'!$E$15="POINTS",((R117*Q117)*'Settings'!$B$12)+(S117*'Settings'!$B$2)+(T117*'Settings'!$B$3)+(U117*'Settings'!$B$4)+(V117*'Settings'!$B$5)+(X117*'Settings'!$B$9)+(AA117*'Settings'!$B$6)+(W117*'Settings'!$B$8)+(AB117*'Settings'!$B$7)+(AC117*'Settings'!$B$14)+(AD117*'Settings'!$B$15)+(AE117*'Settings'!$B$16)+(AF117*'Settings'!$B$17)+(AG117*'Settings'!$B$18)+(Y117*'Settings'!$B$10)+(Z117*'Settings'!$B$11),VLOOKUP(B117,'Standard Deviations'!A1:C666,3,FALSE))</f>
        <v>305.569612734609</v>
      </c>
      <c r="J117" s="75">
        <f>IF(D117="G",I117/AJ117,I117/Q117)</f>
        <v>4.01312818379498</v>
      </c>
      <c r="K117" s="74">
        <f>IF('Settings'!$E$18="C/LW/RW",VLOOKUP(B117,'RW'!A1:F136,6,FALSE),VLOOKUP(B117,'F'!A1:F392,6,FALSE))</f>
        <v>-24.122281346569</v>
      </c>
      <c r="L117" s="76">
        <f>_xlfn.IFERROR(K117/H117,"N/A")</f>
        <v>-4.70678660420859</v>
      </c>
      <c r="M117" s="77">
        <f>IF('Settings'!$E$9="YAHOO",VLOOKUP(B117,'ADP'!A1:E665,2,FALSE),IF('Settings'!$E$9="ESPN",VLOOKUP(B117,'ADP'!A1:E665,3,FALSE),IF('Settings'!$E$9="FANTRAX",VLOOKUP(B117,'ADP'!A1:E665,4,FALSE),VLOOKUP(B117,'ADP'!A1:E665,5,FALSE))))</f>
        <v>0</v>
      </c>
      <c r="N117" s="77">
        <f>_xlfn.IFERROR(M117-A117,"N/A")</f>
        <v>-116</v>
      </c>
      <c r="O117" s="77"/>
      <c r="P117" t="s" s="78">
        <f>IF('Settings'!$E$27="ON",VLOOKUP(B117,'ADP'!A1:H665,8,FALSE)," ")</f>
        <v>138</v>
      </c>
      <c r="Q117" s="79">
        <f>IF('Settings'!$E$12="YES",VLOOKUP(B117,'Player Data'!A1:E667,5,FALSE),82)</f>
        <v>76.1425</v>
      </c>
      <c r="R117" s="77">
        <f>VLOOKUP(B117,'Player Data'!$A1:$AE667,6,FALSE)</f>
        <v>20.527099367516</v>
      </c>
      <c r="S117" s="79">
        <f>VLOOKUP(B117,'Player Data'!$A1:$AE667,7,FALSE)*$Q117*_xlfn.IFERROR((VLOOKUP(P117,'Settings'!$E$28:$F$33,2,FALSE)+1),1)</f>
        <v>27.0497992323425</v>
      </c>
      <c r="T117" s="79">
        <f>VLOOKUP(B117,'Player Data'!$A1:$AE667,8,FALSE)*$Q117*_xlfn.IFERROR((VLOOKUP(P117,'Settings'!$E$28:$F$33,2,FALSE)+1),1)</f>
        <v>33.0714826562129</v>
      </c>
      <c r="U117" s="79">
        <f>SUM(S117:T117)</f>
        <v>60.1212818885554</v>
      </c>
      <c r="V117" s="79">
        <f>VLOOKUP(B117,'Player Data'!$A1:$AE667,10,FALSE)*$Q117*_xlfn.IFERROR(((VLOOKUP(P117,'Settings'!$E$28:$F$33,2,FALSE)/2)+1),1)</f>
        <v>243.182685818730</v>
      </c>
      <c r="W117" s="79">
        <f>VLOOKUP(B117,'Player Data'!$A1:$AE667,11,FALSE)*$Q117*_xlfn.IFERROR((VLOOKUP(P117,'Settings'!$E$28:$F$33,2,FALSE)+1),1)</f>
        <v>5.39977377760741</v>
      </c>
      <c r="X117" s="80">
        <f>VLOOKUP(B117,'Player Data'!$A1:$AE667,12,FALSE)*$Q117*_xlfn.IFERROR((VLOOKUP(P117,'Settings'!$E$28:$F$33,2,FALSE)+1),1)</f>
        <v>16.310998956359</v>
      </c>
      <c r="Y117" s="79">
        <f>VLOOKUP(B117,'Player Data'!$A1:$AE667,13,FALSE)*$Q117</f>
        <v>0.147758753262077</v>
      </c>
      <c r="Z117" s="79">
        <f>VLOOKUP(B117,'Player Data'!$A1:$AE667,14,FALSE)*$Q117</f>
        <v>0.582883565177257</v>
      </c>
      <c r="AA117" s="79">
        <f>VLOOKUP(B117,'Player Data'!$A1:$AE667,15,FALSE)*$Q117</f>
        <v>57.201061618709</v>
      </c>
      <c r="AB117" s="79">
        <f>VLOOKUP(B117,'Player Data'!$A1:$AE667,16,FALSE)*$Q117</f>
        <v>73.2679759972162</v>
      </c>
      <c r="AC117" s="79">
        <f>VLOOKUP(B117,'Player Data'!$A1:$AE667,17,FALSE)*$Q117*_xlfn.IFERROR((VLOOKUP(P117,'Settings'!$E$28:$F$33,2,FALSE)+1),1)</f>
        <v>2.51177993430558</v>
      </c>
      <c r="AD117" s="79">
        <f>VLOOKUP(B117,'Player Data'!$A1:$AE667,18,FALSE)*$Q117</f>
        <v>29.627018682027</v>
      </c>
      <c r="AE117" s="79">
        <f>VLOOKUP(B117,'Player Data'!$A1:$AE667,19,FALSE)*$Q117*_xlfn.IFERROR((VLOOKUP(P117,'Settings'!$E$28:$F$33,2,FALSE)+1),1)</f>
        <v>4.00994074239505</v>
      </c>
      <c r="AF117" s="79">
        <f>VLOOKUP(B117,'Player Data'!$A1:$AE667,20,FALSE)*$Q117</f>
        <v>3.33691075267628</v>
      </c>
      <c r="AG117" s="79">
        <f>VLOOKUP(B117,'Player Data'!$A1:$AE667,21,FALSE)*$Q117</f>
        <v>6.78365381311632</v>
      </c>
      <c r="AH117" s="81">
        <f>VLOOKUP(B117,'Player Data'!$A1:$AE667,22,FALSE)</f>
        <v>0.329715870195128</v>
      </c>
      <c r="AI117" s="77"/>
      <c r="AJ117" s="79"/>
      <c r="AK117" s="79"/>
      <c r="AL117" s="79"/>
      <c r="AM117" s="79"/>
      <c r="AN117" s="79"/>
      <c r="AO117" s="79"/>
      <c r="AP117" s="79"/>
      <c r="AQ117" s="82"/>
      <c r="AR117" s="83"/>
      <c r="AS117" s="93"/>
    </row>
    <row r="118" ht="21.25" customHeight="1">
      <c r="A118" s="85">
        <f>RANK(K118,K$1:K$665)</f>
        <v>135</v>
      </c>
      <c r="B118" t="s" s="16">
        <v>299</v>
      </c>
      <c r="C118" t="s" s="69">
        <v>127</v>
      </c>
      <c r="D118" t="s" s="70">
        <f>VLOOKUP(B118,'Player Data'!A1:D667,4,FALSE)</f>
        <v>128</v>
      </c>
      <c r="E118" s="71">
        <f>VLOOKUP(B118,'C'!A1:C206,3,FALSE)</f>
        <v>45</v>
      </c>
      <c r="F118" t="s" s="103">
        <f>VLOOKUP(B118,'Player Data'!A1:B667,2,FALSE)</f>
        <v>225</v>
      </c>
      <c r="G118" s="91">
        <f>VLOOKUP(B118,'Player Data'!A1:D667,3,FALSE)</f>
        <v>37</v>
      </c>
      <c r="H118" s="73">
        <f>_xlfn.IFERROR(VLOOKUP(B118,'ADP'!A1:G665,7,FALSE)/1000000,VLOOKUP(B118,'ADP'!A1:G665,7,FALSE))</f>
        <v>7</v>
      </c>
      <c r="I118" s="74">
        <f>IF('Settings'!$E$15="POINTS",((R118*Q118)*'Settings'!$B$12)+(S118*'Settings'!$B$2)+(T118*'Settings'!$B$3)+(U118*'Settings'!$B$4)+(V118*'Settings'!$B$5)+(X118*'Settings'!$B$9)+(AA118*'Settings'!$B$6)+(W118*'Settings'!$B$8)+(AB118*'Settings'!$B$7)+(AC118*'Settings'!$B$14)+(AD118*'Settings'!$B$15)+(AE118*'Settings'!$B$16)+(AF118*'Settings'!$B$17)+(AG118*'Settings'!$B$18)+(Y118*'Settings'!$B$10)+(Z118*'Settings'!$B$11),VLOOKUP(B118,'Standard Deviations'!A1:C666,3,FALSE))</f>
        <v>300.254605669244</v>
      </c>
      <c r="J118" s="75">
        <f>IF(D118="G",I118/AJ118,I118/Q118)</f>
        <v>3.67272689727218</v>
      </c>
      <c r="K118" s="74">
        <f>IF('Settings'!$E$18="C/LW/RW",VLOOKUP(B118,'C'!A1:F206,6,FALSE),VLOOKUP(B118,'F'!A1:F392,6,FALSE))</f>
        <v>-29.437288411934</v>
      </c>
      <c r="L118" s="76">
        <f>_xlfn.IFERROR(K118/H118,"N/A")</f>
        <v>-4.20532691599057</v>
      </c>
      <c r="M118" s="77">
        <f>IF('Settings'!$E$9="YAHOO",VLOOKUP(B118,'ADP'!A1:E665,2,FALSE),IF('Settings'!$E$9="ESPN",VLOOKUP(B118,'ADP'!A1:E665,3,FALSE),IF('Settings'!$E$9="FANTRAX",VLOOKUP(B118,'ADP'!A1:E665,4,FALSE),VLOOKUP(B118,'ADP'!A1:E665,5,FALSE))))</f>
        <v>0</v>
      </c>
      <c r="N118" s="77">
        <f>_xlfn.IFERROR(M118-A118,"N/A")</f>
        <v>-135</v>
      </c>
      <c r="O118" s="77"/>
      <c r="P118" t="s" s="78">
        <f>IF('Settings'!$E$27="ON",VLOOKUP(B118,'ADP'!A1:H665,8,FALSE)," ")</f>
        <v>138</v>
      </c>
      <c r="Q118" s="79">
        <f>IF('Settings'!$E$12="YES",VLOOKUP(B118,'Player Data'!A1:E667,5,FALSE),82)</f>
        <v>81.7525</v>
      </c>
      <c r="R118" s="77">
        <f>VLOOKUP(B118,'Player Data'!$A1:$AE667,6,FALSE)</f>
        <v>19.7039148154219</v>
      </c>
      <c r="S118" s="79">
        <f>VLOOKUP(B118,'Player Data'!$A1:$AE667,7,FALSE)*$Q118*_xlfn.IFERROR((VLOOKUP(P118,'Settings'!$E$28:$F$33,2,FALSE)+1),1)</f>
        <v>23.1221022504405</v>
      </c>
      <c r="T118" s="79">
        <f>VLOOKUP(B118,'Player Data'!$A1:$AE667,8,FALSE)*$Q118*_xlfn.IFERROR((VLOOKUP(P118,'Settings'!$E$28:$F$33,2,FALSE)+1),1)</f>
        <v>41.6220933388639</v>
      </c>
      <c r="U118" s="79">
        <f>SUM(S118:T118)</f>
        <v>64.7441955893044</v>
      </c>
      <c r="V118" s="79">
        <f>VLOOKUP(B118,'Player Data'!$A1:$AE667,10,FALSE)*$Q118*_xlfn.IFERROR(((VLOOKUP(P118,'Settings'!$E$28:$F$33,2,FALSE)/2)+1),1)</f>
        <v>154.772112849724</v>
      </c>
      <c r="W118" s="79">
        <f>VLOOKUP(B118,'Player Data'!$A1:$AE667,11,FALSE)*$Q118*_xlfn.IFERROR((VLOOKUP(P118,'Settings'!$E$28:$F$33,2,FALSE)+1),1)</f>
        <v>6.57425659706165</v>
      </c>
      <c r="X118" s="80">
        <f>VLOOKUP(B118,'Player Data'!$A1:$AE667,12,FALSE)*$Q118*_xlfn.IFERROR((VLOOKUP(P118,'Settings'!$E$28:$F$33,2,FALSE)+1),1)</f>
        <v>19.3922831486242</v>
      </c>
      <c r="Y118" s="79">
        <f>VLOOKUP(B118,'Player Data'!$A1:$AE667,13,FALSE)*$Q118</f>
        <v>0.555394192434672</v>
      </c>
      <c r="Z118" s="79">
        <f>VLOOKUP(B118,'Player Data'!$A1:$AE667,14,FALSE)*$Q118</f>
        <v>1.99441361420105</v>
      </c>
      <c r="AA118" s="79">
        <f>VLOOKUP(B118,'Player Data'!$A1:$AE667,15,FALSE)*$Q118</f>
        <v>68.5357123901437</v>
      </c>
      <c r="AB118" s="79">
        <f>VLOOKUP(B118,'Player Data'!$A1:$AE667,16,FALSE)*$Q118</f>
        <v>49.6151353602956</v>
      </c>
      <c r="AC118" s="79">
        <f>VLOOKUP(B118,'Player Data'!$A1:$AE667,17,FALSE)*$Q118*_xlfn.IFERROR((VLOOKUP(P118,'Settings'!$E$28:$F$33,2,FALSE)+1),1)</f>
        <v>3.23816940358009</v>
      </c>
      <c r="AD118" s="79">
        <f>VLOOKUP(B118,'Player Data'!$A1:$AE667,18,FALSE)*$Q118</f>
        <v>14.8864592642214</v>
      </c>
      <c r="AE118" s="79">
        <f>VLOOKUP(B118,'Player Data'!$A1:$AE667,19,FALSE)*$Q118*_xlfn.IFERROR((VLOOKUP(P118,'Settings'!$E$28:$F$33,2,FALSE)+1),1)</f>
        <v>4.12062846427362</v>
      </c>
      <c r="AF118" s="79">
        <f>VLOOKUP(B118,'Player Data'!$A1:$AE667,20,FALSE)*$Q118</f>
        <v>867.496113365875</v>
      </c>
      <c r="AG118" s="79">
        <f>VLOOKUP(B118,'Player Data'!$A1:$AE667,21,FALSE)*$Q118</f>
        <v>687.317419245274</v>
      </c>
      <c r="AH118" s="81">
        <f>VLOOKUP(B118,'Player Data'!$A1:$AE667,22,FALSE)</f>
        <v>0.55794221954642</v>
      </c>
      <c r="AI118" s="77"/>
      <c r="AJ118" s="79"/>
      <c r="AK118" s="79"/>
      <c r="AL118" s="79"/>
      <c r="AM118" s="79"/>
      <c r="AN118" s="79"/>
      <c r="AO118" s="79"/>
      <c r="AP118" s="79"/>
      <c r="AQ118" s="82"/>
      <c r="AR118" s="83"/>
      <c r="AS118" s="84"/>
    </row>
    <row r="119" ht="21.25" customHeight="1">
      <c r="A119" s="85">
        <f>RANK(K119,K$1:K$665)</f>
        <v>105</v>
      </c>
      <c r="B119" t="s" s="16">
        <v>300</v>
      </c>
      <c r="C119" t="s" s="69">
        <v>127</v>
      </c>
      <c r="D119" t="s" s="70">
        <f>VLOOKUP(B119,'Player Data'!A1:D667,4,FALSE)</f>
        <v>153</v>
      </c>
      <c r="E119" s="95">
        <f>VLOOKUP(B119,'D'!A1:C213,3,FALSE)</f>
        <v>23</v>
      </c>
      <c r="F119" t="s" s="86">
        <f>VLOOKUP(B119,'Player Data'!A1:B667,2,FALSE)</f>
        <v>129</v>
      </c>
      <c r="G119" s="11">
        <f>VLOOKUP(B119,'Player Data'!A1:D667,3,FALSE)</f>
        <v>29</v>
      </c>
      <c r="H119" s="73">
        <f>_xlfn.IFERROR(VLOOKUP(B119,'ADP'!A1:G665,7,FALSE)/1000000,VLOOKUP(B119,'ADP'!A1:G665,7,FALSE))</f>
        <v>9.25</v>
      </c>
      <c r="I119" s="74">
        <f>IF('Settings'!$E$15="POINTS",((R119*Q119)*'Settings'!$B$12)+(S119*'Settings'!$B$2)+(T119*'Settings'!$B$3)+(U119*'Settings'!$B$4)+(V119*'Settings'!$B$5)+(X119*'Settings'!$B$9)+(AA119*'Settings'!$B$6)+(W119*'Settings'!$B$8)+(AB119*'Settings'!$B$7)+(AC119*'Settings'!$B$14)+(AD119*'Settings'!$B$15)+(AE119*'Settings'!$B$16)+(AF119*'Settings'!$B$17)+(AG119*'Settings'!$B$18)+(U119*'Settings'!$B$13)+(Y119*'Settings'!$B$10)+(Z119*'Settings'!$B$11),VLOOKUP(B119,'Standard Deviations'!A1:C666,3,FALSE))</f>
        <v>311.412676130686</v>
      </c>
      <c r="J119" s="75">
        <f>IF(D119="G",I119/AJ119,I119/Q119)</f>
        <v>3.85638433646867</v>
      </c>
      <c r="K119" s="74">
        <f>VLOOKUP(B119,'D'!A1:F213,6,FALSE)</f>
        <v>-20.127531789396</v>
      </c>
      <c r="L119" s="76">
        <f>_xlfn.IFERROR(K119/H119,"N/A")</f>
        <v>-2.17594938263741</v>
      </c>
      <c r="M119" s="77">
        <f>IF('Settings'!$E$9="YAHOO",VLOOKUP(B119,'ADP'!A1:E665,2,FALSE),IF('Settings'!$E$9="ESPN",VLOOKUP(B119,'ADP'!A1:E665,3,FALSE),IF('Settings'!$E$9="FANTRAX",VLOOKUP(B119,'ADP'!A1:E665,4,FALSE),VLOOKUP(B119,'ADP'!A1:E665,5,FALSE))))</f>
        <v>0</v>
      </c>
      <c r="N119" s="77">
        <f>_xlfn.IFERROR(M119-A119,"N/A")</f>
        <v>-105</v>
      </c>
      <c r="O119" s="77"/>
      <c r="P119" t="s" s="78">
        <f>IF('Settings'!$E$27="ON",VLOOKUP(B119,'ADP'!A1:H665,8,FALSE)," ")</f>
        <v>138</v>
      </c>
      <c r="Q119" s="79">
        <f>IF('Settings'!$E$12="YES",VLOOKUP(B119,'Player Data'!A1:E667,5,FALSE),82)</f>
        <v>80.7525</v>
      </c>
      <c r="R119" s="108">
        <f>VLOOKUP(B119,'Player Data'!$A1:$AE667,6,FALSE)</f>
        <v>20.6573875240551</v>
      </c>
      <c r="S119" s="79">
        <f>VLOOKUP(B119,'Player Data'!$A1:$AE667,7,FALSE)*$Q119*_xlfn.IFERROR((VLOOKUP(P119,'Settings'!$E$28:$F$33,2,FALSE)+1),1)</f>
        <v>8.73212811151474</v>
      </c>
      <c r="T119" s="79">
        <f>VLOOKUP(B119,'Player Data'!$A1:$AE667,8,FALSE)*$Q119*_xlfn.IFERROR((VLOOKUP(P119,'Settings'!$E$28:$F$33,2,FALSE)+1),1)</f>
        <v>23.4955574564023</v>
      </c>
      <c r="U119" s="79">
        <f>SUM(S119:T119)</f>
        <v>32.227685567917</v>
      </c>
      <c r="V119" s="79">
        <f>VLOOKUP(B119,'Player Data'!$A1:$AE667,10,FALSE)*$Q119*_xlfn.IFERROR(((VLOOKUP(P119,'Settings'!$E$28:$F$33,2,FALSE)/2)+1),1)</f>
        <v>167.481967563670</v>
      </c>
      <c r="W119" s="79">
        <f>VLOOKUP(B119,'Player Data'!$A1:$AE667,11,FALSE)*$Q119*_xlfn.IFERROR((VLOOKUP(P119,'Settings'!$E$28:$F$33,2,FALSE)+1),1)</f>
        <v>0.43583849945583</v>
      </c>
      <c r="X119" s="79">
        <f>VLOOKUP(B119,'Player Data'!$A1:$AE667,12,FALSE)*$Q119*_xlfn.IFERROR((VLOOKUP(P119,'Settings'!$E$28:$F$33,2,FALSE)+1),1)</f>
        <v>3.36944663455626</v>
      </c>
      <c r="Y119" s="79">
        <f>VLOOKUP(B119,'Player Data'!$A1:$AE667,13,FALSE)*$Q119</f>
        <v>1.11696582522075</v>
      </c>
      <c r="Z119" s="79">
        <f>VLOOKUP(B119,'Player Data'!$A1:$AE667,14,FALSE)*$Q119</f>
        <v>1.34673922999815</v>
      </c>
      <c r="AA119" s="79">
        <f>VLOOKUP(B119,'Player Data'!$A1:$AE667,15,FALSE)*$Q119</f>
        <v>150.416305039399</v>
      </c>
      <c r="AB119" s="79">
        <f>VLOOKUP(B119,'Player Data'!$A1:$AE667,16,FALSE)*$Q119</f>
        <v>144.167849751009</v>
      </c>
      <c r="AC119" s="79">
        <f>VLOOKUP(B119,'Player Data'!$A1:$AE667,17,FALSE)*$Q119*_xlfn.IFERROR((VLOOKUP(P119,'Settings'!$E$28:$F$33,2,FALSE)+1),1)</f>
        <v>6.41643568827035</v>
      </c>
      <c r="AD119" s="79">
        <f>VLOOKUP(B119,'Player Data'!$A1:$AE667,18,FALSE)*$Q119</f>
        <v>52.9049218927101</v>
      </c>
      <c r="AE119" s="79">
        <f>VLOOKUP(B119,'Player Data'!$A1:$AE667,19,FALSE)*$Q119*_xlfn.IFERROR((VLOOKUP(P119,'Settings'!$E$28:$F$33,2,FALSE)+1),1)</f>
        <v>1.41002176220676</v>
      </c>
      <c r="AF119" s="79">
        <f>VLOOKUP(B119,'Player Data'!$A1:$AE667,20,FALSE)*$Q119</f>
        <v>0</v>
      </c>
      <c r="AG119" s="79">
        <f>VLOOKUP(B119,'Player Data'!$A1:$AE667,21,FALSE)*$Q119</f>
        <v>0</v>
      </c>
      <c r="AH119" s="81">
        <f>VLOOKUP(B119,'Player Data'!$A1:$AE667,22,FALSE)</f>
        <v>0</v>
      </c>
      <c r="AI119" s="77"/>
      <c r="AJ119" s="79"/>
      <c r="AK119" s="79"/>
      <c r="AL119" s="79"/>
      <c r="AM119" s="79"/>
      <c r="AN119" s="79"/>
      <c r="AO119" s="79"/>
      <c r="AP119" s="79"/>
      <c r="AQ119" s="82"/>
      <c r="AR119" s="83"/>
      <c r="AS119" s="84"/>
    </row>
    <row r="120" ht="21.25" customHeight="1">
      <c r="A120" s="85">
        <f>RANK(K120,K$1:K$665)</f>
        <v>123</v>
      </c>
      <c r="B120" t="s" s="16">
        <v>301</v>
      </c>
      <c r="C120" t="s" s="69">
        <v>127</v>
      </c>
      <c r="D120" t="s" s="70">
        <f>VLOOKUP(B120,'Player Data'!A1:D667,4,FALSE)</f>
        <v>136</v>
      </c>
      <c r="E120" s="87">
        <f>VLOOKUP(B120,'LW'!A1:C152,3,FALSE)</f>
        <v>32</v>
      </c>
      <c r="F120" t="s" s="107">
        <f>VLOOKUP(B120,'Player Data'!A1:B667,2,FALSE)</f>
        <v>279</v>
      </c>
      <c r="G120" s="91">
        <f>VLOOKUP(B120,'Player Data'!A1:D667,3,FALSE)</f>
        <v>30</v>
      </c>
      <c r="H120" s="94">
        <f>_xlfn.IFERROR(VLOOKUP(B120,'ADP'!A1:G665,7,FALSE)/1000000,VLOOKUP(B120,'ADP'!A1:G665,7,FALSE))</f>
        <v>3.65</v>
      </c>
      <c r="I120" s="74">
        <f>IF('Settings'!$E$15="POINTS",((R120*Q120)*'Settings'!$B$12)+(S120*'Settings'!$B$2)+(T120*'Settings'!$B$3)+(U120*'Settings'!$B$4)+(V120*'Settings'!$B$5)+(X120*'Settings'!$B$9)+(AA120*'Settings'!$B$6)+(W120*'Settings'!$B$8)+(AB120*'Settings'!$B$7)+(AC120*'Settings'!$B$14)+(AD120*'Settings'!$B$15)+(AE120*'Settings'!$B$16)+(AF120*'Settings'!$B$17)+(AG120*'Settings'!$B$18)+(Y120*'Settings'!$B$10)+(Z120*'Settings'!$B$11),VLOOKUP(B120,'Standard Deviations'!A1:C666,3,FALSE))</f>
        <v>304.347272950626</v>
      </c>
      <c r="J120" s="75">
        <f>IF(D120="G",I120/AJ120,I120/Q120)</f>
        <v>3.76702383204661</v>
      </c>
      <c r="K120" s="74">
        <f>IF('Settings'!$E$18="C/LW/RW",VLOOKUP(B120,'LW'!A1:F152,6,FALSE),VLOOKUP(B120,'F'!A1:F392,6,FALSE))</f>
        <v>-27.372838815586</v>
      </c>
      <c r="L120" s="76">
        <f>_xlfn.IFERROR(K120/H120,"N/A")</f>
        <v>-7.4994078946811</v>
      </c>
      <c r="M120" s="77">
        <f>IF('Settings'!$E$9="YAHOO",VLOOKUP(B120,'ADP'!A1:E665,2,FALSE),IF('Settings'!$E$9="ESPN",VLOOKUP(B120,'ADP'!A1:E665,3,FALSE),IF('Settings'!$E$9="FANTRAX",VLOOKUP(B120,'ADP'!A1:E665,4,FALSE),VLOOKUP(B120,'ADP'!A1:E665,5,FALSE))))</f>
        <v>0</v>
      </c>
      <c r="N120" s="77">
        <f>_xlfn.IFERROR(M120-A120,"N/A")</f>
        <v>-123</v>
      </c>
      <c r="O120" s="77"/>
      <c r="P120" t="s" s="78">
        <f>IF('Settings'!$E$27="ON",VLOOKUP(B120,'ADP'!A1:H665,8,FALSE)," ")</f>
        <v>138</v>
      </c>
      <c r="Q120" s="79">
        <f>IF('Settings'!$E$12="YES",VLOOKUP(B120,'Player Data'!A1:E667,5,FALSE),82)</f>
        <v>80.7925</v>
      </c>
      <c r="R120" s="108">
        <f>VLOOKUP(B120,'Player Data'!$A1:$AE667,6,FALSE)</f>
        <v>16.7122561895313</v>
      </c>
      <c r="S120" s="79">
        <f>VLOOKUP(B120,'Player Data'!$A1:$AE667,7,FALSE)*$Q120*_xlfn.IFERROR((VLOOKUP(P120,'Settings'!$E$28:$F$33,2,FALSE)+1),1)</f>
        <v>25.8947791112865</v>
      </c>
      <c r="T120" s="79">
        <f>VLOOKUP(B120,'Player Data'!$A1:$AE667,8,FALSE)*$Q120*_xlfn.IFERROR((VLOOKUP(P120,'Settings'!$E$28:$F$33,2,FALSE)+1),1)</f>
        <v>19.8569392182942</v>
      </c>
      <c r="U120" s="79">
        <f>SUM(S120:T120)</f>
        <v>45.7517183295807</v>
      </c>
      <c r="V120" s="79">
        <f>VLOOKUP(B120,'Player Data'!$A1:$AE667,10,FALSE)*$Q120*_xlfn.IFERROR(((VLOOKUP(P120,'Settings'!$E$28:$F$33,2,FALSE)/2)+1),1)</f>
        <v>225.447817965530</v>
      </c>
      <c r="W120" s="79">
        <f>VLOOKUP(B120,'Player Data'!$A1:$AE667,11,FALSE)*$Q120*_xlfn.IFERROR((VLOOKUP(P120,'Settings'!$E$28:$F$33,2,FALSE)+1),1)</f>
        <v>6.59070313267743</v>
      </c>
      <c r="X120" s="79">
        <f>VLOOKUP(B120,'Player Data'!$A1:$AE667,12,FALSE)*$Q120*_xlfn.IFERROR((VLOOKUP(P120,'Settings'!$E$28:$F$33,2,FALSE)+1),1)</f>
        <v>11.0485575723923</v>
      </c>
      <c r="Y120" s="79">
        <f>VLOOKUP(B120,'Player Data'!$A1:$AE667,13,FALSE)*$Q120</f>
        <v>1.37173380308305</v>
      </c>
      <c r="Z120" s="79">
        <f>VLOOKUP(B120,'Player Data'!$A1:$AE667,14,FALSE)*$Q120</f>
        <v>2.11855628775468</v>
      </c>
      <c r="AA120" s="79">
        <f>VLOOKUP(B120,'Player Data'!$A1:$AE667,15,FALSE)*$Q120</f>
        <v>68.883323642752</v>
      </c>
      <c r="AB120" s="79">
        <f>VLOOKUP(B120,'Player Data'!$A1:$AE667,16,FALSE)*$Q120</f>
        <v>120.363995948742</v>
      </c>
      <c r="AC120" s="79">
        <f>VLOOKUP(B120,'Player Data'!$A1:$AE667,17,FALSE)*$Q120*_xlfn.IFERROR((VLOOKUP(P120,'Settings'!$E$28:$F$33,2,FALSE)+1),1)</f>
        <v>-9.156287923437279</v>
      </c>
      <c r="AD120" s="79">
        <f>VLOOKUP(B120,'Player Data'!$A1:$AE667,18,FALSE)*$Q120</f>
        <v>52.5109823020767</v>
      </c>
      <c r="AE120" s="79">
        <f>VLOOKUP(B120,'Player Data'!$A1:$AE667,19,FALSE)*$Q120*_xlfn.IFERROR((VLOOKUP(P120,'Settings'!$E$28:$F$33,2,FALSE)+1),1)</f>
        <v>3.01828378321444</v>
      </c>
      <c r="AF120" s="79">
        <f>VLOOKUP(B120,'Player Data'!$A1:$AE667,20,FALSE)*$Q120</f>
        <v>9.41837409947963</v>
      </c>
      <c r="AG120" s="79">
        <f>VLOOKUP(B120,'Player Data'!$A1:$AE667,21,FALSE)*$Q120</f>
        <v>14.9556309479385</v>
      </c>
      <c r="AH120" s="81">
        <f>VLOOKUP(B120,'Player Data'!$A1:$AE667,22,FALSE)</f>
        <v>0.386410607577899</v>
      </c>
      <c r="AI120" s="77"/>
      <c r="AJ120" s="89"/>
      <c r="AK120" s="79"/>
      <c r="AL120" s="79"/>
      <c r="AM120" s="79"/>
      <c r="AN120" s="79"/>
      <c r="AO120" s="79"/>
      <c r="AP120" s="79"/>
      <c r="AQ120" s="82"/>
      <c r="AR120" s="83"/>
      <c r="AS120" s="84"/>
    </row>
    <row r="121" ht="21.25" customHeight="1">
      <c r="A121" s="85">
        <f>RANK(K121,K$1:K$665)</f>
        <v>107</v>
      </c>
      <c r="B121" t="s" s="16">
        <v>302</v>
      </c>
      <c r="C121" t="s" s="69">
        <v>127</v>
      </c>
      <c r="D121" t="s" s="70">
        <f>VLOOKUP(B121,'Player Data'!A1:D667,4,FALSE)</f>
        <v>153</v>
      </c>
      <c r="E121" s="95">
        <f>VLOOKUP(B121,'D'!A1:C213,3,FALSE)</f>
        <v>24</v>
      </c>
      <c r="F121" t="s" s="104">
        <f>VLOOKUP(B121,'Player Data'!A1:B667,2,FALSE)</f>
        <v>271</v>
      </c>
      <c r="G121" s="91">
        <f>VLOOKUP(B121,'Player Data'!A1:D667,3,FALSE)</f>
        <v>31</v>
      </c>
      <c r="H121" s="73">
        <f>_xlfn.IFERROR(VLOOKUP(B121,'ADP'!A1:G665,7,FALSE)/1000000,VLOOKUP(B121,'ADP'!A1:G665,7,FALSE))</f>
        <v>6.5</v>
      </c>
      <c r="I121" s="74">
        <f>IF('Settings'!$E$15="POINTS",((R121*Q121)*'Settings'!$B$12)+(S121*'Settings'!$B$2)+(T121*'Settings'!$B$3)+(U121*'Settings'!$B$4)+(V121*'Settings'!$B$5)+(X121*'Settings'!$B$9)+(AA121*'Settings'!$B$6)+(W121*'Settings'!$B$8)+(AB121*'Settings'!$B$7)+(AC121*'Settings'!$B$14)+(AD121*'Settings'!$B$15)+(AE121*'Settings'!$B$16)+(AF121*'Settings'!$B$17)+(AG121*'Settings'!$B$18)+(U121*'Settings'!$B$13)+(Y121*'Settings'!$B$10)+(Z121*'Settings'!$B$11),VLOOKUP(B121,'Standard Deviations'!A1:C666,3,FALSE))</f>
        <v>311.089526767606</v>
      </c>
      <c r="J121" s="75">
        <f>IF(D121="G",I121/AJ121,I121/Q121)</f>
        <v>3.82091720781903</v>
      </c>
      <c r="K121" s="74">
        <f>VLOOKUP(B121,'D'!A1:F213,6,FALSE)</f>
        <v>-20.450681152476</v>
      </c>
      <c r="L121" s="76">
        <f>_xlfn.IFERROR(K121/H121,"N/A")</f>
        <v>-3.14625863884246</v>
      </c>
      <c r="M121" s="109">
        <f>IF('Settings'!$E$9="YAHOO",VLOOKUP(B121,'ADP'!A1:E665,2,FALSE),IF('Settings'!$E$9="ESPN",VLOOKUP(B121,'ADP'!A1:E665,3,FALSE),IF('Settings'!$E$9="FANTRAX",VLOOKUP(B121,'ADP'!A1:E665,4,FALSE),VLOOKUP(B121,'ADP'!A1:E665,5,FALSE))))</f>
        <v>0</v>
      </c>
      <c r="N121" s="79">
        <f>_xlfn.IFERROR(M121-A121,"N/A")</f>
        <v>-107</v>
      </c>
      <c r="O121" s="77"/>
      <c r="P121" t="s" s="78">
        <f>IF('Settings'!$E$27="ON",VLOOKUP(B121,'ADP'!A1:H665,8,FALSE)," ")</f>
        <v>138</v>
      </c>
      <c r="Q121" s="79">
        <f>IF('Settings'!$E$12="YES",VLOOKUP(B121,'Player Data'!A1:E667,5,FALSE),82)</f>
        <v>81.4175</v>
      </c>
      <c r="R121" s="77">
        <f>VLOOKUP(B121,'Player Data'!$A1:$AE667,6,FALSE)</f>
        <v>24.0624375167173</v>
      </c>
      <c r="S121" s="79">
        <f>VLOOKUP(B121,'Player Data'!$A1:$AE667,7,FALSE)*$Q121*_xlfn.IFERROR((VLOOKUP(P121,'Settings'!$E$28:$F$33,2,FALSE)+1),1)</f>
        <v>7.02464931800339</v>
      </c>
      <c r="T121" s="79">
        <f>VLOOKUP(B121,'Player Data'!$A1:$AE667,8,FALSE)*$Q121*_xlfn.IFERROR((VLOOKUP(P121,'Settings'!$E$28:$F$33,2,FALSE)+1),1)</f>
        <v>23.1744255905399</v>
      </c>
      <c r="U121" s="79">
        <f>SUM(S121:T121)</f>
        <v>30.1990749085433</v>
      </c>
      <c r="V121" s="79">
        <f>VLOOKUP(B121,'Player Data'!$A1:$AE667,10,FALSE)*$Q121*_xlfn.IFERROR(((VLOOKUP(P121,'Settings'!$E$28:$F$33,2,FALSE)/2)+1),1)</f>
        <v>148.032000764202</v>
      </c>
      <c r="W121" s="79">
        <f>VLOOKUP(B121,'Player Data'!$A1:$AE667,11,FALSE)*$Q121*_xlfn.IFERROR((VLOOKUP(P121,'Settings'!$E$28:$F$33,2,FALSE)+1),1)</f>
        <v>0.113081944597054</v>
      </c>
      <c r="X121" s="79">
        <f>VLOOKUP(B121,'Player Data'!$A1:$AE667,12,FALSE)*$Q121*_xlfn.IFERROR((VLOOKUP(P121,'Settings'!$E$28:$F$33,2,FALSE)+1),1)</f>
        <v>1.73503447047101</v>
      </c>
      <c r="Y121" s="79">
        <f>VLOOKUP(B121,'Player Data'!$A1:$AE667,13,FALSE)*$Q121</f>
        <v>0.5167890786407759</v>
      </c>
      <c r="Z121" s="79">
        <f>VLOOKUP(B121,'Player Data'!$A1:$AE667,14,FALSE)*$Q121</f>
        <v>1.42071115438642</v>
      </c>
      <c r="AA121" s="79">
        <f>VLOOKUP(B121,'Player Data'!$A1:$AE667,15,FALSE)*$Q121</f>
        <v>192.062571987635</v>
      </c>
      <c r="AB121" s="79">
        <f>VLOOKUP(B121,'Player Data'!$A1:$AE667,16,FALSE)*$Q121</f>
        <v>111.147711048661</v>
      </c>
      <c r="AC121" s="79">
        <f>VLOOKUP(B121,'Player Data'!$A1:$AE667,17,FALSE)*$Q121*_xlfn.IFERROR((VLOOKUP(P121,'Settings'!$E$28:$F$33,2,FALSE)+1),1)</f>
        <v>-6.23591401934472</v>
      </c>
      <c r="AD121" s="79">
        <f>VLOOKUP(B121,'Player Data'!$A1:$AE667,18,FALSE)*$Q121</f>
        <v>28.757600374523</v>
      </c>
      <c r="AE121" s="79">
        <f>VLOOKUP(B121,'Player Data'!$A1:$AE667,19,FALSE)*$Q121*_xlfn.IFERROR((VLOOKUP(P121,'Settings'!$E$28:$F$33,2,FALSE)+1),1)</f>
        <v>0.845726285702882</v>
      </c>
      <c r="AF121" s="79">
        <f>VLOOKUP(B121,'Player Data'!$A1:$AE667,20,FALSE)*$Q121</f>
        <v>0</v>
      </c>
      <c r="AG121" s="79">
        <f>VLOOKUP(B121,'Player Data'!$A1:$AE667,21,FALSE)*$Q121</f>
        <v>0</v>
      </c>
      <c r="AH121" s="81">
        <f>VLOOKUP(B121,'Player Data'!$A1:$AE667,22,FALSE)</f>
        <v>0</v>
      </c>
      <c r="AI121" s="77"/>
      <c r="AJ121" s="79"/>
      <c r="AK121" s="79"/>
      <c r="AL121" s="79"/>
      <c r="AM121" s="79"/>
      <c r="AN121" s="79"/>
      <c r="AO121" s="79"/>
      <c r="AP121" s="79"/>
      <c r="AQ121" s="82"/>
      <c r="AR121" s="83"/>
      <c r="AS121" s="84"/>
    </row>
    <row r="122" ht="21.25" customHeight="1">
      <c r="A122" s="85">
        <f>RANK(K122,K$1:K$665)</f>
        <v>126</v>
      </c>
      <c r="B122" t="s" s="16">
        <v>303</v>
      </c>
      <c r="C122" t="s" s="69">
        <v>127</v>
      </c>
      <c r="D122" t="s" s="70">
        <f>VLOOKUP(B122,'Player Data'!A1:D667,4,FALSE)</f>
        <v>136</v>
      </c>
      <c r="E122" s="87">
        <f>VLOOKUP(B122,'LW'!A1:C152,3,FALSE)</f>
        <v>33</v>
      </c>
      <c r="F122" t="s" s="88">
        <f>VLOOKUP(B122,'Player Data'!A1:B667,2,FALSE)</f>
        <v>304</v>
      </c>
      <c r="G122" s="11">
        <f>VLOOKUP(B122,'Player Data'!A1:D667,3,FALSE)</f>
        <v>28</v>
      </c>
      <c r="H122" s="73">
        <f>_xlfn.IFERROR(VLOOKUP(B122,'ADP'!A1:G665,7,FALSE)/1000000,VLOOKUP(B122,'ADP'!A1:G665,7,FALSE))</f>
        <v>5</v>
      </c>
      <c r="I122" s="74">
        <f>IF('Settings'!$E$15="POINTS",((R122*Q122)*'Settings'!$B$12)+(S122*'Settings'!$B$2)+(T122*'Settings'!$B$3)+(U122*'Settings'!$B$4)+(V122*'Settings'!$B$5)+(X122*'Settings'!$B$9)+(AA122*'Settings'!$B$6)+(W122*'Settings'!$B$8)+(AB122*'Settings'!$B$7)+(AC122*'Settings'!$B$14)+(AD122*'Settings'!$B$15)+(AE122*'Settings'!$B$16)+(AF122*'Settings'!$B$17)+(AG122*'Settings'!$B$18)+(Y122*'Settings'!$B$10)+(Z122*'Settings'!$B$11),VLOOKUP(B122,'Standard Deviations'!A1:C666,3,FALSE))</f>
        <v>303.759524742097</v>
      </c>
      <c r="J122" s="75">
        <f>IF(D122="G",I122/AJ122,I122/Q122)</f>
        <v>3.7751688642796</v>
      </c>
      <c r="K122" s="74">
        <f>IF('Settings'!$E$18="C/LW/RW",VLOOKUP(B122,'LW'!A1:F152,6,FALSE),VLOOKUP(B122,'F'!A1:F392,6,FALSE))</f>
        <v>-27.960587024115</v>
      </c>
      <c r="L122" s="76">
        <f>_xlfn.IFERROR(K122/H122,"N/A")</f>
        <v>-5.592117404823</v>
      </c>
      <c r="M122" s="77">
        <f>IF('Settings'!$E$9="YAHOO",VLOOKUP(B122,'ADP'!A1:E665,2,FALSE),IF('Settings'!$E$9="ESPN",VLOOKUP(B122,'ADP'!A1:E665,3,FALSE),IF('Settings'!$E$9="FANTRAX",VLOOKUP(B122,'ADP'!A1:E665,4,FALSE),VLOOKUP(B122,'ADP'!A1:E665,5,FALSE))))</f>
        <v>0</v>
      </c>
      <c r="N122" s="77">
        <f>_xlfn.IFERROR(M122-A122,"N/A")</f>
        <v>-126</v>
      </c>
      <c r="O122" s="77"/>
      <c r="P122" t="s" s="78">
        <f>IF('Settings'!$E$27="ON",VLOOKUP(B122,'ADP'!A1:H665,8,FALSE)," ")</f>
        <v>138</v>
      </c>
      <c r="Q122" s="79">
        <f>IF('Settings'!$E$12="YES",VLOOKUP(B122,'Player Data'!A1:E667,5,FALSE),82)</f>
        <v>80.46250000000001</v>
      </c>
      <c r="R122" s="98">
        <f>VLOOKUP(B122,'Player Data'!$A1:$AE667,6,FALSE)</f>
        <v>17.8854949870603</v>
      </c>
      <c r="S122" s="79">
        <f>VLOOKUP(B122,'Player Data'!$A1:$AE667,7,FALSE)*$Q122*_xlfn.IFERROR((VLOOKUP(P122,'Settings'!$E$28:$F$33,2,FALSE)+1),1)</f>
        <v>33.849435484251</v>
      </c>
      <c r="T122" s="79">
        <f>VLOOKUP(B122,'Player Data'!$A1:$AE667,8,FALSE)*$Q122*_xlfn.IFERROR((VLOOKUP(P122,'Settings'!$E$28:$F$33,2,FALSE)+1),1)</f>
        <v>33.2999860401976</v>
      </c>
      <c r="U122" s="79">
        <f>SUM(S122:T122)</f>
        <v>67.1494215244486</v>
      </c>
      <c r="V122" s="79">
        <f>VLOOKUP(B122,'Player Data'!$A1:$AE667,10,FALSE)*$Q122*_xlfn.IFERROR(((VLOOKUP(P122,'Settings'!$E$28:$F$33,2,FALSE)/2)+1),1)</f>
        <v>227.812799505340</v>
      </c>
      <c r="W122" s="79">
        <f>VLOOKUP(B122,'Player Data'!$A1:$AE667,11,FALSE)*$Q122*_xlfn.IFERROR((VLOOKUP(P122,'Settings'!$E$28:$F$33,2,FALSE)+1),1)</f>
        <v>7.99649188257244</v>
      </c>
      <c r="X122" s="101">
        <f>VLOOKUP(B122,'Player Data'!$A1:$AE667,12,FALSE)*$Q122*_xlfn.IFERROR((VLOOKUP(P122,'Settings'!$E$28:$F$33,2,FALSE)+1),1)</f>
        <v>20.0637950158275</v>
      </c>
      <c r="Y122" s="79">
        <f>VLOOKUP(B122,'Player Data'!$A1:$AE667,13,FALSE)*$Q122</f>
        <v>2.73488405682231</v>
      </c>
      <c r="Z122" s="79">
        <f>VLOOKUP(B122,'Player Data'!$A1:$AE667,14,FALSE)*$Q122</f>
        <v>2.898926460480</v>
      </c>
      <c r="AA122" s="79">
        <f>VLOOKUP(B122,'Player Data'!$A1:$AE667,15,FALSE)*$Q122</f>
        <v>32.5137680637246</v>
      </c>
      <c r="AB122" s="79">
        <f>VLOOKUP(B122,'Player Data'!$A1:$AE667,16,FALSE)*$Q122</f>
        <v>58.7187812913674</v>
      </c>
      <c r="AC122" s="79">
        <f>VLOOKUP(B122,'Player Data'!$A1:$AE667,17,FALSE)*$Q122*_xlfn.IFERROR((VLOOKUP(P122,'Settings'!$E$28:$F$33,2,FALSE)+1),1)</f>
        <v>0.0346529678487135</v>
      </c>
      <c r="AD122" s="79">
        <f>VLOOKUP(B122,'Player Data'!$A1:$AE667,18,FALSE)*$Q122</f>
        <v>28.6362502142362</v>
      </c>
      <c r="AE122" s="79">
        <f>VLOOKUP(B122,'Player Data'!$A1:$AE667,19,FALSE)*$Q122*_xlfn.IFERROR((VLOOKUP(P122,'Settings'!$E$28:$F$33,2,FALSE)+1),1)</f>
        <v>5.13995793792077</v>
      </c>
      <c r="AF122" s="79">
        <f>VLOOKUP(B122,'Player Data'!$A1:$AE667,20,FALSE)*$Q122</f>
        <v>139.615056538125</v>
      </c>
      <c r="AG122" s="79">
        <f>VLOOKUP(B122,'Player Data'!$A1:$AE667,21,FALSE)*$Q122</f>
        <v>190.051260162828</v>
      </c>
      <c r="AH122" s="81">
        <f>VLOOKUP(B122,'Player Data'!$A1:$AE667,22,FALSE)</f>
        <v>0.423504160010297</v>
      </c>
      <c r="AI122" s="77"/>
      <c r="AJ122" s="79"/>
      <c r="AK122" s="79"/>
      <c r="AL122" s="79"/>
      <c r="AM122" s="79"/>
      <c r="AN122" s="79"/>
      <c r="AO122" s="79"/>
      <c r="AP122" s="79"/>
      <c r="AQ122" s="82"/>
      <c r="AR122" s="83"/>
      <c r="AS122" s="84"/>
    </row>
    <row r="123" ht="21.25" customHeight="1">
      <c r="A123" s="85">
        <f>RANK(K123,K$1:K$665)</f>
        <v>132</v>
      </c>
      <c r="B123" t="s" s="16">
        <v>305</v>
      </c>
      <c r="C123" t="s" s="69">
        <v>127</v>
      </c>
      <c r="D123" t="s" s="70">
        <f>VLOOKUP(B123,'Player Data'!A1:D667,4,FALSE)</f>
        <v>178</v>
      </c>
      <c r="E123" s="102">
        <f>VLOOKUP(B123,'LW'!A1:C152,3,FALSE)</f>
        <v>34</v>
      </c>
      <c r="F123" t="s" s="78">
        <f>VLOOKUP(B123,'Player Data'!A1:B667,2,FALSE)</f>
        <v>204</v>
      </c>
      <c r="G123" s="91">
        <f>VLOOKUP(B123,'Player Data'!A1:D667,3,FALSE)</f>
        <v>35</v>
      </c>
      <c r="H123" s="94">
        <f>_xlfn.IFERROR(VLOOKUP(B123,'ADP'!A1:G665,7,FALSE)/1000000,VLOOKUP(B123,'ADP'!A1:G665,7,FALSE))</f>
        <v>9.5</v>
      </c>
      <c r="I123" s="74">
        <f>IF('Settings'!$E$15="POINTS",((R123*Q123)*'Settings'!$B$12)+(S123*'Settings'!$B$2)+(T123*'Settings'!$B$3)+(U123*'Settings'!$B$4)+(V123*'Settings'!$B$5)+(X123*'Settings'!$B$9)+(AA123*'Settings'!$B$6)+(W123*'Settings'!$B$8)+(AB123*'Settings'!$B$7)+(AC123*'Settings'!$B$14)+(AD123*'Settings'!$B$15)+(AE123*'Settings'!$B$16)+(AF123*'Settings'!$B$17)+(AG123*'Settings'!$B$18)+(Y123*'Settings'!$B$10)+(Z123*'Settings'!$B$11),VLOOKUP(B123,'Standard Deviations'!A1:C666,3,FALSE))</f>
        <v>302.497231583934</v>
      </c>
      <c r="J123" s="75">
        <f>IF(D123="G",I123/AJ123,I123/Q123)</f>
        <v>3.68764149194117</v>
      </c>
      <c r="K123" s="74">
        <f>IF('Settings'!$E$18="C/LW/RW",VLOOKUP(B123,'LW'!A1:F152,6,FALSE),VLOOKUP(B123,'F'!A1:F392,6,FALSE))</f>
        <v>-29.222880182278</v>
      </c>
      <c r="L123" s="76">
        <f>_xlfn.IFERROR(K123/H123,"N/A")</f>
        <v>-3.07609265076611</v>
      </c>
      <c r="M123" s="77">
        <f>IF('Settings'!$E$9="YAHOO",VLOOKUP(B123,'ADP'!A1:E665,2,FALSE),IF('Settings'!$E$9="ESPN",VLOOKUP(B123,'ADP'!A1:E665,3,FALSE),IF('Settings'!$E$9="FANTRAX",VLOOKUP(B123,'ADP'!A1:E665,4,FALSE),VLOOKUP(B123,'ADP'!A1:E665,5,FALSE))))</f>
        <v>0</v>
      </c>
      <c r="N123" s="77">
        <f>_xlfn.IFERROR(M123-A123,"N/A")</f>
        <v>-132</v>
      </c>
      <c r="O123" s="77"/>
      <c r="P123" t="s" s="78">
        <f>IF('Settings'!$E$27="ON",VLOOKUP(B123,'ADP'!A1:H665,8,FALSE)," ")</f>
        <v>138</v>
      </c>
      <c r="Q123" s="79">
        <f>IF('Settings'!$E$12="YES",VLOOKUP(B123,'Player Data'!A1:E667,5,FALSE),82)</f>
        <v>82.03</v>
      </c>
      <c r="R123" s="77">
        <f>VLOOKUP(B123,'Player Data'!$A1:$AE667,6,FALSE)</f>
        <v>15.7138775244771</v>
      </c>
      <c r="S123" s="79">
        <f>VLOOKUP(B123,'Player Data'!$A1:$AE667,7,FALSE)*$Q123*_xlfn.IFERROR((VLOOKUP(P123,'Settings'!$E$28:$F$33,2,FALSE)+1),1)</f>
        <v>21.5169338500349</v>
      </c>
      <c r="T123" s="79">
        <f>VLOOKUP(B123,'Player Data'!$A1:$AE667,8,FALSE)*$Q123*_xlfn.IFERROR((VLOOKUP(P123,'Settings'!$E$28:$F$33,2,FALSE)+1),1)</f>
        <v>35.5446460475316</v>
      </c>
      <c r="U123" s="79">
        <f>SUM(S123:T123)</f>
        <v>57.0615798975665</v>
      </c>
      <c r="V123" s="79">
        <f>VLOOKUP(B123,'Player Data'!$A1:$AE667,10,FALSE)*$Q123*_xlfn.IFERROR(((VLOOKUP(P123,'Settings'!$E$28:$F$33,2,FALSE)/2)+1),1)</f>
        <v>170.389313164862</v>
      </c>
      <c r="W123" s="79">
        <f>VLOOKUP(B123,'Player Data'!$A1:$AE667,11,FALSE)*$Q123*_xlfn.IFERROR((VLOOKUP(P123,'Settings'!$E$28:$F$33,2,FALSE)+1),1)</f>
        <v>6.89102469848125</v>
      </c>
      <c r="X123" s="101">
        <f>VLOOKUP(B123,'Player Data'!$A1:$AE667,12,FALSE)*$Q123*_xlfn.IFERROR((VLOOKUP(P123,'Settings'!$E$28:$F$33,2,FALSE)+1),1)</f>
        <v>19.4960400933535</v>
      </c>
      <c r="Y123" s="79">
        <f>VLOOKUP(B123,'Player Data'!$A1:$AE667,13,FALSE)*$Q123</f>
        <v>1.1745252026149</v>
      </c>
      <c r="Z123" s="79">
        <f>VLOOKUP(B123,'Player Data'!$A1:$AE667,14,FALSE)*$Q123</f>
        <v>2.4167661152576</v>
      </c>
      <c r="AA123" s="79">
        <f>VLOOKUP(B123,'Player Data'!$A1:$AE667,15,FALSE)*$Q123</f>
        <v>47.7580390318043</v>
      </c>
      <c r="AB123" s="79">
        <f>VLOOKUP(B123,'Player Data'!$A1:$AE667,16,FALSE)*$Q123</f>
        <v>108.268964813775</v>
      </c>
      <c r="AC123" s="79">
        <f>VLOOKUP(B123,'Player Data'!$A1:$AE667,17,FALSE)*$Q123*_xlfn.IFERROR((VLOOKUP(P123,'Settings'!$E$28:$F$33,2,FALSE)+1),1)</f>
        <v>6.13034184196265</v>
      </c>
      <c r="AD123" s="79">
        <f>VLOOKUP(B123,'Player Data'!$A1:$AE667,18,FALSE)*$Q123</f>
        <v>46.8358125017692</v>
      </c>
      <c r="AE123" s="79">
        <f>VLOOKUP(B123,'Player Data'!$A1:$AE667,19,FALSE)*$Q123*_xlfn.IFERROR((VLOOKUP(P123,'Settings'!$E$28:$F$33,2,FALSE)+1),1)</f>
        <v>3.44096038573614</v>
      </c>
      <c r="AF123" s="79">
        <f>VLOOKUP(B123,'Player Data'!$A1:$AE667,20,FALSE)*$Q123</f>
        <v>459.058346479429</v>
      </c>
      <c r="AG123" s="79">
        <f>VLOOKUP(B123,'Player Data'!$A1:$AE667,21,FALSE)*$Q123</f>
        <v>314.430275267261</v>
      </c>
      <c r="AH123" s="81">
        <f>VLOOKUP(B123,'Player Data'!$A1:$AE667,22,FALSE)</f>
        <v>0.593490755484916</v>
      </c>
      <c r="AI123" s="77"/>
      <c r="AJ123" s="79"/>
      <c r="AK123" s="79"/>
      <c r="AL123" s="79"/>
      <c r="AM123" s="79"/>
      <c r="AN123" s="79"/>
      <c r="AO123" s="79"/>
      <c r="AP123" s="79"/>
      <c r="AQ123" s="82"/>
      <c r="AR123" s="83"/>
      <c r="AS123" s="84"/>
    </row>
    <row r="124" ht="21.25" customHeight="1">
      <c r="A124" s="85">
        <f>RANK(K124,K$1:K$665)</f>
        <v>124</v>
      </c>
      <c r="B124" t="s" s="16">
        <v>306</v>
      </c>
      <c r="C124" t="s" s="69">
        <v>127</v>
      </c>
      <c r="D124" t="s" s="70">
        <f>VLOOKUP(B124,'Player Data'!A1:D667,4,FALSE)</f>
        <v>148</v>
      </c>
      <c r="E124" s="87">
        <f>VLOOKUP(B124,'RW'!A1:C136,3,FALSE)</f>
        <v>29</v>
      </c>
      <c r="F124" t="s" s="86">
        <f>VLOOKUP(B124,'Player Data'!A1:B667,2,FALSE)</f>
        <v>156</v>
      </c>
      <c r="G124" s="96">
        <f>VLOOKUP(B124,'Player Data'!A1:D667,3,FALSE)</f>
        <v>22</v>
      </c>
      <c r="H124" t="s" s="86">
        <f>_xlfn.IFERROR(VLOOKUP(B124,'ADP'!A1:G665,7,FALSE)/1000000,VLOOKUP(B124,'ADP'!A1:G665,7,FALSE))</f>
        <v>157</v>
      </c>
      <c r="I124" s="74">
        <f>IF('Settings'!$E$15="POINTS",((R124*Q124)*'Settings'!$B$12)+(S124*'Settings'!$B$2)+(T124*'Settings'!$B$3)+(U124*'Settings'!$B$4)+(V124*'Settings'!$B$5)+(X124*'Settings'!$B$9)+(AA124*'Settings'!$B$6)+(W124*'Settings'!$B$8)+(AB124*'Settings'!$B$7)+(AC124*'Settings'!$B$14)+(AD124*'Settings'!$B$15)+(AE124*'Settings'!$B$16)+(AF124*'Settings'!$B$17)+(AG124*'Settings'!$B$18)+(Y124*'Settings'!$B$10)+(Z124*'Settings'!$B$11),VLOOKUP(B124,'Standard Deviations'!A1:C666,3,FALSE))</f>
        <v>302.120509318090</v>
      </c>
      <c r="J124" s="75">
        <f>IF(D124="G",I124/AJ124,I124/Q124)</f>
        <v>3.73310897464587</v>
      </c>
      <c r="K124" s="74">
        <f>IF('Settings'!$E$18="C/LW/RW",VLOOKUP(B124,'RW'!A1:F136,6,FALSE),VLOOKUP(B124,'F'!A1:F392,6,FALSE))</f>
        <v>-27.571384763088</v>
      </c>
      <c r="L124" t="s" s="97">
        <f>_xlfn.IFERROR(K124/H124,"N/A")</f>
        <v>158</v>
      </c>
      <c r="M124" s="77">
        <f>IF('Settings'!$E$9="YAHOO",VLOOKUP(B124,'ADP'!A1:E665,2,FALSE),IF('Settings'!$E$9="ESPN",VLOOKUP(B124,'ADP'!A1:E665,3,FALSE),IF('Settings'!$E$9="FANTRAX",VLOOKUP(B124,'ADP'!A1:E665,4,FALSE),VLOOKUP(B124,'ADP'!A1:E665,5,FALSE))))</f>
        <v>0</v>
      </c>
      <c r="N124" s="77">
        <f>_xlfn.IFERROR(M124-A124,"N/A")</f>
        <v>-124</v>
      </c>
      <c r="O124" s="77"/>
      <c r="P124" t="s" s="78">
        <f>IF('Settings'!$E$27="ON",VLOOKUP(B124,'ADP'!A1:H665,8,FALSE)," ")</f>
        <v>130</v>
      </c>
      <c r="Q124" s="79">
        <f>IF('Settings'!$E$12="YES",VLOOKUP(B124,'Player Data'!A1:E667,5,FALSE),82)</f>
        <v>80.93000000000001</v>
      </c>
      <c r="R124" s="77">
        <f>VLOOKUP(B124,'Player Data'!$A1:$AE667,6,FALSE)</f>
        <v>18.7340133808761</v>
      </c>
      <c r="S124" s="79">
        <f>VLOOKUP(B124,'Player Data'!$A1:$AE667,7,FALSE)*$Q124*_xlfn.IFERROR((VLOOKUP(P124,'Settings'!$E$28:$F$33,2,FALSE)+1),1)</f>
        <v>30.8985964094543</v>
      </c>
      <c r="T124" s="79">
        <f>VLOOKUP(B124,'Player Data'!$A1:$AE667,8,FALSE)*$Q124*_xlfn.IFERROR((VLOOKUP(P124,'Settings'!$E$28:$F$33,2,FALSE)+1),1)</f>
        <v>44.0068380634383</v>
      </c>
      <c r="U124" s="79">
        <f>SUM(S124:T124)</f>
        <v>74.90543447289259</v>
      </c>
      <c r="V124" s="79">
        <f>VLOOKUP(B124,'Player Data'!$A1:$AE667,10,FALSE)*$Q124*_xlfn.IFERROR(((VLOOKUP(P124,'Settings'!$E$28:$F$33,2,FALSE)/2)+1),1)</f>
        <v>181.598534757609</v>
      </c>
      <c r="W124" s="79">
        <f>VLOOKUP(B124,'Player Data'!$A1:$AE667,11,FALSE)*$Q124*_xlfn.IFERROR((VLOOKUP(P124,'Settings'!$E$28:$F$33,2,FALSE)+1),1)</f>
        <v>6.72695710665738</v>
      </c>
      <c r="X124" s="80">
        <f>VLOOKUP(B124,'Player Data'!$A1:$AE667,12,FALSE)*$Q124*_xlfn.IFERROR((VLOOKUP(P124,'Settings'!$E$28:$F$33,2,FALSE)+1),1)</f>
        <v>21.2164633185456</v>
      </c>
      <c r="Y124" s="79">
        <f>VLOOKUP(B124,'Player Data'!$A1:$AE667,13,FALSE)*$Q124</f>
        <v>0.0570775923863483</v>
      </c>
      <c r="Z124" s="79">
        <f>VLOOKUP(B124,'Player Data'!$A1:$AE667,14,FALSE)*$Q124</f>
        <v>0.0958195231132455</v>
      </c>
      <c r="AA124" s="79">
        <f>VLOOKUP(B124,'Player Data'!$A1:$AE667,15,FALSE)*$Q124</f>
        <v>28.3801104126687</v>
      </c>
      <c r="AB124" s="79">
        <f>VLOOKUP(B124,'Player Data'!$A1:$AE667,16,FALSE)*$Q124</f>
        <v>65.7238229815912</v>
      </c>
      <c r="AC124" s="79">
        <f>VLOOKUP(B124,'Player Data'!$A1:$AE667,17,FALSE)*$Q124*_xlfn.IFERROR((VLOOKUP(P124,'Settings'!$E$28:$F$33,2,FALSE)+1),1)</f>
        <v>-4.6187129893011</v>
      </c>
      <c r="AD124" s="79">
        <f>VLOOKUP(B124,'Player Data'!$A1:$AE667,18,FALSE)*$Q124</f>
        <v>29.0628219653822</v>
      </c>
      <c r="AE124" s="79">
        <f>VLOOKUP(B124,'Player Data'!$A1:$AE667,19,FALSE)*$Q124*_xlfn.IFERROR((VLOOKUP(P124,'Settings'!$E$28:$F$33,2,FALSE)+1),1)</f>
        <v>4.24369557952133</v>
      </c>
      <c r="AF124" s="79">
        <f>VLOOKUP(B124,'Player Data'!$A1:$AE667,20,FALSE)*$Q124</f>
        <v>5.40522141847619</v>
      </c>
      <c r="AG124" s="79">
        <f>VLOOKUP(B124,'Player Data'!$A1:$AE667,21,FALSE)*$Q124</f>
        <v>9.467103093899221</v>
      </c>
      <c r="AH124" s="81">
        <f>VLOOKUP(B124,'Player Data'!$A1:$AE667,22,FALSE)</f>
        <v>0.363441600133082</v>
      </c>
      <c r="AI124" s="77"/>
      <c r="AJ124" s="89"/>
      <c r="AK124" s="79"/>
      <c r="AL124" s="79"/>
      <c r="AM124" s="79"/>
      <c r="AN124" s="79"/>
      <c r="AO124" s="79"/>
      <c r="AP124" s="79"/>
      <c r="AQ124" s="82"/>
      <c r="AR124" s="83"/>
      <c r="AS124" s="84"/>
    </row>
    <row r="125" ht="21.25" customHeight="1">
      <c r="A125" s="85">
        <f>RANK(K125,K$1:K$665)</f>
        <v>111</v>
      </c>
      <c r="B125" t="s" s="16">
        <v>307</v>
      </c>
      <c r="C125" t="s" s="69">
        <v>127</v>
      </c>
      <c r="D125" t="s" s="70">
        <f>VLOOKUP(B125,'Player Data'!A1:D667,4,FALSE)</f>
        <v>153</v>
      </c>
      <c r="E125" s="95">
        <f>VLOOKUP(B125,'D'!A1:C213,3,FALSE)</f>
        <v>25</v>
      </c>
      <c r="F125" t="s" s="104">
        <f>VLOOKUP(B125,'Player Data'!A1:B667,2,FALSE)</f>
        <v>271</v>
      </c>
      <c r="G125" s="91">
        <f>VLOOKUP(B125,'Player Data'!A1:D667,3,FALSE)</f>
        <v>32</v>
      </c>
      <c r="H125" s="73">
        <f>_xlfn.IFERROR(VLOOKUP(B125,'ADP'!A1:G665,7,FALSE)/1000000,VLOOKUP(B125,'ADP'!A1:G665,7,FALSE))</f>
        <v>6.5</v>
      </c>
      <c r="I125" s="74">
        <f>IF('Settings'!$E$15="POINTS",((R125*Q125)*'Settings'!$B$12)+(S125*'Settings'!$B$2)+(T125*'Settings'!$B$3)+(U125*'Settings'!$B$4)+(V125*'Settings'!$B$5)+(X125*'Settings'!$B$9)+(AA125*'Settings'!$B$6)+(W125*'Settings'!$B$8)+(AB125*'Settings'!$B$7)+(AC125*'Settings'!$B$14)+(AD125*'Settings'!$B$15)+(AE125*'Settings'!$B$16)+(AF125*'Settings'!$B$17)+(AG125*'Settings'!$B$18)+(U125*'Settings'!$B$13)+(Y125*'Settings'!$B$10)+(Z125*'Settings'!$B$11),VLOOKUP(B125,'Standard Deviations'!A1:C666,3,FALSE))</f>
        <v>309.008167662507</v>
      </c>
      <c r="J125" s="75">
        <f>IF(D125="G",I125/AJ125,I125/Q125)</f>
        <v>3.98591638390851</v>
      </c>
      <c r="K125" s="74">
        <f>VLOOKUP(B125,'D'!A1:F213,6,FALSE)</f>
        <v>-22.532040257575</v>
      </c>
      <c r="L125" s="76">
        <f>_xlfn.IFERROR(K125/H125,"N/A")</f>
        <v>-3.46646773193462</v>
      </c>
      <c r="M125" s="77">
        <f>IF('Settings'!$E$9="YAHOO",VLOOKUP(B125,'ADP'!A1:E665,2,FALSE),IF('Settings'!$E$9="ESPN",VLOOKUP(B125,'ADP'!A1:E665,3,FALSE),IF('Settings'!$E$9="FANTRAX",VLOOKUP(B125,'ADP'!A1:E665,4,FALSE),VLOOKUP(B125,'ADP'!A1:E665,5,FALSE))))</f>
        <v>0</v>
      </c>
      <c r="N125" s="77">
        <f>_xlfn.IFERROR(M125-A125,"N/A")</f>
        <v>-111</v>
      </c>
      <c r="O125" s="77"/>
      <c r="P125" t="s" s="78">
        <f>IF('Settings'!$E$27="ON",VLOOKUP(B125,'ADP'!A1:H665,8,FALSE)," ")</f>
        <v>138</v>
      </c>
      <c r="Q125" s="79">
        <f>IF('Settings'!$E$12="YES",VLOOKUP(B125,'Player Data'!A1:E667,5,FALSE),82)</f>
        <v>77.52500000000001</v>
      </c>
      <c r="R125" s="98">
        <f>VLOOKUP(B125,'Player Data'!$A1:$AE667,6,FALSE)</f>
        <v>23.0847739339676</v>
      </c>
      <c r="S125" s="79">
        <f>VLOOKUP(B125,'Player Data'!$A1:$AE667,7,FALSE)*$Q125*_xlfn.IFERROR((VLOOKUP(P125,'Settings'!$E$28:$F$33,2,FALSE)+1),1)</f>
        <v>9.283515200269861</v>
      </c>
      <c r="T125" s="79">
        <f>VLOOKUP(B125,'Player Data'!$A1:$AE667,8,FALSE)*$Q125*_xlfn.IFERROR((VLOOKUP(P125,'Settings'!$E$28:$F$33,2,FALSE)+1),1)</f>
        <v>37.0060299201943</v>
      </c>
      <c r="U125" s="79">
        <f>SUM(S125:T125)</f>
        <v>46.2895451204642</v>
      </c>
      <c r="V125" s="79">
        <f>VLOOKUP(B125,'Player Data'!$A1:$AE667,10,FALSE)*$Q125*_xlfn.IFERROR(((VLOOKUP(P125,'Settings'!$E$28:$F$33,2,FALSE)/2)+1),1)</f>
        <v>176.937387786472</v>
      </c>
      <c r="W125" s="79">
        <f>VLOOKUP(B125,'Player Data'!$A1:$AE667,11,FALSE)*$Q125*_xlfn.IFERROR((VLOOKUP(P125,'Settings'!$E$28:$F$33,2,FALSE)+1),1)</f>
        <v>2.17302513975558</v>
      </c>
      <c r="X125" s="101">
        <f>VLOOKUP(B125,'Player Data'!$A1:$AE667,12,FALSE)*$Q125*_xlfn.IFERROR((VLOOKUP(P125,'Settings'!$E$28:$F$33,2,FALSE)+1),1)</f>
        <v>12.9246547178678</v>
      </c>
      <c r="Y125" s="79">
        <f>VLOOKUP(B125,'Player Data'!$A1:$AE667,13,FALSE)*$Q125</f>
        <v>0.0278309586608665</v>
      </c>
      <c r="Z125" s="79">
        <f>VLOOKUP(B125,'Player Data'!$A1:$AE667,14,FALSE)*$Q125</f>
        <v>0.515549001461678</v>
      </c>
      <c r="AA125" s="79">
        <f>VLOOKUP(B125,'Player Data'!$A1:$AE667,15,FALSE)*$Q125</f>
        <v>128.089250018569</v>
      </c>
      <c r="AB125" s="79">
        <f>VLOOKUP(B125,'Player Data'!$A1:$AE667,16,FALSE)*$Q125</f>
        <v>105.277420226450</v>
      </c>
      <c r="AC125" s="79">
        <f>VLOOKUP(B125,'Player Data'!$A1:$AE667,17,FALSE)*$Q125*_xlfn.IFERROR((VLOOKUP(P125,'Settings'!$E$28:$F$33,2,FALSE)+1),1)</f>
        <v>-4.15572979433542</v>
      </c>
      <c r="AD125" s="79">
        <f>VLOOKUP(B125,'Player Data'!$A1:$AE667,18,FALSE)*$Q125</f>
        <v>34.683082602443</v>
      </c>
      <c r="AE125" s="79">
        <f>VLOOKUP(B125,'Player Data'!$A1:$AE667,19,FALSE)*$Q125*_xlfn.IFERROR((VLOOKUP(P125,'Settings'!$E$28:$F$33,2,FALSE)+1),1)</f>
        <v>1.11768039558479</v>
      </c>
      <c r="AF125" s="79">
        <f>VLOOKUP(B125,'Player Data'!$A1:$AE667,20,FALSE)*$Q125</f>
        <v>0</v>
      </c>
      <c r="AG125" s="79">
        <f>VLOOKUP(B125,'Player Data'!$A1:$AE667,21,FALSE)*$Q125</f>
        <v>0</v>
      </c>
      <c r="AH125" s="81">
        <f>VLOOKUP(B125,'Player Data'!$A1:$AE667,22,FALSE)</f>
        <v>0</v>
      </c>
      <c r="AI125" s="77"/>
      <c r="AJ125" s="79"/>
      <c r="AK125" s="79"/>
      <c r="AL125" s="79"/>
      <c r="AM125" s="79"/>
      <c r="AN125" s="79"/>
      <c r="AO125" s="79"/>
      <c r="AP125" s="79"/>
      <c r="AQ125" s="82"/>
      <c r="AR125" s="83"/>
      <c r="AS125" s="93"/>
    </row>
    <row r="126" ht="21.25" customHeight="1">
      <c r="A126" s="85">
        <f>RANK(K126,K$1:K$665)</f>
        <v>129</v>
      </c>
      <c r="B126" t="s" s="16">
        <v>308</v>
      </c>
      <c r="C126" t="s" s="69">
        <v>127</v>
      </c>
      <c r="D126" t="s" s="70">
        <f>VLOOKUP(B126,'Player Data'!A1:D667,4,FALSE)</f>
        <v>148</v>
      </c>
      <c r="E126" s="87">
        <f>VLOOKUP(B126,'RW'!A1:C136,3,FALSE)</f>
        <v>30</v>
      </c>
      <c r="F126" t="s" s="88">
        <f>VLOOKUP(B126,'Player Data'!A1:B667,2,FALSE)</f>
        <v>239</v>
      </c>
      <c r="G126" s="96">
        <f>VLOOKUP(B126,'Player Data'!A1:D667,3,FALSE)</f>
        <v>23</v>
      </c>
      <c r="H126" s="73">
        <f>_xlfn.IFERROR(VLOOKUP(B126,'ADP'!A1:G665,7,FALSE)/1000000,VLOOKUP(B126,'ADP'!A1:G665,7,FALSE))</f>
        <v>7.85</v>
      </c>
      <c r="I126" s="74">
        <f>IF('Settings'!$E$15="POINTS",((R126*Q126)*'Settings'!$B$12)+(S126*'Settings'!$B$2)+(T126*'Settings'!$B$3)+(U126*'Settings'!$B$4)+(V126*'Settings'!$B$5)+(X126*'Settings'!$B$9)+(AA126*'Settings'!$B$6)+(W126*'Settings'!$B$8)+(AB126*'Settings'!$B$7)+(AC126*'Settings'!$B$14)+(AD126*'Settings'!$B$15)+(AE126*'Settings'!$B$16)+(AF126*'Settings'!$B$17)+(AG126*'Settings'!$B$18)+(Y126*'Settings'!$B$10)+(Z126*'Settings'!$B$11),VLOOKUP(B126,'Standard Deviations'!A1:C666,3,FALSE))</f>
        <v>300.588533564741</v>
      </c>
      <c r="J126" s="75">
        <f>IF(D126="G",I126/AJ126,I126/Q126)</f>
        <v>3.97709094422785</v>
      </c>
      <c r="K126" s="74">
        <f>IF('Settings'!$E$18="C/LW/RW",VLOOKUP(B126,'RW'!A1:F136,6,FALSE),VLOOKUP(B126,'F'!A1:F392,6,FALSE))</f>
        <v>-29.103360516437</v>
      </c>
      <c r="L126" s="76">
        <f>_xlfn.IFERROR(K126/H126,"N/A")</f>
        <v>-3.70743446069261</v>
      </c>
      <c r="M126" s="77">
        <f>IF('Settings'!$E$9="YAHOO",VLOOKUP(B126,'ADP'!A1:E665,2,FALSE),IF('Settings'!$E$9="ESPN",VLOOKUP(B126,'ADP'!A1:E665,3,FALSE),IF('Settings'!$E$9="FANTRAX",VLOOKUP(B126,'ADP'!A1:E665,4,FALSE),VLOOKUP(B126,'ADP'!A1:E665,5,FALSE))))</f>
        <v>0</v>
      </c>
      <c r="N126" s="77">
        <f>_xlfn.IFERROR(M126-A126,"N/A")</f>
        <v>-129</v>
      </c>
      <c r="O126" s="77"/>
      <c r="P126" t="s" s="78">
        <f>IF('Settings'!$E$27="ON",VLOOKUP(B126,'ADP'!A1:H665,8,FALSE)," ")</f>
        <v>130</v>
      </c>
      <c r="Q126" s="79">
        <f>IF('Settings'!$E$12="YES",VLOOKUP(B126,'Player Data'!A1:E667,5,FALSE),82)</f>
        <v>75.58</v>
      </c>
      <c r="R126" s="77">
        <f>VLOOKUP(B126,'Player Data'!$A1:$AE667,6,FALSE)</f>
        <v>19.5489909349314</v>
      </c>
      <c r="S126" s="79">
        <f>VLOOKUP(B126,'Player Data'!$A1:$AE667,7,FALSE)*$Q126*_xlfn.IFERROR((VLOOKUP(P126,'Settings'!$E$28:$F$33,2,FALSE)+1),1)</f>
        <v>33.6763975926775</v>
      </c>
      <c r="T126" s="79">
        <f>VLOOKUP(B126,'Player Data'!$A1:$AE667,8,FALSE)*$Q126*_xlfn.IFERROR((VLOOKUP(P126,'Settings'!$E$28:$F$33,2,FALSE)+1),1)</f>
        <v>34.6430402297777</v>
      </c>
      <c r="U126" s="79">
        <f>SUM(S126:T126)</f>
        <v>68.3194378224552</v>
      </c>
      <c r="V126" s="79">
        <f>VLOOKUP(B126,'Player Data'!$A1:$AE667,10,FALSE)*$Q126*_xlfn.IFERROR(((VLOOKUP(P126,'Settings'!$E$28:$F$33,2,FALSE)/2)+1),1)</f>
        <v>287.411360322130</v>
      </c>
      <c r="W126" s="79">
        <f>VLOOKUP(B126,'Player Data'!$A1:$AE667,11,FALSE)*$Q126*_xlfn.IFERROR((VLOOKUP(P126,'Settings'!$E$28:$F$33,2,FALSE)+1),1)</f>
        <v>10.0455277346584</v>
      </c>
      <c r="X126" s="80">
        <f>VLOOKUP(B126,'Player Data'!$A1:$AE667,12,FALSE)*$Q126*_xlfn.IFERROR((VLOOKUP(P126,'Settings'!$E$28:$F$33,2,FALSE)+1),1)</f>
        <v>21.4326793528646</v>
      </c>
      <c r="Y126" s="79">
        <f>VLOOKUP(B126,'Player Data'!$A1:$AE667,13,FALSE)*$Q126</f>
        <v>0.00145799077108795</v>
      </c>
      <c r="Z126" s="79">
        <f>VLOOKUP(B126,'Player Data'!$A1:$AE667,14,FALSE)*$Q126</f>
        <v>0.0024639338022689</v>
      </c>
      <c r="AA126" s="79">
        <f>VLOOKUP(B126,'Player Data'!$A1:$AE667,15,FALSE)*$Q126</f>
        <v>21.9247507748049</v>
      </c>
      <c r="AB126" s="79">
        <f>VLOOKUP(B126,'Player Data'!$A1:$AE667,16,FALSE)*$Q126</f>
        <v>46.9734973507606</v>
      </c>
      <c r="AC126" s="79">
        <f>VLOOKUP(B126,'Player Data'!$A1:$AE667,17,FALSE)*$Q126*_xlfn.IFERROR((VLOOKUP(P126,'Settings'!$E$28:$F$33,2,FALSE)+1),1)</f>
        <v>-2.419896986128</v>
      </c>
      <c r="AD126" s="79">
        <f>VLOOKUP(B126,'Player Data'!$A1:$AE667,18,FALSE)*$Q126</f>
        <v>17.3419558398154</v>
      </c>
      <c r="AE126" s="79">
        <f>VLOOKUP(B126,'Player Data'!$A1:$AE667,19,FALSE)*$Q126*_xlfn.IFERROR((VLOOKUP(P126,'Settings'!$E$28:$F$33,2,FALSE)+1),1)</f>
        <v>3.90313733975757</v>
      </c>
      <c r="AF126" s="79">
        <f>VLOOKUP(B126,'Player Data'!$A1:$AE667,20,FALSE)*$Q126</f>
        <v>4.67044183689316</v>
      </c>
      <c r="AG126" s="79">
        <f>VLOOKUP(B126,'Player Data'!$A1:$AE667,21,FALSE)*$Q126</f>
        <v>8.71377998142534</v>
      </c>
      <c r="AH126" s="81">
        <f>VLOOKUP(B126,'Player Data'!$A1:$AE667,22,FALSE)</f>
        <v>0.348951317475993</v>
      </c>
      <c r="AI126" s="77"/>
      <c r="AJ126" s="79"/>
      <c r="AK126" s="79"/>
      <c r="AL126" s="79"/>
      <c r="AM126" s="79"/>
      <c r="AN126" s="79"/>
      <c r="AO126" s="79"/>
      <c r="AP126" s="79"/>
      <c r="AQ126" s="82"/>
      <c r="AR126" s="83"/>
      <c r="AS126" s="84"/>
    </row>
    <row r="127" ht="21.25" customHeight="1">
      <c r="A127" s="85">
        <f>RANK(K127,K$1:K$665)</f>
        <v>119</v>
      </c>
      <c r="B127" t="s" s="16">
        <v>309</v>
      </c>
      <c r="C127" t="s" s="69">
        <v>127</v>
      </c>
      <c r="D127" t="s" s="70">
        <f>VLOOKUP(B127,'Player Data'!A1:D667,4,FALSE)</f>
        <v>153</v>
      </c>
      <c r="E127" s="95">
        <f>VLOOKUP(B127,'D'!A1:C213,3,FALSE)</f>
        <v>26</v>
      </c>
      <c r="F127" t="s" s="78">
        <f>VLOOKUP(B127,'Player Data'!A1:B667,2,FALSE)</f>
        <v>216</v>
      </c>
      <c r="G127" s="91">
        <f>VLOOKUP(B127,'Player Data'!A1:D667,3,FALSE)</f>
        <v>34</v>
      </c>
      <c r="H127" s="73">
        <f>_xlfn.IFERROR(VLOOKUP(B127,'ADP'!A1:G665,7,FALSE)/1000000,VLOOKUP(B127,'ADP'!A1:G665,7,FALSE))</f>
        <v>8.800000000000001</v>
      </c>
      <c r="I127" s="74">
        <f>IF('Settings'!$E$15="POINTS",((R127*Q127)*'Settings'!$B$12)+(S127*'Settings'!$B$2)+(T127*'Settings'!$B$3)+(U127*'Settings'!$B$4)+(V127*'Settings'!$B$5)+(X127*'Settings'!$B$9)+(AA127*'Settings'!$B$6)+(W127*'Settings'!$B$8)+(AB127*'Settings'!$B$7)+(AC127*'Settings'!$B$14)+(AD127*'Settings'!$B$15)+(AE127*'Settings'!$B$16)+(AF127*'Settings'!$B$17)+(AG127*'Settings'!$B$18)+(U127*'Settings'!$B$13)+(Y127*'Settings'!$B$10)+(Z127*'Settings'!$B$11),VLOOKUP(B127,'Standard Deviations'!A1:C666,3,FALSE))</f>
        <v>306.441420857087</v>
      </c>
      <c r="J127" s="75">
        <f>IF(D127="G",I127/AJ127,I127/Q127)</f>
        <v>3.95931936893423</v>
      </c>
      <c r="K127" s="74">
        <f>VLOOKUP(B127,'D'!A1:F213,6,FALSE)</f>
        <v>-25.098787062995</v>
      </c>
      <c r="L127" s="76">
        <f>_xlfn.IFERROR(K127/H127,"N/A")</f>
        <v>-2.85213489352216</v>
      </c>
      <c r="M127" s="77">
        <f>IF('Settings'!$E$9="YAHOO",VLOOKUP(B127,'ADP'!A1:E665,2,FALSE),IF('Settings'!$E$9="ESPN",VLOOKUP(B127,'ADP'!A1:E665,3,FALSE),IF('Settings'!$E$9="FANTRAX",VLOOKUP(B127,'ADP'!A1:E665,4,FALSE),VLOOKUP(B127,'ADP'!A1:E665,5,FALSE))))</f>
        <v>0</v>
      </c>
      <c r="N127" s="77">
        <f>_xlfn.IFERROR(M127-A127,"N/A")</f>
        <v>-119</v>
      </c>
      <c r="O127" s="77"/>
      <c r="P127" t="s" s="78">
        <f>IF('Settings'!$E$27="ON",VLOOKUP(B127,'ADP'!A1:H665,8,FALSE)," ")</f>
        <v>138</v>
      </c>
      <c r="Q127" s="79">
        <f>IF('Settings'!$E$12="YES",VLOOKUP(B127,'Player Data'!A1:E667,5,FALSE),82)</f>
        <v>77.39749999999999</v>
      </c>
      <c r="R127" s="77">
        <f>VLOOKUP(B127,'Player Data'!$A1:$AE667,6,FALSE)</f>
        <v>22.8120472701487</v>
      </c>
      <c r="S127" s="79">
        <f>VLOOKUP(B127,'Player Data'!$A1:$AE667,7,FALSE)*$Q127*_xlfn.IFERROR((VLOOKUP(P127,'Settings'!$E$28:$F$33,2,FALSE)+1),1)</f>
        <v>7.86613440092661</v>
      </c>
      <c r="T127" s="79">
        <f>VLOOKUP(B127,'Player Data'!$A1:$AE667,8,FALSE)*$Q127*_xlfn.IFERROR((VLOOKUP(P127,'Settings'!$E$28:$F$33,2,FALSE)+1),1)</f>
        <v>32.7835489644542</v>
      </c>
      <c r="U127" s="79">
        <f>SUM(S127:T127)</f>
        <v>40.6496833653808</v>
      </c>
      <c r="V127" s="79">
        <f>VLOOKUP(B127,'Player Data'!$A1:$AE667,10,FALSE)*$Q127*_xlfn.IFERROR(((VLOOKUP(P127,'Settings'!$E$28:$F$33,2,FALSE)/2)+1),1)</f>
        <v>164.879053909870</v>
      </c>
      <c r="W127" s="79">
        <f>VLOOKUP(B127,'Player Data'!$A1:$AE667,11,FALSE)*$Q127*_xlfn.IFERROR((VLOOKUP(P127,'Settings'!$E$28:$F$33,2,FALSE)+1),1)</f>
        <v>0.93079441067934</v>
      </c>
      <c r="X127" s="79">
        <f>VLOOKUP(B127,'Player Data'!$A1:$AE667,12,FALSE)*$Q127*_xlfn.IFERROR((VLOOKUP(P127,'Settings'!$E$28:$F$33,2,FALSE)+1),1)</f>
        <v>9.72349278226946</v>
      </c>
      <c r="Y127" s="79">
        <f>VLOOKUP(B127,'Player Data'!$A1:$AE667,13,FALSE)*$Q127</f>
        <v>0.172972846992183</v>
      </c>
      <c r="Z127" s="79">
        <f>VLOOKUP(B127,'Player Data'!$A1:$AE667,14,FALSE)*$Q127</f>
        <v>1.52799905305298</v>
      </c>
      <c r="AA127" s="79">
        <f>VLOOKUP(B127,'Player Data'!$A1:$AE667,15,FALSE)*$Q127</f>
        <v>173.852620550058</v>
      </c>
      <c r="AB127" s="79">
        <f>VLOOKUP(B127,'Player Data'!$A1:$AE667,16,FALSE)*$Q127</f>
        <v>68.9943253745255</v>
      </c>
      <c r="AC127" s="79">
        <f>VLOOKUP(B127,'Player Data'!$A1:$AE667,17,FALSE)*$Q127*_xlfn.IFERROR((VLOOKUP(P127,'Settings'!$E$28:$F$33,2,FALSE)+1),1)</f>
        <v>1.33476088132577</v>
      </c>
      <c r="AD127" s="79">
        <f>VLOOKUP(B127,'Player Data'!$A1:$AE667,18,FALSE)*$Q127</f>
        <v>24.004672837287</v>
      </c>
      <c r="AE127" s="79">
        <f>VLOOKUP(B127,'Player Data'!$A1:$AE667,19,FALSE)*$Q127*_xlfn.IFERROR((VLOOKUP(P127,'Settings'!$E$28:$F$33,2,FALSE)+1),1)</f>
        <v>1.19644918151357</v>
      </c>
      <c r="AF127" s="79">
        <f>VLOOKUP(B127,'Player Data'!$A1:$AE667,20,FALSE)*$Q127</f>
        <v>0.0563298250831166</v>
      </c>
      <c r="AG127" s="79">
        <f>VLOOKUP(B127,'Player Data'!$A1:$AE667,21,FALSE)*$Q127</f>
        <v>0.103506564287655</v>
      </c>
      <c r="AH127" s="81">
        <f>VLOOKUP(B127,'Player Data'!$A1:$AE667,22,FALSE)</f>
        <v>0.352421781453339</v>
      </c>
      <c r="AI127" s="77"/>
      <c r="AJ127" s="79"/>
      <c r="AK127" s="79"/>
      <c r="AL127" s="79"/>
      <c r="AM127" s="79"/>
      <c r="AN127" s="79"/>
      <c r="AO127" s="79"/>
      <c r="AP127" s="79"/>
      <c r="AQ127" s="82"/>
      <c r="AR127" s="83"/>
      <c r="AS127" s="84"/>
    </row>
    <row r="128" ht="21.25" customHeight="1">
      <c r="A128" s="85">
        <f>RANK(K128,K$1:K$665)</f>
        <v>136</v>
      </c>
      <c r="B128" t="s" s="16">
        <v>310</v>
      </c>
      <c r="C128" t="s" s="69">
        <v>127</v>
      </c>
      <c r="D128" t="s" s="70">
        <f>VLOOKUP(B128,'Player Data'!A1:D667,4,FALSE)</f>
        <v>148</v>
      </c>
      <c r="E128" s="87">
        <f>VLOOKUP(B128,'RW'!A1:C136,3,FALSE)</f>
        <v>31</v>
      </c>
      <c r="F128" t="s" s="103">
        <f>VLOOKUP(B128,'Player Data'!A1:B667,2,FALSE)</f>
        <v>182</v>
      </c>
      <c r="G128" s="96">
        <f>VLOOKUP(B128,'Player Data'!A1:D667,3,FALSE)</f>
        <v>23</v>
      </c>
      <c r="H128" s="73">
        <f>_xlfn.IFERROR(VLOOKUP(B128,'ADP'!A1:G665,7,FALSE)/1000000,VLOOKUP(B128,'ADP'!A1:G665,7,FALSE))</f>
        <v>7</v>
      </c>
      <c r="I128" s="74">
        <f>IF('Settings'!$E$15="POINTS",((R128*Q128)*'Settings'!$B$12)+(S128*'Settings'!$B$2)+(T128*'Settings'!$B$3)+(U128*'Settings'!$B$4)+(V128*'Settings'!$B$5)+(X128*'Settings'!$B$9)+(AA128*'Settings'!$B$6)+(W128*'Settings'!$B$8)+(AB128*'Settings'!$B$7)+(AC128*'Settings'!$B$14)+(AD128*'Settings'!$B$15)+(AE128*'Settings'!$B$16)+(AF128*'Settings'!$B$17)+(AG128*'Settings'!$B$18)+(Y128*'Settings'!$B$10)+(Z128*'Settings'!$B$11),VLOOKUP(B128,'Standard Deviations'!A1:C666,3,FALSE))</f>
        <v>298.307773346820</v>
      </c>
      <c r="J128" s="75">
        <f>IF(D128="G",I128/AJ128,I128/Q128)</f>
        <v>3.86659459944031</v>
      </c>
      <c r="K128" s="74">
        <f>IF('Settings'!$E$18="C/LW/RW",VLOOKUP(B128,'RW'!A1:F136,6,FALSE),VLOOKUP(B128,'F'!A1:F392,6,FALSE))</f>
        <v>-31.384120734358</v>
      </c>
      <c r="L128" s="76">
        <f>_xlfn.IFERROR(K128/H128,"N/A")</f>
        <v>-4.483445819194</v>
      </c>
      <c r="M128" s="77">
        <f>IF('Settings'!$E$9="YAHOO",VLOOKUP(B128,'ADP'!A1:E665,2,FALSE),IF('Settings'!$E$9="ESPN",VLOOKUP(B128,'ADP'!A1:E665,3,FALSE),IF('Settings'!$E$9="FANTRAX",VLOOKUP(B128,'ADP'!A1:E665,4,FALSE),VLOOKUP(B128,'ADP'!A1:E665,5,FALSE))))</f>
        <v>0</v>
      </c>
      <c r="N128" s="77">
        <f>_xlfn.IFERROR(M128-A128,"N/A")</f>
        <v>-136</v>
      </c>
      <c r="O128" s="77"/>
      <c r="P128" t="s" s="78">
        <f>IF('Settings'!$E$27="ON",VLOOKUP(B128,'ADP'!A1:H665,8,FALSE)," ")</f>
        <v>130</v>
      </c>
      <c r="Q128" s="79">
        <f>IF('Settings'!$E$12="YES",VLOOKUP(B128,'Player Data'!A1:E667,5,FALSE),82)</f>
        <v>77.15000000000001</v>
      </c>
      <c r="R128" s="77">
        <f>VLOOKUP(B128,'Player Data'!$A1:$AE667,6,FALSE)</f>
        <v>18.3715980708901</v>
      </c>
      <c r="S128" s="79">
        <f>VLOOKUP(B128,'Player Data'!$A1:$AE667,7,FALSE)*$Q128*_xlfn.IFERROR((VLOOKUP(P128,'Settings'!$E$28:$F$33,2,FALSE)+1),1)</f>
        <v>31.2632374792203</v>
      </c>
      <c r="T128" s="79">
        <f>VLOOKUP(B128,'Player Data'!$A1:$AE667,8,FALSE)*$Q128*_xlfn.IFERROR((VLOOKUP(P128,'Settings'!$E$28:$F$33,2,FALSE)+1),1)</f>
        <v>39.5421908879869</v>
      </c>
      <c r="U128" s="79">
        <f>SUM(S128:T128)</f>
        <v>70.8054283672072</v>
      </c>
      <c r="V128" s="79">
        <f>VLOOKUP(B128,'Player Data'!$A1:$AE667,10,FALSE)*$Q128*_xlfn.IFERROR(((VLOOKUP(P128,'Settings'!$E$28:$F$33,2,FALSE)/2)+1),1)</f>
        <v>231.956380917079</v>
      </c>
      <c r="W128" s="79">
        <f>VLOOKUP(B128,'Player Data'!$A1:$AE667,11,FALSE)*$Q128*_xlfn.IFERROR((VLOOKUP(P128,'Settings'!$E$28:$F$33,2,FALSE)+1),1)</f>
        <v>8.86038085041775</v>
      </c>
      <c r="X128" s="80">
        <f>VLOOKUP(B128,'Player Data'!$A1:$AE667,12,FALSE)*$Q128*_xlfn.IFERROR((VLOOKUP(P128,'Settings'!$E$28:$F$33,2,FALSE)+1),1)</f>
        <v>24.4508443636275</v>
      </c>
      <c r="Y128" s="79">
        <f>VLOOKUP(B128,'Player Data'!$A1:$AE667,13,FALSE)*$Q128</f>
        <v>0.038899529543942</v>
      </c>
      <c r="Z128" s="79">
        <f>VLOOKUP(B128,'Player Data'!$A1:$AE667,14,FALSE)*$Q128</f>
        <v>0.0655074498756841</v>
      </c>
      <c r="AA128" s="79">
        <f>VLOOKUP(B128,'Player Data'!$A1:$AE667,15,FALSE)*$Q128</f>
        <v>31.8737914652556</v>
      </c>
      <c r="AB128" s="79">
        <f>VLOOKUP(B128,'Player Data'!$A1:$AE667,16,FALSE)*$Q128</f>
        <v>45.3520390633753</v>
      </c>
      <c r="AC128" s="79">
        <f>VLOOKUP(B128,'Player Data'!$A1:$AE667,17,FALSE)*$Q128*_xlfn.IFERROR((VLOOKUP(P128,'Settings'!$E$28:$F$33,2,FALSE)+1),1)</f>
        <v>3.32623774908611</v>
      </c>
      <c r="AD128" s="79">
        <f>VLOOKUP(B128,'Player Data'!$A1:$AE667,18,FALSE)*$Q128</f>
        <v>39.4257416683475</v>
      </c>
      <c r="AE128" s="79">
        <f>VLOOKUP(B128,'Player Data'!$A1:$AE667,19,FALSE)*$Q128*_xlfn.IFERROR((VLOOKUP(P128,'Settings'!$E$28:$F$33,2,FALSE)+1),1)</f>
        <v>5.16090795172662</v>
      </c>
      <c r="AF128" s="79">
        <f>VLOOKUP(B128,'Player Data'!$A1:$AE667,20,FALSE)*$Q128</f>
        <v>42.8385459333946</v>
      </c>
      <c r="AG128" s="79">
        <f>VLOOKUP(B128,'Player Data'!$A1:$AE667,21,FALSE)*$Q128</f>
        <v>49.3297411007577</v>
      </c>
      <c r="AH128" s="81">
        <f>VLOOKUP(B128,'Player Data'!$A1:$AE667,22,FALSE)</f>
        <v>0.464786178759307</v>
      </c>
      <c r="AI128" s="77"/>
      <c r="AJ128" s="79"/>
      <c r="AK128" s="79"/>
      <c r="AL128" s="79"/>
      <c r="AM128" s="79"/>
      <c r="AN128" s="79"/>
      <c r="AO128" s="79"/>
      <c r="AP128" s="79"/>
      <c r="AQ128" s="82"/>
      <c r="AR128" s="83"/>
      <c r="AS128" s="84"/>
    </row>
    <row r="129" ht="21.25" customHeight="1">
      <c r="A129" s="85">
        <f>RANK(K129,K$1:K$665)</f>
        <v>113</v>
      </c>
      <c r="B129" t="s" s="16">
        <v>311</v>
      </c>
      <c r="C129" s="110"/>
      <c r="D129" t="s" s="70">
        <f>VLOOKUP(B129,'Player Data'!A1:D667,4,FALSE)</f>
        <v>161</v>
      </c>
      <c r="E129" s="99">
        <f>VLOOKUP(B129,'G'!A1:D65,3,FALSE)</f>
        <v>22</v>
      </c>
      <c r="F129" t="s" s="86">
        <f>VLOOKUP(B129,'Player Data'!A1:B667,2,FALSE)</f>
        <v>192</v>
      </c>
      <c r="G129" s="11">
        <f>VLOOKUP(B129,'Player Data'!A1:D667,3,FALSE)</f>
        <v>30</v>
      </c>
      <c r="H129" s="94">
        <f>_xlfn.IFERROR(VLOOKUP(B129,'ADP'!A1:G665,7,FALSE)/1000000,VLOOKUP(B129,'ADP'!A1:G665,7,FALSE))</f>
        <v>1.1</v>
      </c>
      <c r="I129" s="74">
        <f>IF('Settings'!$E$15="POINTS",(AJ129*'Settings'!$B$29)+(AK129*'Settings'!$B$21)+(AL129*'Settings'!$B$22)+(AN129*'Settings'!$B$24)+(AO129*'Settings'!$B$25)+(AP129*'Settings'!$B$27)+(AM129*'Settings'!$B$23),VLOOKUP(B129,'Standard Deviations'!A1:C666,3,FALSE))</f>
        <v>244.387044594739</v>
      </c>
      <c r="J129" s="75">
        <f>IF(D129="G",I129/AJ129,I129/Q129)</f>
        <v>5.43082321321642</v>
      </c>
      <c r="K129" s="74">
        <f>VLOOKUP(B129,'G'!A1:F65,6,FALSE)</f>
        <v>-23.203969969851</v>
      </c>
      <c r="L129" s="76">
        <f>_xlfn.IFERROR(K129/H129,"N/A")</f>
        <v>-21.094518154410</v>
      </c>
      <c r="M129" s="77">
        <f>IF('Settings'!$E$9="YAHOO",VLOOKUP(B129,'ADP'!A1:E665,2,FALSE),IF('Settings'!$E$9="ESPN",VLOOKUP(B129,'ADP'!A1:E665,3,FALSE),IF('Settings'!$E$9="FANTRAX",VLOOKUP(B129,'ADP'!A1:E665,4,FALSE),VLOOKUP(B129,'ADP'!A1:E665,5,FALSE))))</f>
        <v>0</v>
      </c>
      <c r="N129" s="77">
        <f>_xlfn.IFERROR(M129-A129,"N/A")</f>
        <v>-113</v>
      </c>
      <c r="O129" s="77"/>
      <c r="P129" t="s" s="78">
        <f>IF('Settings'!$E$27="ON",VLOOKUP(B129,'ADP'!A1:H665,8,FALSE)," ")</f>
        <v>138</v>
      </c>
      <c r="Q129" s="79"/>
      <c r="R129" s="77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81"/>
      <c r="AI129" s="77"/>
      <c r="AJ129" s="89">
        <f>VLOOKUP(B129,'Player Data'!$A1:$AE667,24,FALSE)</f>
        <v>45</v>
      </c>
      <c r="AK129" s="79">
        <f>VLOOKUP(B129,'Player Data'!$A1:$AE667,25,FALSE)*$AJ129*_xlfn.IFERROR((VLOOKUP(P129,'Settings'!$E$28:$F$33,2,FALSE)+1),1)</f>
        <v>21.8664608066841</v>
      </c>
      <c r="AL129" s="79">
        <f>AJ129-AK129-AM129</f>
        <v>17.5085391933159</v>
      </c>
      <c r="AM129" s="79">
        <f>VLOOKUP(B129,'Player Data'!$A1:$AE667,27,FALSE)*$AJ129</f>
        <v>5.625</v>
      </c>
      <c r="AN129" s="79">
        <f>VLOOKUP(B129,'Player Data'!$A1:$AE667,28,FALSE)*AJ129</f>
        <v>2.4089900691209</v>
      </c>
      <c r="AO129" s="79">
        <f>VLOOKUP(B129,'Player Data'!$A1:$AE667,29,FALSE)*$AJ129*_xlfn.IFERROR((VLOOKUP(P129,'Settings'!$E$28:$F$33,2,FALSE)/4)+1,1)</f>
        <v>1245.076618216090</v>
      </c>
      <c r="AP129" s="79">
        <f>VLOOKUP(B129,'Player Data'!$A1:$AE667,31,FALSE)*$AJ129*(_xlfn.IFERROR(1-(VLOOKUP(P129,'Settings'!$E$28:$F$33,2,FALSE)/4),1))</f>
        <v>127.664677144089</v>
      </c>
      <c r="AQ129" s="82">
        <f>1-(AP129/(AO129+AP129))</f>
        <v>0.907000191823768</v>
      </c>
      <c r="AR129" s="83">
        <f>AP129/AJ129</f>
        <v>2.8369928254242</v>
      </c>
      <c r="AS129" s="84"/>
    </row>
    <row r="130" ht="21.25" customHeight="1">
      <c r="A130" s="85">
        <f>RANK(K130,K$1:K$665)</f>
        <v>143</v>
      </c>
      <c r="B130" t="s" s="16">
        <v>312</v>
      </c>
      <c r="C130" t="s" s="69">
        <v>127</v>
      </c>
      <c r="D130" t="s" s="70">
        <f>VLOOKUP(B130,'Player Data'!A1:D667,4,FALSE)</f>
        <v>128</v>
      </c>
      <c r="E130" s="71">
        <f>VLOOKUP(B130,'C'!A1:C206,3,FALSE)</f>
        <v>47</v>
      </c>
      <c r="F130" t="s" s="86">
        <f>VLOOKUP(B130,'Player Data'!A1:B667,2,FALSE)</f>
        <v>149</v>
      </c>
      <c r="G130" s="11">
        <f>VLOOKUP(B130,'Player Data'!A1:D667,3,FALSE)</f>
        <v>28</v>
      </c>
      <c r="H130" s="94">
        <f>_xlfn.IFERROR(VLOOKUP(B130,'ADP'!A1:G665,7,FALSE)/1000000,VLOOKUP(B130,'ADP'!A1:G665,7,FALSE))</f>
        <v>4.4</v>
      </c>
      <c r="I130" s="74">
        <f>IF('Settings'!$E$15="POINTS",((R130*Q130)*'Settings'!$B$12)+(S130*'Settings'!$B$2)+(T130*'Settings'!$B$3)+(U130*'Settings'!$B$4)+(V130*'Settings'!$B$5)+(X130*'Settings'!$B$9)+(AA130*'Settings'!$B$6)+(W130*'Settings'!$B$8)+(AB130*'Settings'!$B$7)+(AC130*'Settings'!$B$14)+(AD130*'Settings'!$B$15)+(AE130*'Settings'!$B$16)+(AF130*'Settings'!$B$17)+(AG130*'Settings'!$B$18)+(Y130*'Settings'!$B$10)+(Z130*'Settings'!$B$11),VLOOKUP(B130,'Standard Deviations'!A1:C666,3,FALSE))</f>
        <v>292.131533986641</v>
      </c>
      <c r="J130" s="75">
        <f>IF(D130="G",I130/AJ130,I130/Q130)</f>
        <v>3.84333027215683</v>
      </c>
      <c r="K130" s="74">
        <f>IF('Settings'!$E$18="C/LW/RW",VLOOKUP(B130,'C'!A1:F206,6,FALSE),VLOOKUP(B130,'F'!A1:F392,6,FALSE))</f>
        <v>-37.560360094537</v>
      </c>
      <c r="L130" s="76">
        <f>_xlfn.IFERROR(K130/H130,"N/A")</f>
        <v>-8.53644547603114</v>
      </c>
      <c r="M130" s="109">
        <f>IF('Settings'!$E$9="YAHOO",VLOOKUP(B130,'ADP'!A1:E665,2,FALSE),IF('Settings'!$E$9="ESPN",VLOOKUP(B130,'ADP'!A1:E665,3,FALSE),IF('Settings'!$E$9="FANTRAX",VLOOKUP(B130,'ADP'!A1:E665,4,FALSE),VLOOKUP(B130,'ADP'!A1:E665,5,FALSE))))</f>
        <v>0</v>
      </c>
      <c r="N130" s="79">
        <f>_xlfn.IFERROR(M130-A130,"N/A")</f>
        <v>-143</v>
      </c>
      <c r="O130" s="77"/>
      <c r="P130" t="s" s="78">
        <f>IF('Settings'!$E$27="ON",VLOOKUP(B130,'ADP'!A1:H665,8,FALSE)," ")</f>
        <v>138</v>
      </c>
      <c r="Q130" s="79">
        <f>IF('Settings'!$E$12="YES",VLOOKUP(B130,'Player Data'!A1:E667,5,FALSE),82)</f>
        <v>76.01000000000001</v>
      </c>
      <c r="R130" s="77">
        <f>VLOOKUP(B130,'Player Data'!$A1:$AE667,6,FALSE)</f>
        <v>16.7133476137625</v>
      </c>
      <c r="S130" s="79">
        <f>VLOOKUP(B130,'Player Data'!$A1:$AE667,7,FALSE)*$Q130*_xlfn.IFERROR((VLOOKUP(P130,'Settings'!$E$28:$F$33,2,FALSE)+1),1)</f>
        <v>21.1979470856447</v>
      </c>
      <c r="T130" s="79">
        <f>VLOOKUP(B130,'Player Data'!$A1:$AE667,8,FALSE)*$Q130*_xlfn.IFERROR((VLOOKUP(P130,'Settings'!$E$28:$F$33,2,FALSE)+1),1)</f>
        <v>24.1610507683218</v>
      </c>
      <c r="U130" s="79">
        <f>SUM(S130:T130)</f>
        <v>45.3589978539665</v>
      </c>
      <c r="V130" s="79">
        <f>VLOOKUP(B130,'Player Data'!$A1:$AE667,10,FALSE)*$Q130*_xlfn.IFERROR(((VLOOKUP(P130,'Settings'!$E$28:$F$33,2,FALSE)/2)+1),1)</f>
        <v>197.484143316063</v>
      </c>
      <c r="W130" s="79">
        <f>VLOOKUP(B130,'Player Data'!$A1:$AE667,11,FALSE)*$Q130*_xlfn.IFERROR((VLOOKUP(P130,'Settings'!$E$28:$F$33,2,FALSE)+1),1)</f>
        <v>4.20756257894276</v>
      </c>
      <c r="X130" s="79">
        <f>VLOOKUP(B130,'Player Data'!$A1:$AE667,12,FALSE)*$Q130*_xlfn.IFERROR((VLOOKUP(P130,'Settings'!$E$28:$F$33,2,FALSE)+1),1)</f>
        <v>9.709368028731189</v>
      </c>
      <c r="Y130" s="79">
        <f>VLOOKUP(B130,'Player Data'!$A1:$AE667,13,FALSE)*$Q130</f>
        <v>0.103584275392388</v>
      </c>
      <c r="Z130" s="79">
        <f>VLOOKUP(B130,'Player Data'!$A1:$AE667,14,FALSE)*$Q130</f>
        <v>0.333064236809161</v>
      </c>
      <c r="AA130" s="79">
        <f>VLOOKUP(B130,'Player Data'!$A1:$AE667,15,FALSE)*$Q130</f>
        <v>44.5239174652926</v>
      </c>
      <c r="AB130" s="79">
        <f>VLOOKUP(B130,'Player Data'!$A1:$AE667,16,FALSE)*$Q130</f>
        <v>165.673958044025</v>
      </c>
      <c r="AC130" s="79">
        <f>VLOOKUP(B130,'Player Data'!$A1:$AE667,17,FALSE)*$Q130*_xlfn.IFERROR((VLOOKUP(P130,'Settings'!$E$28:$F$33,2,FALSE)+1),1)</f>
        <v>6.86751019033384</v>
      </c>
      <c r="AD130" s="79">
        <f>VLOOKUP(B130,'Player Data'!$A1:$AE667,18,FALSE)*$Q130</f>
        <v>65.2354544510313</v>
      </c>
      <c r="AE130" s="79">
        <f>VLOOKUP(B130,'Player Data'!$A1:$AE667,19,FALSE)*$Q130*_xlfn.IFERROR((VLOOKUP(P130,'Settings'!$E$28:$F$33,2,FALSE)+1),1)</f>
        <v>3.61131894959781</v>
      </c>
      <c r="AF130" s="79">
        <f>VLOOKUP(B130,'Player Data'!$A1:$AE667,20,FALSE)*$Q130</f>
        <v>444.711643639087</v>
      </c>
      <c r="AG130" s="79">
        <f>VLOOKUP(B130,'Player Data'!$A1:$AE667,21,FALSE)*$Q130</f>
        <v>515.950062974224</v>
      </c>
      <c r="AH130" s="81">
        <f>VLOOKUP(B130,'Player Data'!$A1:$AE667,22,FALSE)</f>
        <v>0.462922213488514</v>
      </c>
      <c r="AI130" s="77"/>
      <c r="AJ130" s="79"/>
      <c r="AK130" s="79"/>
      <c r="AL130" s="79"/>
      <c r="AM130" s="79"/>
      <c r="AN130" s="79"/>
      <c r="AO130" s="79"/>
      <c r="AP130" s="79"/>
      <c r="AQ130" s="82"/>
      <c r="AR130" s="83"/>
      <c r="AS130" s="84"/>
    </row>
    <row r="131" ht="21.25" customHeight="1">
      <c r="A131" s="85">
        <f>RANK(K131,K$1:K$665)</f>
        <v>125</v>
      </c>
      <c r="B131" t="s" s="16">
        <v>313</v>
      </c>
      <c r="C131" t="s" s="69">
        <v>127</v>
      </c>
      <c r="D131" t="s" s="70">
        <f>VLOOKUP(B131,'Player Data'!A1:D667,4,FALSE)</f>
        <v>153</v>
      </c>
      <c r="E131" s="95">
        <f>VLOOKUP(B131,'D'!A1:C213,3,FALSE)</f>
        <v>27</v>
      </c>
      <c r="F131" t="s" s="78">
        <f>VLOOKUP(B131,'Player Data'!A1:B667,2,FALSE)</f>
        <v>168</v>
      </c>
      <c r="G131" s="11">
        <f>VLOOKUP(B131,'Player Data'!A1:D667,3,FALSE)</f>
        <v>29</v>
      </c>
      <c r="H131" s="94">
        <f>_xlfn.IFERROR(VLOOKUP(B131,'ADP'!A1:G665,7,FALSE)/1000000,VLOOKUP(B131,'ADP'!A1:G665,7,FALSE))</f>
        <v>5.875</v>
      </c>
      <c r="I131" s="74">
        <f>IF('Settings'!$E$15="POINTS",((R131*Q131)*'Settings'!$B$12)+(S131*'Settings'!$B$2)+(T131*'Settings'!$B$3)+(U131*'Settings'!$B$4)+(V131*'Settings'!$B$5)+(X131*'Settings'!$B$9)+(AA131*'Settings'!$B$6)+(W131*'Settings'!$B$8)+(AB131*'Settings'!$B$7)+(AC131*'Settings'!$B$14)+(AD131*'Settings'!$B$15)+(AE131*'Settings'!$B$16)+(AF131*'Settings'!$B$17)+(AG131*'Settings'!$B$18)+(U131*'Settings'!$B$13)+(Y131*'Settings'!$B$10)+(Z131*'Settings'!$B$11),VLOOKUP(B131,'Standard Deviations'!A1:C666,3,FALSE))</f>
        <v>303.794637895916</v>
      </c>
      <c r="J131" s="75">
        <f>IF(D131="G",I131/AJ131,I131/Q131)</f>
        <v>3.72616997296598</v>
      </c>
      <c r="K131" s="74">
        <f>VLOOKUP(B131,'D'!A1:F213,6,FALSE)</f>
        <v>-27.745570024166</v>
      </c>
      <c r="L131" s="76">
        <f>_xlfn.IFERROR(K131/H131,"N/A")</f>
        <v>-4.72265021687932</v>
      </c>
      <c r="M131" s="77">
        <f>IF('Settings'!$E$9="YAHOO",VLOOKUP(B131,'ADP'!A1:E665,2,FALSE),IF('Settings'!$E$9="ESPN",VLOOKUP(B131,'ADP'!A1:E665,3,FALSE),IF('Settings'!$E$9="FANTRAX",VLOOKUP(B131,'ADP'!A1:E665,4,FALSE),VLOOKUP(B131,'ADP'!A1:E665,5,FALSE))))</f>
        <v>0</v>
      </c>
      <c r="N131" s="77">
        <f>_xlfn.IFERROR(M131-A131,"N/A")</f>
        <v>-125</v>
      </c>
      <c r="O131" s="77"/>
      <c r="P131" t="s" s="78">
        <f>IF('Settings'!$E$27="ON",VLOOKUP(B131,'ADP'!A1:H665,8,FALSE)," ")</f>
        <v>138</v>
      </c>
      <c r="Q131" s="79">
        <f>IF('Settings'!$E$12="YES",VLOOKUP(B131,'Player Data'!A1:E667,5,FALSE),82)</f>
        <v>81.53</v>
      </c>
      <c r="R131" s="77">
        <f>VLOOKUP(B131,'Player Data'!$A1:$AE667,6,FALSE)</f>
        <v>20.9436417763035</v>
      </c>
      <c r="S131" s="79">
        <f>VLOOKUP(B131,'Player Data'!$A1:$AE667,7,FALSE)*$Q131*_xlfn.IFERROR((VLOOKUP(P131,'Settings'!$E$28:$F$33,2,FALSE)+1),1)</f>
        <v>6.05720430580681</v>
      </c>
      <c r="T131" s="79">
        <f>VLOOKUP(B131,'Player Data'!$A1:$AE667,8,FALSE)*$Q131*_xlfn.IFERROR((VLOOKUP(P131,'Settings'!$E$28:$F$33,2,FALSE)+1),1)</f>
        <v>26.3119750738911</v>
      </c>
      <c r="U131" s="79">
        <f>SUM(S131:T131)</f>
        <v>32.3691793796979</v>
      </c>
      <c r="V131" s="79">
        <f>VLOOKUP(B131,'Player Data'!$A1:$AE667,10,FALSE)*$Q131*_xlfn.IFERROR(((VLOOKUP(P131,'Settings'!$E$28:$F$33,2,FALSE)/2)+1),1)</f>
        <v>139.083323708754</v>
      </c>
      <c r="W131" s="79">
        <f>VLOOKUP(B131,'Player Data'!$A1:$AE667,11,FALSE)*$Q131*_xlfn.IFERROR((VLOOKUP(P131,'Settings'!$E$28:$F$33,2,FALSE)+1),1)</f>
        <v>0.955836674132337</v>
      </c>
      <c r="X131" s="79">
        <f>VLOOKUP(B131,'Player Data'!$A1:$AE667,12,FALSE)*$Q131*_xlfn.IFERROR((VLOOKUP(P131,'Settings'!$E$28:$F$33,2,FALSE)+1),1)</f>
        <v>6.87923361280727</v>
      </c>
      <c r="Y131" s="79">
        <f>VLOOKUP(B131,'Player Data'!$A1:$AE667,13,FALSE)*$Q131</f>
        <v>0.0326045125362649</v>
      </c>
      <c r="Z131" s="79">
        <f>VLOOKUP(B131,'Player Data'!$A1:$AE667,14,FALSE)*$Q131</f>
        <v>0.404811618047316</v>
      </c>
      <c r="AA131" s="79">
        <f>VLOOKUP(B131,'Player Data'!$A1:$AE667,15,FALSE)*$Q131</f>
        <v>122.345454229736</v>
      </c>
      <c r="AB131" s="79">
        <f>VLOOKUP(B131,'Player Data'!$A1:$AE667,16,FALSE)*$Q131</f>
        <v>185.683829641879</v>
      </c>
      <c r="AC131" s="79">
        <f>VLOOKUP(B131,'Player Data'!$A1:$AE667,17,FALSE)*$Q131*_xlfn.IFERROR((VLOOKUP(P131,'Settings'!$E$28:$F$33,2,FALSE)+1),1)</f>
        <v>0.790597151206282</v>
      </c>
      <c r="AD131" s="79">
        <f>VLOOKUP(B131,'Player Data'!$A1:$AE667,18,FALSE)*$Q131</f>
        <v>50.7329107416674</v>
      </c>
      <c r="AE131" s="79">
        <f>VLOOKUP(B131,'Player Data'!$A1:$AE667,19,FALSE)*$Q131*_xlfn.IFERROR((VLOOKUP(P131,'Settings'!$E$28:$F$33,2,FALSE)+1),1)</f>
        <v>1.00686822203247</v>
      </c>
      <c r="AF131" s="79">
        <f>VLOOKUP(B131,'Player Data'!$A1:$AE667,20,FALSE)*$Q131</f>
        <v>0</v>
      </c>
      <c r="AG131" s="79">
        <f>VLOOKUP(B131,'Player Data'!$A1:$AE667,21,FALSE)*$Q131</f>
        <v>0</v>
      </c>
      <c r="AH131" s="81">
        <f>VLOOKUP(B131,'Player Data'!$A1:$AE667,22,FALSE)</f>
        <v>0</v>
      </c>
      <c r="AI131" s="77"/>
      <c r="AJ131" s="79"/>
      <c r="AK131" s="79"/>
      <c r="AL131" s="79"/>
      <c r="AM131" s="79"/>
      <c r="AN131" s="79"/>
      <c r="AO131" s="79"/>
      <c r="AP131" s="79"/>
      <c r="AQ131" s="82"/>
      <c r="AR131" s="83"/>
      <c r="AS131" s="84"/>
    </row>
    <row r="132" ht="21.25" customHeight="1">
      <c r="A132" s="85">
        <f>RANK(K132,K$1:K$665)</f>
        <v>128</v>
      </c>
      <c r="B132" t="s" s="16">
        <v>314</v>
      </c>
      <c r="C132" t="s" s="69">
        <v>127</v>
      </c>
      <c r="D132" t="s" s="70">
        <f>VLOOKUP(B132,'Player Data'!A1:D667,4,FALSE)</f>
        <v>153</v>
      </c>
      <c r="E132" s="95">
        <f>VLOOKUP(B132,'D'!A1:C213,3,FALSE)</f>
        <v>28</v>
      </c>
      <c r="F132" t="s" s="103">
        <f>VLOOKUP(B132,'Player Data'!A1:B667,2,FALSE)</f>
        <v>182</v>
      </c>
      <c r="G132" s="96">
        <f>VLOOKUP(B132,'Player Data'!A1:D667,3,FALSE)</f>
        <v>22</v>
      </c>
      <c r="H132" s="73">
        <f>_xlfn.IFERROR(VLOOKUP(B132,'ADP'!A1:G665,7,FALSE)/1000000,VLOOKUP(B132,'ADP'!A1:G665,7,FALSE))</f>
        <v>0.925</v>
      </c>
      <c r="I132" s="74">
        <f>IF('Settings'!$E$15="POINTS",((R132*Q132)*'Settings'!$B$12)+(S132*'Settings'!$B$2)+(T132*'Settings'!$B$3)+(U132*'Settings'!$B$4)+(V132*'Settings'!$B$5)+(X132*'Settings'!$B$9)+(AA132*'Settings'!$B$6)+(W132*'Settings'!$B$8)+(AB132*'Settings'!$B$7)+(AC132*'Settings'!$B$14)+(AD132*'Settings'!$B$15)+(AE132*'Settings'!$B$16)+(AF132*'Settings'!$B$17)+(AG132*'Settings'!$B$18)+(U132*'Settings'!$B$13)+(Y132*'Settings'!$B$10)+(Z132*'Settings'!$B$11),VLOOKUP(B132,'Standard Deviations'!A1:C666,3,FALSE))</f>
        <v>303.188485559654</v>
      </c>
      <c r="J132" s="75">
        <f>IF(D132="G",I132/AJ132,I132/Q132)</f>
        <v>3.75791380217717</v>
      </c>
      <c r="K132" s="74">
        <f>VLOOKUP(B132,'D'!A1:F213,6,FALSE)</f>
        <v>-28.351722360428</v>
      </c>
      <c r="L132" s="76">
        <f>_xlfn.IFERROR(K132/H132,"N/A")</f>
        <v>-30.6505106599222</v>
      </c>
      <c r="M132" s="77">
        <f>IF('Settings'!$E$9="YAHOO",VLOOKUP(B132,'ADP'!A1:E665,2,FALSE),IF('Settings'!$E$9="ESPN",VLOOKUP(B132,'ADP'!A1:E665,3,FALSE),IF('Settings'!$E$9="FANTRAX",VLOOKUP(B132,'ADP'!A1:E665,4,FALSE),VLOOKUP(B132,'ADP'!A1:E665,5,FALSE))))</f>
        <v>0</v>
      </c>
      <c r="N132" s="77">
        <f>_xlfn.IFERROR(M132-A132,"N/A")</f>
        <v>-128</v>
      </c>
      <c r="O132" s="77"/>
      <c r="P132" t="s" s="78">
        <f>IF('Settings'!$E$27="ON",VLOOKUP(B132,'ADP'!A1:H665,8,FALSE)," ")</f>
        <v>138</v>
      </c>
      <c r="Q132" s="79">
        <f>IF('Settings'!$E$12="YES",VLOOKUP(B132,'Player Data'!A1:E667,5,FALSE),82)</f>
        <v>80.68000000000001</v>
      </c>
      <c r="R132" s="77">
        <f>VLOOKUP(B132,'Player Data'!$A1:$AE667,6,FALSE)</f>
        <v>24.3061976881464</v>
      </c>
      <c r="S132" s="79">
        <f>VLOOKUP(B132,'Player Data'!$A1:$AE667,7,FALSE)*$Q132*_xlfn.IFERROR((VLOOKUP(P132,'Settings'!$E$28:$F$33,2,FALSE)+1),1)</f>
        <v>9.33560553311499</v>
      </c>
      <c r="T132" s="79">
        <f>VLOOKUP(B132,'Player Data'!$A1:$AE667,8,FALSE)*$Q132*_xlfn.IFERROR((VLOOKUP(P132,'Settings'!$E$28:$F$33,2,FALSE)+1),1)</f>
        <v>42.3610413675391</v>
      </c>
      <c r="U132" s="79">
        <f>SUM(S132:T132)</f>
        <v>51.6966469006541</v>
      </c>
      <c r="V132" s="79">
        <f>VLOOKUP(B132,'Player Data'!$A1:$AE667,10,FALSE)*$Q132*_xlfn.IFERROR(((VLOOKUP(P132,'Settings'!$E$28:$F$33,2,FALSE)/2)+1),1)</f>
        <v>144.843984990856</v>
      </c>
      <c r="W132" s="79">
        <f>VLOOKUP(B132,'Player Data'!$A1:$AE667,11,FALSE)*$Q132*_xlfn.IFERROR((VLOOKUP(P132,'Settings'!$E$28:$F$33,2,FALSE)+1),1)</f>
        <v>2.53585054550454</v>
      </c>
      <c r="X132" s="80">
        <f>VLOOKUP(B132,'Player Data'!$A1:$AE667,12,FALSE)*$Q132*_xlfn.IFERROR((VLOOKUP(P132,'Settings'!$E$28:$F$33,2,FALSE)+1),1)</f>
        <v>18.0726661763071</v>
      </c>
      <c r="Y132" s="79">
        <f>VLOOKUP(B132,'Player Data'!$A1:$AE667,13,FALSE)*$Q132</f>
        <v>0.0376231147531525</v>
      </c>
      <c r="Z132" s="79">
        <f>VLOOKUP(B132,'Player Data'!$A1:$AE667,14,FALSE)*$Q132</f>
        <v>0.160886721364245</v>
      </c>
      <c r="AA132" s="79">
        <f>VLOOKUP(B132,'Player Data'!$A1:$AE667,15,FALSE)*$Q132</f>
        <v>141.209855772205</v>
      </c>
      <c r="AB132" s="79">
        <f>VLOOKUP(B132,'Player Data'!$A1:$AE667,16,FALSE)*$Q132</f>
        <v>69.05873165634139</v>
      </c>
      <c r="AC132" s="79">
        <f>VLOOKUP(B132,'Player Data'!$A1:$AE667,17,FALSE)*$Q132*_xlfn.IFERROR((VLOOKUP(P132,'Settings'!$E$28:$F$33,2,FALSE)+1),1)</f>
        <v>0.214846915912372</v>
      </c>
      <c r="AD132" s="79">
        <f>VLOOKUP(B132,'Player Data'!$A1:$AE667,18,FALSE)*$Q132</f>
        <v>31.3008769951699</v>
      </c>
      <c r="AE132" s="79">
        <f>VLOOKUP(B132,'Player Data'!$A1:$AE667,19,FALSE)*$Q132*_xlfn.IFERROR((VLOOKUP(P132,'Settings'!$E$28:$F$33,2,FALSE)+1),1)</f>
        <v>1.54111361185994</v>
      </c>
      <c r="AF132" s="79">
        <f>VLOOKUP(B132,'Player Data'!$A1:$AE667,20,FALSE)*$Q132</f>
        <v>0</v>
      </c>
      <c r="AG132" s="79">
        <f>VLOOKUP(B132,'Player Data'!$A1:$AE667,21,FALSE)*$Q132</f>
        <v>0</v>
      </c>
      <c r="AH132" s="81">
        <f>VLOOKUP(B132,'Player Data'!$A1:$AE667,22,FALSE)</f>
        <v>0</v>
      </c>
      <c r="AI132" s="77"/>
      <c r="AJ132" s="79"/>
      <c r="AK132" s="79"/>
      <c r="AL132" s="79"/>
      <c r="AM132" s="79"/>
      <c r="AN132" s="79"/>
      <c r="AO132" s="79"/>
      <c r="AP132" s="79"/>
      <c r="AQ132" s="82"/>
      <c r="AR132" s="83"/>
      <c r="AS132" s="84"/>
    </row>
    <row r="133" ht="21.25" customHeight="1">
      <c r="A133" s="85">
        <f>RANK(K133,K$1:K$665)</f>
        <v>140</v>
      </c>
      <c r="B133" t="s" s="16">
        <v>315</v>
      </c>
      <c r="C133" t="s" s="69">
        <v>127</v>
      </c>
      <c r="D133" t="s" s="70">
        <f>VLOOKUP(B133,'Player Data'!A1:D667,4,FALSE)</f>
        <v>136</v>
      </c>
      <c r="E133" s="87">
        <f>VLOOKUP(B133,'LW'!A1:C152,3,FALSE)</f>
        <v>38</v>
      </c>
      <c r="F133" t="s" s="104">
        <f>VLOOKUP(B133,'Player Data'!A1:B667,2,FALSE)</f>
        <v>271</v>
      </c>
      <c r="G133" s="11">
        <f>VLOOKUP(B133,'Player Data'!A1:D667,3,FALSE)</f>
        <v>29</v>
      </c>
      <c r="H133" s="73">
        <f>_xlfn.IFERROR(VLOOKUP(B133,'ADP'!A1:G665,7,FALSE)/1000000,VLOOKUP(B133,'ADP'!A1:G665,7,FALSE))</f>
        <v>5.8</v>
      </c>
      <c r="I133" s="74">
        <f>IF('Settings'!$E$15="POINTS",((R133*Q133)*'Settings'!$B$12)+(S133*'Settings'!$B$2)+(T133*'Settings'!$B$3)+(U133*'Settings'!$B$4)+(V133*'Settings'!$B$5)+(X133*'Settings'!$B$9)+(AA133*'Settings'!$B$6)+(W133*'Settings'!$B$8)+(AB133*'Settings'!$B$7)+(AC133*'Settings'!$B$14)+(AD133*'Settings'!$B$15)+(AE133*'Settings'!$B$16)+(AF133*'Settings'!$B$17)+(AG133*'Settings'!$B$18)+(Y133*'Settings'!$B$10)+(Z133*'Settings'!$B$11),VLOOKUP(B133,'Standard Deviations'!A1:C666,3,FALSE))</f>
        <v>296.193841845545</v>
      </c>
      <c r="J133" s="75">
        <f>IF(D133="G",I133/AJ133,I133/Q133)</f>
        <v>3.78946223375078</v>
      </c>
      <c r="K133" s="74">
        <f>IF('Settings'!$E$18="C/LW/RW",VLOOKUP(B133,'LW'!A1:F152,6,FALSE),VLOOKUP(B133,'F'!A1:F392,6,FALSE))</f>
        <v>-35.526269920667</v>
      </c>
      <c r="L133" s="76">
        <f>_xlfn.IFERROR(K133/H133,"N/A")</f>
        <v>-6.12521895183914</v>
      </c>
      <c r="M133" s="77">
        <f>IF('Settings'!$E$9="YAHOO",VLOOKUP(B133,'ADP'!A1:E665,2,FALSE),IF('Settings'!$E$9="ESPN",VLOOKUP(B133,'ADP'!A1:E665,3,FALSE),IF('Settings'!$E$9="FANTRAX",VLOOKUP(B133,'ADP'!A1:E665,4,FALSE),VLOOKUP(B133,'ADP'!A1:E665,5,FALSE))))</f>
        <v>0</v>
      </c>
      <c r="N133" s="77">
        <f>_xlfn.IFERROR(M133-A133,"N/A")</f>
        <v>-140</v>
      </c>
      <c r="O133" s="77"/>
      <c r="P133" t="s" s="78">
        <f>IF('Settings'!$E$27="ON",VLOOKUP(B133,'ADP'!A1:H665,8,FALSE)," ")</f>
        <v>138</v>
      </c>
      <c r="Q133" s="79">
        <f>IF('Settings'!$E$12="YES",VLOOKUP(B133,'Player Data'!A1:E667,5,FALSE),82)</f>
        <v>78.16249999999999</v>
      </c>
      <c r="R133" s="77">
        <f>VLOOKUP(B133,'Player Data'!$A1:$AE667,6,FALSE)</f>
        <v>19.8714289886043</v>
      </c>
      <c r="S133" s="79">
        <f>VLOOKUP(B133,'Player Data'!$A1:$AE667,7,FALSE)*$Q133*_xlfn.IFERROR((VLOOKUP(P133,'Settings'!$E$28:$F$33,2,FALSE)+1),1)</f>
        <v>29.3482565884161</v>
      </c>
      <c r="T133" s="79">
        <f>VLOOKUP(B133,'Player Data'!$A1:$AE667,8,FALSE)*$Q133*_xlfn.IFERROR((VLOOKUP(P133,'Settings'!$E$28:$F$33,2,FALSE)+1),1)</f>
        <v>42.9183807891837</v>
      </c>
      <c r="U133" s="79">
        <f>SUM(S133:T133)</f>
        <v>72.26663737759981</v>
      </c>
      <c r="V133" s="79">
        <f>VLOOKUP(B133,'Player Data'!$A1:$AE667,10,FALSE)*$Q133*_xlfn.IFERROR(((VLOOKUP(P133,'Settings'!$E$28:$F$33,2,FALSE)/2)+1),1)</f>
        <v>203.393806249684</v>
      </c>
      <c r="W133" s="79">
        <f>VLOOKUP(B133,'Player Data'!$A1:$AE667,11,FALSE)*$Q133*_xlfn.IFERROR((VLOOKUP(P133,'Settings'!$E$28:$F$33,2,FALSE)+1),1)</f>
        <v>9.419030069031811</v>
      </c>
      <c r="X133" s="80">
        <f>VLOOKUP(B133,'Player Data'!$A1:$AE667,12,FALSE)*$Q133*_xlfn.IFERROR((VLOOKUP(P133,'Settings'!$E$28:$F$33,2,FALSE)+1),1)</f>
        <v>22.4181497338571</v>
      </c>
      <c r="Y133" s="79">
        <f>VLOOKUP(B133,'Player Data'!$A1:$AE667,13,FALSE)*$Q133</f>
        <v>1.11823915768454</v>
      </c>
      <c r="Z133" s="79">
        <f>VLOOKUP(B133,'Player Data'!$A1:$AE667,14,FALSE)*$Q133</f>
        <v>2.45710602908711</v>
      </c>
      <c r="AA133" s="79">
        <f>VLOOKUP(B133,'Player Data'!$A1:$AE667,15,FALSE)*$Q133</f>
        <v>28.3894739151756</v>
      </c>
      <c r="AB133" s="79">
        <f>VLOOKUP(B133,'Player Data'!$A1:$AE667,16,FALSE)*$Q133</f>
        <v>50.2584513244867</v>
      </c>
      <c r="AC133" s="79">
        <f>VLOOKUP(B133,'Player Data'!$A1:$AE667,17,FALSE)*$Q133*_xlfn.IFERROR((VLOOKUP(P133,'Settings'!$E$28:$F$33,2,FALSE)+1),1)</f>
        <v>-0.5992469798033629</v>
      </c>
      <c r="AD133" s="79">
        <f>VLOOKUP(B133,'Player Data'!$A1:$AE667,18,FALSE)*$Q133</f>
        <v>34.7993371476574</v>
      </c>
      <c r="AE133" s="79">
        <f>VLOOKUP(B133,'Player Data'!$A1:$AE667,19,FALSE)*$Q133*_xlfn.IFERROR((VLOOKUP(P133,'Settings'!$E$28:$F$33,2,FALSE)+1),1)</f>
        <v>3.53335674319911</v>
      </c>
      <c r="AF133" s="79">
        <f>VLOOKUP(B133,'Player Data'!$A1:$AE667,20,FALSE)*$Q133</f>
        <v>64.8704953922211</v>
      </c>
      <c r="AG133" s="79">
        <f>VLOOKUP(B133,'Player Data'!$A1:$AE667,21,FALSE)*$Q133</f>
        <v>124.816360996537</v>
      </c>
      <c r="AH133" s="81">
        <f>VLOOKUP(B133,'Player Data'!$A1:$AE667,22,FALSE)</f>
        <v>0.341987297524034</v>
      </c>
      <c r="AI133" s="77"/>
      <c r="AJ133" s="79"/>
      <c r="AK133" s="79"/>
      <c r="AL133" s="79"/>
      <c r="AM133" s="79"/>
      <c r="AN133" s="79"/>
      <c r="AO133" s="79"/>
      <c r="AP133" s="79"/>
      <c r="AQ133" s="82"/>
      <c r="AR133" s="83"/>
      <c r="AS133" s="84"/>
    </row>
    <row r="134" ht="21.25" customHeight="1">
      <c r="A134" s="85">
        <f>RANK(K134,K$1:K$665)</f>
        <v>118</v>
      </c>
      <c r="B134" t="s" s="16">
        <v>316</v>
      </c>
      <c r="C134" t="s" s="69">
        <v>127</v>
      </c>
      <c r="D134" t="s" s="70">
        <f>VLOOKUP(B134,'Player Data'!A1:D667,4,FALSE)</f>
        <v>161</v>
      </c>
      <c r="E134" s="99">
        <f>VLOOKUP(B134,'G'!A1:D65,3,FALSE)</f>
        <v>23</v>
      </c>
      <c r="F134" t="s" s="88">
        <f>VLOOKUP(B134,'Player Data'!A1:B667,2,FALSE)</f>
        <v>317</v>
      </c>
      <c r="G134" s="11">
        <f>VLOOKUP(B134,'Player Data'!A1:D667,3,FALSE)</f>
        <v>30</v>
      </c>
      <c r="H134" s="73">
        <f>_xlfn.IFERROR(VLOOKUP(B134,'ADP'!A1:G665,7,FALSE)/1000000,VLOOKUP(B134,'ADP'!A1:G665,7,FALSE))</f>
        <v>5.4</v>
      </c>
      <c r="I134" s="74">
        <f>IF('Settings'!$E$15="POINTS",(AJ134*'Settings'!$B$29)+(AK134*'Settings'!$B$21)+(AL134*'Settings'!$B$22)+(AN134*'Settings'!$B$24)+(AO134*'Settings'!$B$25)+(AP134*'Settings'!$B$27)+(AM134*'Settings'!$B$23),VLOOKUP(B134,'Standard Deviations'!A1:C666,3,FALSE))</f>
        <v>242.673423925538</v>
      </c>
      <c r="J134" s="75">
        <f>IF(D134="G",I134/AJ134,I134/Q134)</f>
        <v>5.05569633178204</v>
      </c>
      <c r="K134" s="74">
        <f>VLOOKUP(B134,'G'!A1:F65,6,FALSE)</f>
        <v>-24.917590639052</v>
      </c>
      <c r="L134" s="76">
        <f>_xlfn.IFERROR(K134/H134,"N/A")</f>
        <v>-4.61436863686148</v>
      </c>
      <c r="M134" s="77">
        <f>IF('Settings'!$E$9="YAHOO",VLOOKUP(B134,'ADP'!A1:E665,2,FALSE),IF('Settings'!$E$9="ESPN",VLOOKUP(B134,'ADP'!A1:E665,3,FALSE),IF('Settings'!$E$9="FANTRAX",VLOOKUP(B134,'ADP'!A1:E665,4,FALSE),VLOOKUP(B134,'ADP'!A1:E665,5,FALSE))))</f>
        <v>0</v>
      </c>
      <c r="N134" s="77">
        <f>_xlfn.IFERROR(M134-A134,"N/A")</f>
        <v>-118</v>
      </c>
      <c r="O134" s="77"/>
      <c r="P134" t="s" s="78">
        <f>IF('Settings'!$E$27="ON",VLOOKUP(B134,'ADP'!A1:H665,8,FALSE)," ")</f>
        <v>138</v>
      </c>
      <c r="Q134" s="79"/>
      <c r="R134" s="77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81"/>
      <c r="AI134" s="77"/>
      <c r="AJ134" s="89">
        <f>VLOOKUP(B134,'Player Data'!$A1:$AE667,24,FALSE)</f>
        <v>48</v>
      </c>
      <c r="AK134" s="79">
        <f>VLOOKUP(B134,'Player Data'!$A1:$AE667,25,FALSE)*$AJ134*_xlfn.IFERROR((VLOOKUP(P134,'Settings'!$E$28:$F$33,2,FALSE)+1),1)</f>
        <v>18.2821018807249</v>
      </c>
      <c r="AL134" s="79">
        <f>AJ134-AK134-AM134</f>
        <v>23.7178981192751</v>
      </c>
      <c r="AM134" s="79">
        <f>VLOOKUP(B134,'Player Data'!$A1:$AE667,27,FALSE)*$AJ134</f>
        <v>6</v>
      </c>
      <c r="AN134" s="79">
        <f>VLOOKUP(B134,'Player Data'!$A1:$AE667,28,FALSE)*AJ134</f>
        <v>1.10652048529272</v>
      </c>
      <c r="AO134" s="79">
        <f>VLOOKUP(B134,'Player Data'!$A1:$AE667,29,FALSE)*$AJ134*_xlfn.IFERROR((VLOOKUP(P134,'Settings'!$E$28:$F$33,2,FALSE)/4)+1,1)</f>
        <v>1396.229454412410</v>
      </c>
      <c r="AP134" s="79">
        <f>VLOOKUP(B134,'Player Data'!$A1:$AE667,31,FALSE)*$AJ134*(_xlfn.IFERROR(1-(VLOOKUP(P134,'Settings'!$E$28:$F$33,2,FALSE)/4),1))</f>
        <v>155.265721441718</v>
      </c>
      <c r="AQ134" s="82">
        <f>1-(AP134/(AO134+AP134))</f>
        <v>0.8999251020189341</v>
      </c>
      <c r="AR134" s="83">
        <f>AP134/AJ134</f>
        <v>3.23470253003579</v>
      </c>
      <c r="AS134" s="84"/>
    </row>
    <row r="135" ht="21.25" customHeight="1">
      <c r="A135" s="85">
        <f>RANK(K135,K$1:K$665)</f>
        <v>133</v>
      </c>
      <c r="B135" t="s" s="16">
        <v>318</v>
      </c>
      <c r="C135" t="s" s="69">
        <v>127</v>
      </c>
      <c r="D135" t="s" s="70">
        <f>VLOOKUP(B135,'Player Data'!A1:D667,4,FALSE)</f>
        <v>153</v>
      </c>
      <c r="E135" s="95">
        <f>VLOOKUP(B135,'D'!A1:C213,3,FALSE)</f>
        <v>29</v>
      </c>
      <c r="F135" t="s" s="103">
        <f>VLOOKUP(B135,'Player Data'!A1:B667,2,FALSE)</f>
        <v>225</v>
      </c>
      <c r="G135" s="91">
        <f>VLOOKUP(B135,'Player Data'!A1:D667,3,FALSE)</f>
        <v>34</v>
      </c>
      <c r="H135" s="73">
        <f>_xlfn.IFERROR(VLOOKUP(B135,'ADP'!A1:G665,7,FALSE)/1000000,VLOOKUP(B135,'ADP'!A1:G665,7,FALSE))</f>
        <v>11</v>
      </c>
      <c r="I135" s="74">
        <f>IF('Settings'!$E$15="POINTS",((R135*Q135)*'Settings'!$B$12)+(S135*'Settings'!$B$2)+(T135*'Settings'!$B$3)+(U135*'Settings'!$B$4)+(V135*'Settings'!$B$5)+(X135*'Settings'!$B$9)+(AA135*'Settings'!$B$6)+(W135*'Settings'!$B$8)+(AB135*'Settings'!$B$7)+(AC135*'Settings'!$B$14)+(AD135*'Settings'!$B$15)+(AE135*'Settings'!$B$16)+(AF135*'Settings'!$B$17)+(AG135*'Settings'!$B$18)+(U135*'Settings'!$B$13)+(Y135*'Settings'!$B$10)+(Z135*'Settings'!$B$11),VLOOKUP(B135,'Standard Deviations'!A1:C666,3,FALSE))</f>
        <v>302.297746938532</v>
      </c>
      <c r="J135" s="75">
        <f>IF(D135="G",I135/AJ135,I135/Q135)</f>
        <v>3.89596606551577</v>
      </c>
      <c r="K135" s="74">
        <f>VLOOKUP(B135,'D'!A1:F213,6,FALSE)</f>
        <v>-29.242460981550</v>
      </c>
      <c r="L135" s="76">
        <f>_xlfn.IFERROR(K135/H135,"N/A")</f>
        <v>-2.65840554377727</v>
      </c>
      <c r="M135" s="77">
        <f>IF('Settings'!$E$9="YAHOO",VLOOKUP(B135,'ADP'!A1:E665,2,FALSE),IF('Settings'!$E$9="ESPN",VLOOKUP(B135,'ADP'!A1:E665,3,FALSE),IF('Settings'!$E$9="FANTRAX",VLOOKUP(B135,'ADP'!A1:E665,4,FALSE),VLOOKUP(B135,'ADP'!A1:E665,5,FALSE))))</f>
        <v>0</v>
      </c>
      <c r="N135" s="77">
        <f>_xlfn.IFERROR(M135-A135,"N/A")</f>
        <v>-133</v>
      </c>
      <c r="O135" s="77"/>
      <c r="P135" t="s" s="78">
        <f>IF('Settings'!$E$27="ON",VLOOKUP(B135,'ADP'!A1:H665,8,FALSE)," ")</f>
        <v>138</v>
      </c>
      <c r="Q135" s="79">
        <f>IF('Settings'!$E$12="YES",VLOOKUP(B135,'Player Data'!A1:E667,5,FALSE),82)</f>
        <v>77.5925</v>
      </c>
      <c r="R135" s="77">
        <f>VLOOKUP(B135,'Player Data'!$A1:$AE667,6,FALSE)</f>
        <v>25.5997276068931</v>
      </c>
      <c r="S135" s="79">
        <f>VLOOKUP(B135,'Player Data'!$A1:$AE667,7,FALSE)*$Q135*_xlfn.IFERROR((VLOOKUP(P135,'Settings'!$E$28:$F$33,2,FALSE)+1),1)</f>
        <v>10.9737809190254</v>
      </c>
      <c r="T135" s="79">
        <f>VLOOKUP(B135,'Player Data'!$A1:$AE667,8,FALSE)*$Q135*_xlfn.IFERROR((VLOOKUP(P135,'Settings'!$E$28:$F$33,2,FALSE)+1),1)</f>
        <v>37.0415675847826</v>
      </c>
      <c r="U135" s="79">
        <f>SUM(S135:T135)</f>
        <v>48.015348503808</v>
      </c>
      <c r="V135" s="79">
        <f>VLOOKUP(B135,'Player Data'!$A1:$AE667,10,FALSE)*$Q135*_xlfn.IFERROR(((VLOOKUP(P135,'Settings'!$E$28:$F$33,2,FALSE)/2)+1),1)</f>
        <v>137.742257088938</v>
      </c>
      <c r="W135" s="79">
        <f>VLOOKUP(B135,'Player Data'!$A1:$AE667,11,FALSE)*$Q135*_xlfn.IFERROR((VLOOKUP(P135,'Settings'!$E$28:$F$33,2,FALSE)+1),1)</f>
        <v>4.31935155661752</v>
      </c>
      <c r="X135" s="80">
        <f>VLOOKUP(B135,'Player Data'!$A1:$AE667,12,FALSE)*$Q135*_xlfn.IFERROR((VLOOKUP(P135,'Settings'!$E$28:$F$33,2,FALSE)+1),1)</f>
        <v>19.7145950565806</v>
      </c>
      <c r="Y135" s="79">
        <f>VLOOKUP(B135,'Player Data'!$A1:$AE667,13,FALSE)*$Q135</f>
        <v>0.0239912782289634</v>
      </c>
      <c r="Z135" s="79">
        <f>VLOOKUP(B135,'Player Data'!$A1:$AE667,14,FALSE)*$Q135</f>
        <v>0.104439365515037</v>
      </c>
      <c r="AA135" s="79">
        <f>VLOOKUP(B135,'Player Data'!$A1:$AE667,15,FALSE)*$Q135</f>
        <v>126.294783265342</v>
      </c>
      <c r="AB135" s="79">
        <f>VLOOKUP(B135,'Player Data'!$A1:$AE667,16,FALSE)*$Q135</f>
        <v>101.436135359197</v>
      </c>
      <c r="AC135" s="79">
        <f>VLOOKUP(B135,'Player Data'!$A1:$AE667,17,FALSE)*$Q135*_xlfn.IFERROR((VLOOKUP(P135,'Settings'!$E$28:$F$33,2,FALSE)+1),1)</f>
        <v>3.4842857172314</v>
      </c>
      <c r="AD135" s="79">
        <f>VLOOKUP(B135,'Player Data'!$A1:$AE667,18,FALSE)*$Q135</f>
        <v>42.2422927775129</v>
      </c>
      <c r="AE135" s="79">
        <f>VLOOKUP(B135,'Player Data'!$A1:$AE667,19,FALSE)*$Q135*_xlfn.IFERROR((VLOOKUP(P135,'Settings'!$E$28:$F$33,2,FALSE)+1),1)</f>
        <v>1.95565582773848</v>
      </c>
      <c r="AF135" s="79">
        <f>VLOOKUP(B135,'Player Data'!$A1:$AE667,20,FALSE)*$Q135</f>
        <v>0</v>
      </c>
      <c r="AG135" s="79">
        <f>VLOOKUP(B135,'Player Data'!$A1:$AE667,21,FALSE)*$Q135</f>
        <v>0</v>
      </c>
      <c r="AH135" s="81">
        <f>VLOOKUP(B135,'Player Data'!$A1:$AE667,22,FALSE)</f>
        <v>0</v>
      </c>
      <c r="AI135" s="77"/>
      <c r="AJ135" s="79"/>
      <c r="AK135" s="79"/>
      <c r="AL135" s="79"/>
      <c r="AM135" s="79"/>
      <c r="AN135" s="79"/>
      <c r="AO135" s="79"/>
      <c r="AP135" s="79"/>
      <c r="AQ135" s="82"/>
      <c r="AR135" s="83"/>
      <c r="AS135" s="84"/>
    </row>
    <row r="136" ht="21.25" customHeight="1">
      <c r="A136" s="85">
        <f>RANK(K136,K$1:K$665)</f>
        <v>134</v>
      </c>
      <c r="B136" t="s" s="16">
        <v>319</v>
      </c>
      <c r="C136" t="s" s="69">
        <v>127</v>
      </c>
      <c r="D136" t="s" s="70">
        <f>VLOOKUP(B136,'Player Data'!A1:D667,4,FALSE)</f>
        <v>153</v>
      </c>
      <c r="E136" s="95">
        <f>VLOOKUP(B136,'D'!A1:C213,3,FALSE)</f>
        <v>30</v>
      </c>
      <c r="F136" t="s" s="86">
        <f>VLOOKUP(B136,'Player Data'!A1:B667,2,FALSE)</f>
        <v>174</v>
      </c>
      <c r="G136" s="11">
        <f>VLOOKUP(B136,'Player Data'!A1:D667,3,FALSE)</f>
        <v>27</v>
      </c>
      <c r="H136" s="73">
        <f>_xlfn.IFERROR(VLOOKUP(B136,'ADP'!A1:G665,7,FALSE)/1000000,VLOOKUP(B136,'ADP'!A1:G665,7,FALSE))</f>
        <v>4.55</v>
      </c>
      <c r="I136" s="74">
        <f>IF('Settings'!$E$15="POINTS",((R136*Q136)*'Settings'!$B$12)+(S136*'Settings'!$B$2)+(T136*'Settings'!$B$3)+(U136*'Settings'!$B$4)+(V136*'Settings'!$B$5)+(X136*'Settings'!$B$9)+(AA136*'Settings'!$B$6)+(W136*'Settings'!$B$8)+(AB136*'Settings'!$B$7)+(AC136*'Settings'!$B$14)+(AD136*'Settings'!$B$15)+(AE136*'Settings'!$B$16)+(AF136*'Settings'!$B$17)+(AG136*'Settings'!$B$18)+(U136*'Settings'!$B$13)+(Y136*'Settings'!$B$10)+(Z136*'Settings'!$B$11),VLOOKUP(B136,'Standard Deviations'!A1:C666,3,FALSE))</f>
        <v>302.288565844084</v>
      </c>
      <c r="J136" s="75">
        <f>IF(D136="G",I136/AJ136,I136/Q136)</f>
        <v>3.73622427888742</v>
      </c>
      <c r="K136" s="74">
        <f>VLOOKUP(B136,'D'!A1:F213,6,FALSE)</f>
        <v>-29.251642075998</v>
      </c>
      <c r="L136" s="76">
        <f>_xlfn.IFERROR(K136/H136,"N/A")</f>
        <v>-6.42893232439516</v>
      </c>
      <c r="M136" s="77">
        <f>IF('Settings'!$E$9="YAHOO",VLOOKUP(B136,'ADP'!A1:E665,2,FALSE),IF('Settings'!$E$9="ESPN",VLOOKUP(B136,'ADP'!A1:E665,3,FALSE),IF('Settings'!$E$9="FANTRAX",VLOOKUP(B136,'ADP'!A1:E665,4,FALSE),VLOOKUP(B136,'ADP'!A1:E665,5,FALSE))))</f>
        <v>0</v>
      </c>
      <c r="N136" s="77">
        <f>_xlfn.IFERROR(M136-A136,"N/A")</f>
        <v>-134</v>
      </c>
      <c r="O136" s="77"/>
      <c r="P136" t="s" s="78">
        <f>IF('Settings'!$E$27="ON",VLOOKUP(B136,'ADP'!A1:H665,8,FALSE)," ")</f>
        <v>138</v>
      </c>
      <c r="Q136" s="79">
        <f>IF('Settings'!$E$12="YES",VLOOKUP(B136,'Player Data'!A1:E667,5,FALSE),82)</f>
        <v>80.9075</v>
      </c>
      <c r="R136" s="77">
        <f>VLOOKUP(B136,'Player Data'!$A1:$AE667,6,FALSE)</f>
        <v>23.668466175428</v>
      </c>
      <c r="S136" s="79">
        <f>VLOOKUP(B136,'Player Data'!$A1:$AE667,7,FALSE)*$Q136*_xlfn.IFERROR((VLOOKUP(P136,'Settings'!$E$28:$F$33,2,FALSE)+1),1)</f>
        <v>8.54967909749231</v>
      </c>
      <c r="T136" s="79">
        <f>VLOOKUP(B136,'Player Data'!$A1:$AE667,8,FALSE)*$Q136*_xlfn.IFERROR((VLOOKUP(P136,'Settings'!$E$28:$F$33,2,FALSE)+1),1)</f>
        <v>35.0297568077511</v>
      </c>
      <c r="U136" s="79">
        <f>SUM(S136:T136)</f>
        <v>43.5794359052434</v>
      </c>
      <c r="V136" s="79">
        <f>VLOOKUP(B136,'Player Data'!$A1:$AE667,10,FALSE)*$Q136*_xlfn.IFERROR(((VLOOKUP(P136,'Settings'!$E$28:$F$33,2,FALSE)/2)+1),1)</f>
        <v>158.058856567384</v>
      </c>
      <c r="W136" s="79">
        <f>VLOOKUP(B136,'Player Data'!$A1:$AE667,11,FALSE)*$Q136*_xlfn.IFERROR((VLOOKUP(P136,'Settings'!$E$28:$F$33,2,FALSE)+1),1)</f>
        <v>0.7231337731216541</v>
      </c>
      <c r="X136" s="79">
        <f>VLOOKUP(B136,'Player Data'!$A1:$AE667,12,FALSE)*$Q136*_xlfn.IFERROR((VLOOKUP(P136,'Settings'!$E$28:$F$33,2,FALSE)+1),1)</f>
        <v>11.8036661459672</v>
      </c>
      <c r="Y136" s="79">
        <f>VLOOKUP(B136,'Player Data'!$A1:$AE667,13,FALSE)*$Q136</f>
        <v>0.767549890289883</v>
      </c>
      <c r="Z136" s="79">
        <f>VLOOKUP(B136,'Player Data'!$A1:$AE667,14,FALSE)*$Q136</f>
        <v>1.31171776089697</v>
      </c>
      <c r="AA136" s="79">
        <f>VLOOKUP(B136,'Player Data'!$A1:$AE667,15,FALSE)*$Q136</f>
        <v>168.509018068395</v>
      </c>
      <c r="AB136" s="79">
        <f>VLOOKUP(B136,'Player Data'!$A1:$AE667,16,FALSE)*$Q136</f>
        <v>58.4182145603723</v>
      </c>
      <c r="AC136" s="79">
        <f>VLOOKUP(B136,'Player Data'!$A1:$AE667,17,FALSE)*$Q136*_xlfn.IFERROR((VLOOKUP(P136,'Settings'!$E$28:$F$33,2,FALSE)+1),1)</f>
        <v>-3.3321332105666</v>
      </c>
      <c r="AD136" s="79">
        <f>VLOOKUP(B136,'Player Data'!$A1:$AE667,18,FALSE)*$Q136</f>
        <v>35.4083030791748</v>
      </c>
      <c r="AE136" s="79">
        <f>VLOOKUP(B136,'Player Data'!$A1:$AE667,19,FALSE)*$Q136*_xlfn.IFERROR((VLOOKUP(P136,'Settings'!$E$28:$F$33,2,FALSE)+1),1)</f>
        <v>1.24212968293182</v>
      </c>
      <c r="AF136" s="79">
        <f>VLOOKUP(B136,'Player Data'!$A1:$AE667,20,FALSE)*$Q136</f>
        <v>0</v>
      </c>
      <c r="AG136" s="79">
        <f>VLOOKUP(B136,'Player Data'!$A1:$AE667,21,FALSE)*$Q136</f>
        <v>0</v>
      </c>
      <c r="AH136" s="81">
        <f>VLOOKUP(B136,'Player Data'!$A1:$AE667,22,FALSE)</f>
        <v>0</v>
      </c>
      <c r="AI136" s="77"/>
      <c r="AJ136" s="79"/>
      <c r="AK136" s="79"/>
      <c r="AL136" s="79"/>
      <c r="AM136" s="79"/>
      <c r="AN136" s="79"/>
      <c r="AO136" s="79"/>
      <c r="AP136" s="79"/>
      <c r="AQ136" s="82"/>
      <c r="AR136" s="83"/>
      <c r="AS136" s="84"/>
    </row>
    <row r="137" ht="21.25" customHeight="1">
      <c r="A137" s="85">
        <f>RANK(K137,K$1:K$665)</f>
        <v>121</v>
      </c>
      <c r="B137" t="s" s="16">
        <v>320</v>
      </c>
      <c r="C137" t="s" s="69">
        <v>127</v>
      </c>
      <c r="D137" t="s" s="70">
        <f>VLOOKUP(B137,'Player Data'!A1:D667,4,FALSE)</f>
        <v>161</v>
      </c>
      <c r="E137" s="99">
        <f>VLOOKUP(B137,'G'!A1:D65,3,FALSE)</f>
        <v>24</v>
      </c>
      <c r="F137" t="s" s="88">
        <f>VLOOKUP(B137,'Player Data'!A1:B667,2,FALSE)</f>
        <v>304</v>
      </c>
      <c r="G137" s="96">
        <f>VLOOKUP(B137,'Player Data'!A1:D667,3,FALSE)</f>
        <v>27</v>
      </c>
      <c r="H137" s="94">
        <f>_xlfn.IFERROR(VLOOKUP(B137,'ADP'!A1:G665,7,FALSE)/1000000,VLOOKUP(B137,'ADP'!A1:G665,7,FALSE))</f>
        <v>1.2</v>
      </c>
      <c r="I137" s="74">
        <f>IF('Settings'!$E$15="POINTS",(AJ137*'Settings'!$B$29)+(AK137*'Settings'!$B$21)+(AL137*'Settings'!$B$22)+(AN137*'Settings'!$B$24)+(AO137*'Settings'!$B$25)+(AP137*'Settings'!$B$27)+(AM137*'Settings'!$B$23),VLOOKUP(B137,'Standard Deviations'!A1:C666,3,FALSE))</f>
        <v>241.929025235754</v>
      </c>
      <c r="J137" s="75">
        <f>IF(D137="G",I137/AJ137,I137/Q137)</f>
        <v>5.37620056079453</v>
      </c>
      <c r="K137" s="74">
        <f>VLOOKUP(B137,'G'!A1:F65,6,FALSE)</f>
        <v>-25.661989328836</v>
      </c>
      <c r="L137" s="76">
        <f>_xlfn.IFERROR(K137/H137,"N/A")</f>
        <v>-21.3849911073633</v>
      </c>
      <c r="M137" s="77">
        <f>IF('Settings'!$E$9="YAHOO",VLOOKUP(B137,'ADP'!A1:E665,2,FALSE),IF('Settings'!$E$9="ESPN",VLOOKUP(B137,'ADP'!A1:E665,3,FALSE),IF('Settings'!$E$9="FANTRAX",VLOOKUP(B137,'ADP'!A1:E665,4,FALSE),VLOOKUP(B137,'ADP'!A1:E665,5,FALSE))))</f>
        <v>0</v>
      </c>
      <c r="N137" s="77">
        <f>_xlfn.IFERROR(M137-A137,"N/A")</f>
        <v>-121</v>
      </c>
      <c r="O137" s="77"/>
      <c r="P137" t="s" s="78">
        <f>IF('Settings'!$E$27="ON",VLOOKUP(B137,'ADP'!A1:H665,8,FALSE)," ")</f>
        <v>138</v>
      </c>
      <c r="Q137" s="79"/>
      <c r="R137" s="77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81"/>
      <c r="AI137" s="77"/>
      <c r="AJ137" s="89">
        <f>VLOOKUP(B137,'Player Data'!$A1:$AE667,24,FALSE)</f>
        <v>45</v>
      </c>
      <c r="AK137" s="79">
        <f>VLOOKUP(B137,'Player Data'!$A1:$AE667,25,FALSE)*$AJ137*_xlfn.IFERROR((VLOOKUP(P137,'Settings'!$E$28:$F$33,2,FALSE)+1),1)</f>
        <v>22.8367407641248</v>
      </c>
      <c r="AL137" s="79">
        <f>AJ137-AK137-AM137</f>
        <v>16.5382592358752</v>
      </c>
      <c r="AM137" s="79">
        <f>VLOOKUP(B137,'Player Data'!$A1:$AE667,27,FALSE)*$AJ137</f>
        <v>5.625</v>
      </c>
      <c r="AN137" s="79">
        <f>VLOOKUP(B137,'Player Data'!$A1:$AE667,28,FALSE)*AJ137</f>
        <v>3.00868459441758</v>
      </c>
      <c r="AO137" s="79">
        <f>VLOOKUP(B137,'Player Data'!$A1:$AE667,29,FALSE)*$AJ137*_xlfn.IFERROR((VLOOKUP(P137,'Settings'!$E$28:$F$33,2,FALSE)/4)+1,1)</f>
        <v>1185.991226745</v>
      </c>
      <c r="AP137" s="79">
        <f>VLOOKUP(B137,'Player Data'!$A1:$AE667,31,FALSE)*$AJ137*(_xlfn.IFERROR(1-(VLOOKUP(P137,'Settings'!$E$28:$F$33,2,FALSE)/4),1))</f>
        <v>120.166511960948</v>
      </c>
      <c r="AQ137" s="82">
        <f>1-(AP137/(AO137+AP137))</f>
        <v>0.907999999999999</v>
      </c>
      <c r="AR137" s="83">
        <f>AP137/AJ137</f>
        <v>2.67036693246551</v>
      </c>
      <c r="AS137" s="84"/>
    </row>
    <row r="138" ht="21.25" customHeight="1">
      <c r="A138" s="85">
        <f>RANK(K138,K$1:K$665)</f>
        <v>122</v>
      </c>
      <c r="B138" t="s" s="16">
        <v>321</v>
      </c>
      <c r="C138" t="s" s="69">
        <v>127</v>
      </c>
      <c r="D138" t="s" s="70">
        <f>VLOOKUP(B138,'Player Data'!A1:D667,4,FALSE)</f>
        <v>161</v>
      </c>
      <c r="E138" s="99">
        <f>VLOOKUP(B138,'G'!A1:D65,3,FALSE)</f>
        <v>25</v>
      </c>
      <c r="F138" t="s" s="86">
        <f>VLOOKUP(B138,'Player Data'!A1:B667,2,FALSE)</f>
        <v>154</v>
      </c>
      <c r="G138" s="96">
        <f>VLOOKUP(B138,'Player Data'!A1:D667,3,FALSE)</f>
        <v>25</v>
      </c>
      <c r="H138" s="73">
        <f>_xlfn.IFERROR(VLOOKUP(B138,'ADP'!A1:G665,7,FALSE)/1000000,VLOOKUP(B138,'ADP'!A1:G665,7,FALSE))</f>
        <v>4.75</v>
      </c>
      <c r="I138" s="74">
        <f>IF('Settings'!$E$15="POINTS",(AJ138*'Settings'!$B$29)+(AK138*'Settings'!$B$21)+(AL138*'Settings'!$B$22)+(AN138*'Settings'!$B$24)+(AO138*'Settings'!$B$25)+(AP138*'Settings'!$B$27)+(AM138*'Settings'!$B$23),VLOOKUP(B138,'Standard Deviations'!A1:C666,3,FALSE))</f>
        <v>241.238259337508</v>
      </c>
      <c r="J138" s="75">
        <f>IF(D138="G",I138/AJ138,I138/Q138)</f>
        <v>5.244309985598</v>
      </c>
      <c r="K138" s="74">
        <f>VLOOKUP(B138,'G'!A1:F65,6,FALSE)</f>
        <v>-26.352755227082</v>
      </c>
      <c r="L138" s="76">
        <f>_xlfn.IFERROR(K138/H138,"N/A")</f>
        <v>-5.54794846885937</v>
      </c>
      <c r="M138" s="77">
        <f>IF('Settings'!$E$9="YAHOO",VLOOKUP(B138,'ADP'!A1:E665,2,FALSE),IF('Settings'!$E$9="ESPN",VLOOKUP(B138,'ADP'!A1:E665,3,FALSE),IF('Settings'!$E$9="FANTRAX",VLOOKUP(B138,'ADP'!A1:E665,4,FALSE),VLOOKUP(B138,'ADP'!A1:E665,5,FALSE))))</f>
        <v>0</v>
      </c>
      <c r="N138" s="77">
        <f>_xlfn.IFERROR(M138-A138,"N/A")</f>
        <v>-122</v>
      </c>
      <c r="O138" s="77"/>
      <c r="P138" t="s" s="78">
        <f>IF('Settings'!$E$27="ON",VLOOKUP(B138,'ADP'!A1:H665,8,FALSE)," ")</f>
        <v>235</v>
      </c>
      <c r="Q138" s="79"/>
      <c r="R138" s="77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81"/>
      <c r="AI138" s="77"/>
      <c r="AJ138" s="89">
        <f>VLOOKUP(B138,'Player Data'!$A1:$AE667,24,FALSE)</f>
        <v>46</v>
      </c>
      <c r="AK138" s="79">
        <f>VLOOKUP(B138,'Player Data'!$A1:$AE667,25,FALSE)*$AJ138*_xlfn.IFERROR((VLOOKUP(P138,'Settings'!$E$28:$F$33,2,FALSE)+1),1)</f>
        <v>22.1310648675788</v>
      </c>
      <c r="AL138" s="79">
        <f>AJ138-AK138-AM138</f>
        <v>18.1189351324212</v>
      </c>
      <c r="AM138" s="79">
        <f>VLOOKUP(B138,'Player Data'!$A1:$AE667,27,FALSE)*$AJ138</f>
        <v>5.75</v>
      </c>
      <c r="AN138" s="79">
        <f>VLOOKUP(B138,'Player Data'!$A1:$AE667,28,FALSE)*AJ138</f>
        <v>2.19293427451621</v>
      </c>
      <c r="AO138" s="79">
        <f>VLOOKUP(B138,'Player Data'!$A1:$AE667,29,FALSE)*$AJ138*_xlfn.IFERROR((VLOOKUP(P138,'Settings'!$E$28:$F$33,2,FALSE)/4)+1,1)</f>
        <v>1262.659242017680</v>
      </c>
      <c r="AP138" s="79">
        <f>VLOOKUP(B138,'Player Data'!$A1:$AE667,31,FALSE)*$AJ138*(_xlfn.IFERROR(1-(VLOOKUP(P138,'Settings'!$E$28:$F$33,2,FALSE)/4),1))</f>
        <v>136.032975509766</v>
      </c>
      <c r="AQ138" s="82">
        <f>1-(AP138/(AO138+AP138))</f>
        <v>0.902742737962581</v>
      </c>
      <c r="AR138" s="83">
        <f>AP138/AJ138</f>
        <v>2.95723859803839</v>
      </c>
      <c r="AS138" s="84"/>
    </row>
    <row r="139" ht="21.25" customHeight="1">
      <c r="A139" s="85">
        <f>RANK(K139,K$1:K$665)</f>
        <v>145</v>
      </c>
      <c r="B139" t="s" s="16">
        <v>322</v>
      </c>
      <c r="C139" t="s" s="69">
        <v>127</v>
      </c>
      <c r="D139" t="s" s="70">
        <f>VLOOKUP(B139,'Player Data'!A1:D667,4,FALSE)</f>
        <v>178</v>
      </c>
      <c r="E139" s="102">
        <f>VLOOKUP(B139,'LW'!A1:C152,3,FALSE)</f>
        <v>39</v>
      </c>
      <c r="F139" t="s" s="86">
        <f>VLOOKUP(B139,'Player Data'!A1:B667,2,FALSE)</f>
        <v>132</v>
      </c>
      <c r="G139" s="96">
        <f>VLOOKUP(B139,'Player Data'!A1:D667,3,FALSE)</f>
        <v>21</v>
      </c>
      <c r="H139" s="94">
        <f>_xlfn.IFERROR(VLOOKUP(B139,'ADP'!A1:G665,7,FALSE)/1000000,VLOOKUP(B139,'ADP'!A1:G665,7,FALSE))</f>
        <v>0.925</v>
      </c>
      <c r="I139" s="74">
        <f>IF('Settings'!$E$15="POINTS",((R139*Q139)*'Settings'!$B$12)+(S139*'Settings'!$B$2)+(T139*'Settings'!$B$3)+(U139*'Settings'!$B$4)+(V139*'Settings'!$B$5)+(X139*'Settings'!$B$9)+(AA139*'Settings'!$B$6)+(W139*'Settings'!$B$8)+(AB139*'Settings'!$B$7)+(AC139*'Settings'!$B$14)+(AD139*'Settings'!$B$15)+(AE139*'Settings'!$B$16)+(AF139*'Settings'!$B$17)+(AG139*'Settings'!$B$18)+(Y139*'Settings'!$B$10)+(Z139*'Settings'!$B$11),VLOOKUP(B139,'Standard Deviations'!A1:C666,3,FALSE))</f>
        <v>293.672492023727</v>
      </c>
      <c r="J139" s="75">
        <f>IF(D139="G",I139/AJ139,I139/Q139)</f>
        <v>3.67780202910115</v>
      </c>
      <c r="K139" s="74">
        <f>IF('Settings'!$E$18="C/LW/RW",VLOOKUP(B139,'LW'!A1:F152,6,FALSE),VLOOKUP(B139,'F'!A1:F392,6,FALSE))</f>
        <v>-38.047619742485</v>
      </c>
      <c r="L139" s="76">
        <f>_xlfn.IFERROR(K139/H139,"N/A")</f>
        <v>-41.1325618837676</v>
      </c>
      <c r="M139" s="109">
        <f>IF('Settings'!$E$9="YAHOO",VLOOKUP(B139,'ADP'!A1:E665,2,FALSE),IF('Settings'!$E$9="ESPN",VLOOKUP(B139,'ADP'!A1:E665,3,FALSE),IF('Settings'!$E$9="FANTRAX",VLOOKUP(B139,'ADP'!A1:E665,4,FALSE),VLOOKUP(B139,'ADP'!A1:E665,5,FALSE))))</f>
        <v>0</v>
      </c>
      <c r="N139" s="79">
        <f>_xlfn.IFERROR(M139-A139,"N/A")</f>
        <v>-145</v>
      </c>
      <c r="O139" s="77"/>
      <c r="P139" t="s" s="78">
        <f>IF('Settings'!$E$27="ON",VLOOKUP(B139,'ADP'!A1:H665,8,FALSE)," ")</f>
        <v>138</v>
      </c>
      <c r="Q139" s="79">
        <f>IF('Settings'!$E$12="YES",VLOOKUP(B139,'Player Data'!A1:E667,5,FALSE),82)</f>
        <v>79.84999999999999</v>
      </c>
      <c r="R139" s="98">
        <f>VLOOKUP(B139,'Player Data'!$A1:$AE667,6,FALSE)</f>
        <v>16.3663390764516</v>
      </c>
      <c r="S139" s="79">
        <f>VLOOKUP(B139,'Player Data'!$A1:$AE667,7,FALSE)*$Q139*_xlfn.IFERROR((VLOOKUP(P139,'Settings'!$E$28:$F$33,2,FALSE)+1),1)</f>
        <v>21.3645049061454</v>
      </c>
      <c r="T139" s="79">
        <f>VLOOKUP(B139,'Player Data'!$A1:$AE667,8,FALSE)*$Q139*_xlfn.IFERROR((VLOOKUP(P139,'Settings'!$E$28:$F$33,2,FALSE)+1),1)</f>
        <v>29.9582900762769</v>
      </c>
      <c r="U139" s="79">
        <f>SUM(S139:T139)</f>
        <v>51.3227949824223</v>
      </c>
      <c r="V139" s="79">
        <f>VLOOKUP(B139,'Player Data'!$A1:$AE667,10,FALSE)*$Q139*_xlfn.IFERROR(((VLOOKUP(P139,'Settings'!$E$28:$F$33,2,FALSE)/2)+1),1)</f>
        <v>146.617906546148</v>
      </c>
      <c r="W139" s="79">
        <f>VLOOKUP(B139,'Player Data'!$A1:$AE667,11,FALSE)*$Q139*_xlfn.IFERROR((VLOOKUP(P139,'Settings'!$E$28:$F$33,2,FALSE)+1),1)</f>
        <v>1.81516089824133</v>
      </c>
      <c r="X139" s="79">
        <f>VLOOKUP(B139,'Player Data'!$A1:$AE667,12,FALSE)*$Q139*_xlfn.IFERROR((VLOOKUP(P139,'Settings'!$E$28:$F$33,2,FALSE)+1),1)</f>
        <v>6.9811837781884</v>
      </c>
      <c r="Y139" s="79">
        <f>VLOOKUP(B139,'Player Data'!$A1:$AE667,13,FALSE)*$Q139</f>
        <v>0.111939170031032</v>
      </c>
      <c r="Z139" s="79">
        <f>VLOOKUP(B139,'Player Data'!$A1:$AE667,14,FALSE)*$Q139</f>
        <v>0.187832938820125</v>
      </c>
      <c r="AA139" s="79">
        <f>VLOOKUP(B139,'Player Data'!$A1:$AE667,15,FALSE)*$Q139</f>
        <v>35.7236148967303</v>
      </c>
      <c r="AB139" s="79">
        <f>VLOOKUP(B139,'Player Data'!$A1:$AE667,16,FALSE)*$Q139</f>
        <v>174.295417102391</v>
      </c>
      <c r="AC139" s="79">
        <f>VLOOKUP(B139,'Player Data'!$A1:$AE667,17,FALSE)*$Q139*_xlfn.IFERROR((VLOOKUP(P139,'Settings'!$E$28:$F$33,2,FALSE)+1),1)</f>
        <v>6.3119856387081</v>
      </c>
      <c r="AD139" s="79">
        <f>VLOOKUP(B139,'Player Data'!$A1:$AE667,18,FALSE)*$Q139</f>
        <v>46.8300983972413</v>
      </c>
      <c r="AE139" s="79">
        <f>VLOOKUP(B139,'Player Data'!$A1:$AE667,19,FALSE)*$Q139*_xlfn.IFERROR((VLOOKUP(P139,'Settings'!$E$28:$F$33,2,FALSE)+1),1)</f>
        <v>3.41793781338453</v>
      </c>
      <c r="AF139" s="79">
        <f>VLOOKUP(B139,'Player Data'!$A1:$AE667,20,FALSE)*$Q139</f>
        <v>0</v>
      </c>
      <c r="AG139" s="79">
        <f>VLOOKUP(B139,'Player Data'!$A1:$AE667,21,FALSE)*$Q139</f>
        <v>1.18556949686059</v>
      </c>
      <c r="AH139" s="81">
        <f>VLOOKUP(B139,'Player Data'!$A1:$AE667,22,FALSE)</f>
        <v>0</v>
      </c>
      <c r="AI139" s="77"/>
      <c r="AJ139" s="89"/>
      <c r="AK139" s="79"/>
      <c r="AL139" s="79"/>
      <c r="AM139" s="79"/>
      <c r="AN139" s="79"/>
      <c r="AO139" s="79"/>
      <c r="AP139" s="79"/>
      <c r="AQ139" s="82"/>
      <c r="AR139" s="83"/>
      <c r="AS139" s="84"/>
    </row>
    <row r="140" ht="21.25" customHeight="1">
      <c r="A140" s="85">
        <f>RANK(K140,K$1:K$665)</f>
        <v>131</v>
      </c>
      <c r="B140" t="s" s="16">
        <v>323</v>
      </c>
      <c r="C140" t="s" s="69">
        <v>127</v>
      </c>
      <c r="D140" t="s" s="70">
        <f>VLOOKUP(B140,'Player Data'!A1:D667,4,FALSE)</f>
        <v>161</v>
      </c>
      <c r="E140" s="99">
        <f>VLOOKUP(B140,'G'!A1:D65,3,FALSE)</f>
        <v>26</v>
      </c>
      <c r="F140" t="s" s="104">
        <f>VLOOKUP(B140,'Player Data'!A1:B667,2,FALSE)</f>
        <v>324</v>
      </c>
      <c r="G140" s="96">
        <f>VLOOKUP(B140,'Player Data'!A1:D667,3,FALSE)</f>
        <v>24</v>
      </c>
      <c r="H140" s="73">
        <f>_xlfn.IFERROR(VLOOKUP(B140,'ADP'!A1:G665,7,FALSE)/1000000,VLOOKUP(B140,'ADP'!A1:G665,7,FALSE))</f>
        <v>1.45</v>
      </c>
      <c r="I140" s="74">
        <f>IF('Settings'!$E$15="POINTS",(AJ140*'Settings'!$B$29)+(AK140*'Settings'!$B$21)+(AL140*'Settings'!$B$22)+(AN140*'Settings'!$B$24)+(AO140*'Settings'!$B$25)+(AP140*'Settings'!$B$27)+(AM140*'Settings'!$B$23),VLOOKUP(B140,'Standard Deviations'!A1:C666,3,FALSE))</f>
        <v>238.417904338208</v>
      </c>
      <c r="J140" s="75">
        <f>IF(D140="G",I140/AJ140,I140/Q140)</f>
        <v>4.96703967371267</v>
      </c>
      <c r="K140" s="74">
        <f>VLOOKUP(B140,'G'!A1:F65,6,FALSE)</f>
        <v>-29.173110226382</v>
      </c>
      <c r="L140" s="76">
        <f>_xlfn.IFERROR(K140/H140,"N/A")</f>
        <v>-20.1193863630221</v>
      </c>
      <c r="M140" s="77">
        <f>IF('Settings'!$E$9="YAHOO",VLOOKUP(B140,'ADP'!A1:E665,2,FALSE),IF('Settings'!$E$9="ESPN",VLOOKUP(B140,'ADP'!A1:E665,3,FALSE),IF('Settings'!$E$9="FANTRAX",VLOOKUP(B140,'ADP'!A1:E665,4,FALSE),VLOOKUP(B140,'ADP'!A1:E665,5,FALSE))))</f>
        <v>0</v>
      </c>
      <c r="N140" s="77">
        <f>_xlfn.IFERROR(M140-A140,"N/A")</f>
        <v>-131</v>
      </c>
      <c r="O140" s="77"/>
      <c r="P140" t="s" s="78">
        <f>IF('Settings'!$E$27="ON",VLOOKUP(B140,'ADP'!A1:H665,8,FALSE)," ")</f>
        <v>138</v>
      </c>
      <c r="Q140" s="79"/>
      <c r="R140" s="77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81"/>
      <c r="AI140" s="77"/>
      <c r="AJ140" s="89">
        <f>VLOOKUP(B140,'Player Data'!$A1:$AE667,24,FALSE)</f>
        <v>48</v>
      </c>
      <c r="AK140" s="79">
        <f>VLOOKUP(B140,'Player Data'!$A1:$AE667,25,FALSE)*$AJ140*_xlfn.IFERROR((VLOOKUP(P140,'Settings'!$E$28:$F$33,2,FALSE)+1),1)</f>
        <v>22.7646625041153</v>
      </c>
      <c r="AL140" s="79">
        <f>AJ140-AK140-AM140</f>
        <v>19.2353374958847</v>
      </c>
      <c r="AM140" s="79">
        <f>VLOOKUP(B140,'Player Data'!$A1:$AE667,27,FALSE)*$AJ140</f>
        <v>6</v>
      </c>
      <c r="AN140" s="79">
        <f>VLOOKUP(B140,'Player Data'!$A1:$AE667,28,FALSE)*AJ140</f>
        <v>2.42123031400231</v>
      </c>
      <c r="AO140" s="79">
        <f>VLOOKUP(B140,'Player Data'!$A1:$AE667,29,FALSE)*$AJ140*_xlfn.IFERROR((VLOOKUP(P140,'Settings'!$E$28:$F$33,2,FALSE)/4)+1,1)</f>
        <v>1248.006323609120</v>
      </c>
      <c r="AP140" s="79">
        <f>VLOOKUP(B140,'Player Data'!$A1:$AE667,31,FALSE)*$AJ140*(_xlfn.IFERROR(1-(VLOOKUP(P140,'Settings'!$E$28:$F$33,2,FALSE)/4),1))</f>
        <v>138.514948963694</v>
      </c>
      <c r="AQ140" s="82">
        <f>1-(AP140/(AO140+AP140))</f>
        <v>0.900098937027726</v>
      </c>
      <c r="AR140" s="83">
        <f>AP140/AJ140</f>
        <v>2.88572810341029</v>
      </c>
      <c r="AS140" s="84"/>
    </row>
    <row r="141" ht="21.25" customHeight="1">
      <c r="A141" s="85">
        <f>RANK(K141,K$1:K$665)</f>
        <v>138</v>
      </c>
      <c r="B141" t="s" s="16">
        <v>325</v>
      </c>
      <c r="C141" t="s" s="69">
        <v>127</v>
      </c>
      <c r="D141" t="s" s="70">
        <f>VLOOKUP(B141,'Player Data'!A1:D667,4,FALSE)</f>
        <v>153</v>
      </c>
      <c r="E141" s="95">
        <f>VLOOKUP(B141,'D'!A1:C213,3,FALSE)</f>
        <v>31</v>
      </c>
      <c r="F141" t="s" s="86">
        <f>VLOOKUP(B141,'Player Data'!A1:B667,2,FALSE)</f>
        <v>132</v>
      </c>
      <c r="G141" s="11">
        <f>VLOOKUP(B141,'Player Data'!A1:D667,3,FALSE)</f>
        <v>30</v>
      </c>
      <c r="H141" s="94">
        <f>_xlfn.IFERROR(VLOOKUP(B141,'ADP'!A1:G665,7,FALSE)/1000000,VLOOKUP(B141,'ADP'!A1:G665,7,FALSE))</f>
        <v>2</v>
      </c>
      <c r="I141" s="74">
        <f>IF('Settings'!$E$15="POINTS",((R141*Q141)*'Settings'!$B$12)+(S141*'Settings'!$B$2)+(T141*'Settings'!$B$3)+(U141*'Settings'!$B$4)+(V141*'Settings'!$B$5)+(X141*'Settings'!$B$9)+(AA141*'Settings'!$B$6)+(W141*'Settings'!$B$8)+(AB141*'Settings'!$B$7)+(AC141*'Settings'!$B$14)+(AD141*'Settings'!$B$15)+(AE141*'Settings'!$B$16)+(AF141*'Settings'!$B$17)+(AG141*'Settings'!$B$18)+(U141*'Settings'!$B$13)+(Y141*'Settings'!$B$10)+(Z141*'Settings'!$B$11),VLOOKUP(B141,'Standard Deviations'!A1:C666,3,FALSE))</f>
        <v>296.511656304598</v>
      </c>
      <c r="J141" s="75">
        <f>IF(D141="G",I141/AJ141,I141/Q141)</f>
        <v>3.75771195773023</v>
      </c>
      <c r="K141" s="74">
        <f>VLOOKUP(B141,'D'!A1:F213,6,FALSE)</f>
        <v>-35.028551615484</v>
      </c>
      <c r="L141" s="76">
        <f>_xlfn.IFERROR(K141/H141,"N/A")</f>
        <v>-17.514275807742</v>
      </c>
      <c r="M141" s="77">
        <f>IF('Settings'!$E$9="YAHOO",VLOOKUP(B141,'ADP'!A1:E665,2,FALSE),IF('Settings'!$E$9="ESPN",VLOOKUP(B141,'ADP'!A1:E665,3,FALSE),IF('Settings'!$E$9="FANTRAX",VLOOKUP(B141,'ADP'!A1:E665,4,FALSE),VLOOKUP(B141,'ADP'!A1:E665,5,FALSE))))</f>
        <v>0</v>
      </c>
      <c r="N141" s="77">
        <f>_xlfn.IFERROR(M141-A141,"N/A")</f>
        <v>-138</v>
      </c>
      <c r="O141" s="77"/>
      <c r="P141" t="s" s="78">
        <f>IF('Settings'!$E$27="ON",VLOOKUP(B141,'ADP'!A1:H665,8,FALSE)," ")</f>
        <v>138</v>
      </c>
      <c r="Q141" s="79">
        <f>IF('Settings'!$E$12="YES",VLOOKUP(B141,'Player Data'!A1:E667,5,FALSE),82)</f>
        <v>78.9075</v>
      </c>
      <c r="R141" s="77">
        <f>VLOOKUP(B141,'Player Data'!$A1:$AE667,6,FALSE)</f>
        <v>20.4592571284458</v>
      </c>
      <c r="S141" s="79">
        <f>VLOOKUP(B141,'Player Data'!$A1:$AE667,7,FALSE)*$Q141*_xlfn.IFERROR((VLOOKUP(P141,'Settings'!$E$28:$F$33,2,FALSE)+1),1)</f>
        <v>5.15919737636585</v>
      </c>
      <c r="T141" s="79">
        <f>VLOOKUP(B141,'Player Data'!$A1:$AE667,8,FALSE)*$Q141*_xlfn.IFERROR((VLOOKUP(P141,'Settings'!$E$28:$F$33,2,FALSE)+1),1)</f>
        <v>21.1499994722148</v>
      </c>
      <c r="U141" s="79">
        <f>SUM(S141:T141)</f>
        <v>26.3091968485807</v>
      </c>
      <c r="V141" s="79">
        <f>VLOOKUP(B141,'Player Data'!$A1:$AE667,10,FALSE)*$Q141*_xlfn.IFERROR(((VLOOKUP(P141,'Settings'!$E$28:$F$33,2,FALSE)/2)+1),1)</f>
        <v>85.97528419017129</v>
      </c>
      <c r="W141" s="79">
        <f>VLOOKUP(B141,'Player Data'!$A1:$AE667,11,FALSE)*$Q141*_xlfn.IFERROR((VLOOKUP(P141,'Settings'!$E$28:$F$33,2,FALSE)+1),1)</f>
        <v>0.291380215549052</v>
      </c>
      <c r="X141" s="79">
        <f>VLOOKUP(B141,'Player Data'!$A1:$AE667,12,FALSE)*$Q141*_xlfn.IFERROR((VLOOKUP(P141,'Settings'!$E$28:$F$33,2,FALSE)+1),1)</f>
        <v>0.932987821827477</v>
      </c>
      <c r="Y141" s="79">
        <f>VLOOKUP(B141,'Player Data'!$A1:$AE667,13,FALSE)*$Q141</f>
        <v>0.0260031764473017</v>
      </c>
      <c r="Z141" s="79">
        <f>VLOOKUP(B141,'Player Data'!$A1:$AE667,14,FALSE)*$Q141</f>
        <v>0.547471644431772</v>
      </c>
      <c r="AA141" s="79">
        <f>VLOOKUP(B141,'Player Data'!$A1:$AE667,15,FALSE)*$Q141</f>
        <v>145.721189255911</v>
      </c>
      <c r="AB141" s="79">
        <f>VLOOKUP(B141,'Player Data'!$A1:$AE667,16,FALSE)*$Q141</f>
        <v>195.509769267985</v>
      </c>
      <c r="AC141" s="79">
        <f>VLOOKUP(B141,'Player Data'!$A1:$AE667,17,FALSE)*$Q141*_xlfn.IFERROR((VLOOKUP(P141,'Settings'!$E$28:$F$33,2,FALSE)+1),1)</f>
        <v>6.50515747491961</v>
      </c>
      <c r="AD141" s="79">
        <f>VLOOKUP(B141,'Player Data'!$A1:$AE667,18,FALSE)*$Q141</f>
        <v>48.3698980292568</v>
      </c>
      <c r="AE141" s="79">
        <f>VLOOKUP(B141,'Player Data'!$A1:$AE667,19,FALSE)*$Q141*_xlfn.IFERROR((VLOOKUP(P141,'Settings'!$E$28:$F$33,2,FALSE)+1),1)</f>
        <v>0.825379098502899</v>
      </c>
      <c r="AF141" s="79">
        <f>VLOOKUP(B141,'Player Data'!$A1:$AE667,20,FALSE)*$Q141</f>
        <v>0</v>
      </c>
      <c r="AG141" s="79">
        <f>VLOOKUP(B141,'Player Data'!$A1:$AE667,21,FALSE)*$Q141</f>
        <v>0</v>
      </c>
      <c r="AH141" s="81">
        <f>VLOOKUP(B141,'Player Data'!$A1:$AE667,22,FALSE)</f>
        <v>0</v>
      </c>
      <c r="AI141" s="77"/>
      <c r="AJ141" s="79"/>
      <c r="AK141" s="79"/>
      <c r="AL141" s="79"/>
      <c r="AM141" s="79"/>
      <c r="AN141" s="79"/>
      <c r="AO141" s="79"/>
      <c r="AP141" s="79"/>
      <c r="AQ141" s="82"/>
      <c r="AR141" s="83"/>
      <c r="AS141" s="84"/>
    </row>
    <row r="142" ht="21.25" customHeight="1">
      <c r="A142" s="85">
        <f>RANK(K142,K$1:K$665)</f>
        <v>139</v>
      </c>
      <c r="B142" t="s" s="16">
        <v>326</v>
      </c>
      <c r="C142" t="s" s="69">
        <v>127</v>
      </c>
      <c r="D142" t="s" s="70">
        <f>VLOOKUP(B142,'Player Data'!A1:D667,4,FALSE)</f>
        <v>153</v>
      </c>
      <c r="E142" s="95">
        <f>VLOOKUP(B142,'D'!A1:C213,3,FALSE)</f>
        <v>32</v>
      </c>
      <c r="F142" t="s" s="78">
        <f>VLOOKUP(B142,'Player Data'!A1:B667,2,FALSE)</f>
        <v>216</v>
      </c>
      <c r="G142" s="11">
        <f>VLOOKUP(B142,'Player Data'!A1:D667,3,FALSE)</f>
        <v>27</v>
      </c>
      <c r="H142" s="73">
        <f>_xlfn.IFERROR(VLOOKUP(B142,'ADP'!A1:G665,7,FALSE)/1000000,VLOOKUP(B142,'ADP'!A1:G665,7,FALSE))</f>
        <v>7.35</v>
      </c>
      <c r="I142" s="74">
        <f>IF('Settings'!$E$15="POINTS",((R142*Q142)*'Settings'!$B$12)+(S142*'Settings'!$B$2)+(T142*'Settings'!$B$3)+(U142*'Settings'!$B$4)+(V142*'Settings'!$B$5)+(X142*'Settings'!$B$9)+(AA142*'Settings'!$B$6)+(W142*'Settings'!$B$8)+(AB142*'Settings'!$B$7)+(AC142*'Settings'!$B$14)+(AD142*'Settings'!$B$15)+(AE142*'Settings'!$B$16)+(AF142*'Settings'!$B$17)+(AG142*'Settings'!$B$18)+(U142*'Settings'!$B$13)+(Y142*'Settings'!$B$10)+(Z142*'Settings'!$B$11),VLOOKUP(B142,'Standard Deviations'!A1:C666,3,FALSE))</f>
        <v>296.363595020937</v>
      </c>
      <c r="J142" s="75">
        <f>IF(D142="G",I142/AJ142,I142/Q142)</f>
        <v>3.63915389127781</v>
      </c>
      <c r="K142" s="74">
        <f>VLOOKUP(B142,'D'!A1:F213,6,FALSE)</f>
        <v>-35.176612899145</v>
      </c>
      <c r="L142" s="76">
        <f>_xlfn.IFERROR(K142/H142,"N/A")</f>
        <v>-4.78593372777483</v>
      </c>
      <c r="M142" s="77">
        <f>IF('Settings'!$E$9="YAHOO",VLOOKUP(B142,'ADP'!A1:E665,2,FALSE),IF('Settings'!$E$9="ESPN",VLOOKUP(B142,'ADP'!A1:E665,3,FALSE),IF('Settings'!$E$9="FANTRAX",VLOOKUP(B142,'ADP'!A1:E665,4,FALSE),VLOOKUP(B142,'ADP'!A1:E665,5,FALSE))))</f>
        <v>0</v>
      </c>
      <c r="N142" s="77">
        <f>_xlfn.IFERROR(M142-A142,"N/A")</f>
        <v>-139</v>
      </c>
      <c r="O142" s="77"/>
      <c r="P142" t="s" s="78">
        <f>IF('Settings'!$E$27="ON",VLOOKUP(B142,'ADP'!A1:H665,8,FALSE)," ")</f>
        <v>138</v>
      </c>
      <c r="Q142" s="79">
        <f>IF('Settings'!$E$12="YES",VLOOKUP(B142,'Player Data'!A1:E667,5,FALSE),82)</f>
        <v>81.4375</v>
      </c>
      <c r="R142" s="77">
        <f>VLOOKUP(B142,'Player Data'!$A1:$AE667,6,FALSE)</f>
        <v>23.5740480390846</v>
      </c>
      <c r="S142" s="79">
        <f>VLOOKUP(B142,'Player Data'!$A1:$AE667,7,FALSE)*$Q142*_xlfn.IFERROR((VLOOKUP(P142,'Settings'!$E$28:$F$33,2,FALSE)+1),1)</f>
        <v>10.8467085979482</v>
      </c>
      <c r="T142" s="79">
        <f>VLOOKUP(B142,'Player Data'!$A1:$AE667,8,FALSE)*$Q142*_xlfn.IFERROR((VLOOKUP(P142,'Settings'!$E$28:$F$33,2,FALSE)+1),1)</f>
        <v>36.5609815944562</v>
      </c>
      <c r="U142" s="79">
        <f>SUM(S142:T142)</f>
        <v>47.4076901924044</v>
      </c>
      <c r="V142" s="79">
        <f>VLOOKUP(B142,'Player Data'!$A1:$AE667,10,FALSE)*$Q142*_xlfn.IFERROR(((VLOOKUP(P142,'Settings'!$E$28:$F$33,2,FALSE)/2)+1),1)</f>
        <v>175.640983264915</v>
      </c>
      <c r="W142" s="79">
        <f>VLOOKUP(B142,'Player Data'!$A1:$AE667,11,FALSE)*$Q142*_xlfn.IFERROR((VLOOKUP(P142,'Settings'!$E$28:$F$33,2,FALSE)+1),1)</f>
        <v>2.82933988664839</v>
      </c>
      <c r="X142" s="79">
        <f>VLOOKUP(B142,'Player Data'!$A1:$AE667,12,FALSE)*$Q142*_xlfn.IFERROR((VLOOKUP(P142,'Settings'!$E$28:$F$33,2,FALSE)+1),1)</f>
        <v>11.747947731685</v>
      </c>
      <c r="Y142" s="79">
        <f>VLOOKUP(B142,'Player Data'!$A1:$AE667,13,FALSE)*$Q142</f>
        <v>0.0266831565923476</v>
      </c>
      <c r="Z142" s="79">
        <f>VLOOKUP(B142,'Player Data'!$A1:$AE667,14,FALSE)*$Q142</f>
        <v>1.22751509371002</v>
      </c>
      <c r="AA142" s="79">
        <f>VLOOKUP(B142,'Player Data'!$A1:$AE667,15,FALSE)*$Q142</f>
        <v>126.945677401238</v>
      </c>
      <c r="AB142" s="79">
        <f>VLOOKUP(B142,'Player Data'!$A1:$AE667,16,FALSE)*$Q142</f>
        <v>73.8040582301861</v>
      </c>
      <c r="AC142" s="79">
        <f>VLOOKUP(B142,'Player Data'!$A1:$AE667,17,FALSE)*$Q142*_xlfn.IFERROR((VLOOKUP(P142,'Settings'!$E$28:$F$33,2,FALSE)+1),1)</f>
        <v>1.52411498175099</v>
      </c>
      <c r="AD142" s="79">
        <f>VLOOKUP(B142,'Player Data'!$A1:$AE667,18,FALSE)*$Q142</f>
        <v>30.9273689386258</v>
      </c>
      <c r="AE142" s="79">
        <f>VLOOKUP(B142,'Player Data'!$A1:$AE667,19,FALSE)*$Q142*_xlfn.IFERROR((VLOOKUP(P142,'Settings'!$E$28:$F$33,2,FALSE)+1),1)</f>
        <v>1.64979835872147</v>
      </c>
      <c r="AF142" s="79">
        <f>VLOOKUP(B142,'Player Data'!$A1:$AE667,20,FALSE)*$Q142</f>
        <v>0</v>
      </c>
      <c r="AG142" s="79">
        <f>VLOOKUP(B142,'Player Data'!$A1:$AE667,21,FALSE)*$Q142</f>
        <v>0</v>
      </c>
      <c r="AH142" s="81">
        <f>VLOOKUP(B142,'Player Data'!$A1:$AE667,22,FALSE)</f>
        <v>0</v>
      </c>
      <c r="AI142" s="77"/>
      <c r="AJ142" s="89"/>
      <c r="AK142" s="79"/>
      <c r="AL142" s="79"/>
      <c r="AM142" s="79"/>
      <c r="AN142" s="79"/>
      <c r="AO142" s="79"/>
      <c r="AP142" s="79"/>
      <c r="AQ142" s="82"/>
      <c r="AR142" s="83"/>
      <c r="AS142" s="84"/>
    </row>
    <row r="143" ht="21.25" customHeight="1">
      <c r="A143" s="85">
        <f>RANK(K143,K$1:K$665)</f>
        <v>150</v>
      </c>
      <c r="B143" t="s" s="16">
        <v>327</v>
      </c>
      <c r="C143" t="s" s="69">
        <v>127</v>
      </c>
      <c r="D143" t="s" s="70">
        <f>VLOOKUP(B143,'Player Data'!A1:D667,4,FALSE)</f>
        <v>136</v>
      </c>
      <c r="E143" s="87">
        <f>VLOOKUP(B143,'LW'!A1:C152,3,FALSE)</f>
        <v>40</v>
      </c>
      <c r="F143" t="s" s="86">
        <f>VLOOKUP(B143,'Player Data'!A1:B667,2,FALSE)</f>
        <v>192</v>
      </c>
      <c r="G143" s="11">
        <f>VLOOKUP(B143,'Player Data'!A1:D667,3,FALSE)</f>
        <v>26</v>
      </c>
      <c r="H143" s="73">
        <f>_xlfn.IFERROR(VLOOKUP(B143,'ADP'!A1:G665,7,FALSE)/1000000,VLOOKUP(B143,'ADP'!A1:G665,7,FALSE))</f>
        <v>8.5</v>
      </c>
      <c r="I143" s="74">
        <f>IF('Settings'!$E$15="POINTS",((R143*Q143)*'Settings'!$B$12)+(S143*'Settings'!$B$2)+(T143*'Settings'!$B$3)+(U143*'Settings'!$B$4)+(V143*'Settings'!$B$5)+(X143*'Settings'!$B$9)+(AA143*'Settings'!$B$6)+(W143*'Settings'!$B$8)+(AB143*'Settings'!$B$7)+(AC143*'Settings'!$B$14)+(AD143*'Settings'!$B$15)+(AE143*'Settings'!$B$16)+(AF143*'Settings'!$B$17)+(AG143*'Settings'!$B$18)+(Y143*'Settings'!$B$10)+(Z143*'Settings'!$B$11),VLOOKUP(B143,'Standard Deviations'!A1:C666,3,FALSE))</f>
        <v>288.904443173583</v>
      </c>
      <c r="J143" s="75">
        <f>IF(D143="G",I143/AJ143,I143/Q143)</f>
        <v>3.58031345135648</v>
      </c>
      <c r="K143" s="74">
        <f>IF('Settings'!$E$18="C/LW/RW",VLOOKUP(B143,'LW'!A1:F152,6,FALSE),VLOOKUP(B143,'F'!A1:F392,6,FALSE))</f>
        <v>-42.815668592629</v>
      </c>
      <c r="L143" s="76">
        <f>_xlfn.IFERROR(K143/H143,"N/A")</f>
        <v>-5.03713748148576</v>
      </c>
      <c r="M143" s="77">
        <f>IF('Settings'!$E$9="YAHOO",VLOOKUP(B143,'ADP'!A1:E665,2,FALSE),IF('Settings'!$E$9="ESPN",VLOOKUP(B143,'ADP'!A1:E665,3,FALSE),IF('Settings'!$E$9="FANTRAX",VLOOKUP(B143,'ADP'!A1:E665,4,FALSE),VLOOKUP(B143,'ADP'!A1:E665,5,FALSE))))</f>
        <v>0</v>
      </c>
      <c r="N143" s="77">
        <f>_xlfn.IFERROR(M143-A143,"N/A")</f>
        <v>-150</v>
      </c>
      <c r="O143" s="77"/>
      <c r="P143" t="s" s="78">
        <f>IF('Settings'!$E$27="ON",VLOOKUP(B143,'ADP'!A1:H665,8,FALSE)," ")</f>
        <v>138</v>
      </c>
      <c r="Q143" s="79">
        <f>IF('Settings'!$E$12="YES",VLOOKUP(B143,'Player Data'!A1:E667,5,FALSE),82)</f>
        <v>80.6925</v>
      </c>
      <c r="R143" s="98">
        <f>VLOOKUP(B143,'Player Data'!$A1:$AE667,6,FALSE)</f>
        <v>17.7961064982424</v>
      </c>
      <c r="S143" s="79">
        <f>VLOOKUP(B143,'Player Data'!$A1:$AE667,7,FALSE)*$Q143*_xlfn.IFERROR((VLOOKUP(P143,'Settings'!$E$28:$F$33,2,FALSE)+1),1)</f>
        <v>25.4728234235528</v>
      </c>
      <c r="T143" s="79">
        <f>VLOOKUP(B143,'Player Data'!$A1:$AE667,8,FALSE)*$Q143*_xlfn.IFERROR((VLOOKUP(P143,'Settings'!$E$28:$F$33,2,FALSE)+1),1)</f>
        <v>34.4787267784421</v>
      </c>
      <c r="U143" s="79">
        <f>SUM(S143:T143)</f>
        <v>59.9515502019949</v>
      </c>
      <c r="V143" s="79">
        <f>VLOOKUP(B143,'Player Data'!$A1:$AE667,10,FALSE)*$Q143*_xlfn.IFERROR(((VLOOKUP(P143,'Settings'!$E$28:$F$33,2,FALSE)/2)+1),1)</f>
        <v>188.675830196170</v>
      </c>
      <c r="W143" s="79">
        <f>VLOOKUP(B143,'Player Data'!$A1:$AE667,11,FALSE)*$Q143*_xlfn.IFERROR((VLOOKUP(P143,'Settings'!$E$28:$F$33,2,FALSE)+1),1)</f>
        <v>10.7249344566984</v>
      </c>
      <c r="X143" s="80">
        <f>VLOOKUP(B143,'Player Data'!$A1:$AE667,12,FALSE)*$Q143*_xlfn.IFERROR((VLOOKUP(P143,'Settings'!$E$28:$F$33,2,FALSE)+1),1)</f>
        <v>17.9689890233402</v>
      </c>
      <c r="Y143" s="79">
        <f>VLOOKUP(B143,'Player Data'!$A1:$AE667,13,FALSE)*$Q143</f>
        <v>0.0225392690524489</v>
      </c>
      <c r="Z143" s="79">
        <f>VLOOKUP(B143,'Player Data'!$A1:$AE667,14,FALSE)*$Q143</f>
        <v>0.038088909799719</v>
      </c>
      <c r="AA143" s="79">
        <f>VLOOKUP(B143,'Player Data'!$A1:$AE667,15,FALSE)*$Q143</f>
        <v>42.3136707248583</v>
      </c>
      <c r="AB143" s="79">
        <f>VLOOKUP(B143,'Player Data'!$A1:$AE667,16,FALSE)*$Q143</f>
        <v>94.08448851756491</v>
      </c>
      <c r="AC143" s="79">
        <f>VLOOKUP(B143,'Player Data'!$A1:$AE667,17,FALSE)*$Q143*_xlfn.IFERROR((VLOOKUP(P143,'Settings'!$E$28:$F$33,2,FALSE)+1),1)</f>
        <v>2.18603019535061</v>
      </c>
      <c r="AD143" s="79">
        <f>VLOOKUP(B143,'Player Data'!$A1:$AE667,18,FALSE)*$Q143</f>
        <v>69.27610679201101</v>
      </c>
      <c r="AE143" s="79">
        <f>VLOOKUP(B143,'Player Data'!$A1:$AE667,19,FALSE)*$Q143*_xlfn.IFERROR((VLOOKUP(P143,'Settings'!$E$28:$F$33,2,FALSE)+1),1)</f>
        <v>3.61491294651355</v>
      </c>
      <c r="AF143" s="79">
        <f>VLOOKUP(B143,'Player Data'!$A1:$AE667,20,FALSE)*$Q143</f>
        <v>491.686074858859</v>
      </c>
      <c r="AG143" s="79">
        <f>VLOOKUP(B143,'Player Data'!$A1:$AE667,21,FALSE)*$Q143</f>
        <v>517.687460738535</v>
      </c>
      <c r="AH143" s="81">
        <f>VLOOKUP(B143,'Player Data'!$A1:$AE667,22,FALSE)</f>
        <v>0.487120037843925</v>
      </c>
      <c r="AI143" s="77"/>
      <c r="AJ143" s="79"/>
      <c r="AK143" s="79"/>
      <c r="AL143" s="79"/>
      <c r="AM143" s="79"/>
      <c r="AN143" s="79"/>
      <c r="AO143" s="79"/>
      <c r="AP143" s="79"/>
      <c r="AQ143" s="82"/>
      <c r="AR143" s="83"/>
      <c r="AS143" s="84"/>
    </row>
    <row r="144" ht="21.25" customHeight="1">
      <c r="A144" s="85">
        <f>RANK(K144,K$1:K$665)</f>
        <v>149</v>
      </c>
      <c r="B144" t="s" s="16">
        <v>328</v>
      </c>
      <c r="C144" t="s" s="69">
        <v>127</v>
      </c>
      <c r="D144" t="s" s="70">
        <f>VLOOKUP(B144,'Player Data'!A1:D667,4,FALSE)</f>
        <v>148</v>
      </c>
      <c r="E144" s="87">
        <f>VLOOKUP(B144,'RW'!A1:C136,3,FALSE)</f>
        <v>32</v>
      </c>
      <c r="F144" t="s" s="104">
        <f>VLOOKUP(B144,'Player Data'!A1:B667,2,FALSE)</f>
        <v>271</v>
      </c>
      <c r="G144" s="96">
        <f>VLOOKUP(B144,'Player Data'!A1:D667,3,FALSE)</f>
        <v>22</v>
      </c>
      <c r="H144" s="94">
        <f>_xlfn.IFERROR(VLOOKUP(B144,'ADP'!A1:G665,7,FALSE)/1000000,VLOOKUP(B144,'ADP'!A1:G665,7,FALSE))</f>
        <v>0.835833</v>
      </c>
      <c r="I144" s="74">
        <f>IF('Settings'!$E$15="POINTS",((R144*Q144)*'Settings'!$B$12)+(S144*'Settings'!$B$2)+(T144*'Settings'!$B$3)+(U144*'Settings'!$B$4)+(V144*'Settings'!$B$5)+(X144*'Settings'!$B$9)+(AA144*'Settings'!$B$6)+(W144*'Settings'!$B$8)+(AB144*'Settings'!$B$7)+(AC144*'Settings'!$B$14)+(AD144*'Settings'!$B$15)+(AE144*'Settings'!$B$16)+(AF144*'Settings'!$B$17)+(AG144*'Settings'!$B$18)+(Y144*'Settings'!$B$10)+(Z144*'Settings'!$B$11),VLOOKUP(B144,'Standard Deviations'!A1:C666,3,FALSE))</f>
        <v>288.768652094550</v>
      </c>
      <c r="J144" s="75">
        <f>IF(D144="G",I144/AJ144,I144/Q144)</f>
        <v>3.86933742589508</v>
      </c>
      <c r="K144" s="74">
        <f>IF('Settings'!$E$18="C/LW/RW",VLOOKUP(B144,'RW'!A1:F136,6,FALSE),VLOOKUP(B144,'F'!A1:F392,6,FALSE))</f>
        <v>-40.923241986628</v>
      </c>
      <c r="L144" s="76">
        <f>_xlfn.IFERROR(K144/H144,"N/A")</f>
        <v>-48.9610268877013</v>
      </c>
      <c r="M144" s="77">
        <f>IF('Settings'!$E$9="YAHOO",VLOOKUP(B144,'ADP'!A1:E665,2,FALSE),IF('Settings'!$E$9="ESPN",VLOOKUP(B144,'ADP'!A1:E665,3,FALSE),IF('Settings'!$E$9="FANTRAX",VLOOKUP(B144,'ADP'!A1:E665,4,FALSE),VLOOKUP(B144,'ADP'!A1:E665,5,FALSE))))</f>
        <v>0</v>
      </c>
      <c r="N144" s="77">
        <f>_xlfn.IFERROR(M144-A144,"N/A")</f>
        <v>-149</v>
      </c>
      <c r="O144" s="77"/>
      <c r="P144" t="s" s="78">
        <f>IF('Settings'!$E$27="ON",VLOOKUP(B144,'ADP'!A1:H665,8,FALSE)," ")</f>
        <v>138</v>
      </c>
      <c r="Q144" s="79">
        <f>IF('Settings'!$E$12="YES",VLOOKUP(B144,'Player Data'!A1:E667,5,FALSE),82)</f>
        <v>74.63</v>
      </c>
      <c r="R144" s="98">
        <f>VLOOKUP(B144,'Player Data'!$A1:$AE667,6,FALSE)</f>
        <v>17.6036314809639</v>
      </c>
      <c r="S144" s="79">
        <f>VLOOKUP(B144,'Player Data'!$A1:$AE667,7,FALSE)*$Q144*_xlfn.IFERROR((VLOOKUP(P144,'Settings'!$E$28:$F$33,2,FALSE)+1),1)</f>
        <v>29.4687615057686</v>
      </c>
      <c r="T144" s="79">
        <f>VLOOKUP(B144,'Player Data'!$A1:$AE667,8,FALSE)*$Q144*_xlfn.IFERROR((VLOOKUP(P144,'Settings'!$E$28:$F$33,2,FALSE)+1),1)</f>
        <v>19.9527303209502</v>
      </c>
      <c r="U144" s="79">
        <f>SUM(S144:T144)</f>
        <v>49.4214918267188</v>
      </c>
      <c r="V144" s="79">
        <f>VLOOKUP(B144,'Player Data'!$A1:$AE667,10,FALSE)*$Q144*_xlfn.IFERROR(((VLOOKUP(P144,'Settings'!$E$28:$F$33,2,FALSE)/2)+1),1)</f>
        <v>160.516209545306</v>
      </c>
      <c r="W144" s="79">
        <f>VLOOKUP(B144,'Player Data'!$A1:$AE667,11,FALSE)*$Q144*_xlfn.IFERROR((VLOOKUP(P144,'Settings'!$E$28:$F$33,2,FALSE)+1),1)</f>
        <v>9.586231164899971</v>
      </c>
      <c r="X144" s="101">
        <f>VLOOKUP(B144,'Player Data'!$A1:$AE667,12,FALSE)*$Q144*_xlfn.IFERROR((VLOOKUP(P144,'Settings'!$E$28:$F$33,2,FALSE)+1),1)</f>
        <v>18.8114396900695</v>
      </c>
      <c r="Y144" s="79">
        <f>VLOOKUP(B144,'Player Data'!$A1:$AE667,13,FALSE)*$Q144</f>
        <v>0.118255621629149</v>
      </c>
      <c r="Z144" s="79">
        <f>VLOOKUP(B144,'Player Data'!$A1:$AE667,14,FALSE)*$Q144</f>
        <v>0.201760772541267</v>
      </c>
      <c r="AA144" s="79">
        <f>VLOOKUP(B144,'Player Data'!$A1:$AE667,15,FALSE)*$Q144</f>
        <v>46.2739920027317</v>
      </c>
      <c r="AB144" s="79">
        <f>VLOOKUP(B144,'Player Data'!$A1:$AE667,16,FALSE)*$Q144</f>
        <v>136.330726383925</v>
      </c>
      <c r="AC144" s="79">
        <f>VLOOKUP(B144,'Player Data'!$A1:$AE667,17,FALSE)*$Q144*_xlfn.IFERROR((VLOOKUP(P144,'Settings'!$E$28:$F$33,2,FALSE)+1),1)</f>
        <v>-5.76820203388882</v>
      </c>
      <c r="AD144" s="79">
        <f>VLOOKUP(B144,'Player Data'!$A1:$AE667,18,FALSE)*$Q144</f>
        <v>30.9004972465882</v>
      </c>
      <c r="AE144" s="79">
        <f>VLOOKUP(B144,'Player Data'!$A1:$AE667,19,FALSE)*$Q144*_xlfn.IFERROR((VLOOKUP(P144,'Settings'!$E$28:$F$33,2,FALSE)+1),1)</f>
        <v>3.54786482346731</v>
      </c>
      <c r="AF144" s="79">
        <f>VLOOKUP(B144,'Player Data'!$A1:$AE667,20,FALSE)*$Q144</f>
        <v>12.362347300629</v>
      </c>
      <c r="AG144" s="79">
        <f>VLOOKUP(B144,'Player Data'!$A1:$AE667,21,FALSE)*$Q144</f>
        <v>20.5914485609517</v>
      </c>
      <c r="AH144" s="81">
        <f>VLOOKUP(B144,'Player Data'!$A1:$AE667,22,FALSE)</f>
        <v>0.37514183047549</v>
      </c>
      <c r="AI144" s="77"/>
      <c r="AJ144" s="79"/>
      <c r="AK144" s="79"/>
      <c r="AL144" s="79"/>
      <c r="AM144" s="79"/>
      <c r="AN144" s="79"/>
      <c r="AO144" s="79"/>
      <c r="AP144" s="79"/>
      <c r="AQ144" s="82"/>
      <c r="AR144" s="83"/>
      <c r="AS144" s="84"/>
    </row>
    <row r="145" ht="21.25" customHeight="1">
      <c r="A145" s="85">
        <f>RANK(K145,K$1:K$665)</f>
        <v>151</v>
      </c>
      <c r="B145" t="s" s="16">
        <v>329</v>
      </c>
      <c r="C145" t="s" s="69">
        <v>127</v>
      </c>
      <c r="D145" t="s" s="70">
        <f>VLOOKUP(B145,'Player Data'!A1:D667,4,FALSE)</f>
        <v>136</v>
      </c>
      <c r="E145" s="87">
        <f>VLOOKUP(B145,'LW'!A1:C152,3,FALSE)</f>
        <v>42</v>
      </c>
      <c r="F145" t="s" s="104">
        <f>VLOOKUP(B145,'Player Data'!A1:B667,2,FALSE)</f>
        <v>271</v>
      </c>
      <c r="G145" s="91">
        <f>VLOOKUP(B145,'Player Data'!A1:D667,3,FALSE)</f>
        <v>33</v>
      </c>
      <c r="H145" s="73">
        <f>_xlfn.IFERROR(VLOOKUP(B145,'ADP'!A1:G665,7,FALSE)/1000000,VLOOKUP(B145,'ADP'!A1:G665,7,FALSE))</f>
        <v>6.5</v>
      </c>
      <c r="I145" s="74">
        <f>IF('Settings'!$E$15="POINTS",((R145*Q145)*'Settings'!$B$12)+(S145*'Settings'!$B$2)+(T145*'Settings'!$B$3)+(U145*'Settings'!$B$4)+(V145*'Settings'!$B$5)+(X145*'Settings'!$B$9)+(AA145*'Settings'!$B$6)+(W145*'Settings'!$B$8)+(AB145*'Settings'!$B$7)+(AC145*'Settings'!$B$14)+(AD145*'Settings'!$B$15)+(AE145*'Settings'!$B$16)+(AF145*'Settings'!$B$17)+(AG145*'Settings'!$B$18)+(Y145*'Settings'!$B$10)+(Z145*'Settings'!$B$11),VLOOKUP(B145,'Standard Deviations'!A1:C666,3,FALSE))</f>
        <v>288.638952942063</v>
      </c>
      <c r="J145" s="75">
        <f>IF(D145="G",I145/AJ145,I145/Q145)</f>
        <v>3.60663442386684</v>
      </c>
      <c r="K145" s="74">
        <f>IF('Settings'!$E$18="C/LW/RW",VLOOKUP(B145,'LW'!A1:F152,6,FALSE),VLOOKUP(B145,'F'!A1:F392,6,FALSE))</f>
        <v>-43.081158824149</v>
      </c>
      <c r="L145" s="76">
        <f>_xlfn.IFERROR(K145/H145,"N/A")</f>
        <v>-6.62787058833062</v>
      </c>
      <c r="M145" s="109">
        <f>IF('Settings'!$E$9="YAHOO",VLOOKUP(B145,'ADP'!A1:E665,2,FALSE),IF('Settings'!$E$9="ESPN",VLOOKUP(B145,'ADP'!A1:E665,3,FALSE),IF('Settings'!$E$9="FANTRAX",VLOOKUP(B145,'ADP'!A1:E665,4,FALSE),VLOOKUP(B145,'ADP'!A1:E665,5,FALSE))))</f>
        <v>0</v>
      </c>
      <c r="N145" s="79">
        <f>_xlfn.IFERROR(M145-A145,"N/A")</f>
        <v>-151</v>
      </c>
      <c r="O145" s="77"/>
      <c r="P145" t="s" s="78">
        <f>IF('Settings'!$E$27="ON",VLOOKUP(B145,'ADP'!A1:H665,8,FALSE)," ")</f>
        <v>138</v>
      </c>
      <c r="Q145" s="79">
        <f>IF('Settings'!$E$12="YES",VLOOKUP(B145,'Player Data'!A1:E667,5,FALSE),82)</f>
        <v>80.03</v>
      </c>
      <c r="R145" s="77">
        <f>VLOOKUP(B145,'Player Data'!$A1:$AE667,6,FALSE)</f>
        <v>17.8349157283729</v>
      </c>
      <c r="S145" s="79">
        <f>VLOOKUP(B145,'Player Data'!$A1:$AE667,7,FALSE)*$Q145*_xlfn.IFERROR((VLOOKUP(P145,'Settings'!$E$28:$F$33,2,FALSE)+1),1)</f>
        <v>19.7399375588793</v>
      </c>
      <c r="T145" s="79">
        <f>VLOOKUP(B145,'Player Data'!$A1:$AE667,8,FALSE)*$Q145*_xlfn.IFERROR((VLOOKUP(P145,'Settings'!$E$28:$F$33,2,FALSE)+1),1)</f>
        <v>32.4994894789028</v>
      </c>
      <c r="U145" s="79">
        <f>SUM(S145:T145)</f>
        <v>52.2394270377821</v>
      </c>
      <c r="V145" s="79">
        <f>VLOOKUP(B145,'Player Data'!$A1:$AE667,10,FALSE)*$Q145*_xlfn.IFERROR(((VLOOKUP(P145,'Settings'!$E$28:$F$33,2,FALSE)/2)+1),1)</f>
        <v>159.843511400046</v>
      </c>
      <c r="W145" s="79">
        <f>VLOOKUP(B145,'Player Data'!$A1:$AE667,11,FALSE)*$Q145*_xlfn.IFERROR((VLOOKUP(P145,'Settings'!$E$28:$F$33,2,FALSE)+1),1)</f>
        <v>5.35995123399401</v>
      </c>
      <c r="X145" s="101">
        <f>VLOOKUP(B145,'Player Data'!$A1:$AE667,12,FALSE)*$Q145*_xlfn.IFERROR((VLOOKUP(P145,'Settings'!$E$28:$F$33,2,FALSE)+1),1)</f>
        <v>14.6938224052017</v>
      </c>
      <c r="Y145" s="79">
        <f>VLOOKUP(B145,'Player Data'!$A1:$AE667,13,FALSE)*$Q145</f>
        <v>0.463638456906543</v>
      </c>
      <c r="Z145" s="79">
        <f>VLOOKUP(B145,'Player Data'!$A1:$AE667,14,FALSE)*$Q145</f>
        <v>0.53795546767818</v>
      </c>
      <c r="AA145" s="79">
        <f>VLOOKUP(B145,'Player Data'!$A1:$AE667,15,FALSE)*$Q145</f>
        <v>44.3889967258797</v>
      </c>
      <c r="AB145" s="79">
        <f>VLOOKUP(B145,'Player Data'!$A1:$AE667,16,FALSE)*$Q145</f>
        <v>144.203613724270</v>
      </c>
      <c r="AC145" s="79">
        <f>VLOOKUP(B145,'Player Data'!$A1:$AE667,17,FALSE)*$Q145*_xlfn.IFERROR((VLOOKUP(P145,'Settings'!$E$28:$F$33,2,FALSE)+1),1)</f>
        <v>-5.30685955754822</v>
      </c>
      <c r="AD145" s="79">
        <f>VLOOKUP(B145,'Player Data'!$A1:$AE667,18,FALSE)*$Q145</f>
        <v>44.7324783715682</v>
      </c>
      <c r="AE145" s="79">
        <f>VLOOKUP(B145,'Player Data'!$A1:$AE667,19,FALSE)*$Q145*_xlfn.IFERROR((VLOOKUP(P145,'Settings'!$E$28:$F$33,2,FALSE)+1),1)</f>
        <v>2.37657188507496</v>
      </c>
      <c r="AF145" s="79">
        <f>VLOOKUP(B145,'Player Data'!$A1:$AE667,20,FALSE)*$Q145</f>
        <v>431.341499495273</v>
      </c>
      <c r="AG145" s="79">
        <f>VLOOKUP(B145,'Player Data'!$A1:$AE667,21,FALSE)*$Q145</f>
        <v>461.298107979716</v>
      </c>
      <c r="AH145" s="81">
        <f>VLOOKUP(B145,'Player Data'!$A1:$AE667,22,FALSE)</f>
        <v>0.483220211027168</v>
      </c>
      <c r="AI145" s="77"/>
      <c r="AJ145" s="89"/>
      <c r="AK145" s="79"/>
      <c r="AL145" s="79"/>
      <c r="AM145" s="79"/>
      <c r="AN145" s="79"/>
      <c r="AO145" s="79"/>
      <c r="AP145" s="79"/>
      <c r="AQ145" s="82"/>
      <c r="AR145" s="83"/>
      <c r="AS145" s="84"/>
    </row>
    <row r="146" ht="21.25" customHeight="1">
      <c r="A146" s="85">
        <f>RANK(K146,K$1:K$665)</f>
        <v>142</v>
      </c>
      <c r="B146" t="s" s="16">
        <v>330</v>
      </c>
      <c r="C146" t="s" s="69">
        <v>127</v>
      </c>
      <c r="D146" t="s" s="70">
        <f>VLOOKUP(B146,'Player Data'!A1:D667,4,FALSE)</f>
        <v>153</v>
      </c>
      <c r="E146" s="95">
        <f>VLOOKUP(B146,'D'!A1:C213,3,FALSE)</f>
        <v>33</v>
      </c>
      <c r="F146" t="s" s="86">
        <f>VLOOKUP(B146,'Player Data'!A1:B667,2,FALSE)</f>
        <v>192</v>
      </c>
      <c r="G146" s="11">
        <f>VLOOKUP(B146,'Player Data'!A1:D667,3,FALSE)</f>
        <v>29</v>
      </c>
      <c r="H146" s="73">
        <f>_xlfn.IFERROR(VLOOKUP(B146,'ADP'!A1:G665,7,FALSE)/1000000,VLOOKUP(B146,'ADP'!A1:G665,7,FALSE))</f>
        <v>5.75</v>
      </c>
      <c r="I146" s="74">
        <f>IF('Settings'!$E$15="POINTS",((R146*Q146)*'Settings'!$B$12)+(S146*'Settings'!$B$2)+(T146*'Settings'!$B$3)+(U146*'Settings'!$B$4)+(V146*'Settings'!$B$5)+(X146*'Settings'!$B$9)+(AA146*'Settings'!$B$6)+(W146*'Settings'!$B$8)+(AB146*'Settings'!$B$7)+(AC146*'Settings'!$B$14)+(AD146*'Settings'!$B$15)+(AE146*'Settings'!$B$16)+(AF146*'Settings'!$B$17)+(AG146*'Settings'!$B$18)+(U146*'Settings'!$B$13)+(Y146*'Settings'!$B$10)+(Z146*'Settings'!$B$11),VLOOKUP(B146,'Standard Deviations'!A1:C666,3,FALSE))</f>
        <v>294.187248654872</v>
      </c>
      <c r="J146" s="75">
        <f>IF(D146="G",I146/AJ146,I146/Q146)</f>
        <v>3.66120840863535</v>
      </c>
      <c r="K146" s="74">
        <f>VLOOKUP(B146,'D'!A1:F213,6,FALSE)</f>
        <v>-37.352959265210</v>
      </c>
      <c r="L146" s="76">
        <f>_xlfn.IFERROR(K146/H146,"N/A")</f>
        <v>-6.49616682873217</v>
      </c>
      <c r="M146" s="109">
        <f>IF('Settings'!$E$9="YAHOO",VLOOKUP(B146,'ADP'!A1:E665,2,FALSE),IF('Settings'!$E$9="ESPN",VLOOKUP(B146,'ADP'!A1:E665,3,FALSE),IF('Settings'!$E$9="FANTRAX",VLOOKUP(B146,'ADP'!A1:E665,4,FALSE),VLOOKUP(B146,'ADP'!A1:E665,5,FALSE))))</f>
        <v>0</v>
      </c>
      <c r="N146" s="79">
        <f>_xlfn.IFERROR(M146-A146,"N/A")</f>
        <v>-142</v>
      </c>
      <c r="O146" s="77"/>
      <c r="P146" t="s" s="78">
        <f>IF('Settings'!$E$27="ON",VLOOKUP(B146,'ADP'!A1:H665,8,FALSE)," ")</f>
        <v>138</v>
      </c>
      <c r="Q146" s="79">
        <f>IF('Settings'!$E$12="YES",VLOOKUP(B146,'Player Data'!A1:E667,5,FALSE),82)</f>
        <v>80.35250000000001</v>
      </c>
      <c r="R146" s="77">
        <f>VLOOKUP(B146,'Player Data'!$A1:$AE667,6,FALSE)</f>
        <v>20.5499480421592</v>
      </c>
      <c r="S146" s="79">
        <f>VLOOKUP(B146,'Player Data'!$A1:$AE667,7,FALSE)*$Q146*_xlfn.IFERROR((VLOOKUP(P146,'Settings'!$E$28:$F$33,2,FALSE)+1),1)</f>
        <v>5.65532482976195</v>
      </c>
      <c r="T146" s="79">
        <f>VLOOKUP(B146,'Player Data'!$A1:$AE667,8,FALSE)*$Q146*_xlfn.IFERROR((VLOOKUP(P146,'Settings'!$E$28:$F$33,2,FALSE)+1),1)</f>
        <v>18.7100392351894</v>
      </c>
      <c r="U146" s="79">
        <f>SUM(S146:T146)</f>
        <v>24.3653640649514</v>
      </c>
      <c r="V146" s="79">
        <f>VLOOKUP(B146,'Player Data'!$A1:$AE667,10,FALSE)*$Q146*_xlfn.IFERROR(((VLOOKUP(P146,'Settings'!$E$28:$F$33,2,FALSE)/2)+1),1)</f>
        <v>135.594528169033</v>
      </c>
      <c r="W146" s="79">
        <f>VLOOKUP(B146,'Player Data'!$A1:$AE667,11,FALSE)*$Q146*_xlfn.IFERROR((VLOOKUP(P146,'Settings'!$E$28:$F$33,2,FALSE)+1),1)</f>
        <v>0.0144451885859219</v>
      </c>
      <c r="X146" s="79">
        <f>VLOOKUP(B146,'Player Data'!$A1:$AE667,12,FALSE)*$Q146*_xlfn.IFERROR((VLOOKUP(P146,'Settings'!$E$28:$F$33,2,FALSE)+1),1)</f>
        <v>0.182267940333736</v>
      </c>
      <c r="Y146" s="79">
        <f>VLOOKUP(B146,'Player Data'!$A1:$AE667,13,FALSE)*$Q146</f>
        <v>0.290509647053492</v>
      </c>
      <c r="Z146" s="79">
        <f>VLOOKUP(B146,'Player Data'!$A1:$AE667,14,FALSE)*$Q146</f>
        <v>1.45592608725153</v>
      </c>
      <c r="AA146" s="79">
        <f>VLOOKUP(B146,'Player Data'!$A1:$AE667,15,FALSE)*$Q146</f>
        <v>174.116132352332</v>
      </c>
      <c r="AB146" s="79">
        <f>VLOOKUP(B146,'Player Data'!$A1:$AE667,16,FALSE)*$Q146</f>
        <v>135.345028479717</v>
      </c>
      <c r="AC146" s="79">
        <f>VLOOKUP(B146,'Player Data'!$A1:$AE667,17,FALSE)*$Q146*_xlfn.IFERROR((VLOOKUP(P146,'Settings'!$E$28:$F$33,2,FALSE)+1),1)</f>
        <v>1.45082705950206</v>
      </c>
      <c r="AD146" s="79">
        <f>VLOOKUP(B146,'Player Data'!$A1:$AE667,18,FALSE)*$Q146</f>
        <v>31.3739111351436</v>
      </c>
      <c r="AE146" s="79">
        <f>VLOOKUP(B146,'Player Data'!$A1:$AE667,19,FALSE)*$Q146*_xlfn.IFERROR((VLOOKUP(P146,'Settings'!$E$28:$F$33,2,FALSE)+1),1)</f>
        <v>0.80256148303307</v>
      </c>
      <c r="AF146" s="79">
        <f>VLOOKUP(B146,'Player Data'!$A1:$AE667,20,FALSE)*$Q146</f>
        <v>0</v>
      </c>
      <c r="AG146" s="79">
        <f>VLOOKUP(B146,'Player Data'!$A1:$AE667,21,FALSE)*$Q146</f>
        <v>0</v>
      </c>
      <c r="AH146" s="81">
        <f>VLOOKUP(B146,'Player Data'!$A1:$AE667,22,FALSE)</f>
        <v>0</v>
      </c>
      <c r="AI146" s="77"/>
      <c r="AJ146" s="79"/>
      <c r="AK146" s="79"/>
      <c r="AL146" s="79"/>
      <c r="AM146" s="79"/>
      <c r="AN146" s="79"/>
      <c r="AO146" s="79"/>
      <c r="AP146" s="79"/>
      <c r="AQ146" s="82"/>
      <c r="AR146" s="83"/>
      <c r="AS146" s="84"/>
    </row>
    <row r="147" ht="21.25" customHeight="1">
      <c r="A147" s="85">
        <f>RANK(K147,K$1:K$665)</f>
        <v>146</v>
      </c>
      <c r="B147" t="s" s="16">
        <v>331</v>
      </c>
      <c r="C147" t="s" s="69">
        <v>127</v>
      </c>
      <c r="D147" t="s" s="70">
        <f>VLOOKUP(B147,'Player Data'!A1:D667,4,FALSE)</f>
        <v>153</v>
      </c>
      <c r="E147" s="95">
        <f>VLOOKUP(B147,'D'!A1:C213,3,FALSE)</f>
        <v>34</v>
      </c>
      <c r="F147" t="s" s="104">
        <f>VLOOKUP(B147,'Player Data'!A1:B667,2,FALSE)</f>
        <v>281</v>
      </c>
      <c r="G147" s="11">
        <f>VLOOKUP(B147,'Player Data'!A1:D667,3,FALSE)</f>
        <v>27</v>
      </c>
      <c r="H147" s="73">
        <f>_xlfn.IFERROR(VLOOKUP(B147,'ADP'!A1:G665,7,FALSE)/1000000,VLOOKUP(B147,'ADP'!A1:G665,7,FALSE))</f>
        <v>9.58333</v>
      </c>
      <c r="I147" s="74">
        <f>IF('Settings'!$E$15="POINTS",((R147*Q147)*'Settings'!$B$12)+(S147*'Settings'!$B$2)+(T147*'Settings'!$B$3)+(U147*'Settings'!$B$4)+(V147*'Settings'!$B$5)+(X147*'Settings'!$B$9)+(AA147*'Settings'!$B$6)+(W147*'Settings'!$B$8)+(AB147*'Settings'!$B$7)+(AC147*'Settings'!$B$14)+(AD147*'Settings'!$B$15)+(AE147*'Settings'!$B$16)+(AF147*'Settings'!$B$17)+(AG147*'Settings'!$B$18)+(U147*'Settings'!$B$13)+(Y147*'Settings'!$B$10)+(Z147*'Settings'!$B$11),VLOOKUP(B147,'Standard Deviations'!A1:C666,3,FALSE))</f>
        <v>293.432179052834</v>
      </c>
      <c r="J147" s="75">
        <f>IF(D147="G",I147/AJ147,I147/Q147)</f>
        <v>4.2518700098219</v>
      </c>
      <c r="K147" s="74">
        <f>VLOOKUP(B147,'D'!A1:F213,6,FALSE)</f>
        <v>-38.108028867248</v>
      </c>
      <c r="L147" s="76">
        <f>_xlfn.IFERROR(K147/H147,"N/A")</f>
        <v>-3.97649135188374</v>
      </c>
      <c r="M147" s="77">
        <f>IF('Settings'!$E$9="YAHOO",VLOOKUP(B147,'ADP'!A1:E665,2,FALSE),IF('Settings'!$E$9="ESPN",VLOOKUP(B147,'ADP'!A1:E665,3,FALSE),IF('Settings'!$E$9="FANTRAX",VLOOKUP(B147,'ADP'!A1:E665,4,FALSE),VLOOKUP(B147,'ADP'!A1:E665,5,FALSE))))</f>
        <v>0</v>
      </c>
      <c r="N147" s="77">
        <f>_xlfn.IFERROR(M147-A147,"N/A")</f>
        <v>-146</v>
      </c>
      <c r="O147" s="77"/>
      <c r="P147" t="s" s="78">
        <f>IF('Settings'!$E$27="ON",VLOOKUP(B147,'ADP'!A1:H665,8,FALSE)," ")</f>
        <v>138</v>
      </c>
      <c r="Q147" s="79">
        <f>IF('Settings'!$E$12="YES",VLOOKUP(B147,'Player Data'!A1:E667,5,FALSE),82)</f>
        <v>69.0125</v>
      </c>
      <c r="R147" s="77">
        <f>VLOOKUP(B147,'Player Data'!$A1:$AE667,6,FALSE)</f>
        <v>24.7616890265747</v>
      </c>
      <c r="S147" s="79">
        <f>VLOOKUP(B147,'Player Data'!$A1:$AE667,7,FALSE)*$Q147*_xlfn.IFERROR((VLOOKUP(P147,'Settings'!$E$28:$F$33,2,FALSE)+1),1)</f>
        <v>11.6581749776257</v>
      </c>
      <c r="T147" s="79">
        <f>VLOOKUP(B147,'Player Data'!$A1:$AE667,8,FALSE)*$Q147*_xlfn.IFERROR((VLOOKUP(P147,'Settings'!$E$28:$F$33,2,FALSE)+1),1)</f>
        <v>42.2180281463602</v>
      </c>
      <c r="U147" s="79">
        <f>SUM(S147:T147)</f>
        <v>53.8762031239859</v>
      </c>
      <c r="V147" s="79">
        <f>VLOOKUP(B147,'Player Data'!$A1:$AE667,10,FALSE)*$Q147*_xlfn.IFERROR(((VLOOKUP(P147,'Settings'!$E$28:$F$33,2,FALSE)/2)+1),1)</f>
        <v>200.164827178973</v>
      </c>
      <c r="W147" s="79">
        <f>VLOOKUP(B147,'Player Data'!$A1:$AE667,11,FALSE)*$Q147*_xlfn.IFERROR((VLOOKUP(P147,'Settings'!$E$28:$F$33,2,FALSE)+1),1)</f>
        <v>2.77032387166047</v>
      </c>
      <c r="X147" s="80">
        <f>VLOOKUP(B147,'Player Data'!$A1:$AE667,12,FALSE)*$Q147*_xlfn.IFERROR((VLOOKUP(P147,'Settings'!$E$28:$F$33,2,FALSE)+1),1)</f>
        <v>14.2706818412353</v>
      </c>
      <c r="Y147" s="79">
        <f>VLOOKUP(B147,'Player Data'!$A1:$AE667,13,FALSE)*$Q147</f>
        <v>0.0231531007383488</v>
      </c>
      <c r="Z147" s="79">
        <f>VLOOKUP(B147,'Player Data'!$A1:$AE667,14,FALSE)*$Q147</f>
        <v>0.262284758029027</v>
      </c>
      <c r="AA147" s="79">
        <f>VLOOKUP(B147,'Player Data'!$A1:$AE667,15,FALSE)*$Q147</f>
        <v>123.859168792251</v>
      </c>
      <c r="AB147" s="79">
        <f>VLOOKUP(B147,'Player Data'!$A1:$AE667,16,FALSE)*$Q147</f>
        <v>37.9688727267098</v>
      </c>
      <c r="AC147" s="79">
        <f>VLOOKUP(B147,'Player Data'!$A1:$AE667,17,FALSE)*$Q147*_xlfn.IFERROR((VLOOKUP(P147,'Settings'!$E$28:$F$33,2,FALSE)+1),1)</f>
        <v>-5.97673911194049</v>
      </c>
      <c r="AD147" s="79">
        <f>VLOOKUP(B147,'Player Data'!$A1:$AE667,18,FALSE)*$Q147</f>
        <v>24.9892329915325</v>
      </c>
      <c r="AE147" s="79">
        <f>VLOOKUP(B147,'Player Data'!$A1:$AE667,19,FALSE)*$Q147*_xlfn.IFERROR((VLOOKUP(P147,'Settings'!$E$28:$F$33,2,FALSE)+1),1)</f>
        <v>1.28921169196541</v>
      </c>
      <c r="AF147" s="79">
        <f>VLOOKUP(B147,'Player Data'!$A1:$AE667,20,FALSE)*$Q147</f>
        <v>0</v>
      </c>
      <c r="AG147" s="79">
        <f>VLOOKUP(B147,'Player Data'!$A1:$AE667,21,FALSE)*$Q147</f>
        <v>0</v>
      </c>
      <c r="AH147" s="81">
        <f>VLOOKUP(B147,'Player Data'!$A1:$AE667,22,FALSE)</f>
        <v>0</v>
      </c>
      <c r="AI147" s="77"/>
      <c r="AJ147" s="79"/>
      <c r="AK147" s="79"/>
      <c r="AL147" s="79"/>
      <c r="AM147" s="79"/>
      <c r="AN147" s="79"/>
      <c r="AO147" s="79"/>
      <c r="AP147" s="79"/>
      <c r="AQ147" s="82"/>
      <c r="AR147" s="83"/>
      <c r="AS147" s="84"/>
    </row>
    <row r="148" ht="21.25" customHeight="1">
      <c r="A148" s="85">
        <f>RANK(K148,K$1:K$665)</f>
        <v>137</v>
      </c>
      <c r="B148" t="s" s="16">
        <v>332</v>
      </c>
      <c r="C148" t="s" s="69">
        <v>127</v>
      </c>
      <c r="D148" t="s" s="70">
        <f>VLOOKUP(B148,'Player Data'!A1:D667,4,FALSE)</f>
        <v>161</v>
      </c>
      <c r="E148" s="99">
        <f>VLOOKUP(B148,'G'!A1:D65,3,FALSE)</f>
        <v>27</v>
      </c>
      <c r="F148" t="s" s="104">
        <f>VLOOKUP(B148,'Player Data'!A1:B667,2,FALSE)</f>
        <v>333</v>
      </c>
      <c r="G148" s="96">
        <f>VLOOKUP(B148,'Player Data'!A1:D667,3,FALSE)</f>
        <v>22</v>
      </c>
      <c r="H148" s="73">
        <f>_xlfn.IFERROR(VLOOKUP(B148,'ADP'!A1:G665,7,FALSE)/1000000,VLOOKUP(B148,'ADP'!A1:G665,7,FALSE))</f>
        <v>0.925</v>
      </c>
      <c r="I148" s="74">
        <f>IF('Settings'!$E$15="POINTS",(AJ148*'Settings'!$B$29)+(AK148*'Settings'!$B$21)+(AL148*'Settings'!$B$22)+(AN148*'Settings'!$B$24)+(AO148*'Settings'!$B$25)+(AP148*'Settings'!$B$27)+(AM148*'Settings'!$B$23),VLOOKUP(B148,'Standard Deviations'!A1:C666,3,FALSE))</f>
        <v>232.680075415874</v>
      </c>
      <c r="J148" s="75">
        <f>IF(D148="G",I148/AJ148,I148/Q148)</f>
        <v>5.17066834257498</v>
      </c>
      <c r="K148" s="74">
        <f>VLOOKUP(B148,'G'!A1:F65,6,FALSE)</f>
        <v>-34.910939148716</v>
      </c>
      <c r="L148" s="76">
        <f>_xlfn.IFERROR(K148/H148,"N/A")</f>
        <v>-37.7415558364497</v>
      </c>
      <c r="M148" s="77">
        <f>IF('Settings'!$E$9="YAHOO",VLOOKUP(B148,'ADP'!A1:E665,2,FALSE),IF('Settings'!$E$9="ESPN",VLOOKUP(B148,'ADP'!A1:E665,3,FALSE),IF('Settings'!$E$9="FANTRAX",VLOOKUP(B148,'ADP'!A1:E665,4,FALSE),VLOOKUP(B148,'ADP'!A1:E665,5,FALSE))))</f>
        <v>0</v>
      </c>
      <c r="N148" s="77">
        <f>_xlfn.IFERROR(M148-A148,"N/A")</f>
        <v>-137</v>
      </c>
      <c r="O148" s="77"/>
      <c r="P148" s="111">
        <f>IF('Settings'!$E$27="ON",VLOOKUP(B148,'ADP'!A1:H665,8,FALSE)," ")</f>
        <v>0</v>
      </c>
      <c r="Q148" s="79"/>
      <c r="R148" s="77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81"/>
      <c r="AI148" s="77"/>
      <c r="AJ148" s="89">
        <f>VLOOKUP(B148,'Player Data'!$A1:$AE667,24,FALSE)</f>
        <v>45</v>
      </c>
      <c r="AK148" s="79">
        <f>VLOOKUP(B148,'Player Data'!$A1:$AE667,25,FALSE)*$AJ148*_xlfn.IFERROR((VLOOKUP(P148,'Settings'!$E$28:$F$33,2,FALSE)+1),1)</f>
        <v>15.7779972534221</v>
      </c>
      <c r="AL148" s="79">
        <f>AJ148-AK148-AM148</f>
        <v>23.5970027465779</v>
      </c>
      <c r="AM148" s="79">
        <f>VLOOKUP(B148,'Player Data'!$A1:$AE667,27,FALSE)*$AJ148</f>
        <v>5.625</v>
      </c>
      <c r="AN148" s="79">
        <f>VLOOKUP(B148,'Player Data'!$A1:$AE667,28,FALSE)*AJ148</f>
        <v>1.06417844749103</v>
      </c>
      <c r="AO148" s="79">
        <f>VLOOKUP(B148,'Player Data'!$A1:$AE667,29,FALSE)*$AJ148*_xlfn.IFERROR((VLOOKUP(P148,'Settings'!$E$28:$F$33,2,FALSE)/4)+1,1)</f>
        <v>1328.198754238</v>
      </c>
      <c r="AP148" s="79">
        <f>VLOOKUP(B148,'Player Data'!$A1:$AE667,31,FALSE)*$AJ148*(_xlfn.IFERROR(1-(VLOOKUP(P148,'Settings'!$E$28:$F$33,2,FALSE)/4),1))</f>
        <v>141.047655317312</v>
      </c>
      <c r="AQ148" s="82">
        <f>1-(AP148/(AO148+AP148))</f>
        <v>0.903999999999999</v>
      </c>
      <c r="AR148" s="83">
        <f>AP148/AJ148</f>
        <v>3.13439234038471</v>
      </c>
      <c r="AS148" s="93"/>
    </row>
    <row r="149" ht="21.25" customHeight="1">
      <c r="A149" s="85">
        <f>RANK(K149,K$1:K$665)</f>
        <v>167</v>
      </c>
      <c r="B149" t="s" s="16">
        <v>334</v>
      </c>
      <c r="C149" t="s" s="69">
        <v>127</v>
      </c>
      <c r="D149" t="s" s="70">
        <f>VLOOKUP(B149,'Player Data'!A1:D667,4,FALSE)</f>
        <v>128</v>
      </c>
      <c r="E149" s="71">
        <f>VLOOKUP(B149,'C'!A1:C206,3,FALSE)</f>
        <v>51</v>
      </c>
      <c r="F149" t="s" s="86">
        <f>VLOOKUP(B149,'Player Data'!A1:B667,2,FALSE)</f>
        <v>192</v>
      </c>
      <c r="G149" s="11">
        <f>VLOOKUP(B149,'Player Data'!A1:D667,3,FALSE)</f>
        <v>27</v>
      </c>
      <c r="H149" s="73">
        <f>_xlfn.IFERROR(VLOOKUP(B149,'ADP'!A1:G665,7,FALSE)/1000000,VLOOKUP(B149,'ADP'!A1:G665,7,FALSE))</f>
        <v>5</v>
      </c>
      <c r="I149" s="74">
        <f>IF('Settings'!$E$15="POINTS",((R149*Q149)*'Settings'!$B$12)+(S149*'Settings'!$B$2)+(T149*'Settings'!$B$3)+(U149*'Settings'!$B$4)+(V149*'Settings'!$B$5)+(X149*'Settings'!$B$9)+(AA149*'Settings'!$B$6)+(W149*'Settings'!$B$8)+(AB149*'Settings'!$B$7)+(AC149*'Settings'!$B$14)+(AD149*'Settings'!$B$15)+(AE149*'Settings'!$B$16)+(AF149*'Settings'!$B$17)+(AG149*'Settings'!$B$18)+(Y149*'Settings'!$B$10)+(Z149*'Settings'!$B$11),VLOOKUP(B149,'Standard Deviations'!A1:C666,3,FALSE))</f>
        <v>280.753737933816</v>
      </c>
      <c r="J149" s="75">
        <f>IF(D149="G",I149/AJ149,I149/Q149)</f>
        <v>3.48362115499353</v>
      </c>
      <c r="K149" s="74">
        <f>IF('Settings'!$E$18="C/LW/RW",VLOOKUP(B149,'C'!A1:F206,6,FALSE),VLOOKUP(B149,'F'!A1:F392,6,FALSE))</f>
        <v>-48.938156147362</v>
      </c>
      <c r="L149" s="76">
        <f>_xlfn.IFERROR(K149/H149,"N/A")</f>
        <v>-9.787631229472399</v>
      </c>
      <c r="M149" s="77">
        <f>IF('Settings'!$E$9="YAHOO",VLOOKUP(B149,'ADP'!A1:E665,2,FALSE),IF('Settings'!$E$9="ESPN",VLOOKUP(B149,'ADP'!A1:E665,3,FALSE),IF('Settings'!$E$9="FANTRAX",VLOOKUP(B149,'ADP'!A1:E665,4,FALSE),VLOOKUP(B149,'ADP'!A1:E665,5,FALSE))))</f>
        <v>0</v>
      </c>
      <c r="N149" s="77">
        <f>_xlfn.IFERROR(M149-A149,"N/A")</f>
        <v>-167</v>
      </c>
      <c r="O149" s="77"/>
      <c r="P149" t="s" s="78">
        <f>IF('Settings'!$E$27="ON",VLOOKUP(B149,'ADP'!A1:H665,8,FALSE)," ")</f>
        <v>138</v>
      </c>
      <c r="Q149" s="79">
        <f>IF('Settings'!$E$12="YES",VLOOKUP(B149,'Player Data'!A1:E667,5,FALSE),82)</f>
        <v>80.5925</v>
      </c>
      <c r="R149" s="77">
        <f>VLOOKUP(B149,'Player Data'!$A1:$AE667,6,FALSE)</f>
        <v>18.2168884104208</v>
      </c>
      <c r="S149" s="79">
        <f>VLOOKUP(B149,'Player Data'!$A1:$AE667,7,FALSE)*$Q149*_xlfn.IFERROR((VLOOKUP(P149,'Settings'!$E$28:$F$33,2,FALSE)+1),1)</f>
        <v>27.358141083389</v>
      </c>
      <c r="T149" s="79">
        <f>VLOOKUP(B149,'Player Data'!$A1:$AE667,8,FALSE)*$Q149*_xlfn.IFERROR((VLOOKUP(P149,'Settings'!$E$28:$F$33,2,FALSE)+1),1)</f>
        <v>42.5888153411012</v>
      </c>
      <c r="U149" s="79">
        <f>SUM(S149:T149)</f>
        <v>69.9469564244902</v>
      </c>
      <c r="V149" s="79">
        <f>VLOOKUP(B149,'Player Data'!$A1:$AE667,10,FALSE)*$Q149*_xlfn.IFERROR(((VLOOKUP(P149,'Settings'!$E$28:$F$33,2,FALSE)/2)+1),1)</f>
        <v>171.531761940423</v>
      </c>
      <c r="W149" s="79">
        <f>VLOOKUP(B149,'Player Data'!$A1:$AE667,11,FALSE)*$Q149*_xlfn.IFERROR((VLOOKUP(P149,'Settings'!$E$28:$F$33,2,FALSE)+1),1)</f>
        <v>6.07654177648382</v>
      </c>
      <c r="X149" s="80">
        <f>VLOOKUP(B149,'Player Data'!$A1:$AE667,12,FALSE)*$Q149*_xlfn.IFERROR((VLOOKUP(P149,'Settings'!$E$28:$F$33,2,FALSE)+1),1)</f>
        <v>23.1895486766714</v>
      </c>
      <c r="Y149" s="79">
        <f>VLOOKUP(B149,'Player Data'!$A1:$AE667,13,FALSE)*$Q149</f>
        <v>0.0126386285898631</v>
      </c>
      <c r="Z149" s="79">
        <f>VLOOKUP(B149,'Player Data'!$A1:$AE667,14,FALSE)*$Q149</f>
        <v>0.0214029201386848</v>
      </c>
      <c r="AA149" s="79">
        <f>VLOOKUP(B149,'Player Data'!$A1:$AE667,15,FALSE)*$Q149</f>
        <v>53.7172556307533</v>
      </c>
      <c r="AB149" s="79">
        <f>VLOOKUP(B149,'Player Data'!$A1:$AE667,16,FALSE)*$Q149</f>
        <v>20.5801955502954</v>
      </c>
      <c r="AC149" s="79">
        <f>VLOOKUP(B149,'Player Data'!$A1:$AE667,17,FALSE)*$Q149*_xlfn.IFERROR((VLOOKUP(P149,'Settings'!$E$28:$F$33,2,FALSE)+1),1)</f>
        <v>0.144662338881112</v>
      </c>
      <c r="AD149" s="79">
        <f>VLOOKUP(B149,'Player Data'!$A1:$AE667,18,FALSE)*$Q149</f>
        <v>28.2575528140535</v>
      </c>
      <c r="AE149" s="79">
        <f>VLOOKUP(B149,'Player Data'!$A1:$AE667,19,FALSE)*$Q149*_xlfn.IFERROR((VLOOKUP(P149,'Settings'!$E$28:$F$33,2,FALSE)+1),1)</f>
        <v>3.88246315496556</v>
      </c>
      <c r="AF149" s="79">
        <f>VLOOKUP(B149,'Player Data'!$A1:$AE667,20,FALSE)*$Q149</f>
        <v>650.3206243419399</v>
      </c>
      <c r="AG149" s="79">
        <f>VLOOKUP(B149,'Player Data'!$A1:$AE667,21,FALSE)*$Q149</f>
        <v>616.324585732356</v>
      </c>
      <c r="AH149" s="81">
        <f>VLOOKUP(B149,'Player Data'!$A1:$AE667,22,FALSE)</f>
        <v>0.513419716246979</v>
      </c>
      <c r="AI149" s="77"/>
      <c r="AJ149" s="89"/>
      <c r="AK149" s="79"/>
      <c r="AL149" s="79"/>
      <c r="AM149" s="79"/>
      <c r="AN149" s="79"/>
      <c r="AO149" s="79"/>
      <c r="AP149" s="79"/>
      <c r="AQ149" s="82"/>
      <c r="AR149" s="83"/>
      <c r="AS149" s="84"/>
    </row>
    <row r="150" ht="21.25" customHeight="1">
      <c r="A150" s="85">
        <f>RANK(K150,K$1:K$665)</f>
        <v>169</v>
      </c>
      <c r="B150" t="s" s="16">
        <v>335</v>
      </c>
      <c r="C150" t="s" s="69">
        <v>127</v>
      </c>
      <c r="D150" t="s" s="70">
        <f>VLOOKUP(B150,'Player Data'!A1:D667,4,FALSE)</f>
        <v>128</v>
      </c>
      <c r="E150" s="71">
        <f>VLOOKUP(B150,'C'!A1:C206,3,FALSE)</f>
        <v>52</v>
      </c>
      <c r="F150" t="s" s="107">
        <f>VLOOKUP(B150,'Player Data'!A1:B667,2,FALSE)</f>
        <v>279</v>
      </c>
      <c r="G150" s="96">
        <f>VLOOKUP(B150,'Player Data'!A1:D667,3,FALSE)</f>
        <v>21</v>
      </c>
      <c r="H150" s="94">
        <f>_xlfn.IFERROR(VLOOKUP(B150,'ADP'!A1:G665,7,FALSE)/1000000,VLOOKUP(B150,'ADP'!A1:G665,7,FALSE))</f>
        <v>0.894167</v>
      </c>
      <c r="I150" s="74">
        <f>IF('Settings'!$E$15="POINTS",((R150*Q150)*'Settings'!$B$12)+(S150*'Settings'!$B$2)+(T150*'Settings'!$B$3)+(U150*'Settings'!$B$4)+(V150*'Settings'!$B$5)+(X150*'Settings'!$B$9)+(AA150*'Settings'!$B$6)+(W150*'Settings'!$B$8)+(AB150*'Settings'!$B$7)+(AC150*'Settings'!$B$14)+(AD150*'Settings'!$B$15)+(AE150*'Settings'!$B$16)+(AF150*'Settings'!$B$17)+(AG150*'Settings'!$B$18)+(Y150*'Settings'!$B$10)+(Z150*'Settings'!$B$11),VLOOKUP(B150,'Standard Deviations'!A1:C666,3,FALSE))</f>
        <v>280.077443543182</v>
      </c>
      <c r="J150" s="75">
        <f>IF(D150="G",I150/AJ150,I150/Q150)</f>
        <v>3.64874209931191</v>
      </c>
      <c r="K150" s="74">
        <f>IF('Settings'!$E$18="C/LW/RW",VLOOKUP(B150,'C'!A1:F206,6,FALSE),VLOOKUP(B150,'F'!A1:F392,6,FALSE))</f>
        <v>-49.614450537996</v>
      </c>
      <c r="L150" s="76">
        <f>_xlfn.IFERROR(K150/H150,"N/A")</f>
        <v>-55.4867832720241</v>
      </c>
      <c r="M150" s="109">
        <f>IF('Settings'!$E$9="YAHOO",VLOOKUP(B150,'ADP'!A1:E665,2,FALSE),IF('Settings'!$E$9="ESPN",VLOOKUP(B150,'ADP'!A1:E665,3,FALSE),IF('Settings'!$E$9="FANTRAX",VLOOKUP(B150,'ADP'!A1:E665,4,FALSE),VLOOKUP(B150,'ADP'!A1:E665,5,FALSE))))</f>
        <v>0</v>
      </c>
      <c r="N150" s="79">
        <f>_xlfn.IFERROR(M150-A150,"N/A")</f>
        <v>-169</v>
      </c>
      <c r="O150" s="77"/>
      <c r="P150" t="s" s="78">
        <f>IF('Settings'!$E$27="ON",VLOOKUP(B150,'ADP'!A1:H665,8,FALSE)," ")</f>
        <v>138</v>
      </c>
      <c r="Q150" s="79">
        <f>IF('Settings'!$E$12="YES",VLOOKUP(B150,'Player Data'!A1:E667,5,FALSE),82)</f>
        <v>76.76000000000001</v>
      </c>
      <c r="R150" s="98">
        <f>VLOOKUP(B150,'Player Data'!$A1:$AE667,6,FALSE)</f>
        <v>18.0121164294665</v>
      </c>
      <c r="S150" s="79">
        <f>VLOOKUP(B150,'Player Data'!$A1:$AE667,7,FALSE)*$Q150*_xlfn.IFERROR((VLOOKUP(P150,'Settings'!$E$28:$F$33,2,FALSE)+1),1)</f>
        <v>25.5402359600066</v>
      </c>
      <c r="T150" s="79">
        <f>VLOOKUP(B150,'Player Data'!$A1:$AE667,8,FALSE)*$Q150*_xlfn.IFERROR((VLOOKUP(P150,'Settings'!$E$28:$F$33,2,FALSE)+1),1)</f>
        <v>33.8932130923185</v>
      </c>
      <c r="U150" s="79">
        <f>SUM(S150:T150)</f>
        <v>59.4334490523251</v>
      </c>
      <c r="V150" s="79">
        <f>VLOOKUP(B150,'Player Data'!$A1:$AE667,10,FALSE)*$Q150*_xlfn.IFERROR(((VLOOKUP(P150,'Settings'!$E$28:$F$33,2,FALSE)/2)+1),1)</f>
        <v>179.501142560778</v>
      </c>
      <c r="W150" s="79">
        <f>VLOOKUP(B150,'Player Data'!$A1:$AE667,11,FALSE)*$Q150*_xlfn.IFERROR((VLOOKUP(P150,'Settings'!$E$28:$F$33,2,FALSE)+1),1)</f>
        <v>7.85208842338242</v>
      </c>
      <c r="X150" s="80">
        <f>VLOOKUP(B150,'Player Data'!$A1:$AE667,12,FALSE)*$Q150*_xlfn.IFERROR((VLOOKUP(P150,'Settings'!$E$28:$F$33,2,FALSE)+1),1)</f>
        <v>16.9568077427063</v>
      </c>
      <c r="Y150" s="79">
        <f>VLOOKUP(B150,'Player Data'!$A1:$AE667,13,FALSE)*$Q150</f>
        <v>1.41266334416075</v>
      </c>
      <c r="Z150" s="79">
        <f>VLOOKUP(B150,'Player Data'!$A1:$AE667,14,FALSE)*$Q150</f>
        <v>2.74566363166326</v>
      </c>
      <c r="AA150" s="79">
        <f>VLOOKUP(B150,'Player Data'!$A1:$AE667,15,FALSE)*$Q150</f>
        <v>42.3691741734135</v>
      </c>
      <c r="AB150" s="79">
        <f>VLOOKUP(B150,'Player Data'!$A1:$AE667,16,FALSE)*$Q150</f>
        <v>76.7141170732873</v>
      </c>
      <c r="AC150" s="79">
        <f>VLOOKUP(B150,'Player Data'!$A1:$AE667,17,FALSE)*$Q150*_xlfn.IFERROR((VLOOKUP(P150,'Settings'!$E$28:$F$33,2,FALSE)+1),1)</f>
        <v>-8.38239611861497</v>
      </c>
      <c r="AD150" s="79">
        <f>VLOOKUP(B150,'Player Data'!$A1:$AE667,18,FALSE)*$Q150</f>
        <v>65.7021015649168</v>
      </c>
      <c r="AE150" s="79">
        <f>VLOOKUP(B150,'Player Data'!$A1:$AE667,19,FALSE)*$Q150*_xlfn.IFERROR((VLOOKUP(P150,'Settings'!$E$28:$F$33,2,FALSE)+1),1)</f>
        <v>2.97695839328318</v>
      </c>
      <c r="AF150" s="79">
        <f>VLOOKUP(B150,'Player Data'!$A1:$AE667,20,FALSE)*$Q150</f>
        <v>475.158690192027</v>
      </c>
      <c r="AG150" s="79">
        <f>VLOOKUP(B150,'Player Data'!$A1:$AE667,21,FALSE)*$Q150</f>
        <v>567.952170196384</v>
      </c>
      <c r="AH150" s="81">
        <f>VLOOKUP(B150,'Player Data'!$A1:$AE667,22,FALSE)</f>
        <v>0.455520796720588</v>
      </c>
      <c r="AI150" s="77"/>
      <c r="AJ150" s="89"/>
      <c r="AK150" s="79"/>
      <c r="AL150" s="79"/>
      <c r="AM150" s="79"/>
      <c r="AN150" s="79"/>
      <c r="AO150" s="79"/>
      <c r="AP150" s="79"/>
      <c r="AQ150" s="82"/>
      <c r="AR150" s="83"/>
      <c r="AS150" s="84"/>
    </row>
    <row r="151" ht="21.25" customHeight="1">
      <c r="A151" s="85">
        <f>RANK(K151,K$1:K$665)</f>
        <v>141</v>
      </c>
      <c r="B151" t="s" s="16">
        <v>336</v>
      </c>
      <c r="C151" t="s" s="69">
        <v>127</v>
      </c>
      <c r="D151" t="s" s="70">
        <f>VLOOKUP(B151,'Player Data'!A1:D667,4,FALSE)</f>
        <v>161</v>
      </c>
      <c r="E151" s="99">
        <f>VLOOKUP(B151,'G'!A1:D65,3,FALSE)</f>
        <v>28</v>
      </c>
      <c r="F151" t="s" s="100">
        <f>VLOOKUP(B151,'Player Data'!A1:B667,2,FALSE)</f>
        <v>337</v>
      </c>
      <c r="G151" s="91">
        <f>VLOOKUP(B151,'Player Data'!A1:D667,3,FALSE)</f>
        <v>37</v>
      </c>
      <c r="H151" s="73">
        <f>_xlfn.IFERROR(VLOOKUP(B151,'ADP'!A1:G665,7,FALSE)/1000000,VLOOKUP(B151,'ADP'!A1:G665,7,FALSE))</f>
        <v>2.5</v>
      </c>
      <c r="I151" s="74">
        <f>IF('Settings'!$E$15="POINTS",(AJ151*'Settings'!$B$29)+(AK151*'Settings'!$B$21)+(AL151*'Settings'!$B$22)+(AN151*'Settings'!$B$24)+(AO151*'Settings'!$B$25)+(AP151*'Settings'!$B$27)+(AM151*'Settings'!$B$23),VLOOKUP(B151,'Standard Deviations'!A1:C666,3,FALSE))</f>
        <v>231.559538926471</v>
      </c>
      <c r="J151" s="75">
        <f>IF(D151="G",I151/AJ151,I151/Q151)</f>
        <v>5.26271679378343</v>
      </c>
      <c r="K151" s="74">
        <f>VLOOKUP(B151,'G'!A1:F65,6,FALSE)</f>
        <v>-36.031475638119</v>
      </c>
      <c r="L151" s="76">
        <f>_xlfn.IFERROR(K151/H151,"N/A")</f>
        <v>-14.4125902552476</v>
      </c>
      <c r="M151" s="77">
        <f>IF('Settings'!$E$9="YAHOO",VLOOKUP(B151,'ADP'!A1:E665,2,FALSE),IF('Settings'!$E$9="ESPN",VLOOKUP(B151,'ADP'!A1:E665,3,FALSE),IF('Settings'!$E$9="FANTRAX",VLOOKUP(B151,'ADP'!A1:E665,4,FALSE),VLOOKUP(B151,'ADP'!A1:E665,5,FALSE))))</f>
        <v>0</v>
      </c>
      <c r="N151" s="77">
        <f>_xlfn.IFERROR(M151-A151,"N/A")</f>
        <v>-141</v>
      </c>
      <c r="O151" s="77"/>
      <c r="P151" t="s" s="78">
        <f>IF('Settings'!$E$27="ON",VLOOKUP(B151,'ADP'!A1:H665,8,FALSE)," ")</f>
        <v>235</v>
      </c>
      <c r="Q151" s="79"/>
      <c r="R151" s="77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81"/>
      <c r="AI151" s="77"/>
      <c r="AJ151" s="89">
        <f>VLOOKUP(B151,'Player Data'!$A1:$AE667,24,FALSE)</f>
        <v>44</v>
      </c>
      <c r="AK151" s="79">
        <f>VLOOKUP(B151,'Player Data'!$A1:$AE667,25,FALSE)*$AJ151*_xlfn.IFERROR((VLOOKUP(P151,'Settings'!$E$28:$F$33,2,FALSE)+1),1)</f>
        <v>19.0634347054647</v>
      </c>
      <c r="AL151" s="79">
        <f>AJ151-AK151-AM151</f>
        <v>19.4365652945353</v>
      </c>
      <c r="AM151" s="79">
        <f>VLOOKUP(B151,'Player Data'!$A1:$AE667,27,FALSE)*$AJ151</f>
        <v>5.5</v>
      </c>
      <c r="AN151" s="79">
        <f>VLOOKUP(B151,'Player Data'!$A1:$AE667,28,FALSE)*AJ151</f>
        <v>2.16270896603956</v>
      </c>
      <c r="AO151" s="79">
        <f>VLOOKUP(B151,'Player Data'!$A1:$AE667,29,FALSE)*$AJ151*_xlfn.IFERROR((VLOOKUP(P151,'Settings'!$E$28:$F$33,2,FALSE)/4)+1,1)</f>
        <v>1225.585905560460</v>
      </c>
      <c r="AP151" s="79">
        <f>VLOOKUP(B151,'Player Data'!$A1:$AE667,31,FALSE)*$AJ151*(_xlfn.IFERROR(1-(VLOOKUP(P151,'Settings'!$E$28:$F$33,2,FALSE)/4),1))</f>
        <v>128.847900668319</v>
      </c>
      <c r="AQ151" s="82">
        <f>1-(AP151/(AO151+AP151))</f>
        <v>0.90486954764731</v>
      </c>
      <c r="AR151" s="83">
        <f>AP151/AJ151</f>
        <v>2.92836137882543</v>
      </c>
      <c r="AS151" s="84"/>
    </row>
    <row r="152" ht="21.25" customHeight="1">
      <c r="A152" s="85">
        <f>RANK(K152,K$1:K$665)</f>
        <v>153</v>
      </c>
      <c r="B152" t="s" s="16">
        <v>338</v>
      </c>
      <c r="C152" t="s" s="69">
        <v>127</v>
      </c>
      <c r="D152" t="s" s="70">
        <f>VLOOKUP(B152,'Player Data'!A1:D667,4,FALSE)</f>
        <v>148</v>
      </c>
      <c r="E152" s="87">
        <f>VLOOKUP(B152,'RW'!A1:C136,3,FALSE)</f>
        <v>33</v>
      </c>
      <c r="F152" t="s" s="92">
        <f>VLOOKUP(B152,'Player Data'!A1:B667,2,FALSE)</f>
        <v>170</v>
      </c>
      <c r="G152" s="96">
        <f>VLOOKUP(B152,'Player Data'!A1:D667,3,FALSE)</f>
        <v>22</v>
      </c>
      <c r="H152" s="94">
        <f>_xlfn.IFERROR(VLOOKUP(B152,'ADP'!A1:G665,7,FALSE)/1000000,VLOOKUP(B152,'ADP'!A1:G665,7,FALSE))</f>
        <v>2.325</v>
      </c>
      <c r="I152" s="74">
        <f>IF('Settings'!$E$15="POINTS",((R152*Q152)*'Settings'!$B$12)+(S152*'Settings'!$B$2)+(T152*'Settings'!$B$3)+(U152*'Settings'!$B$4)+(V152*'Settings'!$B$5)+(X152*'Settings'!$B$9)+(AA152*'Settings'!$B$6)+(W152*'Settings'!$B$8)+(AB152*'Settings'!$B$7)+(AC152*'Settings'!$B$14)+(AD152*'Settings'!$B$15)+(AE152*'Settings'!$B$16)+(AF152*'Settings'!$B$17)+(AG152*'Settings'!$B$18)+(Y152*'Settings'!$B$10)+(Z152*'Settings'!$B$11),VLOOKUP(B152,'Standard Deviations'!A1:C666,3,FALSE))</f>
        <v>284.584532285043</v>
      </c>
      <c r="J152" s="75">
        <f>IF(D152="G",I152/AJ152,I152/Q152)</f>
        <v>3.48787611955808</v>
      </c>
      <c r="K152" s="74">
        <f>IF('Settings'!$E$18="C/LW/RW",VLOOKUP(B152,'RW'!A1:F136,6,FALSE),VLOOKUP(B152,'F'!A1:F392,6,FALSE))</f>
        <v>-45.107361796135</v>
      </c>
      <c r="L152" s="76">
        <f>_xlfn.IFERROR(K152/H152,"N/A")</f>
        <v>-19.4010158262946</v>
      </c>
      <c r="M152" s="109">
        <f>IF('Settings'!$E$9="YAHOO",VLOOKUP(B152,'ADP'!A1:E665,2,FALSE),IF('Settings'!$E$9="ESPN",VLOOKUP(B152,'ADP'!A1:E665,3,FALSE),IF('Settings'!$E$9="FANTRAX",VLOOKUP(B152,'ADP'!A1:E665,4,FALSE),VLOOKUP(B152,'ADP'!A1:E665,5,FALSE))))</f>
        <v>0</v>
      </c>
      <c r="N152" s="79">
        <f>_xlfn.IFERROR(M152-A152,"N/A")</f>
        <v>-153</v>
      </c>
      <c r="O152" s="77"/>
      <c r="P152" t="s" s="78">
        <f>IF('Settings'!$E$27="ON",VLOOKUP(B152,'ADP'!A1:H665,8,FALSE)," ")</f>
        <v>130</v>
      </c>
      <c r="Q152" s="79">
        <f>IF('Settings'!$E$12="YES",VLOOKUP(B152,'Player Data'!A1:E667,5,FALSE),82)</f>
        <v>81.5925</v>
      </c>
      <c r="R152" s="77">
        <f>VLOOKUP(B152,'Player Data'!$A1:$AE667,6,FALSE)</f>
        <v>18.0020093233018</v>
      </c>
      <c r="S152" s="79">
        <f>VLOOKUP(B152,'Player Data'!$A1:$AE667,7,FALSE)*$Q152*_xlfn.IFERROR((VLOOKUP(P152,'Settings'!$E$28:$F$33,2,FALSE)+1),1)</f>
        <v>28.2398655614087</v>
      </c>
      <c r="T152" s="79">
        <f>VLOOKUP(B152,'Player Data'!$A1:$AE667,8,FALSE)*$Q152*_xlfn.IFERROR((VLOOKUP(P152,'Settings'!$E$28:$F$33,2,FALSE)+1),1)</f>
        <v>32.5525477627548</v>
      </c>
      <c r="U152" s="79">
        <f>SUM(S152:T152)</f>
        <v>60.7924133241635</v>
      </c>
      <c r="V152" s="79">
        <f>VLOOKUP(B152,'Player Data'!$A1:$AE667,10,FALSE)*$Q152*_xlfn.IFERROR(((VLOOKUP(P152,'Settings'!$E$28:$F$33,2,FALSE)/2)+1),1)</f>
        <v>212.320439310619</v>
      </c>
      <c r="W152" s="79">
        <f>VLOOKUP(B152,'Player Data'!$A1:$AE667,11,FALSE)*$Q152*_xlfn.IFERROR((VLOOKUP(P152,'Settings'!$E$28:$F$33,2,FALSE)+1),1)</f>
        <v>3.49161727762774</v>
      </c>
      <c r="X152" s="79">
        <f>VLOOKUP(B152,'Player Data'!$A1:$AE667,12,FALSE)*$Q152*_xlfn.IFERROR((VLOOKUP(P152,'Settings'!$E$28:$F$33,2,FALSE)+1),1)</f>
        <v>7.24457154996802</v>
      </c>
      <c r="Y152" s="79">
        <f>VLOOKUP(B152,'Player Data'!$A1:$AE667,13,FALSE)*$Q152</f>
        <v>0.0101685111163785</v>
      </c>
      <c r="Z152" s="79">
        <f>VLOOKUP(B152,'Player Data'!$A1:$AE667,14,FALSE)*$Q152</f>
        <v>0.0171673066251218</v>
      </c>
      <c r="AA152" s="79">
        <f>VLOOKUP(B152,'Player Data'!$A1:$AE667,15,FALSE)*$Q152</f>
        <v>26.0585100492716</v>
      </c>
      <c r="AB152" s="79">
        <f>VLOOKUP(B152,'Player Data'!$A1:$AE667,16,FALSE)*$Q152</f>
        <v>94.0237852111832</v>
      </c>
      <c r="AC152" s="79">
        <f>VLOOKUP(B152,'Player Data'!$A1:$AE667,17,FALSE)*$Q152*_xlfn.IFERROR((VLOOKUP(P152,'Settings'!$E$28:$F$33,2,FALSE)+1),1)</f>
        <v>4.32048340334666</v>
      </c>
      <c r="AD152" s="79">
        <f>VLOOKUP(B152,'Player Data'!$A1:$AE667,18,FALSE)*$Q152</f>
        <v>37.8382994982845</v>
      </c>
      <c r="AE152" s="79">
        <f>VLOOKUP(B152,'Player Data'!$A1:$AE667,19,FALSE)*$Q152*_xlfn.IFERROR((VLOOKUP(P152,'Settings'!$E$28:$F$33,2,FALSE)+1),1)</f>
        <v>4.61604052551467</v>
      </c>
      <c r="AF152" s="79">
        <f>VLOOKUP(B152,'Player Data'!$A1:$AE667,20,FALSE)*$Q152</f>
        <v>21.3608181444007</v>
      </c>
      <c r="AG152" s="79">
        <f>VLOOKUP(B152,'Player Data'!$A1:$AE667,21,FALSE)*$Q152</f>
        <v>49.4996840214419</v>
      </c>
      <c r="AH152" s="81">
        <f>VLOOKUP(B152,'Player Data'!$A1:$AE667,22,FALSE)</f>
        <v>0.301448867726164</v>
      </c>
      <c r="AI152" s="77"/>
      <c r="AJ152" s="89"/>
      <c r="AK152" s="79"/>
      <c r="AL152" s="79"/>
      <c r="AM152" s="79"/>
      <c r="AN152" s="79"/>
      <c r="AO152" s="79"/>
      <c r="AP152" s="79"/>
      <c r="AQ152" s="82"/>
      <c r="AR152" s="83"/>
      <c r="AS152" s="84"/>
    </row>
    <row r="153" ht="21.25" customHeight="1">
      <c r="A153" s="85">
        <f>RANK(K153,K$1:K$665)</f>
        <v>159</v>
      </c>
      <c r="B153" t="s" s="16">
        <v>339</v>
      </c>
      <c r="C153" t="s" s="69">
        <v>127</v>
      </c>
      <c r="D153" t="s" s="70">
        <f>VLOOKUP(B153,'Player Data'!A1:D667,4,FALSE)</f>
        <v>178</v>
      </c>
      <c r="E153" s="102">
        <f>VLOOKUP(B153,'LW'!A1:C152,3,FALSE)</f>
        <v>44</v>
      </c>
      <c r="F153" t="s" s="78">
        <f>VLOOKUP(B153,'Player Data'!A1:B667,2,FALSE)</f>
        <v>261</v>
      </c>
      <c r="G153" s="96">
        <f>VLOOKUP(B153,'Player Data'!A1:D667,3,FALSE)</f>
        <v>21</v>
      </c>
      <c r="H153" s="94">
        <f>_xlfn.IFERROR(VLOOKUP(B153,'ADP'!A1:G665,7,FALSE)/1000000,VLOOKUP(B153,'ADP'!A1:G665,7,FALSE))</f>
        <v>0.894167</v>
      </c>
      <c r="I153" s="74">
        <f>IF('Settings'!$E$15="POINTS",((R153*Q153)*'Settings'!$B$12)+(S153*'Settings'!$B$2)+(T153*'Settings'!$B$3)+(U153*'Settings'!$B$4)+(V153*'Settings'!$B$5)+(X153*'Settings'!$B$9)+(AA153*'Settings'!$B$6)+(W153*'Settings'!$B$8)+(AB153*'Settings'!$B$7)+(AC153*'Settings'!$B$14)+(AD153*'Settings'!$B$15)+(AE153*'Settings'!$B$16)+(AF153*'Settings'!$B$17)+(AG153*'Settings'!$B$18)+(Y153*'Settings'!$B$10)+(Z153*'Settings'!$B$11),VLOOKUP(B153,'Standard Deviations'!A1:C666,3,FALSE))</f>
        <v>284.435506955399</v>
      </c>
      <c r="J153" s="75">
        <f>IF(D153="G",I153/AJ153,I153/Q153)</f>
        <v>3.76860559066445</v>
      </c>
      <c r="K153" s="74">
        <f>IF('Settings'!$E$18="C/LW/RW",VLOOKUP(B153,'LW'!A1:F152,6,FALSE),VLOOKUP(B153,'F'!A1:F392,6,FALSE))</f>
        <v>-47.284604810813</v>
      </c>
      <c r="L153" s="76">
        <f>_xlfn.IFERROR(K153/H153,"N/A")</f>
        <v>-52.8811785838809</v>
      </c>
      <c r="M153" s="77">
        <f>IF('Settings'!$E$9="YAHOO",VLOOKUP(B153,'ADP'!A1:E665,2,FALSE),IF('Settings'!$E$9="ESPN",VLOOKUP(B153,'ADP'!A1:E665,3,FALSE),IF('Settings'!$E$9="FANTRAX",VLOOKUP(B153,'ADP'!A1:E665,4,FALSE),VLOOKUP(B153,'ADP'!A1:E665,5,FALSE))))</f>
        <v>0</v>
      </c>
      <c r="N153" s="77">
        <f>_xlfn.IFERROR(M153-A153,"N/A")</f>
        <v>-159</v>
      </c>
      <c r="O153" s="77"/>
      <c r="P153" t="s" s="78">
        <f>IF('Settings'!$E$27="ON",VLOOKUP(B153,'ADP'!A1:H665,8,FALSE)," ")</f>
        <v>235</v>
      </c>
      <c r="Q153" s="79">
        <f>IF('Settings'!$E$12="YES",VLOOKUP(B153,'Player Data'!A1:E667,5,FALSE),82)</f>
        <v>75.47499999999999</v>
      </c>
      <c r="R153" s="98">
        <f>VLOOKUP(B153,'Player Data'!$A1:$AE667,6,FALSE)</f>
        <v>17.639158663726</v>
      </c>
      <c r="S153" s="79">
        <f>VLOOKUP(B153,'Player Data'!$A1:$AE667,7,FALSE)*$Q153*_xlfn.IFERROR((VLOOKUP(P153,'Settings'!$E$28:$F$33,2,FALSE)+1),1)</f>
        <v>28.5996559813249</v>
      </c>
      <c r="T153" s="79">
        <f>VLOOKUP(B153,'Player Data'!$A1:$AE667,8,FALSE)*$Q153*_xlfn.IFERROR((VLOOKUP(P153,'Settings'!$E$28:$F$33,2,FALSE)+1),1)</f>
        <v>31.7817240895337</v>
      </c>
      <c r="U153" s="79">
        <f>SUM(S153:T153)</f>
        <v>60.3813800708586</v>
      </c>
      <c r="V153" s="79">
        <f>VLOOKUP(B153,'Player Data'!$A1:$AE667,10,FALSE)*$Q153*_xlfn.IFERROR(((VLOOKUP(P153,'Settings'!$E$28:$F$33,2,FALSE)/2)+1),1)</f>
        <v>202.790810803169</v>
      </c>
      <c r="W153" s="79">
        <f>VLOOKUP(B153,'Player Data'!$A1:$AE667,11,FALSE)*$Q153*_xlfn.IFERROR((VLOOKUP(P153,'Settings'!$E$28:$F$33,2,FALSE)+1),1)</f>
        <v>15.0262939704386</v>
      </c>
      <c r="X153" s="80">
        <f>VLOOKUP(B153,'Player Data'!$A1:$AE667,12,FALSE)*$Q153*_xlfn.IFERROR((VLOOKUP(P153,'Settings'!$E$28:$F$33,2,FALSE)+1),1)</f>
        <v>24.7438868202767</v>
      </c>
      <c r="Y153" s="79">
        <f>VLOOKUP(B153,'Player Data'!$A1:$AE667,13,FALSE)*$Q153</f>
        <v>0.639792741335782</v>
      </c>
      <c r="Z153" s="79">
        <f>VLOOKUP(B153,'Player Data'!$A1:$AE667,14,FALSE)*$Q153</f>
        <v>1.24878395251017</v>
      </c>
      <c r="AA153" s="79">
        <f>VLOOKUP(B153,'Player Data'!$A1:$AE667,15,FALSE)*$Q153</f>
        <v>40.3996104955185</v>
      </c>
      <c r="AB153" s="79">
        <f>VLOOKUP(B153,'Player Data'!$A1:$AE667,16,FALSE)*$Q153</f>
        <v>64.4006146019793</v>
      </c>
      <c r="AC153" s="79">
        <f>VLOOKUP(B153,'Player Data'!$A1:$AE667,17,FALSE)*$Q153*_xlfn.IFERROR((VLOOKUP(P153,'Settings'!$E$28:$F$33,2,FALSE)+1),1)</f>
        <v>0.08219983354872171</v>
      </c>
      <c r="AD153" s="79">
        <f>VLOOKUP(B153,'Player Data'!$A1:$AE667,18,FALSE)*$Q153</f>
        <v>30.561117285735</v>
      </c>
      <c r="AE153" s="79">
        <f>VLOOKUP(B153,'Player Data'!$A1:$AE667,19,FALSE)*$Q153*_xlfn.IFERROR((VLOOKUP(P153,'Settings'!$E$28:$F$33,2,FALSE)+1),1)</f>
        <v>4.18497029525852</v>
      </c>
      <c r="AF153" s="79">
        <f>VLOOKUP(B153,'Player Data'!$A1:$AE667,20,FALSE)*$Q153</f>
        <v>14.6548023096306</v>
      </c>
      <c r="AG153" s="79">
        <f>VLOOKUP(B153,'Player Data'!$A1:$AE667,21,FALSE)*$Q153</f>
        <v>33.6669693004007</v>
      </c>
      <c r="AH153" s="81">
        <f>VLOOKUP(B153,'Player Data'!$A1:$AE667,22,FALSE)</f>
        <v>0.303275352317346</v>
      </c>
      <c r="AI153" s="77"/>
      <c r="AJ153" s="79"/>
      <c r="AK153" s="79"/>
      <c r="AL153" s="79"/>
      <c r="AM153" s="79"/>
      <c r="AN153" s="79"/>
      <c r="AO153" s="79"/>
      <c r="AP153" s="79"/>
      <c r="AQ153" s="82"/>
      <c r="AR153" s="83"/>
      <c r="AS153" s="84"/>
    </row>
    <row r="154" ht="21.25" customHeight="1">
      <c r="A154" s="85">
        <f>RANK(K154,K$1:K$665)</f>
        <v>148</v>
      </c>
      <c r="B154" t="s" s="16">
        <v>340</v>
      </c>
      <c r="C154" t="s" s="69">
        <v>127</v>
      </c>
      <c r="D154" t="s" s="70">
        <f>VLOOKUP(B154,'Player Data'!A1:D667,4,FALSE)</f>
        <v>153</v>
      </c>
      <c r="E154" s="95">
        <f>VLOOKUP(B154,'D'!A1:C213,3,FALSE)</f>
        <v>35</v>
      </c>
      <c r="F154" t="s" s="86">
        <f>VLOOKUP(B154,'Player Data'!A1:B667,2,FALSE)</f>
        <v>149</v>
      </c>
      <c r="G154" s="11">
        <f>VLOOKUP(B154,'Player Data'!A1:D667,3,FALSE)</f>
        <v>28</v>
      </c>
      <c r="H154" s="73">
        <f>_xlfn.IFERROR(VLOOKUP(B154,'ADP'!A1:G665,7,FALSE)/1000000,VLOOKUP(B154,'ADP'!A1:G665,7,FALSE))</f>
        <v>5.75</v>
      </c>
      <c r="I154" s="74">
        <f>IF('Settings'!$E$15="POINTS",((R154*Q154)*'Settings'!$B$12)+(S154*'Settings'!$B$2)+(T154*'Settings'!$B$3)+(U154*'Settings'!$B$4)+(V154*'Settings'!$B$5)+(X154*'Settings'!$B$9)+(AA154*'Settings'!$B$6)+(W154*'Settings'!$B$8)+(AB154*'Settings'!$B$7)+(AC154*'Settings'!$B$14)+(AD154*'Settings'!$B$15)+(AE154*'Settings'!$B$16)+(AF154*'Settings'!$B$17)+(AG154*'Settings'!$B$18)+(U154*'Settings'!$B$13)+(Y154*'Settings'!$B$10)+(Z154*'Settings'!$B$11),VLOOKUP(B154,'Standard Deviations'!A1:C666,3,FALSE))</f>
        <v>291.166274780887</v>
      </c>
      <c r="J154" s="75">
        <f>IF(D154="G",I154/AJ154,I154/Q154)</f>
        <v>3.62158369079744</v>
      </c>
      <c r="K154" s="74">
        <f>VLOOKUP(B154,'D'!A1:F213,6,FALSE)</f>
        <v>-40.373933139195</v>
      </c>
      <c r="L154" s="76">
        <f>_xlfn.IFERROR(K154/H154,"N/A")</f>
        <v>-7.02155358942522</v>
      </c>
      <c r="M154" s="77">
        <f>IF('Settings'!$E$9="YAHOO",VLOOKUP(B154,'ADP'!A1:E665,2,FALSE),IF('Settings'!$E$9="ESPN",VLOOKUP(B154,'ADP'!A1:E665,3,FALSE),IF('Settings'!$E$9="FANTRAX",VLOOKUP(B154,'ADP'!A1:E665,4,FALSE),VLOOKUP(B154,'ADP'!A1:E665,5,FALSE))))</f>
        <v>0</v>
      </c>
      <c r="N154" s="77">
        <f>_xlfn.IFERROR(M154-A154,"N/A")</f>
        <v>-148</v>
      </c>
      <c r="O154" s="77"/>
      <c r="P154" t="s" s="78">
        <f>IF('Settings'!$E$27="ON",VLOOKUP(B154,'ADP'!A1:H665,8,FALSE)," ")</f>
        <v>138</v>
      </c>
      <c r="Q154" s="79">
        <f>IF('Settings'!$E$12="YES",VLOOKUP(B154,'Player Data'!A1:E667,5,FALSE),82)</f>
        <v>80.39749999999999</v>
      </c>
      <c r="R154" s="98">
        <f>VLOOKUP(B154,'Player Data'!$A1:$AE667,6,FALSE)</f>
        <v>23.6984527524087</v>
      </c>
      <c r="S154" s="79">
        <f>VLOOKUP(B154,'Player Data'!$A1:$AE667,7,FALSE)*$Q154*_xlfn.IFERROR((VLOOKUP(P154,'Settings'!$E$28:$F$33,2,FALSE)+1),1)</f>
        <v>11.8212403557854</v>
      </c>
      <c r="T154" s="79">
        <f>VLOOKUP(B154,'Player Data'!$A1:$AE667,8,FALSE)*$Q154*_xlfn.IFERROR((VLOOKUP(P154,'Settings'!$E$28:$F$33,2,FALSE)+1),1)</f>
        <v>31.5067112665953</v>
      </c>
      <c r="U154" s="79">
        <f>SUM(S154:T154)</f>
        <v>43.3279516223807</v>
      </c>
      <c r="V154" s="79">
        <f>VLOOKUP(B154,'Player Data'!$A1:$AE667,10,FALSE)*$Q154*_xlfn.IFERROR(((VLOOKUP(P154,'Settings'!$E$28:$F$33,2,FALSE)/2)+1),1)</f>
        <v>185.970315529821</v>
      </c>
      <c r="W154" s="79">
        <f>VLOOKUP(B154,'Player Data'!$A1:$AE667,11,FALSE)*$Q154*_xlfn.IFERROR((VLOOKUP(P154,'Settings'!$E$28:$F$33,2,FALSE)+1),1)</f>
        <v>1.143101662096</v>
      </c>
      <c r="X154" s="79">
        <f>VLOOKUP(B154,'Player Data'!$A1:$AE667,12,FALSE)*$Q154*_xlfn.IFERROR((VLOOKUP(P154,'Settings'!$E$28:$F$33,2,FALSE)+1),1)</f>
        <v>4.31665026225318</v>
      </c>
      <c r="Y154" s="79">
        <f>VLOOKUP(B154,'Player Data'!$A1:$AE667,13,FALSE)*$Q154</f>
        <v>0.0271235744438026</v>
      </c>
      <c r="Z154" s="79">
        <f>VLOOKUP(B154,'Player Data'!$A1:$AE667,14,FALSE)*$Q154</f>
        <v>0.618807077530211</v>
      </c>
      <c r="AA154" s="79">
        <f>VLOOKUP(B154,'Player Data'!$A1:$AE667,15,FALSE)*$Q154</f>
        <v>113.799288832963</v>
      </c>
      <c r="AB154" s="79">
        <f>VLOOKUP(B154,'Player Data'!$A1:$AE667,16,FALSE)*$Q154</f>
        <v>98.72840692426681</v>
      </c>
      <c r="AC154" s="79">
        <f>VLOOKUP(B154,'Player Data'!$A1:$AE667,17,FALSE)*$Q154*_xlfn.IFERROR((VLOOKUP(P154,'Settings'!$E$28:$F$33,2,FALSE)+1),1)</f>
        <v>8.40963492069298</v>
      </c>
      <c r="AD154" s="79">
        <f>VLOOKUP(B154,'Player Data'!$A1:$AE667,18,FALSE)*$Q154</f>
        <v>37.6365108192067</v>
      </c>
      <c r="AE154" s="79">
        <f>VLOOKUP(B154,'Player Data'!$A1:$AE667,19,FALSE)*$Q154*_xlfn.IFERROR((VLOOKUP(P154,'Settings'!$E$28:$F$33,2,FALSE)+1),1)</f>
        <v>2.01388696424796</v>
      </c>
      <c r="AF154" s="79">
        <f>VLOOKUP(B154,'Player Data'!$A1:$AE667,20,FALSE)*$Q154</f>
        <v>0</v>
      </c>
      <c r="AG154" s="79">
        <f>VLOOKUP(B154,'Player Data'!$A1:$AE667,21,FALSE)*$Q154</f>
        <v>0</v>
      </c>
      <c r="AH154" s="81">
        <f>VLOOKUP(B154,'Player Data'!$A1:$AE667,22,FALSE)</f>
        <v>0</v>
      </c>
      <c r="AI154" s="77"/>
      <c r="AJ154" s="79"/>
      <c r="AK154" s="79"/>
      <c r="AL154" s="79"/>
      <c r="AM154" s="79"/>
      <c r="AN154" s="79"/>
      <c r="AO154" s="79"/>
      <c r="AP154" s="79"/>
      <c r="AQ154" s="82"/>
      <c r="AR154" s="83"/>
      <c r="AS154" s="84"/>
    </row>
    <row r="155" ht="21.25" customHeight="1">
      <c r="A155" s="85">
        <f>RANK(K155,K$1:K$665)</f>
        <v>144</v>
      </c>
      <c r="B155" t="s" s="16">
        <v>341</v>
      </c>
      <c r="C155" t="s" s="69">
        <v>127</v>
      </c>
      <c r="D155" t="s" s="70">
        <f>VLOOKUP(B155,'Player Data'!A1:D667,4,FALSE)</f>
        <v>161</v>
      </c>
      <c r="E155" s="99">
        <f>VLOOKUP(B155,'G'!A1:D65,3,FALSE)</f>
        <v>29</v>
      </c>
      <c r="F155" t="s" s="86">
        <f>VLOOKUP(B155,'Player Data'!A1:B667,2,FALSE)</f>
        <v>342</v>
      </c>
      <c r="G155" s="91">
        <f>VLOOKUP(B155,'Player Data'!A1:D667,3,FALSE)</f>
        <v>34</v>
      </c>
      <c r="H155" s="94">
        <f>_xlfn.IFERROR(VLOOKUP(B155,'ADP'!A1:G665,7,FALSE)/1000000,VLOOKUP(B155,'ADP'!A1:G665,7,FALSE))</f>
        <v>3.4</v>
      </c>
      <c r="I155" s="74">
        <f>IF('Settings'!$E$15="POINTS",(AJ155*'Settings'!$B$29)+(AK155*'Settings'!$B$21)+(AL155*'Settings'!$B$22)+(AN155*'Settings'!$B$24)+(AO155*'Settings'!$B$25)+(AP155*'Settings'!$B$27)+(AM155*'Settings'!$B$23),VLOOKUP(B155,'Standard Deviations'!A1:C666,3,FALSE))</f>
        <v>229.867492100512</v>
      </c>
      <c r="J155" s="75">
        <f>IF(D155="G",I155/AJ155,I155/Q155)</f>
        <v>5.60652419757346</v>
      </c>
      <c r="K155" s="74">
        <f>VLOOKUP(B155,'G'!A1:F65,6,FALSE)</f>
        <v>-37.723522464078</v>
      </c>
      <c r="L155" s="76">
        <f>_xlfn.IFERROR(K155/H155,"N/A")</f>
        <v>-11.0951536659053</v>
      </c>
      <c r="M155" s="77">
        <f>IF('Settings'!$E$9="YAHOO",VLOOKUP(B155,'ADP'!A1:E665,2,FALSE),IF('Settings'!$E$9="ESPN",VLOOKUP(B155,'ADP'!A1:E665,3,FALSE),IF('Settings'!$E$9="FANTRAX",VLOOKUP(B155,'ADP'!A1:E665,4,FALSE),VLOOKUP(B155,'ADP'!A1:E665,5,FALSE))))</f>
        <v>0</v>
      </c>
      <c r="N155" s="77">
        <f>_xlfn.IFERROR(M155-A155,"N/A")</f>
        <v>-144</v>
      </c>
      <c r="O155" s="77"/>
      <c r="P155" t="s" s="78">
        <f>IF('Settings'!$E$27="ON",VLOOKUP(B155,'ADP'!A1:H665,8,FALSE)," ")</f>
        <v>138</v>
      </c>
      <c r="Q155" s="79"/>
      <c r="R155" s="77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81"/>
      <c r="AI155" s="77"/>
      <c r="AJ155" s="89">
        <f>VLOOKUP(B155,'Player Data'!$A1:$AE667,24,FALSE)</f>
        <v>41</v>
      </c>
      <c r="AK155" s="79">
        <f>VLOOKUP(B155,'Player Data'!$A1:$AE667,25,FALSE)*$AJ155*_xlfn.IFERROR((VLOOKUP(P155,'Settings'!$E$28:$F$33,2,FALSE)+1),1)</f>
        <v>25.0629107297858</v>
      </c>
      <c r="AL155" s="79">
        <f>AJ155-AK155-AM155</f>
        <v>10.8120892702142</v>
      </c>
      <c r="AM155" s="79">
        <f>VLOOKUP(B155,'Player Data'!$A1:$AE667,27,FALSE)*$AJ155</f>
        <v>5.125</v>
      </c>
      <c r="AN155" s="79">
        <f>VLOOKUP(B155,'Player Data'!$A1:$AE667,28,FALSE)*AJ155</f>
        <v>3.00642189107386</v>
      </c>
      <c r="AO155" s="79">
        <f>VLOOKUP(B155,'Player Data'!$A1:$AE667,29,FALSE)*$AJ155*_xlfn.IFERROR((VLOOKUP(P155,'Settings'!$E$28:$F$33,2,FALSE)/4)+1,1)</f>
        <v>1066.787313152540</v>
      </c>
      <c r="AP155" s="79">
        <f>VLOOKUP(B155,'Player Data'!$A1:$AE667,31,FALSE)*$AJ155*(_xlfn.IFERROR(1-(VLOOKUP(P155,'Settings'!$E$28:$F$33,2,FALSE)/4),1))</f>
        <v>107.080128731838</v>
      </c>
      <c r="AQ155" s="82">
        <f>1-(AP155/(AO155+AP155))</f>
        <v>0.908780050531136</v>
      </c>
      <c r="AR155" s="83">
        <f>AP155/AJ155</f>
        <v>2.6117104568741</v>
      </c>
      <c r="AS155" s="84"/>
    </row>
    <row r="156" ht="21.25" customHeight="1">
      <c r="A156" s="85">
        <f>RANK(K156,K$1:K$665)</f>
        <v>162</v>
      </c>
      <c r="B156" t="s" s="16">
        <v>343</v>
      </c>
      <c r="C156" t="s" s="69">
        <v>127</v>
      </c>
      <c r="D156" t="s" s="70">
        <f>VLOOKUP(B156,'Player Data'!A1:D667,4,FALSE)</f>
        <v>145</v>
      </c>
      <c r="E156" s="87">
        <f>VLOOKUP(B156,'RW'!A1:C136,3,FALSE)</f>
        <v>34</v>
      </c>
      <c r="F156" t="s" s="103">
        <f>VLOOKUP(B156,'Player Data'!A1:B667,2,FALSE)</f>
        <v>227</v>
      </c>
      <c r="G156" s="11">
        <f>VLOOKUP(B156,'Player Data'!A1:D667,3,FALSE)</f>
        <v>25</v>
      </c>
      <c r="H156" s="73">
        <f>_xlfn.IFERROR(VLOOKUP(B156,'ADP'!A1:G665,7,FALSE)/1000000,VLOOKUP(B156,'ADP'!A1:G665,7,FALSE))</f>
        <v>6.5</v>
      </c>
      <c r="I156" s="74">
        <f>IF('Settings'!$E$15="POINTS",((R156*Q156)*'Settings'!$B$12)+(S156*'Settings'!$B$2)+(T156*'Settings'!$B$3)+(U156*'Settings'!$B$4)+(V156*'Settings'!$B$5)+(X156*'Settings'!$B$9)+(AA156*'Settings'!$B$6)+(W156*'Settings'!$B$8)+(AB156*'Settings'!$B$7)+(AC156*'Settings'!$B$14)+(AD156*'Settings'!$B$15)+(AE156*'Settings'!$B$16)+(AF156*'Settings'!$B$17)+(AG156*'Settings'!$B$18)+(Y156*'Settings'!$B$10)+(Z156*'Settings'!$B$11),VLOOKUP(B156,'Standard Deviations'!A1:C666,3,FALSE))</f>
        <v>281.577108864490</v>
      </c>
      <c r="J156" s="75">
        <f>IF(D156="G",I156/AJ156,I156/Q156)</f>
        <v>3.4873469221846</v>
      </c>
      <c r="K156" s="74">
        <f>IF('Settings'!$E$18="C/LW/RW",VLOOKUP(B156,'RW'!A1:F136,6,FALSE),VLOOKUP(B156,'F'!A1:F392,6,FALSE))</f>
        <v>-48.114785216688</v>
      </c>
      <c r="L156" s="76">
        <f>_xlfn.IFERROR(K156/H156,"N/A")</f>
        <v>-7.40227464872123</v>
      </c>
      <c r="M156" s="77">
        <f>IF('Settings'!$E$9="YAHOO",VLOOKUP(B156,'ADP'!A1:E665,2,FALSE),IF('Settings'!$E$9="ESPN",VLOOKUP(B156,'ADP'!A1:E665,3,FALSE),IF('Settings'!$E$9="FANTRAX",VLOOKUP(B156,'ADP'!A1:E665,4,FALSE),VLOOKUP(B156,'ADP'!A1:E665,5,FALSE))))</f>
        <v>0</v>
      </c>
      <c r="N156" s="77">
        <f>_xlfn.IFERROR(M156-A156,"N/A")</f>
        <v>-162</v>
      </c>
      <c r="O156" s="77"/>
      <c r="P156" t="s" s="78">
        <f>IF('Settings'!$E$27="ON",VLOOKUP(B156,'ADP'!A1:H665,8,FALSE)," ")</f>
        <v>138</v>
      </c>
      <c r="Q156" s="79">
        <f>IF('Settings'!$E$12="YES",VLOOKUP(B156,'Player Data'!A1:E667,5,FALSE),82)</f>
        <v>80.74250000000001</v>
      </c>
      <c r="R156" s="77">
        <f>VLOOKUP(B156,'Player Data'!$A1:$AE667,6,FALSE)</f>
        <v>17.500334909653</v>
      </c>
      <c r="S156" s="79">
        <f>VLOOKUP(B156,'Player Data'!$A1:$AE667,7,FALSE)*$Q156*_xlfn.IFERROR((VLOOKUP(P156,'Settings'!$E$28:$F$33,2,FALSE)+1),1)</f>
        <v>25.849557949225</v>
      </c>
      <c r="T156" s="79">
        <f>VLOOKUP(B156,'Player Data'!$A1:$AE667,8,FALSE)*$Q156*_xlfn.IFERROR((VLOOKUP(P156,'Settings'!$E$28:$F$33,2,FALSE)+1),1)</f>
        <v>35.4240187950146</v>
      </c>
      <c r="U156" s="79">
        <f>SUM(S156:T156)</f>
        <v>61.2735767442396</v>
      </c>
      <c r="V156" s="79">
        <f>VLOOKUP(B156,'Player Data'!$A1:$AE667,10,FALSE)*$Q156*_xlfn.IFERROR(((VLOOKUP(P156,'Settings'!$E$28:$F$33,2,FALSE)/2)+1),1)</f>
        <v>231.008154834774</v>
      </c>
      <c r="W156" s="79">
        <f>VLOOKUP(B156,'Player Data'!$A1:$AE667,11,FALSE)*$Q156*_xlfn.IFERROR((VLOOKUP(P156,'Settings'!$E$28:$F$33,2,FALSE)+1),1)</f>
        <v>8.45151720703473</v>
      </c>
      <c r="X156" s="80">
        <f>VLOOKUP(B156,'Player Data'!$A1:$AE667,12,FALSE)*$Q156*_xlfn.IFERROR((VLOOKUP(P156,'Settings'!$E$28:$F$33,2,FALSE)+1),1)</f>
        <v>18.6922588794793</v>
      </c>
      <c r="Y156" s="79">
        <f>VLOOKUP(B156,'Player Data'!$A1:$AE667,13,FALSE)*$Q156</f>
        <v>0.0491266159350657</v>
      </c>
      <c r="Z156" s="79">
        <f>VLOOKUP(B156,'Player Data'!$A1:$AE667,14,FALSE)*$Q156</f>
        <v>0.111722823417312</v>
      </c>
      <c r="AA156" s="79">
        <f>VLOOKUP(B156,'Player Data'!$A1:$AE667,15,FALSE)*$Q156</f>
        <v>28.9550729969104</v>
      </c>
      <c r="AB156" s="79">
        <f>VLOOKUP(B156,'Player Data'!$A1:$AE667,16,FALSE)*$Q156</f>
        <v>71.54733216542181</v>
      </c>
      <c r="AC156" s="79">
        <f>VLOOKUP(B156,'Player Data'!$A1:$AE667,17,FALSE)*$Q156*_xlfn.IFERROR((VLOOKUP(P156,'Settings'!$E$28:$F$33,2,FALSE)+1),1)</f>
        <v>3.83522883355522</v>
      </c>
      <c r="AD156" s="79">
        <f>VLOOKUP(B156,'Player Data'!$A1:$AE667,18,FALSE)*$Q156</f>
        <v>38.782632733557</v>
      </c>
      <c r="AE156" s="79">
        <f>VLOOKUP(B156,'Player Data'!$A1:$AE667,19,FALSE)*$Q156*_xlfn.IFERROR((VLOOKUP(P156,'Settings'!$E$28:$F$33,2,FALSE)+1),1)</f>
        <v>4.47935580132021</v>
      </c>
      <c r="AF156" s="79">
        <f>VLOOKUP(B156,'Player Data'!$A1:$AE667,20,FALSE)*$Q156</f>
        <v>72.7087072125463</v>
      </c>
      <c r="AG156" s="79">
        <f>VLOOKUP(B156,'Player Data'!$A1:$AE667,21,FALSE)*$Q156</f>
        <v>106.262494899908</v>
      </c>
      <c r="AH156" s="81">
        <f>VLOOKUP(B156,'Player Data'!$A1:$AE667,22,FALSE)</f>
        <v>0.406259254865266</v>
      </c>
      <c r="AI156" s="77"/>
      <c r="AJ156" s="89"/>
      <c r="AK156" s="79"/>
      <c r="AL156" s="79"/>
      <c r="AM156" s="79"/>
      <c r="AN156" s="79"/>
      <c r="AO156" s="79"/>
      <c r="AP156" s="79"/>
      <c r="AQ156" s="82"/>
      <c r="AR156" s="83"/>
      <c r="AS156" s="84"/>
    </row>
    <row r="157" ht="21.25" customHeight="1">
      <c r="A157" s="85">
        <f>RANK(K157,K$1:K$665)</f>
        <v>166</v>
      </c>
      <c r="B157" t="s" s="16">
        <v>344</v>
      </c>
      <c r="C157" t="s" s="69">
        <v>127</v>
      </c>
      <c r="D157" t="s" s="70">
        <f>VLOOKUP(B157,'Player Data'!A1:D667,4,FALSE)</f>
        <v>148</v>
      </c>
      <c r="E157" s="87">
        <f>VLOOKUP(B157,'RW'!A1:C136,3,FALSE)</f>
        <v>35</v>
      </c>
      <c r="F157" t="s" s="88">
        <f>VLOOKUP(B157,'Player Data'!A1:B667,2,FALSE)</f>
        <v>304</v>
      </c>
      <c r="G157" s="11">
        <f>VLOOKUP(B157,'Player Data'!A1:D667,3,FALSE)</f>
        <v>25</v>
      </c>
      <c r="H157" s="73">
        <f>_xlfn.IFERROR(VLOOKUP(B157,'ADP'!A1:G665,7,FALSE)/1000000,VLOOKUP(B157,'ADP'!A1:G665,7,FALSE))</f>
        <v>3.475</v>
      </c>
      <c r="I157" s="74">
        <f>IF('Settings'!$E$15="POINTS",((R157*Q157)*'Settings'!$B$12)+(S157*'Settings'!$B$2)+(T157*'Settings'!$B$3)+(U157*'Settings'!$B$4)+(V157*'Settings'!$B$5)+(X157*'Settings'!$B$9)+(AA157*'Settings'!$B$6)+(W157*'Settings'!$B$8)+(AB157*'Settings'!$B$7)+(AC157*'Settings'!$B$14)+(AD157*'Settings'!$B$15)+(AE157*'Settings'!$B$16)+(AF157*'Settings'!$B$17)+(AG157*'Settings'!$B$18)+(Y157*'Settings'!$B$10)+(Z157*'Settings'!$B$11),VLOOKUP(B157,'Standard Deviations'!A1:C666,3,FALSE))</f>
        <v>280.787203106581</v>
      </c>
      <c r="J157" s="75">
        <f>IF(D157="G",I157/AJ157,I157/Q157)</f>
        <v>3.58764713609635</v>
      </c>
      <c r="K157" s="74">
        <f>IF('Settings'!$E$18="C/LW/RW",VLOOKUP(B157,'RW'!A1:F136,6,FALSE),VLOOKUP(B157,'F'!A1:F392,6,FALSE))</f>
        <v>-48.904690974597</v>
      </c>
      <c r="L157" s="76">
        <f>_xlfn.IFERROR(K157/H157,"N/A")</f>
        <v>-14.0732923667905</v>
      </c>
      <c r="M157" s="109">
        <f>IF('Settings'!$E$9="YAHOO",VLOOKUP(B157,'ADP'!A1:E665,2,FALSE),IF('Settings'!$E$9="ESPN",VLOOKUP(B157,'ADP'!A1:E665,3,FALSE),IF('Settings'!$E$9="FANTRAX",VLOOKUP(B157,'ADP'!A1:E665,4,FALSE),VLOOKUP(B157,'ADP'!A1:E665,5,FALSE))))</f>
        <v>0</v>
      </c>
      <c r="N157" s="79">
        <f>_xlfn.IFERROR(M157-A157,"N/A")</f>
        <v>-166</v>
      </c>
      <c r="O157" s="77"/>
      <c r="P157" t="s" s="78">
        <f>IF('Settings'!$E$27="ON",VLOOKUP(B157,'ADP'!A1:H665,8,FALSE)," ")</f>
        <v>138</v>
      </c>
      <c r="Q157" s="79">
        <f>IF('Settings'!$E$12="YES",VLOOKUP(B157,'Player Data'!A1:E667,5,FALSE),82)</f>
        <v>78.265</v>
      </c>
      <c r="R157" s="77">
        <f>VLOOKUP(B157,'Player Data'!$A1:$AE667,6,FALSE)</f>
        <v>15.2073301751469</v>
      </c>
      <c r="S157" s="79">
        <f>VLOOKUP(B157,'Player Data'!$A1:$AE667,7,FALSE)*$Q157*_xlfn.IFERROR((VLOOKUP(P157,'Settings'!$E$28:$F$33,2,FALSE)+1),1)</f>
        <v>17.6880209465911</v>
      </c>
      <c r="T157" s="79">
        <f>VLOOKUP(B157,'Player Data'!$A1:$AE667,8,FALSE)*$Q157*_xlfn.IFERROR((VLOOKUP(P157,'Settings'!$E$28:$F$33,2,FALSE)+1),1)</f>
        <v>21.2614241604506</v>
      </c>
      <c r="U157" s="79">
        <f>SUM(S157:T157)</f>
        <v>38.9494451070417</v>
      </c>
      <c r="V157" s="79">
        <f>VLOOKUP(B157,'Player Data'!$A1:$AE667,10,FALSE)*$Q157*_xlfn.IFERROR(((VLOOKUP(P157,'Settings'!$E$28:$F$33,2,FALSE)/2)+1),1)</f>
        <v>148.576429699709</v>
      </c>
      <c r="W157" s="79">
        <f>VLOOKUP(B157,'Player Data'!$A1:$AE667,11,FALSE)*$Q157*_xlfn.IFERROR((VLOOKUP(P157,'Settings'!$E$28:$F$33,2,FALSE)+1),1)</f>
        <v>2.06748676559932</v>
      </c>
      <c r="X157" s="79">
        <f>VLOOKUP(B157,'Player Data'!$A1:$AE667,12,FALSE)*$Q157*_xlfn.IFERROR((VLOOKUP(P157,'Settings'!$E$28:$F$33,2,FALSE)+1),1)</f>
        <v>8.064829380867311</v>
      </c>
      <c r="Y157" s="79">
        <f>VLOOKUP(B157,'Player Data'!$A1:$AE667,13,FALSE)*$Q157</f>
        <v>0.0431979669651805</v>
      </c>
      <c r="Z157" s="79">
        <f>VLOOKUP(B157,'Player Data'!$A1:$AE667,14,FALSE)*$Q157</f>
        <v>0.07308585629631251</v>
      </c>
      <c r="AA157" s="79">
        <f>VLOOKUP(B157,'Player Data'!$A1:$AE667,15,FALSE)*$Q157</f>
        <v>65.694387832659</v>
      </c>
      <c r="AB157" s="79">
        <f>VLOOKUP(B157,'Player Data'!$A1:$AE667,16,FALSE)*$Q157</f>
        <v>169.478144358078</v>
      </c>
      <c r="AC157" s="79">
        <f>VLOOKUP(B157,'Player Data'!$A1:$AE667,17,FALSE)*$Q157*_xlfn.IFERROR((VLOOKUP(P157,'Settings'!$E$28:$F$33,2,FALSE)+1),1)</f>
        <v>-1.14888274761177</v>
      </c>
      <c r="AD157" s="79">
        <f>VLOOKUP(B157,'Player Data'!$A1:$AE667,18,FALSE)*$Q157</f>
        <v>23.0722194354456</v>
      </c>
      <c r="AE157" s="79">
        <f>VLOOKUP(B157,'Player Data'!$A1:$AE667,19,FALSE)*$Q157*_xlfn.IFERROR((VLOOKUP(P157,'Settings'!$E$28:$F$33,2,FALSE)+1),1)</f>
        <v>2.68588478271196</v>
      </c>
      <c r="AF157" s="79">
        <f>VLOOKUP(B157,'Player Data'!$A1:$AE667,20,FALSE)*$Q157</f>
        <v>6.44913796349771</v>
      </c>
      <c r="AG157" s="79">
        <f>VLOOKUP(B157,'Player Data'!$A1:$AE667,21,FALSE)*$Q157</f>
        <v>20.618330997775</v>
      </c>
      <c r="AH157" s="81">
        <f>VLOOKUP(B157,'Player Data'!$A1:$AE667,22,FALSE)</f>
        <v>0.238261581558473</v>
      </c>
      <c r="AI157" s="77"/>
      <c r="AJ157" s="89"/>
      <c r="AK157" s="79"/>
      <c r="AL157" s="79"/>
      <c r="AM157" s="79"/>
      <c r="AN157" s="79"/>
      <c r="AO157" s="79"/>
      <c r="AP157" s="79"/>
      <c r="AQ157" s="82"/>
      <c r="AR157" s="83"/>
      <c r="AS157" s="84"/>
    </row>
    <row r="158" ht="21.25" customHeight="1">
      <c r="A158" s="85">
        <f>RANK(K158,K$1:K$665)</f>
        <v>147</v>
      </c>
      <c r="B158" t="s" s="16">
        <v>345</v>
      </c>
      <c r="C158" t="s" s="69">
        <v>127</v>
      </c>
      <c r="D158" t="s" s="70">
        <f>VLOOKUP(B158,'Player Data'!A1:D667,4,FALSE)</f>
        <v>161</v>
      </c>
      <c r="E158" s="99">
        <f>VLOOKUP(B158,'G'!A1:D65,3,FALSE)</f>
        <v>30</v>
      </c>
      <c r="F158" t="s" s="86">
        <f>VLOOKUP(B158,'Player Data'!A1:B667,2,FALSE)</f>
        <v>342</v>
      </c>
      <c r="G158" s="96">
        <f>VLOOKUP(B158,'Player Data'!A1:D667,3,FALSE)</f>
        <v>25</v>
      </c>
      <c r="H158" s="73">
        <f>_xlfn.IFERROR(VLOOKUP(B158,'ADP'!A1:G665,7,FALSE)/1000000,VLOOKUP(B158,'ADP'!A1:G665,7,FALSE))</f>
        <v>2</v>
      </c>
      <c r="I158" s="74">
        <f>IF('Settings'!$E$15="POINTS",(AJ158*'Settings'!$B$29)+(AK158*'Settings'!$B$21)+(AL158*'Settings'!$B$22)+(AN158*'Settings'!$B$24)+(AO158*'Settings'!$B$25)+(AP158*'Settings'!$B$27)+(AM158*'Settings'!$B$23),VLOOKUP(B158,'Standard Deviations'!A1:C666,3,FALSE))</f>
        <v>227.327974432104</v>
      </c>
      <c r="J158" s="75">
        <f>IF(D158="G",I158/AJ158,I158/Q158)</f>
        <v>5.54458474224644</v>
      </c>
      <c r="K158" s="74">
        <f>VLOOKUP(B158,'G'!A1:F65,6,FALSE)</f>
        <v>-40.263040132486</v>
      </c>
      <c r="L158" s="76">
        <f>_xlfn.IFERROR(K158/H158,"N/A")</f>
        <v>-20.131520066243</v>
      </c>
      <c r="M158" s="77">
        <f>IF('Settings'!$E$9="YAHOO",VLOOKUP(B158,'ADP'!A1:E665,2,FALSE),IF('Settings'!$E$9="ESPN",VLOOKUP(B158,'ADP'!A1:E665,3,FALSE),IF('Settings'!$E$9="FANTRAX",VLOOKUP(B158,'ADP'!A1:E665,4,FALSE),VLOOKUP(B158,'ADP'!A1:E665,5,FALSE))))</f>
        <v>0</v>
      </c>
      <c r="N158" s="77">
        <f>_xlfn.IFERROR(M158-A158,"N/A")</f>
        <v>-147</v>
      </c>
      <c r="O158" s="77"/>
      <c r="P158" t="s" s="78">
        <f>IF('Settings'!$E$27="ON",VLOOKUP(B158,'ADP'!A1:H665,8,FALSE)," ")</f>
        <v>138</v>
      </c>
      <c r="Q158" s="79"/>
      <c r="R158" s="77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81"/>
      <c r="AI158" s="77"/>
      <c r="AJ158" s="89">
        <f>VLOOKUP(B158,'Player Data'!$A1:$AE667,24,FALSE)</f>
        <v>41</v>
      </c>
      <c r="AK158" s="79">
        <f>VLOOKUP(B158,'Player Data'!$A1:$AE667,25,FALSE)*$AJ158*_xlfn.IFERROR((VLOOKUP(P158,'Settings'!$E$28:$F$33,2,FALSE)+1),1)</f>
        <v>25.1375328662839</v>
      </c>
      <c r="AL158" s="79">
        <f>AJ158-AK158-AM158</f>
        <v>10.7374671337161</v>
      </c>
      <c r="AM158" s="79">
        <f>VLOOKUP(B158,'Player Data'!$A1:$AE667,27,FALSE)*$AJ158</f>
        <v>5.125</v>
      </c>
      <c r="AN158" s="79">
        <f>VLOOKUP(B158,'Player Data'!$A1:$AE667,28,FALSE)*AJ158</f>
        <v>2.8612376703465</v>
      </c>
      <c r="AO158" s="79">
        <f>VLOOKUP(B158,'Player Data'!$A1:$AE667,29,FALSE)*$AJ158*_xlfn.IFERROR((VLOOKUP(P158,'Settings'!$E$28:$F$33,2,FALSE)/4)+1,1)</f>
        <v>1064.867152701020</v>
      </c>
      <c r="AP158" s="79">
        <f>VLOOKUP(B158,'Player Data'!$A1:$AE667,31,FALSE)*$AJ158*(_xlfn.IFERROR(1-(VLOOKUP(P158,'Settings'!$E$28:$F$33,2,FALSE)/4),1))</f>
        <v>109.000289183359</v>
      </c>
      <c r="AQ158" s="82">
        <f>1-(AP158/(AO158+AP158))</f>
        <v>0.907144294752409</v>
      </c>
      <c r="AR158" s="83">
        <f>AP158/AJ158</f>
        <v>2.65854363861851</v>
      </c>
      <c r="AS158" s="93"/>
    </row>
    <row r="159" ht="21.25" customHeight="1">
      <c r="A159" s="85">
        <f>RANK(K159,K$1:K$665)</f>
        <v>152</v>
      </c>
      <c r="B159" t="s" s="16">
        <v>346</v>
      </c>
      <c r="C159" t="s" s="69">
        <v>127</v>
      </c>
      <c r="D159" t="s" s="70">
        <f>VLOOKUP(B159,'Player Data'!A1:D667,4,FALSE)</f>
        <v>153</v>
      </c>
      <c r="E159" s="95">
        <f>VLOOKUP(B159,'D'!A1:C213,3,FALSE)</f>
        <v>36</v>
      </c>
      <c r="F159" t="s" s="106">
        <f>VLOOKUP(B159,'Player Data'!A1:B667,2,FALSE)</f>
        <v>242</v>
      </c>
      <c r="G159" s="11">
        <f>VLOOKUP(B159,'Player Data'!A1:D667,3,FALSE)</f>
        <v>28</v>
      </c>
      <c r="H159" s="73">
        <f>_xlfn.IFERROR(VLOOKUP(B159,'ADP'!A1:G665,7,FALSE)/1000000,VLOOKUP(B159,'ADP'!A1:G665,7,FALSE))</f>
        <v>6.25</v>
      </c>
      <c r="I159" s="74">
        <f>IF('Settings'!$E$15="POINTS",((R159*Q159)*'Settings'!$B$12)+(S159*'Settings'!$B$2)+(T159*'Settings'!$B$3)+(U159*'Settings'!$B$4)+(V159*'Settings'!$B$5)+(X159*'Settings'!$B$9)+(AA159*'Settings'!$B$6)+(W159*'Settings'!$B$8)+(AB159*'Settings'!$B$7)+(AC159*'Settings'!$B$14)+(AD159*'Settings'!$B$15)+(AE159*'Settings'!$B$16)+(AF159*'Settings'!$B$17)+(AG159*'Settings'!$B$18)+(U159*'Settings'!$B$13)+(Y159*'Settings'!$B$10)+(Z159*'Settings'!$B$11),VLOOKUP(B159,'Standard Deviations'!A1:C666,3,FALSE))</f>
        <v>286.658347620718</v>
      </c>
      <c r="J159" s="75">
        <f>IF(D159="G",I159/AJ159,I159/Q159)</f>
        <v>3.51663310581756</v>
      </c>
      <c r="K159" s="74">
        <f>VLOOKUP(B159,'D'!A1:F213,6,FALSE)</f>
        <v>-44.881860299364</v>
      </c>
      <c r="L159" s="76">
        <f>_xlfn.IFERROR(K159/H159,"N/A")</f>
        <v>-7.18109764789824</v>
      </c>
      <c r="M159" s="77">
        <f>IF('Settings'!$E$9="YAHOO",VLOOKUP(B159,'ADP'!A1:E665,2,FALSE),IF('Settings'!$E$9="ESPN",VLOOKUP(B159,'ADP'!A1:E665,3,FALSE),IF('Settings'!$E$9="FANTRAX",VLOOKUP(B159,'ADP'!A1:E665,4,FALSE),VLOOKUP(B159,'ADP'!A1:E665,5,FALSE))))</f>
        <v>0</v>
      </c>
      <c r="N159" s="77">
        <f>_xlfn.IFERROR(M159-A159,"N/A")</f>
        <v>-152</v>
      </c>
      <c r="O159" s="77"/>
      <c r="P159" t="s" s="78">
        <f>IF('Settings'!$E$27="ON",VLOOKUP(B159,'ADP'!A1:H665,8,FALSE)," ")</f>
        <v>138</v>
      </c>
      <c r="Q159" s="79">
        <f>IF('Settings'!$E$12="YES",VLOOKUP(B159,'Player Data'!A1:E667,5,FALSE),82)</f>
        <v>81.515</v>
      </c>
      <c r="R159" s="77">
        <f>VLOOKUP(B159,'Player Data'!$A1:$AE667,6,FALSE)</f>
        <v>23.5033793227708</v>
      </c>
      <c r="S159" s="79">
        <f>VLOOKUP(B159,'Player Data'!$A1:$AE667,7,FALSE)*$Q159*_xlfn.IFERROR((VLOOKUP(P159,'Settings'!$E$28:$F$33,2,FALSE)+1),1)</f>
        <v>8.62299594625221</v>
      </c>
      <c r="T159" s="79">
        <f>VLOOKUP(B159,'Player Data'!$A1:$AE667,8,FALSE)*$Q159*_xlfn.IFERROR((VLOOKUP(P159,'Settings'!$E$28:$F$33,2,FALSE)+1),1)</f>
        <v>27.9473282002254</v>
      </c>
      <c r="U159" s="79">
        <f>SUM(S159:T159)</f>
        <v>36.5703241464776</v>
      </c>
      <c r="V159" s="79">
        <f>VLOOKUP(B159,'Player Data'!$A1:$AE667,10,FALSE)*$Q159*_xlfn.IFERROR(((VLOOKUP(P159,'Settings'!$E$28:$F$33,2,FALSE)/2)+1),1)</f>
        <v>139.960771003854</v>
      </c>
      <c r="W159" s="79">
        <f>VLOOKUP(B159,'Player Data'!$A1:$AE667,11,FALSE)*$Q159*_xlfn.IFERROR((VLOOKUP(P159,'Settings'!$E$28:$F$33,2,FALSE)+1),1)</f>
        <v>0.14025116201938</v>
      </c>
      <c r="X159" s="79">
        <f>VLOOKUP(B159,'Player Data'!$A1:$AE667,12,FALSE)*$Q159*_xlfn.IFERROR((VLOOKUP(P159,'Settings'!$E$28:$F$33,2,FALSE)+1),1)</f>
        <v>3.30756240754969</v>
      </c>
      <c r="Y159" s="79">
        <f>VLOOKUP(B159,'Player Data'!$A1:$AE667,13,FALSE)*$Q159</f>
        <v>0.830888538597356</v>
      </c>
      <c r="Z159" s="79">
        <f>VLOOKUP(B159,'Player Data'!$A1:$AE667,14,FALSE)*$Q159</f>
        <v>2.4977106898601</v>
      </c>
      <c r="AA159" s="79">
        <f>VLOOKUP(B159,'Player Data'!$A1:$AE667,15,FALSE)*$Q159</f>
        <v>152.229287054175</v>
      </c>
      <c r="AB159" s="79">
        <f>VLOOKUP(B159,'Player Data'!$A1:$AE667,16,FALSE)*$Q159</f>
        <v>85.6760678917372</v>
      </c>
      <c r="AC159" s="79">
        <f>VLOOKUP(B159,'Player Data'!$A1:$AE667,17,FALSE)*$Q159*_xlfn.IFERROR((VLOOKUP(P159,'Settings'!$E$28:$F$33,2,FALSE)+1),1)</f>
        <v>-4.00230897226999</v>
      </c>
      <c r="AD159" s="79">
        <f>VLOOKUP(B159,'Player Data'!$A1:$AE667,18,FALSE)*$Q159</f>
        <v>44.669418717403</v>
      </c>
      <c r="AE159" s="79">
        <f>VLOOKUP(B159,'Player Data'!$A1:$AE667,19,FALSE)*$Q159*_xlfn.IFERROR((VLOOKUP(P159,'Settings'!$E$28:$F$33,2,FALSE)+1),1)</f>
        <v>1.24989918377974</v>
      </c>
      <c r="AF159" s="79">
        <f>VLOOKUP(B159,'Player Data'!$A1:$AE667,20,FALSE)*$Q159</f>
        <v>0</v>
      </c>
      <c r="AG159" s="79">
        <f>VLOOKUP(B159,'Player Data'!$A1:$AE667,21,FALSE)*$Q159</f>
        <v>0</v>
      </c>
      <c r="AH159" s="81">
        <f>VLOOKUP(B159,'Player Data'!$A1:$AE667,22,FALSE)</f>
        <v>0</v>
      </c>
      <c r="AI159" s="77"/>
      <c r="AJ159" s="89"/>
      <c r="AK159" s="79"/>
      <c r="AL159" s="79"/>
      <c r="AM159" s="79"/>
      <c r="AN159" s="79"/>
      <c r="AO159" s="79"/>
      <c r="AP159" s="79"/>
      <c r="AQ159" s="82"/>
      <c r="AR159" s="83"/>
      <c r="AS159" s="84"/>
    </row>
    <row r="160" ht="21.25" customHeight="1">
      <c r="A160" s="85">
        <f>RANK(K160,K$1:K$665)</f>
        <v>176</v>
      </c>
      <c r="B160" t="s" s="16">
        <v>347</v>
      </c>
      <c r="C160" t="s" s="69">
        <v>127</v>
      </c>
      <c r="D160" t="s" s="70">
        <f>VLOOKUP(B160,'Player Data'!A1:D667,4,FALSE)</f>
        <v>128</v>
      </c>
      <c r="E160" s="71">
        <f>VLOOKUP(B160,'C'!A1:C206,3,FALSE)</f>
        <v>56</v>
      </c>
      <c r="F160" t="s" s="88">
        <f>VLOOKUP(B160,'Player Data'!A1:B667,2,FALSE)</f>
        <v>143</v>
      </c>
      <c r="G160" s="91">
        <f>VLOOKUP(B160,'Player Data'!A1:D667,3,FALSE)</f>
        <v>32</v>
      </c>
      <c r="H160" s="73">
        <f>_xlfn.IFERROR(VLOOKUP(B160,'ADP'!A1:G665,7,FALSE)/1000000,VLOOKUP(B160,'ADP'!A1:G665,7,FALSE))</f>
        <v>5.25</v>
      </c>
      <c r="I160" s="74">
        <f>IF('Settings'!$E$15="POINTS",((R160*Q160)*'Settings'!$B$12)+(S160*'Settings'!$B$2)+(T160*'Settings'!$B$3)+(U160*'Settings'!$B$4)+(V160*'Settings'!$B$5)+(X160*'Settings'!$B$9)+(AA160*'Settings'!$B$6)+(W160*'Settings'!$B$8)+(AB160*'Settings'!$B$7)+(AC160*'Settings'!$B$14)+(AD160*'Settings'!$B$15)+(AE160*'Settings'!$B$16)+(AF160*'Settings'!$B$17)+(AG160*'Settings'!$B$18)+(Y160*'Settings'!$B$10)+(Z160*'Settings'!$B$11),VLOOKUP(B160,'Standard Deviations'!A1:C666,3,FALSE))</f>
        <v>274.393075041023</v>
      </c>
      <c r="J160" s="75">
        <f>IF(D160="G",I160/AJ160,I160/Q160)</f>
        <v>3.34503322005392</v>
      </c>
      <c r="K160" s="74">
        <f>IF('Settings'!$E$18="C/LW/RW",VLOOKUP(B160,'C'!A1:F206,6,FALSE),VLOOKUP(B160,'F'!A1:F392,6,FALSE))</f>
        <v>-55.298819040155</v>
      </c>
      <c r="L160" s="76">
        <f>_xlfn.IFERROR(K160/H160,"N/A")</f>
        <v>-10.533108388601</v>
      </c>
      <c r="M160" s="109">
        <f>IF('Settings'!$E$9="YAHOO",VLOOKUP(B160,'ADP'!A1:E665,2,FALSE),IF('Settings'!$E$9="ESPN",VLOOKUP(B160,'ADP'!A1:E665,3,FALSE),IF('Settings'!$E$9="FANTRAX",VLOOKUP(B160,'ADP'!A1:E665,4,FALSE),VLOOKUP(B160,'ADP'!A1:E665,5,FALSE))))</f>
        <v>0</v>
      </c>
      <c r="N160" s="79">
        <f>_xlfn.IFERROR(M160-A160,"N/A")</f>
        <v>-176</v>
      </c>
      <c r="O160" s="77"/>
      <c r="P160" t="s" s="78">
        <f>IF('Settings'!$E$27="ON",VLOOKUP(B160,'ADP'!A1:H665,8,FALSE)," ")</f>
        <v>138</v>
      </c>
      <c r="Q160" s="79">
        <f>IF('Settings'!$E$12="YES",VLOOKUP(B160,'Player Data'!A1:E667,5,FALSE),82)</f>
        <v>82.03</v>
      </c>
      <c r="R160" s="77">
        <f>VLOOKUP(B160,'Player Data'!$A1:$AE667,6,FALSE)</f>
        <v>17.4596735321298</v>
      </c>
      <c r="S160" s="79">
        <f>VLOOKUP(B160,'Player Data'!$A1:$AE667,7,FALSE)*$Q160*_xlfn.IFERROR((VLOOKUP(P160,'Settings'!$E$28:$F$33,2,FALSE)+1),1)</f>
        <v>18.6965902421556</v>
      </c>
      <c r="T160" s="79">
        <f>VLOOKUP(B160,'Player Data'!$A1:$AE667,8,FALSE)*$Q160*_xlfn.IFERROR((VLOOKUP(P160,'Settings'!$E$28:$F$33,2,FALSE)+1),1)</f>
        <v>29.6346117661184</v>
      </c>
      <c r="U160" s="79">
        <f>SUM(S160:T160)</f>
        <v>48.331202008274</v>
      </c>
      <c r="V160" s="79">
        <f>VLOOKUP(B160,'Player Data'!$A1:$AE667,10,FALSE)*$Q160*_xlfn.IFERROR(((VLOOKUP(P160,'Settings'!$E$28:$F$33,2,FALSE)/2)+1),1)</f>
        <v>140.5467277525</v>
      </c>
      <c r="W160" s="79">
        <f>VLOOKUP(B160,'Player Data'!$A1:$AE667,11,FALSE)*$Q160*_xlfn.IFERROR((VLOOKUP(P160,'Settings'!$E$28:$F$33,2,FALSE)+1),1)</f>
        <v>4.11615313871536</v>
      </c>
      <c r="X160" s="79">
        <f>VLOOKUP(B160,'Player Data'!$A1:$AE667,12,FALSE)*$Q160*_xlfn.IFERROR((VLOOKUP(P160,'Settings'!$E$28:$F$33,2,FALSE)+1),1)</f>
        <v>7.94041227888228</v>
      </c>
      <c r="Y160" s="79">
        <f>VLOOKUP(B160,'Player Data'!$A1:$AE667,13,FALSE)*$Q160</f>
        <v>0.737623178278619</v>
      </c>
      <c r="Z160" s="79">
        <f>VLOOKUP(B160,'Player Data'!$A1:$AE667,14,FALSE)*$Q160</f>
        <v>3.32134677025496</v>
      </c>
      <c r="AA160" s="79">
        <f>VLOOKUP(B160,'Player Data'!$A1:$AE667,15,FALSE)*$Q160</f>
        <v>56.9904341974443</v>
      </c>
      <c r="AB160" s="79">
        <f>VLOOKUP(B160,'Player Data'!$A1:$AE667,16,FALSE)*$Q160</f>
        <v>110.469926704225</v>
      </c>
      <c r="AC160" s="79">
        <f>VLOOKUP(B160,'Player Data'!$A1:$AE667,17,FALSE)*$Q160*_xlfn.IFERROR((VLOOKUP(P160,'Settings'!$E$28:$F$33,2,FALSE)+1),1)</f>
        <v>1.65049649044137</v>
      </c>
      <c r="AD160" s="79">
        <f>VLOOKUP(B160,'Player Data'!$A1:$AE667,18,FALSE)*$Q160</f>
        <v>32.4765690422591</v>
      </c>
      <c r="AE160" s="79">
        <f>VLOOKUP(B160,'Player Data'!$A1:$AE667,19,FALSE)*$Q160*_xlfn.IFERROR((VLOOKUP(P160,'Settings'!$E$28:$F$33,2,FALSE)+1),1)</f>
        <v>2.91206344353015</v>
      </c>
      <c r="AF160" s="79">
        <f>VLOOKUP(B160,'Player Data'!$A1:$AE667,20,FALSE)*$Q160</f>
        <v>682.022906469994</v>
      </c>
      <c r="AG160" s="79">
        <f>VLOOKUP(B160,'Player Data'!$A1:$AE667,21,FALSE)*$Q160</f>
        <v>647.151302138352</v>
      </c>
      <c r="AH160" s="81">
        <f>VLOOKUP(B160,'Player Data'!$A1:$AE667,22,FALSE)</f>
        <v>0.513117770456949</v>
      </c>
      <c r="AI160" s="77"/>
      <c r="AJ160" s="89"/>
      <c r="AK160" s="79"/>
      <c r="AL160" s="79"/>
      <c r="AM160" s="79"/>
      <c r="AN160" s="79"/>
      <c r="AO160" s="79"/>
      <c r="AP160" s="79"/>
      <c r="AQ160" s="82"/>
      <c r="AR160" s="83"/>
      <c r="AS160" s="84"/>
    </row>
    <row r="161" ht="21.25" customHeight="1">
      <c r="A161" s="85">
        <f>RANK(K161,K$1:K$665)</f>
        <v>170</v>
      </c>
      <c r="B161" t="s" s="16">
        <v>348</v>
      </c>
      <c r="C161" t="s" s="69">
        <v>127</v>
      </c>
      <c r="D161" t="s" s="70">
        <f>VLOOKUP(B161,'Player Data'!A1:D667,4,FALSE)</f>
        <v>136</v>
      </c>
      <c r="E161" s="87">
        <f>VLOOKUP(B161,'LW'!A1:C152,3,FALSE)</f>
        <v>46</v>
      </c>
      <c r="F161" t="s" s="92">
        <f>VLOOKUP(B161,'Player Data'!A1:B667,2,FALSE)</f>
        <v>146</v>
      </c>
      <c r="G161" s="11">
        <f>VLOOKUP(B161,'Player Data'!A1:D667,3,FALSE)</f>
        <v>28</v>
      </c>
      <c r="H161" s="73">
        <f>_xlfn.IFERROR(VLOOKUP(B161,'ADP'!A1:G665,7,FALSE)/1000000,VLOOKUP(B161,'ADP'!A1:G665,7,FALSE))</f>
        <v>3.25</v>
      </c>
      <c r="I161" s="74">
        <f>IF('Settings'!$E$15="POINTS",((R161*Q161)*'Settings'!$B$12)+(S161*'Settings'!$B$2)+(T161*'Settings'!$B$3)+(U161*'Settings'!$B$4)+(V161*'Settings'!$B$5)+(X161*'Settings'!$B$9)+(AA161*'Settings'!$B$6)+(W161*'Settings'!$B$8)+(AB161*'Settings'!$B$7)+(AC161*'Settings'!$B$14)+(AD161*'Settings'!$B$15)+(AE161*'Settings'!$B$16)+(AF161*'Settings'!$B$17)+(AG161*'Settings'!$B$18)+(Y161*'Settings'!$B$10)+(Z161*'Settings'!$B$11),VLOOKUP(B161,'Standard Deviations'!A1:C666,3,FALSE))</f>
        <v>279.413996929503</v>
      </c>
      <c r="J161" s="75">
        <f>IF(D161="G",I161/AJ161,I161/Q161)</f>
        <v>3.82523097993707</v>
      </c>
      <c r="K161" s="74">
        <f>IF('Settings'!$E$18="C/LW/RW",VLOOKUP(B161,'LW'!A1:F152,6,FALSE),VLOOKUP(B161,'F'!A1:F392,6,FALSE))</f>
        <v>-52.306114836709</v>
      </c>
      <c r="L161" s="76">
        <f>_xlfn.IFERROR(K161/H161,"N/A")</f>
        <v>-16.0941891805258</v>
      </c>
      <c r="M161" s="77">
        <f>IF('Settings'!$E$9="YAHOO",VLOOKUP(B161,'ADP'!A1:E665,2,FALSE),IF('Settings'!$E$9="ESPN",VLOOKUP(B161,'ADP'!A1:E665,3,FALSE),IF('Settings'!$E$9="FANTRAX",VLOOKUP(B161,'ADP'!A1:E665,4,FALSE),VLOOKUP(B161,'ADP'!A1:E665,5,FALSE))))</f>
        <v>0</v>
      </c>
      <c r="N161" s="77">
        <f>_xlfn.IFERROR(M161-A161,"N/A")</f>
        <v>-170</v>
      </c>
      <c r="O161" s="77"/>
      <c r="P161" t="s" s="78">
        <f>IF('Settings'!$E$27="ON",VLOOKUP(B161,'ADP'!A1:H665,8,FALSE)," ")</f>
        <v>138</v>
      </c>
      <c r="Q161" s="79">
        <f>IF('Settings'!$E$12="YES",VLOOKUP(B161,'Player Data'!A1:E667,5,FALSE),82)</f>
        <v>73.045</v>
      </c>
      <c r="R161" s="77">
        <f>VLOOKUP(B161,'Player Data'!$A1:$AE667,6,FALSE)</f>
        <v>14.7602356397648</v>
      </c>
      <c r="S161" s="79">
        <f>VLOOKUP(B161,'Player Data'!$A1:$AE667,7,FALSE)*$Q161*_xlfn.IFERROR((VLOOKUP(P161,'Settings'!$E$28:$F$33,2,FALSE)+1),1)</f>
        <v>15.8897276945912</v>
      </c>
      <c r="T161" s="79">
        <f>VLOOKUP(B161,'Player Data'!$A1:$AE667,8,FALSE)*$Q161*_xlfn.IFERROR((VLOOKUP(P161,'Settings'!$E$28:$F$33,2,FALSE)+1),1)</f>
        <v>16.0613094603732</v>
      </c>
      <c r="U161" s="79">
        <f>SUM(S161:T161)</f>
        <v>31.9510371549644</v>
      </c>
      <c r="V161" s="79">
        <f>VLOOKUP(B161,'Player Data'!$A1:$AE667,10,FALSE)*$Q161*_xlfn.IFERROR(((VLOOKUP(P161,'Settings'!$E$28:$F$33,2,FALSE)/2)+1),1)</f>
        <v>100.074732010162</v>
      </c>
      <c r="W161" s="79">
        <f>VLOOKUP(B161,'Player Data'!$A1:$AE667,11,FALSE)*$Q161*_xlfn.IFERROR((VLOOKUP(P161,'Settings'!$E$28:$F$33,2,FALSE)+1),1)</f>
        <v>0.847965979438809</v>
      </c>
      <c r="X161" s="79">
        <f>VLOOKUP(B161,'Player Data'!$A1:$AE667,12,FALSE)*$Q161*_xlfn.IFERROR((VLOOKUP(P161,'Settings'!$E$28:$F$33,2,FALSE)+1),1)</f>
        <v>1.34555257852763</v>
      </c>
      <c r="Y161" s="79">
        <f>VLOOKUP(B161,'Player Data'!$A1:$AE667,13,FALSE)*$Q161</f>
        <v>0.5437872673162309</v>
      </c>
      <c r="Z161" s="79">
        <f>VLOOKUP(B161,'Player Data'!$A1:$AE667,14,FALSE)*$Q161</f>
        <v>0.699103808707371</v>
      </c>
      <c r="AA161" s="79">
        <f>VLOOKUP(B161,'Player Data'!$A1:$AE667,15,FALSE)*$Q161</f>
        <v>43.9289694344478</v>
      </c>
      <c r="AB161" s="79">
        <f>VLOOKUP(B161,'Player Data'!$A1:$AE667,16,FALSE)*$Q161</f>
        <v>246.6872665274</v>
      </c>
      <c r="AC161" s="79">
        <f>VLOOKUP(B161,'Player Data'!$A1:$AE667,17,FALSE)*$Q161*_xlfn.IFERROR((VLOOKUP(P161,'Settings'!$E$28:$F$33,2,FALSE)+1),1)</f>
        <v>5.0881390270219</v>
      </c>
      <c r="AD161" s="79">
        <f>VLOOKUP(B161,'Player Data'!$A1:$AE667,18,FALSE)*$Q161</f>
        <v>51.0866674789347</v>
      </c>
      <c r="AE161" s="79">
        <f>VLOOKUP(B161,'Player Data'!$A1:$AE667,19,FALSE)*$Q161*_xlfn.IFERROR((VLOOKUP(P161,'Settings'!$E$28:$F$33,2,FALSE)+1),1)</f>
        <v>2.71355558988731</v>
      </c>
      <c r="AF161" s="79">
        <f>VLOOKUP(B161,'Player Data'!$A1:$AE667,20,FALSE)*$Q161</f>
        <v>45.6003696859165</v>
      </c>
      <c r="AG161" s="79">
        <f>VLOOKUP(B161,'Player Data'!$A1:$AE667,21,FALSE)*$Q161</f>
        <v>44.9843934948602</v>
      </c>
      <c r="AH161" s="81">
        <f>VLOOKUP(B161,'Player Data'!$A1:$AE667,22,FALSE)</f>
        <v>0.5033999989039381</v>
      </c>
      <c r="AI161" s="77"/>
      <c r="AJ161" s="79"/>
      <c r="AK161" s="79"/>
      <c r="AL161" s="79"/>
      <c r="AM161" s="79"/>
      <c r="AN161" s="79"/>
      <c r="AO161" s="79"/>
      <c r="AP161" s="79"/>
      <c r="AQ161" s="82"/>
      <c r="AR161" s="83"/>
      <c r="AS161" s="93"/>
    </row>
    <row r="162" ht="21.25" customHeight="1">
      <c r="A162" s="85">
        <f>RANK(K162,K$1:K$665)</f>
        <v>154</v>
      </c>
      <c r="B162" t="s" s="16">
        <v>349</v>
      </c>
      <c r="C162" t="s" s="69">
        <v>127</v>
      </c>
      <c r="D162" t="s" s="70">
        <f>VLOOKUP(B162,'Player Data'!A1:D667,4,FALSE)</f>
        <v>153</v>
      </c>
      <c r="E162" s="95">
        <f>VLOOKUP(B162,'D'!A1:C213,3,FALSE)</f>
        <v>37</v>
      </c>
      <c r="F162" t="s" s="86">
        <f>VLOOKUP(B162,'Player Data'!A1:B667,2,FALSE)</f>
        <v>165</v>
      </c>
      <c r="G162" s="11">
        <f>VLOOKUP(B162,'Player Data'!A1:D667,3,FALSE)</f>
        <v>27</v>
      </c>
      <c r="H162" s="73">
        <f>_xlfn.IFERROR(VLOOKUP(B162,'ADP'!A1:G665,7,FALSE)/1000000,VLOOKUP(B162,'ADP'!A1:G665,7,FALSE))</f>
        <v>2</v>
      </c>
      <c r="I162" s="74">
        <f>IF('Settings'!$E$15="POINTS",((R162*Q162)*'Settings'!$B$12)+(S162*'Settings'!$B$2)+(T162*'Settings'!$B$3)+(U162*'Settings'!$B$4)+(V162*'Settings'!$B$5)+(X162*'Settings'!$B$9)+(AA162*'Settings'!$B$6)+(W162*'Settings'!$B$8)+(AB162*'Settings'!$B$7)+(AC162*'Settings'!$B$14)+(AD162*'Settings'!$B$15)+(AE162*'Settings'!$B$16)+(AF162*'Settings'!$B$17)+(AG162*'Settings'!$B$18)+(U162*'Settings'!$B$13)+(Y162*'Settings'!$B$10)+(Z162*'Settings'!$B$11),VLOOKUP(B162,'Standard Deviations'!A1:C666,3,FALSE))</f>
        <v>286.278961248082</v>
      </c>
      <c r="J162" s="75">
        <f>IF(D162="G",I162/AJ162,I162/Q162)</f>
        <v>3.67802352730882</v>
      </c>
      <c r="K162" s="74">
        <f>VLOOKUP(B162,'D'!A1:F213,6,FALSE)</f>
        <v>-45.261246672</v>
      </c>
      <c r="L162" s="76">
        <f>_xlfn.IFERROR(K162/H162,"N/A")</f>
        <v>-22.630623336</v>
      </c>
      <c r="M162" s="77">
        <f>IF('Settings'!$E$9="YAHOO",VLOOKUP(B162,'ADP'!A1:E665,2,FALSE),IF('Settings'!$E$9="ESPN",VLOOKUP(B162,'ADP'!A1:E665,3,FALSE),IF('Settings'!$E$9="FANTRAX",VLOOKUP(B162,'ADP'!A1:E665,4,FALSE),VLOOKUP(B162,'ADP'!A1:E665,5,FALSE))))</f>
        <v>0</v>
      </c>
      <c r="N162" s="77">
        <f>_xlfn.IFERROR(M162-A162,"N/A")</f>
        <v>-154</v>
      </c>
      <c r="O162" s="77"/>
      <c r="P162" t="s" s="78">
        <f>IF('Settings'!$E$27="ON",VLOOKUP(B162,'ADP'!A1:H665,8,FALSE)," ")</f>
        <v>138</v>
      </c>
      <c r="Q162" s="79">
        <f>IF('Settings'!$E$12="YES",VLOOKUP(B162,'Player Data'!A1:E667,5,FALSE),82)</f>
        <v>77.83499999999999</v>
      </c>
      <c r="R162" s="108">
        <f>VLOOKUP(B162,'Player Data'!$A1:$AE667,6,FALSE)</f>
        <v>17.503431128508</v>
      </c>
      <c r="S162" s="79">
        <f>VLOOKUP(B162,'Player Data'!$A1:$AE667,7,FALSE)*$Q162*_xlfn.IFERROR((VLOOKUP(P162,'Settings'!$E$28:$F$33,2,FALSE)+1),1)</f>
        <v>3.99300243984486</v>
      </c>
      <c r="T162" s="79">
        <f>VLOOKUP(B162,'Player Data'!$A1:$AE667,8,FALSE)*$Q162*_xlfn.IFERROR((VLOOKUP(P162,'Settings'!$E$28:$F$33,2,FALSE)+1),1)</f>
        <v>9.32836048951738</v>
      </c>
      <c r="U162" s="79">
        <f>SUM(S162:T162)</f>
        <v>13.3213629293622</v>
      </c>
      <c r="V162" s="79">
        <f>VLOOKUP(B162,'Player Data'!$A1:$AE667,10,FALSE)*$Q162*_xlfn.IFERROR(((VLOOKUP(P162,'Settings'!$E$28:$F$33,2,FALSE)/2)+1),1)</f>
        <v>89.8715697608482</v>
      </c>
      <c r="W162" s="79">
        <f>VLOOKUP(B162,'Player Data'!$A1:$AE667,11,FALSE)*$Q162*_xlfn.IFERROR((VLOOKUP(P162,'Settings'!$E$28:$F$33,2,FALSE)+1),1)</f>
        <v>0.0255021840233747</v>
      </c>
      <c r="X162" s="79">
        <f>VLOOKUP(B162,'Player Data'!$A1:$AE667,12,FALSE)*$Q162*_xlfn.IFERROR((VLOOKUP(P162,'Settings'!$E$28:$F$33,2,FALSE)+1),1)</f>
        <v>0.164583619079766</v>
      </c>
      <c r="Y162" s="79">
        <f>VLOOKUP(B162,'Player Data'!$A1:$AE667,13,FALSE)*$Q162</f>
        <v>0.0304584143426714</v>
      </c>
      <c r="Z162" s="79">
        <f>VLOOKUP(B162,'Player Data'!$A1:$AE667,14,FALSE)*$Q162</f>
        <v>0.417671552658779</v>
      </c>
      <c r="AA162" s="79">
        <f>VLOOKUP(B162,'Player Data'!$A1:$AE667,15,FALSE)*$Q162</f>
        <v>105.202216371548</v>
      </c>
      <c r="AB162" s="79">
        <f>VLOOKUP(B162,'Player Data'!$A1:$AE667,16,FALSE)*$Q162</f>
        <v>282.836510722995</v>
      </c>
      <c r="AC162" s="79">
        <f>VLOOKUP(B162,'Player Data'!$A1:$AE667,17,FALSE)*$Q162*_xlfn.IFERROR((VLOOKUP(P162,'Settings'!$E$28:$F$33,2,FALSE)+1),1)</f>
        <v>-0.652875483555885</v>
      </c>
      <c r="AD162" s="79">
        <f>VLOOKUP(B162,'Player Data'!$A1:$AE667,18,FALSE)*$Q162</f>
        <v>80.5725155797555</v>
      </c>
      <c r="AE162" s="79">
        <f>VLOOKUP(B162,'Player Data'!$A1:$AE667,19,FALSE)*$Q162*_xlfn.IFERROR((VLOOKUP(P162,'Settings'!$E$28:$F$33,2,FALSE)+1),1)</f>
        <v>0.565380475817704</v>
      </c>
      <c r="AF162" s="79">
        <f>VLOOKUP(B162,'Player Data'!$A1:$AE667,20,FALSE)*$Q162</f>
        <v>0</v>
      </c>
      <c r="AG162" s="79">
        <f>VLOOKUP(B162,'Player Data'!$A1:$AE667,21,FALSE)*$Q162</f>
        <v>0</v>
      </c>
      <c r="AH162" s="81">
        <f>VLOOKUP(B162,'Player Data'!$A1:$AE667,22,FALSE)</f>
        <v>0</v>
      </c>
      <c r="AI162" s="77"/>
      <c r="AJ162" s="89"/>
      <c r="AK162" s="79"/>
      <c r="AL162" s="79"/>
      <c r="AM162" s="79"/>
      <c r="AN162" s="79"/>
      <c r="AO162" s="79"/>
      <c r="AP162" s="79"/>
      <c r="AQ162" s="82"/>
      <c r="AR162" s="83"/>
      <c r="AS162" s="84"/>
    </row>
    <row r="163" ht="21.25" customHeight="1">
      <c r="A163" s="85">
        <f>RANK(K163,K$1:K$665)</f>
        <v>155</v>
      </c>
      <c r="B163" t="s" s="16">
        <v>350</v>
      </c>
      <c r="C163" t="s" s="69">
        <v>127</v>
      </c>
      <c r="D163" t="s" s="70">
        <f>VLOOKUP(B163,'Player Data'!A1:D667,4,FALSE)</f>
        <v>153</v>
      </c>
      <c r="E163" s="95">
        <f>VLOOKUP(B163,'D'!A1:C213,3,FALSE)</f>
        <v>38</v>
      </c>
      <c r="F163" t="s" s="88">
        <f>VLOOKUP(B163,'Player Data'!A1:B667,2,FALSE)</f>
        <v>239</v>
      </c>
      <c r="G163" s="96">
        <f>VLOOKUP(B163,'Player Data'!A1:D667,3,FALSE)</f>
        <v>22</v>
      </c>
      <c r="H163" s="73">
        <f>_xlfn.IFERROR(VLOOKUP(B163,'ADP'!A1:G665,7,FALSE)/1000000,VLOOKUP(B163,'ADP'!A1:G665,7,FALSE))</f>
        <v>0.863333</v>
      </c>
      <c r="I163" s="74">
        <f>IF('Settings'!$E$15="POINTS",((R163*Q163)*'Settings'!$B$12)+(S163*'Settings'!$B$2)+(T163*'Settings'!$B$3)+(U163*'Settings'!$B$4)+(V163*'Settings'!$B$5)+(X163*'Settings'!$B$9)+(AA163*'Settings'!$B$6)+(W163*'Settings'!$B$8)+(AB163*'Settings'!$B$7)+(AC163*'Settings'!$B$14)+(AD163*'Settings'!$B$15)+(AE163*'Settings'!$B$16)+(AF163*'Settings'!$B$17)+(AG163*'Settings'!$B$18)+(U163*'Settings'!$B$13)+(Y163*'Settings'!$B$10)+(Z163*'Settings'!$B$11),VLOOKUP(B163,'Standard Deviations'!A1:C666,3,FALSE))</f>
        <v>286.235392953383</v>
      </c>
      <c r="J163" s="75">
        <f>IF(D163="G",I163/AJ163,I163/Q163)</f>
        <v>3.93924504322564</v>
      </c>
      <c r="K163" s="74">
        <f>VLOOKUP(B163,'D'!A1:F213,6,FALSE)</f>
        <v>-45.304814966699</v>
      </c>
      <c r="L163" s="76">
        <f>_xlfn.IFERROR(K163/H163,"N/A")</f>
        <v>-52.476639913798</v>
      </c>
      <c r="M163" s="77">
        <f>IF('Settings'!$E$9="YAHOO",VLOOKUP(B163,'ADP'!A1:E665,2,FALSE),IF('Settings'!$E$9="ESPN",VLOOKUP(B163,'ADP'!A1:E665,3,FALSE),IF('Settings'!$E$9="FANTRAX",VLOOKUP(B163,'ADP'!A1:E665,4,FALSE),VLOOKUP(B163,'ADP'!A1:E665,5,FALSE))))</f>
        <v>0</v>
      </c>
      <c r="N163" s="77">
        <f>_xlfn.IFERROR(M163-A163,"N/A")</f>
        <v>-155</v>
      </c>
      <c r="O163" s="77"/>
      <c r="P163" t="s" s="78">
        <f>IF('Settings'!$E$27="ON",VLOOKUP(B163,'ADP'!A1:H665,8,FALSE)," ")</f>
        <v>138</v>
      </c>
      <c r="Q163" s="79">
        <f>IF('Settings'!$E$12="YES",VLOOKUP(B163,'Player Data'!A1:E667,5,FALSE),82)</f>
        <v>72.66249999999999</v>
      </c>
      <c r="R163" s="98">
        <f>VLOOKUP(B163,'Player Data'!$A1:$AE667,6,FALSE)</f>
        <v>22.2365251891417</v>
      </c>
      <c r="S163" s="79">
        <f>VLOOKUP(B163,'Player Data'!$A1:$AE667,7,FALSE)*$Q163*_xlfn.IFERROR((VLOOKUP(P163,'Settings'!$E$28:$F$33,2,FALSE)+1),1)</f>
        <v>7.49218154925154</v>
      </c>
      <c r="T163" s="79">
        <f>VLOOKUP(B163,'Player Data'!$A1:$AE667,8,FALSE)*$Q163*_xlfn.IFERROR((VLOOKUP(P163,'Settings'!$E$28:$F$33,2,FALSE)+1),1)</f>
        <v>22.9304493969976</v>
      </c>
      <c r="U163" s="79">
        <f>SUM(S163:T163)</f>
        <v>30.4226309462491</v>
      </c>
      <c r="V163" s="79">
        <f>VLOOKUP(B163,'Player Data'!$A1:$AE667,10,FALSE)*$Q163*_xlfn.IFERROR(((VLOOKUP(P163,'Settings'!$E$28:$F$33,2,FALSE)/2)+1),1)</f>
        <v>108.382775061608</v>
      </c>
      <c r="W163" s="79">
        <f>VLOOKUP(B163,'Player Data'!$A1:$AE667,11,FALSE)*$Q163*_xlfn.IFERROR((VLOOKUP(P163,'Settings'!$E$28:$F$33,2,FALSE)+1),1)</f>
        <v>0.0803436871672371</v>
      </c>
      <c r="X163" s="79">
        <f>VLOOKUP(B163,'Player Data'!$A1:$AE667,12,FALSE)*$Q163*_xlfn.IFERROR((VLOOKUP(P163,'Settings'!$E$28:$F$33,2,FALSE)+1),1)</f>
        <v>0.511068153436121</v>
      </c>
      <c r="Y163" s="79">
        <f>VLOOKUP(B163,'Player Data'!$A1:$AE667,13,FALSE)*$Q163</f>
        <v>0.0371948601507337</v>
      </c>
      <c r="Z163" s="79">
        <f>VLOOKUP(B163,'Player Data'!$A1:$AE667,14,FALSE)*$Q163</f>
        <v>0.158341634083342</v>
      </c>
      <c r="AA163" s="79">
        <f>VLOOKUP(B163,'Player Data'!$A1:$AE667,15,FALSE)*$Q163</f>
        <v>170.598164184068</v>
      </c>
      <c r="AB163" s="79">
        <f>VLOOKUP(B163,'Player Data'!$A1:$AE667,16,FALSE)*$Q163</f>
        <v>117.275583807085</v>
      </c>
      <c r="AC163" s="79">
        <f>VLOOKUP(B163,'Player Data'!$A1:$AE667,17,FALSE)*$Q163*_xlfn.IFERROR((VLOOKUP(P163,'Settings'!$E$28:$F$33,2,FALSE)+1),1)</f>
        <v>-5.61039282190266</v>
      </c>
      <c r="AD163" s="79">
        <f>VLOOKUP(B163,'Player Data'!$A1:$AE667,18,FALSE)*$Q163</f>
        <v>52.4167409122501</v>
      </c>
      <c r="AE163" s="79">
        <f>VLOOKUP(B163,'Player Data'!$A1:$AE667,19,FALSE)*$Q163*_xlfn.IFERROR((VLOOKUP(P163,'Settings'!$E$28:$F$33,2,FALSE)+1),1)</f>
        <v>0.868353376594087</v>
      </c>
      <c r="AF163" s="79">
        <f>VLOOKUP(B163,'Player Data'!$A1:$AE667,20,FALSE)*$Q163</f>
        <v>0</v>
      </c>
      <c r="AG163" s="79">
        <f>VLOOKUP(B163,'Player Data'!$A1:$AE667,21,FALSE)*$Q163</f>
        <v>0</v>
      </c>
      <c r="AH163" s="81">
        <f>VLOOKUP(B163,'Player Data'!$A1:$AE667,22,FALSE)</f>
        <v>0</v>
      </c>
      <c r="AI163" s="77"/>
      <c r="AJ163" s="79"/>
      <c r="AK163" s="79"/>
      <c r="AL163" s="79"/>
      <c r="AM163" s="79"/>
      <c r="AN163" s="79"/>
      <c r="AO163" s="79"/>
      <c r="AP163" s="79"/>
      <c r="AQ163" s="82"/>
      <c r="AR163" s="83"/>
      <c r="AS163" s="84"/>
    </row>
    <row r="164" ht="21.25" customHeight="1">
      <c r="A164" s="85">
        <f>RANK(K164,K$1:K$665)</f>
        <v>156</v>
      </c>
      <c r="B164" t="s" s="16">
        <v>351</v>
      </c>
      <c r="C164" t="s" s="69">
        <v>127</v>
      </c>
      <c r="D164" t="s" s="70">
        <f>VLOOKUP(B164,'Player Data'!A1:D667,4,FALSE)</f>
        <v>153</v>
      </c>
      <c r="E164" s="95">
        <f>VLOOKUP(B164,'D'!A1:C213,3,FALSE)</f>
        <v>39</v>
      </c>
      <c r="F164" t="s" s="88">
        <f>VLOOKUP(B164,'Player Data'!A1:B667,2,FALSE)</f>
        <v>304</v>
      </c>
      <c r="G164" s="11">
        <f>VLOOKUP(B164,'Player Data'!A1:D667,3,FALSE)</f>
        <v>30</v>
      </c>
      <c r="H164" s="73">
        <f>_xlfn.IFERROR(VLOOKUP(B164,'ADP'!A1:G665,7,FALSE)/1000000,VLOOKUP(B164,'ADP'!A1:G665,7,FALSE))</f>
        <v>7.142857</v>
      </c>
      <c r="I164" s="74">
        <f>IF('Settings'!$E$15="POINTS",((R164*Q164)*'Settings'!$B$12)+(S164*'Settings'!$B$2)+(T164*'Settings'!$B$3)+(U164*'Settings'!$B$4)+(V164*'Settings'!$B$5)+(X164*'Settings'!$B$9)+(AA164*'Settings'!$B$6)+(W164*'Settings'!$B$8)+(AB164*'Settings'!$B$7)+(AC164*'Settings'!$B$14)+(AD164*'Settings'!$B$15)+(AE164*'Settings'!$B$16)+(AF164*'Settings'!$B$17)+(AG164*'Settings'!$B$18)+(U164*'Settings'!$B$13)+(Y164*'Settings'!$B$10)+(Z164*'Settings'!$B$11),VLOOKUP(B164,'Standard Deviations'!A1:C666,3,FALSE))</f>
        <v>286.202353279730</v>
      </c>
      <c r="J164" s="75">
        <f>IF(D164="G",I164/AJ164,I164/Q164)</f>
        <v>3.63131831859075</v>
      </c>
      <c r="K164" s="74">
        <f>VLOOKUP(B164,'D'!A1:F213,6,FALSE)</f>
        <v>-45.337854640352</v>
      </c>
      <c r="L164" s="76">
        <f>_xlfn.IFERROR(K164/H164,"N/A")</f>
        <v>-6.34729977659528</v>
      </c>
      <c r="M164" s="77">
        <f>IF('Settings'!$E$9="YAHOO",VLOOKUP(B164,'ADP'!A1:E665,2,FALSE),IF('Settings'!$E$9="ESPN",VLOOKUP(B164,'ADP'!A1:E665,3,FALSE),IF('Settings'!$E$9="FANTRAX",VLOOKUP(B164,'ADP'!A1:E665,4,FALSE),VLOOKUP(B164,'ADP'!A1:E665,5,FALSE))))</f>
        <v>0</v>
      </c>
      <c r="N164" s="77">
        <f>_xlfn.IFERROR(M164-A164,"N/A")</f>
        <v>-156</v>
      </c>
      <c r="O164" s="77"/>
      <c r="P164" t="s" s="78">
        <f>IF('Settings'!$E$27="ON",VLOOKUP(B164,'ADP'!A1:H665,8,FALSE)," ")</f>
        <v>138</v>
      </c>
      <c r="Q164" s="79">
        <f>IF('Settings'!$E$12="YES",VLOOKUP(B164,'Player Data'!A1:E667,5,FALSE),82)</f>
        <v>78.815</v>
      </c>
      <c r="R164" s="108">
        <f>VLOOKUP(B164,'Player Data'!$A1:$AE667,6,FALSE)</f>
        <v>22.2986769906874</v>
      </c>
      <c r="S164" s="79">
        <f>VLOOKUP(B164,'Player Data'!$A1:$AE667,7,FALSE)*$Q164*_xlfn.IFERROR((VLOOKUP(P164,'Settings'!$E$28:$F$33,2,FALSE)+1),1)</f>
        <v>11.2387814757546</v>
      </c>
      <c r="T164" s="79">
        <f>VLOOKUP(B164,'Player Data'!$A1:$AE667,8,FALSE)*$Q164*_xlfn.IFERROR((VLOOKUP(P164,'Settings'!$E$28:$F$33,2,FALSE)+1),1)</f>
        <v>34.1736671594283</v>
      </c>
      <c r="U164" s="79">
        <f>SUM(S164:T164)</f>
        <v>45.4124486351829</v>
      </c>
      <c r="V164" s="79">
        <f>VLOOKUP(B164,'Player Data'!$A1:$AE667,10,FALSE)*$Q164*_xlfn.IFERROR(((VLOOKUP(P164,'Settings'!$E$28:$F$33,2,FALSE)/2)+1),1)</f>
        <v>190.090192256839</v>
      </c>
      <c r="W164" s="79">
        <f>VLOOKUP(B164,'Player Data'!$A1:$AE667,11,FALSE)*$Q164*_xlfn.IFERROR((VLOOKUP(P164,'Settings'!$E$28:$F$33,2,FALSE)+1),1)</f>
        <v>1.2585108161986</v>
      </c>
      <c r="X164" s="101">
        <f>VLOOKUP(B164,'Player Data'!$A1:$AE667,12,FALSE)*$Q164*_xlfn.IFERROR((VLOOKUP(P164,'Settings'!$E$28:$F$33,2,FALSE)+1),1)</f>
        <v>14.1859627200665</v>
      </c>
      <c r="Y164" s="79">
        <f>VLOOKUP(B164,'Player Data'!$A1:$AE667,13,FALSE)*$Q164</f>
        <v>0.024110831766045</v>
      </c>
      <c r="Z164" s="79">
        <f>VLOOKUP(B164,'Player Data'!$A1:$AE667,14,FALSE)*$Q164</f>
        <v>0.119114230190714</v>
      </c>
      <c r="AA164" s="79">
        <f>VLOOKUP(B164,'Player Data'!$A1:$AE667,15,FALSE)*$Q164</f>
        <v>91.7043826563096</v>
      </c>
      <c r="AB164" s="79">
        <f>VLOOKUP(B164,'Player Data'!$A1:$AE667,16,FALSE)*$Q164</f>
        <v>105.895564798824</v>
      </c>
      <c r="AC164" s="79">
        <f>VLOOKUP(B164,'Player Data'!$A1:$AE667,17,FALSE)*$Q164*_xlfn.IFERROR((VLOOKUP(P164,'Settings'!$E$28:$F$33,2,FALSE)+1),1)</f>
        <v>0.655850445921215</v>
      </c>
      <c r="AD164" s="79">
        <f>VLOOKUP(B164,'Player Data'!$A1:$AE667,18,FALSE)*$Q164</f>
        <v>45.3040591923584</v>
      </c>
      <c r="AE164" s="79">
        <f>VLOOKUP(B164,'Player Data'!$A1:$AE667,19,FALSE)*$Q164*_xlfn.IFERROR((VLOOKUP(P164,'Settings'!$E$28:$F$33,2,FALSE)+1),1)</f>
        <v>1.70658279030204</v>
      </c>
      <c r="AF164" s="79">
        <f>VLOOKUP(B164,'Player Data'!$A1:$AE667,20,FALSE)*$Q164</f>
        <v>0</v>
      </c>
      <c r="AG164" s="79">
        <f>VLOOKUP(B164,'Player Data'!$A1:$AE667,21,FALSE)*$Q164</f>
        <v>0</v>
      </c>
      <c r="AH164" s="81">
        <f>VLOOKUP(B164,'Player Data'!$A1:$AE667,22,FALSE)</f>
        <v>0</v>
      </c>
      <c r="AI164" s="77"/>
      <c r="AJ164" s="79"/>
      <c r="AK164" s="79"/>
      <c r="AL164" s="79"/>
      <c r="AM164" s="79"/>
      <c r="AN164" s="79"/>
      <c r="AO164" s="79"/>
      <c r="AP164" s="79"/>
      <c r="AQ164" s="82"/>
      <c r="AR164" s="83"/>
      <c r="AS164" s="84"/>
    </row>
    <row r="165" ht="21.25" customHeight="1">
      <c r="A165" s="85">
        <f>RANK(K165,K$1:K$665)</f>
        <v>179</v>
      </c>
      <c r="B165" t="s" s="16">
        <v>352</v>
      </c>
      <c r="C165" t="s" s="69">
        <v>127</v>
      </c>
      <c r="D165" t="s" s="70">
        <f>VLOOKUP(B165,'Player Data'!A1:D667,4,FALSE)</f>
        <v>128</v>
      </c>
      <c r="E165" s="71">
        <f>VLOOKUP(B165,'C'!A1:C206,3,FALSE)</f>
        <v>58</v>
      </c>
      <c r="F165" t="s" s="78">
        <f>VLOOKUP(B165,'Player Data'!A1:B667,2,FALSE)</f>
        <v>261</v>
      </c>
      <c r="G165" s="96">
        <f>VLOOKUP(B165,'Player Data'!A1:D667,3,FALSE)</f>
        <v>20</v>
      </c>
      <c r="H165" s="73">
        <f>_xlfn.IFERROR(VLOOKUP(B165,'ADP'!A1:G665,7,FALSE)/1000000,VLOOKUP(B165,'ADP'!A1:G665,7,FALSE))</f>
        <v>0.95</v>
      </c>
      <c r="I165" s="74">
        <f>IF('Settings'!$E$15="POINTS",((R165*Q165)*'Settings'!$B$12)+(S165*'Settings'!$B$2)+(T165*'Settings'!$B$3)+(U165*'Settings'!$B$4)+(V165*'Settings'!$B$5)+(X165*'Settings'!$B$9)+(AA165*'Settings'!$B$6)+(W165*'Settings'!$B$8)+(AB165*'Settings'!$B$7)+(AC165*'Settings'!$B$14)+(AD165*'Settings'!$B$15)+(AE165*'Settings'!$B$16)+(AF165*'Settings'!$B$17)+(AG165*'Settings'!$B$18)+(Y165*'Settings'!$B$10)+(Z165*'Settings'!$B$11),VLOOKUP(B165,'Standard Deviations'!A1:C666,3,FALSE))</f>
        <v>273.647517106312</v>
      </c>
      <c r="J165" s="75">
        <f>IF(D165="G",I165/AJ165,I165/Q165)</f>
        <v>3.39176397008319</v>
      </c>
      <c r="K165" s="74">
        <f>IF('Settings'!$E$18="C/LW/RW",VLOOKUP(B165,'C'!A1:F206,6,FALSE),VLOOKUP(B165,'F'!A1:F392,6,FALSE))</f>
        <v>-56.044376974866</v>
      </c>
      <c r="L165" s="76">
        <f>_xlfn.IFERROR(K165/H165,"N/A")</f>
        <v>-58.9940810261747</v>
      </c>
      <c r="M165" s="109">
        <f>IF('Settings'!$E$9="YAHOO",VLOOKUP(B165,'ADP'!A1:E665,2,FALSE),IF('Settings'!$E$9="ESPN",VLOOKUP(B165,'ADP'!A1:E665,3,FALSE),IF('Settings'!$E$9="FANTRAX",VLOOKUP(B165,'ADP'!A1:E665,4,FALSE),VLOOKUP(B165,'ADP'!A1:E665,5,FALSE))))</f>
        <v>0</v>
      </c>
      <c r="N165" s="79">
        <f>_xlfn.IFERROR(M165-A165,"N/A")</f>
        <v>-179</v>
      </c>
      <c r="O165" s="77"/>
      <c r="P165" t="s" s="78">
        <f>IF('Settings'!$E$27="ON",VLOOKUP(B165,'ADP'!A1:H665,8,FALSE)," ")</f>
        <v>138</v>
      </c>
      <c r="Q165" s="79">
        <f>IF('Settings'!$E$12="YES",VLOOKUP(B165,'Player Data'!A1:E667,5,FALSE),82)</f>
        <v>80.68000000000001</v>
      </c>
      <c r="R165" s="98">
        <f>VLOOKUP(B165,'Player Data'!$A1:$AE667,6,FALSE)</f>
        <v>18.3350173890489</v>
      </c>
      <c r="S165" s="79">
        <f>VLOOKUP(B165,'Player Data'!$A1:$AE667,7,FALSE)*$Q165*_xlfn.IFERROR((VLOOKUP(P165,'Settings'!$E$28:$F$33,2,FALSE)+1),1)</f>
        <v>28.0730935626258</v>
      </c>
      <c r="T165" s="79">
        <f>VLOOKUP(B165,'Player Data'!$A1:$AE667,8,FALSE)*$Q165*_xlfn.IFERROR((VLOOKUP(P165,'Settings'!$E$28:$F$33,2,FALSE)+1),1)</f>
        <v>38.514938460377</v>
      </c>
      <c r="U165" s="79">
        <f>SUM(S165:T165)</f>
        <v>66.5880320230028</v>
      </c>
      <c r="V165" s="79">
        <f>VLOOKUP(B165,'Player Data'!$A1:$AE667,10,FALSE)*$Q165*_xlfn.IFERROR(((VLOOKUP(P165,'Settings'!$E$28:$F$33,2,FALSE)/2)+1),1)</f>
        <v>180.517533870740</v>
      </c>
      <c r="W165" s="79">
        <f>VLOOKUP(B165,'Player Data'!$A1:$AE667,11,FALSE)*$Q165*_xlfn.IFERROR((VLOOKUP(P165,'Settings'!$E$28:$F$33,2,FALSE)+1),1)</f>
        <v>7.14214831364486</v>
      </c>
      <c r="X165" s="80">
        <f>VLOOKUP(B165,'Player Data'!$A1:$AE667,12,FALSE)*$Q165*_xlfn.IFERROR((VLOOKUP(P165,'Settings'!$E$28:$F$33,2,FALSE)+1),1)</f>
        <v>25.5749415258798</v>
      </c>
      <c r="Y165" s="79">
        <f>VLOOKUP(B165,'Player Data'!$A1:$AE667,13,FALSE)*$Q165</f>
        <v>0.679277156947243</v>
      </c>
      <c r="Z165" s="79">
        <f>VLOOKUP(B165,'Player Data'!$A1:$AE667,14,FALSE)*$Q165</f>
        <v>0.76530842042143</v>
      </c>
      <c r="AA165" s="79">
        <f>VLOOKUP(B165,'Player Data'!$A1:$AE667,15,FALSE)*$Q165</f>
        <v>31.6195451251255</v>
      </c>
      <c r="AB165" s="79">
        <f>VLOOKUP(B165,'Player Data'!$A1:$AE667,16,FALSE)*$Q165</f>
        <v>59.0619832794846</v>
      </c>
      <c r="AC165" s="79">
        <f>VLOOKUP(B165,'Player Data'!$A1:$AE667,17,FALSE)*$Q165*_xlfn.IFERROR((VLOOKUP(P165,'Settings'!$E$28:$F$33,2,FALSE)+1),1)</f>
        <v>-0.775679854438213</v>
      </c>
      <c r="AD165" s="79">
        <f>VLOOKUP(B165,'Player Data'!$A1:$AE667,18,FALSE)*$Q165</f>
        <v>26.8275882752791</v>
      </c>
      <c r="AE165" s="79">
        <f>VLOOKUP(B165,'Player Data'!$A1:$AE667,19,FALSE)*$Q165*_xlfn.IFERROR((VLOOKUP(P165,'Settings'!$E$28:$F$33,2,FALSE)+1),1)</f>
        <v>4.10791873623648</v>
      </c>
      <c r="AF165" s="79">
        <f>VLOOKUP(B165,'Player Data'!$A1:$AE667,20,FALSE)*$Q165</f>
        <v>298.860698610831</v>
      </c>
      <c r="AG165" s="79">
        <f>VLOOKUP(B165,'Player Data'!$A1:$AE667,21,FALSE)*$Q165</f>
        <v>487.074497354293</v>
      </c>
      <c r="AH165" s="81">
        <f>VLOOKUP(B165,'Player Data'!$A1:$AE667,22,FALSE)</f>
        <v>0.380261248185776</v>
      </c>
      <c r="AI165" s="77"/>
      <c r="AJ165" s="79"/>
      <c r="AK165" s="79"/>
      <c r="AL165" s="79"/>
      <c r="AM165" s="79"/>
      <c r="AN165" s="79"/>
      <c r="AO165" s="79"/>
      <c r="AP165" s="79"/>
      <c r="AQ165" s="82"/>
      <c r="AR165" s="83"/>
      <c r="AS165" s="84"/>
    </row>
    <row r="166" ht="21.25" customHeight="1">
      <c r="A166" s="85">
        <f>RANK(K166,K$1:K$665)</f>
        <v>181</v>
      </c>
      <c r="B166" t="s" s="16">
        <v>353</v>
      </c>
      <c r="C166" t="s" s="69">
        <v>127</v>
      </c>
      <c r="D166" t="s" s="70">
        <f>VLOOKUP(B166,'Player Data'!A1:D667,4,FALSE)</f>
        <v>128</v>
      </c>
      <c r="E166" s="71">
        <f>VLOOKUP(B166,'C'!A1:C206,3,FALSE)</f>
        <v>59</v>
      </c>
      <c r="F166" t="s" s="103">
        <f>VLOOKUP(B166,'Player Data'!A1:B667,2,FALSE)</f>
        <v>190</v>
      </c>
      <c r="G166" s="91">
        <f>VLOOKUP(B166,'Player Data'!A1:D667,3,FALSE)</f>
        <v>31</v>
      </c>
      <c r="H166" s="73">
        <f>_xlfn.IFERROR(VLOOKUP(B166,'ADP'!A1:G665,7,FALSE)/1000000,VLOOKUP(B166,'ADP'!A1:G665,7,FALSE))</f>
        <v>5</v>
      </c>
      <c r="I166" s="74">
        <f>IF('Settings'!$E$15="POINTS",((R166*Q166)*'Settings'!$B$12)+(S166*'Settings'!$B$2)+(T166*'Settings'!$B$3)+(U166*'Settings'!$B$4)+(V166*'Settings'!$B$5)+(X166*'Settings'!$B$9)+(AA166*'Settings'!$B$6)+(W166*'Settings'!$B$8)+(AB166*'Settings'!$B$7)+(AC166*'Settings'!$B$14)+(AD166*'Settings'!$B$15)+(AE166*'Settings'!$B$16)+(AF166*'Settings'!$B$17)+(AG166*'Settings'!$B$18)+(Y166*'Settings'!$B$10)+(Z166*'Settings'!$B$11),VLOOKUP(B166,'Standard Deviations'!A1:C666,3,FALSE))</f>
        <v>273.613678328890</v>
      </c>
      <c r="J166" s="75">
        <f>IF(D166="G",I166/AJ166,I166/Q166)</f>
        <v>3.42530894252491</v>
      </c>
      <c r="K166" s="74">
        <f>IF('Settings'!$E$18="C/LW/RW",VLOOKUP(B166,'C'!A1:F206,6,FALSE),VLOOKUP(B166,'F'!A1:F392,6,FALSE))</f>
        <v>-56.078215752288</v>
      </c>
      <c r="L166" s="76">
        <f>_xlfn.IFERROR(K166/H166,"N/A")</f>
        <v>-11.2156431504576</v>
      </c>
      <c r="M166" s="109">
        <f>IF('Settings'!$E$9="YAHOO",VLOOKUP(B166,'ADP'!A1:E665,2,FALSE),IF('Settings'!$E$9="ESPN",VLOOKUP(B166,'ADP'!A1:E665,3,FALSE),IF('Settings'!$E$9="FANTRAX",VLOOKUP(B166,'ADP'!A1:E665,4,FALSE),VLOOKUP(B166,'ADP'!A1:E665,5,FALSE))))</f>
        <v>0</v>
      </c>
      <c r="N166" s="79">
        <f>_xlfn.IFERROR(M166-A166,"N/A")</f>
        <v>-181</v>
      </c>
      <c r="O166" s="77"/>
      <c r="P166" t="s" s="78">
        <f>IF('Settings'!$E$27="ON",VLOOKUP(B166,'ADP'!A1:H665,8,FALSE)," ")</f>
        <v>138</v>
      </c>
      <c r="Q166" s="79">
        <f>IF('Settings'!$E$12="YES",VLOOKUP(B166,'Player Data'!A1:E667,5,FALSE),82)</f>
        <v>79.88</v>
      </c>
      <c r="R166" s="77">
        <f>VLOOKUP(B166,'Player Data'!$A1:$AE667,6,FALSE)</f>
        <v>15.7228133953872</v>
      </c>
      <c r="S166" s="79">
        <f>VLOOKUP(B166,'Player Data'!$A1:$AE667,7,FALSE)*$Q166*_xlfn.IFERROR((VLOOKUP(P166,'Settings'!$E$28:$F$33,2,FALSE)+1),1)</f>
        <v>11.1508956782562</v>
      </c>
      <c r="T166" s="79">
        <f>VLOOKUP(B166,'Player Data'!$A1:$AE667,8,FALSE)*$Q166*_xlfn.IFERROR((VLOOKUP(P166,'Settings'!$E$28:$F$33,2,FALSE)+1),1)</f>
        <v>21.4949372319928</v>
      </c>
      <c r="U166" s="79">
        <f>SUM(S166:T166)</f>
        <v>32.645832910249</v>
      </c>
      <c r="V166" s="79">
        <f>VLOOKUP(B166,'Player Data'!$A1:$AE667,10,FALSE)*$Q166*_xlfn.IFERROR(((VLOOKUP(P166,'Settings'!$E$28:$F$33,2,FALSE)/2)+1),1)</f>
        <v>106.405966738363</v>
      </c>
      <c r="W166" s="79">
        <f>VLOOKUP(B166,'Player Data'!$A1:$AE667,11,FALSE)*$Q166*_xlfn.IFERROR((VLOOKUP(P166,'Settings'!$E$28:$F$33,2,FALSE)+1),1)</f>
        <v>2.09093284585445</v>
      </c>
      <c r="X166" s="79">
        <f>VLOOKUP(B166,'Player Data'!$A1:$AE667,12,FALSE)*$Q166*_xlfn.IFERROR((VLOOKUP(P166,'Settings'!$E$28:$F$33,2,FALSE)+1),1)</f>
        <v>4.15184556085512</v>
      </c>
      <c r="Y166" s="79">
        <f>VLOOKUP(B166,'Player Data'!$A1:$AE667,13,FALSE)*$Q166</f>
        <v>1.28651250374769</v>
      </c>
      <c r="Z166" s="79">
        <f>VLOOKUP(B166,'Player Data'!$A1:$AE667,14,FALSE)*$Q166</f>
        <v>4.49811093119589</v>
      </c>
      <c r="AA166" s="79">
        <f>VLOOKUP(B166,'Player Data'!$A1:$AE667,15,FALSE)*$Q166</f>
        <v>71.07486038843329</v>
      </c>
      <c r="AB166" s="79">
        <f>VLOOKUP(B166,'Player Data'!$A1:$AE667,16,FALSE)*$Q166</f>
        <v>168.006529060737</v>
      </c>
      <c r="AC166" s="79">
        <f>VLOOKUP(B166,'Player Data'!$A1:$AE667,17,FALSE)*$Q166*_xlfn.IFERROR((VLOOKUP(P166,'Settings'!$E$28:$F$33,2,FALSE)+1),1)</f>
        <v>1.15429590264118</v>
      </c>
      <c r="AD166" s="79">
        <f>VLOOKUP(B166,'Player Data'!$A1:$AE667,18,FALSE)*$Q166</f>
        <v>20.0891226739951</v>
      </c>
      <c r="AE166" s="79">
        <f>VLOOKUP(B166,'Player Data'!$A1:$AE667,19,FALSE)*$Q166*_xlfn.IFERROR((VLOOKUP(P166,'Settings'!$E$28:$F$33,2,FALSE)+1),1)</f>
        <v>1.75246292538372</v>
      </c>
      <c r="AF166" s="79">
        <f>VLOOKUP(B166,'Player Data'!$A1:$AE667,20,FALSE)*$Q166</f>
        <v>674.306029675574</v>
      </c>
      <c r="AG166" s="79">
        <f>VLOOKUP(B166,'Player Data'!$A1:$AE667,21,FALSE)*$Q166</f>
        <v>529.3353623722981</v>
      </c>
      <c r="AH166" s="81">
        <f>VLOOKUP(B166,'Player Data'!$A1:$AE667,22,FALSE)</f>
        <v>0.560221702352984</v>
      </c>
      <c r="AI166" s="77"/>
      <c r="AJ166" s="89"/>
      <c r="AK166" s="79"/>
      <c r="AL166" s="79"/>
      <c r="AM166" s="79"/>
      <c r="AN166" s="79"/>
      <c r="AO166" s="79"/>
      <c r="AP166" s="79"/>
      <c r="AQ166" s="82"/>
      <c r="AR166" s="83"/>
      <c r="AS166" s="84"/>
    </row>
    <row r="167" ht="21.25" customHeight="1">
      <c r="A167" s="85">
        <f>RANK(K167,K$1:K$665)</f>
        <v>158</v>
      </c>
      <c r="B167" t="s" s="16">
        <v>354</v>
      </c>
      <c r="C167" t="s" s="69">
        <v>127</v>
      </c>
      <c r="D167" t="s" s="70">
        <f>VLOOKUP(B167,'Player Data'!A1:D667,4,FALSE)</f>
        <v>153</v>
      </c>
      <c r="E167" s="95">
        <f>VLOOKUP(B167,'D'!A1:C213,3,FALSE)</f>
        <v>40</v>
      </c>
      <c r="F167" t="s" s="78">
        <f>VLOOKUP(B167,'Player Data'!A1:B667,2,FALSE)</f>
        <v>216</v>
      </c>
      <c r="G167" s="91">
        <f>VLOOKUP(B167,'Player Data'!A1:D667,3,FALSE)</f>
        <v>33</v>
      </c>
      <c r="H167" s="94">
        <f>_xlfn.IFERROR(VLOOKUP(B167,'ADP'!A1:G665,7,FALSE)/1000000,VLOOKUP(B167,'ADP'!A1:G665,7,FALSE))</f>
        <v>2.85</v>
      </c>
      <c r="I167" s="74">
        <f>IF('Settings'!$E$15="POINTS",((R167*Q167)*'Settings'!$B$12)+(S167*'Settings'!$B$2)+(T167*'Settings'!$B$3)+(U167*'Settings'!$B$4)+(V167*'Settings'!$B$5)+(X167*'Settings'!$B$9)+(AA167*'Settings'!$B$6)+(W167*'Settings'!$B$8)+(AB167*'Settings'!$B$7)+(AC167*'Settings'!$B$14)+(AD167*'Settings'!$B$15)+(AE167*'Settings'!$B$16)+(AF167*'Settings'!$B$17)+(AG167*'Settings'!$B$18)+(U167*'Settings'!$B$13)+(Y167*'Settings'!$B$10)+(Z167*'Settings'!$B$11),VLOOKUP(B167,'Standard Deviations'!A1:C666,3,FALSE))</f>
        <v>284.963610622933</v>
      </c>
      <c r="J167" s="75">
        <f>IF(D167="G",I167/AJ167,I167/Q167)</f>
        <v>3.52983538489945</v>
      </c>
      <c r="K167" s="74">
        <f>VLOOKUP(B167,'D'!A1:F213,6,FALSE)</f>
        <v>-46.576597297149</v>
      </c>
      <c r="L167" s="76">
        <f>_xlfn.IFERROR(K167/H167,"N/A")</f>
        <v>-16.3426657182979</v>
      </c>
      <c r="M167" s="109">
        <f>IF('Settings'!$E$9="YAHOO",VLOOKUP(B167,'ADP'!A1:E665,2,FALSE),IF('Settings'!$E$9="ESPN",VLOOKUP(B167,'ADP'!A1:E665,3,FALSE),IF('Settings'!$E$9="FANTRAX",VLOOKUP(B167,'ADP'!A1:E665,4,FALSE),VLOOKUP(B167,'ADP'!A1:E665,5,FALSE))))</f>
        <v>0</v>
      </c>
      <c r="N167" s="79">
        <f>_xlfn.IFERROR(M167-A167,"N/A")</f>
        <v>-158</v>
      </c>
      <c r="O167" s="77"/>
      <c r="P167" t="s" s="78">
        <f>IF('Settings'!$E$27="ON",VLOOKUP(B167,'ADP'!A1:H665,8,FALSE)," ")</f>
        <v>138</v>
      </c>
      <c r="Q167" s="79">
        <f>IF('Settings'!$E$12="YES",VLOOKUP(B167,'Player Data'!A1:E667,5,FALSE),82)</f>
        <v>80.73</v>
      </c>
      <c r="R167" s="77">
        <f>VLOOKUP(B167,'Player Data'!$A1:$AE667,6,FALSE)</f>
        <v>19.4098366368699</v>
      </c>
      <c r="S167" s="79">
        <f>VLOOKUP(B167,'Player Data'!$A1:$AE667,7,FALSE)*$Q167*_xlfn.IFERROR((VLOOKUP(P167,'Settings'!$E$28:$F$33,2,FALSE)+1),1)</f>
        <v>2.27662664107097</v>
      </c>
      <c r="T167" s="79">
        <f>VLOOKUP(B167,'Player Data'!$A1:$AE667,8,FALSE)*$Q167*_xlfn.IFERROR((VLOOKUP(P167,'Settings'!$E$28:$F$33,2,FALSE)+1),1)</f>
        <v>16.7060911128825</v>
      </c>
      <c r="U167" s="79">
        <f>SUM(S167:T167)</f>
        <v>18.9827177539535</v>
      </c>
      <c r="V167" s="79">
        <f>VLOOKUP(B167,'Player Data'!$A1:$AE667,10,FALSE)*$Q167*_xlfn.IFERROR(((VLOOKUP(P167,'Settings'!$E$28:$F$33,2,FALSE)/2)+1),1)</f>
        <v>81.67877591191559</v>
      </c>
      <c r="W167" s="79">
        <f>VLOOKUP(B167,'Player Data'!$A1:$AE667,11,FALSE)*$Q167*_xlfn.IFERROR((VLOOKUP(P167,'Settings'!$E$28:$F$33,2,FALSE)+1),1)</f>
        <v>0.0186753044913669</v>
      </c>
      <c r="X167" s="79">
        <f>VLOOKUP(B167,'Player Data'!$A1:$AE667,12,FALSE)*$Q167*_xlfn.IFERROR((VLOOKUP(P167,'Settings'!$E$28:$F$33,2,FALSE)+1),1)</f>
        <v>0.138816259032466</v>
      </c>
      <c r="Y167" s="79">
        <f>VLOOKUP(B167,'Player Data'!$A1:$AE667,13,FALSE)*$Q167</f>
        <v>0.0225952554676373</v>
      </c>
      <c r="Z167" s="79">
        <f>VLOOKUP(B167,'Player Data'!$A1:$AE667,14,FALSE)*$Q167</f>
        <v>1.0291507025167</v>
      </c>
      <c r="AA167" s="79">
        <f>VLOOKUP(B167,'Player Data'!$A1:$AE667,15,FALSE)*$Q167</f>
        <v>189.114927255933</v>
      </c>
      <c r="AB167" s="79">
        <f>VLOOKUP(B167,'Player Data'!$A1:$AE667,16,FALSE)*$Q167</f>
        <v>153.469125355255</v>
      </c>
      <c r="AC167" s="79">
        <f>VLOOKUP(B167,'Player Data'!$A1:$AE667,17,FALSE)*$Q167*_xlfn.IFERROR((VLOOKUP(P167,'Settings'!$E$28:$F$33,2,FALSE)+1),1)</f>
        <v>2.71244504206681</v>
      </c>
      <c r="AD167" s="79">
        <f>VLOOKUP(B167,'Player Data'!$A1:$AE667,18,FALSE)*$Q167</f>
        <v>39.8717975725962</v>
      </c>
      <c r="AE167" s="79">
        <f>VLOOKUP(B167,'Player Data'!$A1:$AE667,19,FALSE)*$Q167*_xlfn.IFERROR((VLOOKUP(P167,'Settings'!$E$28:$F$33,2,FALSE)+1),1)</f>
        <v>0.346277846587578</v>
      </c>
      <c r="AF167" s="79">
        <f>VLOOKUP(B167,'Player Data'!$A1:$AE667,20,FALSE)*$Q167</f>
        <v>0</v>
      </c>
      <c r="AG167" s="79">
        <f>VLOOKUP(B167,'Player Data'!$A1:$AE667,21,FALSE)*$Q167</f>
        <v>0</v>
      </c>
      <c r="AH167" s="81">
        <f>VLOOKUP(B167,'Player Data'!$A1:$AE667,22,FALSE)</f>
        <v>0</v>
      </c>
      <c r="AI167" s="77"/>
      <c r="AJ167" s="79"/>
      <c r="AK167" s="79"/>
      <c r="AL167" s="79"/>
      <c r="AM167" s="79"/>
      <c r="AN167" s="79"/>
      <c r="AO167" s="79"/>
      <c r="AP167" s="79"/>
      <c r="AQ167" s="82"/>
      <c r="AR167" s="83"/>
      <c r="AS167" s="84"/>
    </row>
    <row r="168" ht="21.25" customHeight="1">
      <c r="A168" s="85">
        <f>RANK(K168,K$1:K$665)</f>
        <v>160</v>
      </c>
      <c r="B168" t="s" s="16">
        <v>355</v>
      </c>
      <c r="C168" t="s" s="69">
        <v>127</v>
      </c>
      <c r="D168" t="s" s="70">
        <f>VLOOKUP(B168,'Player Data'!A1:D667,4,FALSE)</f>
        <v>153</v>
      </c>
      <c r="E168" s="95">
        <f>VLOOKUP(B168,'D'!A1:C213,3,FALSE)</f>
        <v>41</v>
      </c>
      <c r="F168" t="s" s="92">
        <f>VLOOKUP(B168,'Player Data'!A1:B667,2,FALSE)</f>
        <v>170</v>
      </c>
      <c r="G168" s="96">
        <f>VLOOKUP(B168,'Player Data'!A1:D667,3,FALSE)</f>
        <v>24</v>
      </c>
      <c r="H168" s="94">
        <f>_xlfn.IFERROR(VLOOKUP(B168,'ADP'!A1:G665,7,FALSE)/1000000,VLOOKUP(B168,'ADP'!A1:G665,7,FALSE))</f>
        <v>3.872</v>
      </c>
      <c r="I168" s="74">
        <f>IF('Settings'!$E$15="POINTS",((R168*Q168)*'Settings'!$B$12)+(S168*'Settings'!$B$2)+(T168*'Settings'!$B$3)+(U168*'Settings'!$B$4)+(V168*'Settings'!$B$5)+(X168*'Settings'!$B$9)+(AA168*'Settings'!$B$6)+(W168*'Settings'!$B$8)+(AB168*'Settings'!$B$7)+(AC168*'Settings'!$B$14)+(AD168*'Settings'!$B$15)+(AE168*'Settings'!$B$16)+(AF168*'Settings'!$B$17)+(AG168*'Settings'!$B$18)+(U168*'Settings'!$B$13)+(Y168*'Settings'!$B$10)+(Z168*'Settings'!$B$11),VLOOKUP(B168,'Standard Deviations'!A1:C666,3,FALSE))</f>
        <v>284.204462476173</v>
      </c>
      <c r="J168" s="75">
        <f>IF(D168="G",I168/AJ168,I168/Q168)</f>
        <v>3.49736302078047</v>
      </c>
      <c r="K168" s="74">
        <f>VLOOKUP(B168,'D'!A1:F213,6,FALSE)</f>
        <v>-47.335745443909</v>
      </c>
      <c r="L168" s="76">
        <f>_xlfn.IFERROR(K168/H168,"N/A")</f>
        <v>-12.2251408687782</v>
      </c>
      <c r="M168" s="109">
        <f>IF('Settings'!$E$9="YAHOO",VLOOKUP(B168,'ADP'!A1:E665,2,FALSE),IF('Settings'!$E$9="ESPN",VLOOKUP(B168,'ADP'!A1:E665,3,FALSE),IF('Settings'!$E$9="FANTRAX",VLOOKUP(B168,'ADP'!A1:E665,4,FALSE),VLOOKUP(B168,'ADP'!A1:E665,5,FALSE))))</f>
        <v>0</v>
      </c>
      <c r="N168" s="79">
        <f>_xlfn.IFERROR(M168-A168,"N/A")</f>
        <v>-160</v>
      </c>
      <c r="O168" s="77"/>
      <c r="P168" t="s" s="78">
        <f>IF('Settings'!$E$27="ON",VLOOKUP(B168,'ADP'!A1:H665,8,FALSE)," ")</f>
        <v>138</v>
      </c>
      <c r="Q168" s="79">
        <f>IF('Settings'!$E$12="YES",VLOOKUP(B168,'Player Data'!A1:E667,5,FALSE),82)</f>
        <v>81.2625</v>
      </c>
      <c r="R168" s="77">
        <f>VLOOKUP(B168,'Player Data'!$A1:$AE667,6,FALSE)</f>
        <v>22.3807408097458</v>
      </c>
      <c r="S168" s="79">
        <f>VLOOKUP(B168,'Player Data'!$A1:$AE667,7,FALSE)*$Q168*_xlfn.IFERROR((VLOOKUP(P168,'Settings'!$E$28:$F$33,2,FALSE)+1),1)</f>
        <v>8.81535414223946</v>
      </c>
      <c r="T168" s="79">
        <f>VLOOKUP(B168,'Player Data'!$A1:$AE667,8,FALSE)*$Q168*_xlfn.IFERROR((VLOOKUP(P168,'Settings'!$E$28:$F$33,2,FALSE)+1),1)</f>
        <v>27.0693135048618</v>
      </c>
      <c r="U168" s="79">
        <f>SUM(S168:T168)</f>
        <v>35.8846676471013</v>
      </c>
      <c r="V168" s="79">
        <f>VLOOKUP(B168,'Player Data'!$A1:$AE667,10,FALSE)*$Q168*_xlfn.IFERROR(((VLOOKUP(P168,'Settings'!$E$28:$F$33,2,FALSE)/2)+1),1)</f>
        <v>114.533821507234</v>
      </c>
      <c r="W168" s="79">
        <f>VLOOKUP(B168,'Player Data'!$A1:$AE667,11,FALSE)*$Q168*_xlfn.IFERROR((VLOOKUP(P168,'Settings'!$E$28:$F$33,2,FALSE)+1),1)</f>
        <v>0.687723145751145</v>
      </c>
      <c r="X168" s="79">
        <f>VLOOKUP(B168,'Player Data'!$A1:$AE667,12,FALSE)*$Q168*_xlfn.IFERROR((VLOOKUP(P168,'Settings'!$E$28:$F$33,2,FALSE)+1),1)</f>
        <v>3.53980733687261</v>
      </c>
      <c r="Y168" s="79">
        <f>VLOOKUP(B168,'Player Data'!$A1:$AE667,13,FALSE)*$Q168</f>
        <v>0.033353202996201</v>
      </c>
      <c r="Z168" s="79">
        <f>VLOOKUP(B168,'Player Data'!$A1:$AE667,14,FALSE)*$Q168</f>
        <v>0.868876284662999</v>
      </c>
      <c r="AA168" s="79">
        <f>VLOOKUP(B168,'Player Data'!$A1:$AE667,15,FALSE)*$Q168</f>
        <v>119.683151711290</v>
      </c>
      <c r="AB168" s="79">
        <f>VLOOKUP(B168,'Player Data'!$A1:$AE667,16,FALSE)*$Q168</f>
        <v>145.286629694939</v>
      </c>
      <c r="AC168" s="79">
        <f>VLOOKUP(B168,'Player Data'!$A1:$AE667,17,FALSE)*$Q168*_xlfn.IFERROR((VLOOKUP(P168,'Settings'!$E$28:$F$33,2,FALSE)+1),1)</f>
        <v>1.83862665577604</v>
      </c>
      <c r="AD168" s="79">
        <f>VLOOKUP(B168,'Player Data'!$A1:$AE667,18,FALSE)*$Q168</f>
        <v>37.9965022131674</v>
      </c>
      <c r="AE168" s="79">
        <f>VLOOKUP(B168,'Player Data'!$A1:$AE667,19,FALSE)*$Q168*_xlfn.IFERROR((VLOOKUP(P168,'Settings'!$E$28:$F$33,2,FALSE)+1),1)</f>
        <v>1.44094283589468</v>
      </c>
      <c r="AF168" s="79">
        <f>VLOOKUP(B168,'Player Data'!$A1:$AE667,20,FALSE)*$Q168</f>
        <v>0</v>
      </c>
      <c r="AG168" s="79">
        <f>VLOOKUP(B168,'Player Data'!$A1:$AE667,21,FALSE)*$Q168</f>
        <v>0</v>
      </c>
      <c r="AH168" s="81">
        <f>VLOOKUP(B168,'Player Data'!$A1:$AE667,22,FALSE)</f>
        <v>0</v>
      </c>
      <c r="AI168" s="77"/>
      <c r="AJ168" s="79"/>
      <c r="AK168" s="79"/>
      <c r="AL168" s="79"/>
      <c r="AM168" s="79"/>
      <c r="AN168" s="79"/>
      <c r="AO168" s="79"/>
      <c r="AP168" s="79"/>
      <c r="AQ168" s="82"/>
      <c r="AR168" s="83"/>
      <c r="AS168" s="84"/>
    </row>
    <row r="169" ht="21.25" customHeight="1">
      <c r="A169" s="85">
        <f>RANK(K169,K$1:K$665)</f>
        <v>172</v>
      </c>
      <c r="B169" t="s" s="16">
        <v>356</v>
      </c>
      <c r="C169" t="s" s="69">
        <v>127</v>
      </c>
      <c r="D169" t="s" s="70">
        <f>VLOOKUP(B169,'Player Data'!A1:D667,4,FALSE)</f>
        <v>148</v>
      </c>
      <c r="E169" s="87">
        <f>VLOOKUP(B169,'RW'!A1:C136,3,FALSE)</f>
        <v>36</v>
      </c>
      <c r="F169" t="s" s="88">
        <f>VLOOKUP(B169,'Player Data'!A1:B667,2,FALSE)</f>
        <v>137</v>
      </c>
      <c r="G169" s="11">
        <f>VLOOKUP(B169,'Player Data'!A1:D667,3,FALSE)</f>
        <v>26</v>
      </c>
      <c r="H169" s="73">
        <f>_xlfn.IFERROR(VLOOKUP(B169,'ADP'!A1:G665,7,FALSE)/1000000,VLOOKUP(B169,'ADP'!A1:G665,7,FALSE))</f>
        <v>4.975</v>
      </c>
      <c r="I169" s="74">
        <f>IF('Settings'!$E$15="POINTS",((R169*Q169)*'Settings'!$B$12)+(S169*'Settings'!$B$2)+(T169*'Settings'!$B$3)+(U169*'Settings'!$B$4)+(V169*'Settings'!$B$5)+(X169*'Settings'!$B$9)+(AA169*'Settings'!$B$6)+(W169*'Settings'!$B$8)+(AB169*'Settings'!$B$7)+(AC169*'Settings'!$B$14)+(AD169*'Settings'!$B$15)+(AE169*'Settings'!$B$16)+(AF169*'Settings'!$B$17)+(AG169*'Settings'!$B$18)+(Y169*'Settings'!$B$10)+(Z169*'Settings'!$B$11),VLOOKUP(B169,'Standard Deviations'!A1:C666,3,FALSE))</f>
        <v>277.184025795833</v>
      </c>
      <c r="J169" s="75">
        <f>IF(D169="G",I169/AJ169,I169/Q169)</f>
        <v>3.53415817666496</v>
      </c>
      <c r="K169" s="74">
        <f>IF('Settings'!$E$18="C/LW/RW",VLOOKUP(B169,'RW'!A1:F136,6,FALSE),VLOOKUP(B169,'F'!A1:F392,6,FALSE))</f>
        <v>-52.507868285345</v>
      </c>
      <c r="L169" s="76">
        <f>_xlfn.IFERROR(K169/H169,"N/A")</f>
        <v>-10.5543453839889</v>
      </c>
      <c r="M169" s="77">
        <f>IF('Settings'!$E$9="YAHOO",VLOOKUP(B169,'ADP'!A1:E665,2,FALSE),IF('Settings'!$E$9="ESPN",VLOOKUP(B169,'ADP'!A1:E665,3,FALSE),IF('Settings'!$E$9="FANTRAX",VLOOKUP(B169,'ADP'!A1:E665,4,FALSE),VLOOKUP(B169,'ADP'!A1:E665,5,FALSE))))</f>
        <v>0</v>
      </c>
      <c r="N169" s="77">
        <f>_xlfn.IFERROR(M169-A169,"N/A")</f>
        <v>-172</v>
      </c>
      <c r="O169" s="77"/>
      <c r="P169" t="s" s="78">
        <f>IF('Settings'!$E$27="ON",VLOOKUP(B169,'ADP'!A1:H665,8,FALSE)," ")</f>
        <v>138</v>
      </c>
      <c r="Q169" s="79">
        <f>IF('Settings'!$E$12="YES",VLOOKUP(B169,'Player Data'!A1:E667,5,FALSE),82)</f>
        <v>78.43000000000001</v>
      </c>
      <c r="R169" s="77">
        <f>VLOOKUP(B169,'Player Data'!$A1:$AE667,6,FALSE)</f>
        <v>17.5752069803382</v>
      </c>
      <c r="S169" s="79">
        <f>VLOOKUP(B169,'Player Data'!$A1:$AE667,7,FALSE)*$Q169*_xlfn.IFERROR((VLOOKUP(P169,'Settings'!$E$28:$F$33,2,FALSE)+1),1)</f>
        <v>23.3179332986896</v>
      </c>
      <c r="T169" s="79">
        <f>VLOOKUP(B169,'Player Data'!$A1:$AE667,8,FALSE)*$Q169*_xlfn.IFERROR((VLOOKUP(P169,'Settings'!$E$28:$F$33,2,FALSE)+1),1)</f>
        <v>35.0855171683097</v>
      </c>
      <c r="U169" s="79">
        <f>SUM(S169:T169)</f>
        <v>58.4034504669993</v>
      </c>
      <c r="V169" s="79">
        <f>VLOOKUP(B169,'Player Data'!$A1:$AE667,10,FALSE)*$Q169*_xlfn.IFERROR(((VLOOKUP(P169,'Settings'!$E$28:$F$33,2,FALSE)/2)+1),1)</f>
        <v>187.845647196489</v>
      </c>
      <c r="W169" s="79">
        <f>VLOOKUP(B169,'Player Data'!$A1:$AE667,11,FALSE)*$Q169*_xlfn.IFERROR((VLOOKUP(P169,'Settings'!$E$28:$F$33,2,FALSE)+1),1)</f>
        <v>6.05464071950333</v>
      </c>
      <c r="X169" s="101">
        <f>VLOOKUP(B169,'Player Data'!$A1:$AE667,12,FALSE)*$Q169*_xlfn.IFERROR((VLOOKUP(P169,'Settings'!$E$28:$F$33,2,FALSE)+1),1)</f>
        <v>16.7646297002522</v>
      </c>
      <c r="Y169" s="79">
        <f>VLOOKUP(B169,'Player Data'!$A1:$AE667,13,FALSE)*$Q169</f>
        <v>0.0118717384297158</v>
      </c>
      <c r="Z169" s="79">
        <f>VLOOKUP(B169,'Player Data'!$A1:$AE667,14,FALSE)*$Q169</f>
        <v>0.0200660860363221</v>
      </c>
      <c r="AA169" s="79">
        <f>VLOOKUP(B169,'Player Data'!$A1:$AE667,15,FALSE)*$Q169</f>
        <v>32.5279985890364</v>
      </c>
      <c r="AB169" s="79">
        <f>VLOOKUP(B169,'Player Data'!$A1:$AE667,16,FALSE)*$Q169</f>
        <v>94.86513359458991</v>
      </c>
      <c r="AC169" s="79">
        <f>VLOOKUP(B169,'Player Data'!$A1:$AE667,17,FALSE)*$Q169*_xlfn.IFERROR((VLOOKUP(P169,'Settings'!$E$28:$F$33,2,FALSE)+1),1)</f>
        <v>-1.17577009168393</v>
      </c>
      <c r="AD169" s="79">
        <f>VLOOKUP(B169,'Player Data'!$A1:$AE667,18,FALSE)*$Q169</f>
        <v>31.6638326844393</v>
      </c>
      <c r="AE169" s="79">
        <f>VLOOKUP(B169,'Player Data'!$A1:$AE667,19,FALSE)*$Q169*_xlfn.IFERROR((VLOOKUP(P169,'Settings'!$E$28:$F$33,2,FALSE)+1),1)</f>
        <v>3.62044117461848</v>
      </c>
      <c r="AF169" s="79">
        <f>VLOOKUP(B169,'Player Data'!$A1:$AE667,20,FALSE)*$Q169</f>
        <v>29.297672590019</v>
      </c>
      <c r="AG169" s="79">
        <f>VLOOKUP(B169,'Player Data'!$A1:$AE667,21,FALSE)*$Q169</f>
        <v>46.9151503972196</v>
      </c>
      <c r="AH169" s="81">
        <f>VLOOKUP(B169,'Player Data'!$A1:$AE667,22,FALSE)</f>
        <v>0.384419201935673</v>
      </c>
      <c r="AI169" s="77"/>
      <c r="AJ169" s="89"/>
      <c r="AK169" s="79"/>
      <c r="AL169" s="79"/>
      <c r="AM169" s="79"/>
      <c r="AN169" s="79"/>
      <c r="AO169" s="79"/>
      <c r="AP169" s="79"/>
      <c r="AQ169" s="82"/>
      <c r="AR169" s="83"/>
      <c r="AS169" s="84"/>
    </row>
    <row r="170" ht="21.25" customHeight="1">
      <c r="A170" s="85">
        <f>RANK(K170,K$1:K$665)</f>
        <v>161</v>
      </c>
      <c r="B170" t="s" s="16">
        <v>357</v>
      </c>
      <c r="C170" t="s" s="69">
        <v>127</v>
      </c>
      <c r="D170" t="s" s="70">
        <f>VLOOKUP(B170,'Player Data'!A1:D667,4,FALSE)</f>
        <v>153</v>
      </c>
      <c r="E170" s="95">
        <f>VLOOKUP(B170,'D'!A1:C213,3,FALSE)</f>
        <v>42</v>
      </c>
      <c r="F170" t="s" s="78">
        <f>VLOOKUP(B170,'Player Data'!A1:B667,2,FALSE)</f>
        <v>194</v>
      </c>
      <c r="G170" s="91">
        <f>VLOOKUP(B170,'Player Data'!A1:D667,3,FALSE)</f>
        <v>31</v>
      </c>
      <c r="H170" s="73">
        <f>_xlfn.IFERROR(VLOOKUP(B170,'ADP'!A1:G665,7,FALSE)/1000000,VLOOKUP(B170,'ADP'!A1:G665,7,FALSE))</f>
        <v>9</v>
      </c>
      <c r="I170" s="74">
        <f>IF('Settings'!$E$15="POINTS",((R170*Q170)*'Settings'!$B$12)+(S170*'Settings'!$B$2)+(T170*'Settings'!$B$3)+(U170*'Settings'!$B$4)+(V170*'Settings'!$B$5)+(X170*'Settings'!$B$9)+(AA170*'Settings'!$B$6)+(W170*'Settings'!$B$8)+(AB170*'Settings'!$B$7)+(AC170*'Settings'!$B$14)+(AD170*'Settings'!$B$15)+(AE170*'Settings'!$B$16)+(AF170*'Settings'!$B$17)+(AG170*'Settings'!$B$18)+(U170*'Settings'!$B$13)+(Y170*'Settings'!$B$10)+(Z170*'Settings'!$B$11),VLOOKUP(B170,'Standard Deviations'!A1:C666,3,FALSE))</f>
        <v>283.533674384472</v>
      </c>
      <c r="J170" s="75">
        <f>IF(D170="G",I170/AJ170,I170/Q170)</f>
        <v>4.10769539129985</v>
      </c>
      <c r="K170" s="74">
        <f>VLOOKUP(B170,'D'!A1:F213,6,FALSE)</f>
        <v>-48.006533535610</v>
      </c>
      <c r="L170" s="76">
        <f>_xlfn.IFERROR(K170/H170,"N/A")</f>
        <v>-5.33405928173444</v>
      </c>
      <c r="M170" s="77">
        <f>IF('Settings'!$E$9="YAHOO",VLOOKUP(B170,'ADP'!A1:E665,2,FALSE),IF('Settings'!$E$9="ESPN",VLOOKUP(B170,'ADP'!A1:E665,3,FALSE),IF('Settings'!$E$9="FANTRAX",VLOOKUP(B170,'ADP'!A1:E665,4,FALSE),VLOOKUP(B170,'ADP'!A1:E665,5,FALSE))))</f>
        <v>0</v>
      </c>
      <c r="N170" s="77">
        <f>_xlfn.IFERROR(M170-A170,"N/A")</f>
        <v>-161</v>
      </c>
      <c r="O170" s="77"/>
      <c r="P170" t="s" s="78">
        <f>IF('Settings'!$E$27="ON",VLOOKUP(B170,'ADP'!A1:H665,8,FALSE)," ")</f>
        <v>138</v>
      </c>
      <c r="Q170" s="79">
        <f>IF('Settings'!$E$12="YES",VLOOKUP(B170,'Player Data'!A1:E667,5,FALSE),82)</f>
        <v>69.02500000000001</v>
      </c>
      <c r="R170" s="98">
        <f>VLOOKUP(B170,'Player Data'!$A1:$AE667,6,FALSE)</f>
        <v>22.0192259525411</v>
      </c>
      <c r="S170" s="79">
        <f>VLOOKUP(B170,'Player Data'!$A1:$AE667,7,FALSE)*$Q170*_xlfn.IFERROR((VLOOKUP(P170,'Settings'!$E$28:$F$33,2,FALSE)+1),1)</f>
        <v>14.6951478447799</v>
      </c>
      <c r="T170" s="79">
        <f>VLOOKUP(B170,'Player Data'!$A1:$AE667,8,FALSE)*$Q170*_xlfn.IFERROR((VLOOKUP(P170,'Settings'!$E$28:$F$33,2,FALSE)+1),1)</f>
        <v>36.0184565032672</v>
      </c>
      <c r="U170" s="79">
        <f>SUM(S170:T170)</f>
        <v>50.7136043480471</v>
      </c>
      <c r="V170" s="79">
        <f>VLOOKUP(B170,'Player Data'!$A1:$AE667,10,FALSE)*$Q170*_xlfn.IFERROR(((VLOOKUP(P170,'Settings'!$E$28:$F$33,2,FALSE)/2)+1),1)</f>
        <v>212.556296560464</v>
      </c>
      <c r="W170" s="79">
        <f>VLOOKUP(B170,'Player Data'!$A1:$AE667,11,FALSE)*$Q170*_xlfn.IFERROR((VLOOKUP(P170,'Settings'!$E$28:$F$33,2,FALSE)+1),1)</f>
        <v>5.92638558806336</v>
      </c>
      <c r="X170" s="101">
        <f>VLOOKUP(B170,'Player Data'!$A1:$AE667,12,FALSE)*$Q170*_xlfn.IFERROR((VLOOKUP(P170,'Settings'!$E$28:$F$33,2,FALSE)+1),1)</f>
        <v>17.7060687486055</v>
      </c>
      <c r="Y170" s="79">
        <f>VLOOKUP(B170,'Player Data'!$A1:$AE667,13,FALSE)*$Q170</f>
        <v>0.00912820300831808</v>
      </c>
      <c r="Z170" s="79">
        <f>VLOOKUP(B170,'Player Data'!$A1:$AE667,14,FALSE)*$Q170</f>
        <v>0.0448075338987134</v>
      </c>
      <c r="AA170" s="79">
        <f>VLOOKUP(B170,'Player Data'!$A1:$AE667,15,FALSE)*$Q170</f>
        <v>86.91649297633521</v>
      </c>
      <c r="AB170" s="79">
        <f>VLOOKUP(B170,'Player Data'!$A1:$AE667,16,FALSE)*$Q170</f>
        <v>68.453729747819</v>
      </c>
      <c r="AC170" s="79">
        <f>VLOOKUP(B170,'Player Data'!$A1:$AE667,17,FALSE)*$Q170*_xlfn.IFERROR((VLOOKUP(P170,'Settings'!$E$28:$F$33,2,FALSE)+1),1)</f>
        <v>3.28478648468665</v>
      </c>
      <c r="AD170" s="79">
        <f>VLOOKUP(B170,'Player Data'!$A1:$AE667,18,FALSE)*$Q170</f>
        <v>43.295200336726</v>
      </c>
      <c r="AE170" s="79">
        <f>VLOOKUP(B170,'Player Data'!$A1:$AE667,19,FALSE)*$Q170*_xlfn.IFERROR((VLOOKUP(P170,'Settings'!$E$28:$F$33,2,FALSE)+1),1)</f>
        <v>2.21714984442115</v>
      </c>
      <c r="AF170" s="79">
        <f>VLOOKUP(B170,'Player Data'!$A1:$AE667,20,FALSE)*$Q170</f>
        <v>0</v>
      </c>
      <c r="AG170" s="79">
        <f>VLOOKUP(B170,'Player Data'!$A1:$AE667,21,FALSE)*$Q170</f>
        <v>0</v>
      </c>
      <c r="AH170" s="81">
        <f>VLOOKUP(B170,'Player Data'!$A1:$AE667,22,FALSE)</f>
        <v>0</v>
      </c>
      <c r="AI170" s="77"/>
      <c r="AJ170" s="89"/>
      <c r="AK170" s="79"/>
      <c r="AL170" s="79"/>
      <c r="AM170" s="79"/>
      <c r="AN170" s="79"/>
      <c r="AO170" s="79"/>
      <c r="AP170" s="79"/>
      <c r="AQ170" s="82"/>
      <c r="AR170" s="83"/>
      <c r="AS170" s="84"/>
    </row>
    <row r="171" ht="21.25" customHeight="1">
      <c r="A171" s="85">
        <f>RANK(K171,K$1:K$665)</f>
        <v>173</v>
      </c>
      <c r="B171" t="s" s="16">
        <v>358</v>
      </c>
      <c r="C171" t="s" s="69">
        <v>127</v>
      </c>
      <c r="D171" t="s" s="70">
        <f>VLOOKUP(B171,'Player Data'!A1:D667,4,FALSE)</f>
        <v>140</v>
      </c>
      <c r="E171" s="90">
        <f>VLOOKUP(B171,'RW'!A1:F136,3,FALSE)</f>
        <v>37</v>
      </c>
      <c r="F171" t="s" s="92">
        <f>VLOOKUP(B171,'Player Data'!A1:B667,2,FALSE)</f>
        <v>146</v>
      </c>
      <c r="G171" s="11">
        <f>VLOOKUP(B171,'Player Data'!A1:D667,3,FALSE)</f>
        <v>27</v>
      </c>
      <c r="H171" s="94">
        <f>_xlfn.IFERROR(VLOOKUP(B171,'ADP'!A1:G665,7,FALSE)/1000000,VLOOKUP(B171,'ADP'!A1:G665,7,FALSE))</f>
        <v>6.5</v>
      </c>
      <c r="I171" s="74">
        <f>IF('Settings'!$E$15="POINTS",((R171*Q171)*'Settings'!$B$12)+(S171*'Settings'!$B$2)+(T171*'Settings'!$B$3)+(U171*'Settings'!$B$4)+(V171*'Settings'!$B$5)+(X171*'Settings'!$B$9)+(AA171*'Settings'!$B$6)+(W171*'Settings'!$B$8)+(AB171*'Settings'!$B$7)+(AC171*'Settings'!$B$14)+(AD171*'Settings'!$B$15)+(AE171*'Settings'!$B$16)+(AF171*'Settings'!$B$17)+(AG171*'Settings'!$B$18)+(Y171*'Settings'!$B$10)+(Z171*'Settings'!$B$11),VLOOKUP(B171,'Standard Deviations'!A1:C666,3,FALSE))</f>
        <v>276.521261673615</v>
      </c>
      <c r="J171" s="75">
        <f>IF(D171="G",I171/AJ171,I171/Q171)</f>
        <v>3.47159551393384</v>
      </c>
      <c r="K171" s="74">
        <f>IF('Settings'!$E$18="C/LW/RW",VLOOKUP(B171,'RW'!A1:F136,6,FALSE),VLOOKUP(B171,'F'!A1:F392,6,FALSE))</f>
        <v>-53.170632407563</v>
      </c>
      <c r="L171" s="76">
        <f>_xlfn.IFERROR(K171/H171,"N/A")</f>
        <v>-8.180097293471229</v>
      </c>
      <c r="M171" s="77">
        <f>IF('Settings'!$E$9="YAHOO",VLOOKUP(B171,'ADP'!A1:E665,2,FALSE),IF('Settings'!$E$9="ESPN",VLOOKUP(B171,'ADP'!A1:E665,3,FALSE),IF('Settings'!$E$9="FANTRAX",VLOOKUP(B171,'ADP'!A1:E665,4,FALSE),VLOOKUP(B171,'ADP'!A1:E665,5,FALSE))))</f>
        <v>0</v>
      </c>
      <c r="N171" s="77">
        <f>_xlfn.IFERROR(M171-A171,"N/A")</f>
        <v>-173</v>
      </c>
      <c r="O171" s="77"/>
      <c r="P171" t="s" s="78">
        <f>IF('Settings'!$E$27="ON",VLOOKUP(B171,'ADP'!A1:H665,8,FALSE)," ")</f>
        <v>138</v>
      </c>
      <c r="Q171" s="79">
        <f>IF('Settings'!$E$12="YES",VLOOKUP(B171,'Player Data'!A1:E667,5,FALSE),82)</f>
        <v>79.6525</v>
      </c>
      <c r="R171" s="77">
        <f>VLOOKUP(B171,'Player Data'!$A1:$AE667,6,FALSE)</f>
        <v>17.9223499854661</v>
      </c>
      <c r="S171" s="79">
        <f>VLOOKUP(B171,'Player Data'!$A1:$AE667,7,FALSE)*$Q171*_xlfn.IFERROR((VLOOKUP(P171,'Settings'!$E$28:$F$33,2,FALSE)+1),1)</f>
        <v>30.1848809633361</v>
      </c>
      <c r="T171" s="79">
        <f>VLOOKUP(B171,'Player Data'!$A1:$AE667,8,FALSE)*$Q171*_xlfn.IFERROR((VLOOKUP(P171,'Settings'!$E$28:$F$33,2,FALSE)+1),1)</f>
        <v>33.7002394989209</v>
      </c>
      <c r="U171" s="79">
        <f>SUM(S171:T171)</f>
        <v>63.885120462257</v>
      </c>
      <c r="V171" s="79">
        <f>VLOOKUP(B171,'Player Data'!$A1:$AE667,10,FALSE)*$Q171*_xlfn.IFERROR(((VLOOKUP(P171,'Settings'!$E$28:$F$33,2,FALSE)/2)+1),1)</f>
        <v>198.999016205269</v>
      </c>
      <c r="W171" s="79">
        <f>VLOOKUP(B171,'Player Data'!$A1:$AE667,11,FALSE)*$Q171*_xlfn.IFERROR((VLOOKUP(P171,'Settings'!$E$28:$F$33,2,FALSE)+1),1)</f>
        <v>12.2464195719083</v>
      </c>
      <c r="X171" s="80">
        <f>VLOOKUP(B171,'Player Data'!$A1:$AE667,12,FALSE)*$Q171*_xlfn.IFERROR((VLOOKUP(P171,'Settings'!$E$28:$F$33,2,FALSE)+1),1)</f>
        <v>22.2636522385204</v>
      </c>
      <c r="Y171" s="79">
        <f>VLOOKUP(B171,'Player Data'!$A1:$AE667,13,FALSE)*$Q171</f>
        <v>0.0051569072945506</v>
      </c>
      <c r="Z171" s="79">
        <f>VLOOKUP(B171,'Player Data'!$A1:$AE667,14,FALSE)*$Q171</f>
        <v>0.008714752111226231</v>
      </c>
      <c r="AA171" s="79">
        <f>VLOOKUP(B171,'Player Data'!$A1:$AE667,15,FALSE)*$Q171</f>
        <v>30.3407768958443</v>
      </c>
      <c r="AB171" s="79">
        <f>VLOOKUP(B171,'Player Data'!$A1:$AE667,16,FALSE)*$Q171</f>
        <v>53.5230715522711</v>
      </c>
      <c r="AC171" s="79">
        <f>VLOOKUP(B171,'Player Data'!$A1:$AE667,17,FALSE)*$Q171*_xlfn.IFERROR((VLOOKUP(P171,'Settings'!$E$28:$F$33,2,FALSE)+1),1)</f>
        <v>4.4118842795364</v>
      </c>
      <c r="AD171" s="79">
        <f>VLOOKUP(B171,'Player Data'!$A1:$AE667,18,FALSE)*$Q171</f>
        <v>23.1180041141265</v>
      </c>
      <c r="AE171" s="79">
        <f>VLOOKUP(B171,'Player Data'!$A1:$AE667,19,FALSE)*$Q171*_xlfn.IFERROR((VLOOKUP(P171,'Settings'!$E$28:$F$33,2,FALSE)+1),1)</f>
        <v>5.15479900237842</v>
      </c>
      <c r="AF171" s="79">
        <f>VLOOKUP(B171,'Player Data'!$A1:$AE667,20,FALSE)*$Q171</f>
        <v>15.8337490305118</v>
      </c>
      <c r="AG171" s="79">
        <f>VLOOKUP(B171,'Player Data'!$A1:$AE667,21,FALSE)*$Q171</f>
        <v>17.4942820393078</v>
      </c>
      <c r="AH171" s="81">
        <f>VLOOKUP(B171,'Player Data'!$A1:$AE667,22,FALSE)</f>
        <v>0.475088042175109</v>
      </c>
      <c r="AI171" s="77"/>
      <c r="AJ171" s="89"/>
      <c r="AK171" s="79"/>
      <c r="AL171" s="79"/>
      <c r="AM171" s="79"/>
      <c r="AN171" s="79"/>
      <c r="AO171" s="79"/>
      <c r="AP171" s="79"/>
      <c r="AQ171" s="82"/>
      <c r="AR171" s="83"/>
      <c r="AS171" s="84"/>
    </row>
    <row r="172" ht="21.25" customHeight="1">
      <c r="A172" s="85">
        <f>RANK(K172,K$1:K$665)</f>
        <v>186</v>
      </c>
      <c r="B172" t="s" s="16">
        <v>359</v>
      </c>
      <c r="C172" t="s" s="69">
        <v>127</v>
      </c>
      <c r="D172" t="s" s="70">
        <f>VLOOKUP(B172,'Player Data'!A1:D667,4,FALSE)</f>
        <v>128</v>
      </c>
      <c r="E172" s="71">
        <f>VLOOKUP(B172,'C'!A1:C206,3,FALSE)</f>
        <v>60</v>
      </c>
      <c r="F172" t="s" s="100">
        <f>VLOOKUP(B172,'Player Data'!A1:B667,2,FALSE)</f>
        <v>172</v>
      </c>
      <c r="G172" s="91">
        <f>VLOOKUP(B172,'Player Data'!A1:D667,3,FALSE)</f>
        <v>38</v>
      </c>
      <c r="H172" s="73">
        <f>_xlfn.IFERROR(VLOOKUP(B172,'ADP'!A1:G665,7,FALSE)/1000000,VLOOKUP(B172,'ADP'!A1:G665,7,FALSE))</f>
        <v>6.1</v>
      </c>
      <c r="I172" s="74">
        <f>IF('Settings'!$E$15="POINTS",((R172*Q172)*'Settings'!$B$12)+(S172*'Settings'!$B$2)+(T172*'Settings'!$B$3)+(U172*'Settings'!$B$4)+(V172*'Settings'!$B$5)+(X172*'Settings'!$B$9)+(AA172*'Settings'!$B$6)+(W172*'Settings'!$B$8)+(AB172*'Settings'!$B$7)+(AC172*'Settings'!$B$14)+(AD172*'Settings'!$B$15)+(AE172*'Settings'!$B$16)+(AF172*'Settings'!$B$17)+(AG172*'Settings'!$B$18)+(Y172*'Settings'!$B$10)+(Z172*'Settings'!$B$11),VLOOKUP(B172,'Standard Deviations'!A1:C666,3,FALSE))</f>
        <v>271.041117324558</v>
      </c>
      <c r="J172" s="75">
        <f>IF(D172="G",I172/AJ172,I172/Q172)</f>
        <v>3.47800740824532</v>
      </c>
      <c r="K172" s="74">
        <f>IF('Settings'!$E$18="C/LW/RW",VLOOKUP(B172,'C'!A1:F206,6,FALSE),VLOOKUP(B172,'F'!A1:F392,6,FALSE))</f>
        <v>-58.650776756620</v>
      </c>
      <c r="L172" s="76">
        <f>_xlfn.IFERROR(K172/H172,"N/A")</f>
        <v>-9.61488143551148</v>
      </c>
      <c r="M172" s="77">
        <f>IF('Settings'!$E$9="YAHOO",VLOOKUP(B172,'ADP'!A1:E665,2,FALSE),IF('Settings'!$E$9="ESPN",VLOOKUP(B172,'ADP'!A1:E665,3,FALSE),IF('Settings'!$E$9="FANTRAX",VLOOKUP(B172,'ADP'!A1:E665,4,FALSE),VLOOKUP(B172,'ADP'!A1:E665,5,FALSE))))</f>
        <v>0</v>
      </c>
      <c r="N172" s="77">
        <f>_xlfn.IFERROR(M172-A172,"N/A")</f>
        <v>-186</v>
      </c>
      <c r="O172" s="77"/>
      <c r="P172" t="s" s="78">
        <f>IF('Settings'!$E$27="ON",VLOOKUP(B172,'ADP'!A1:H665,8,FALSE)," ")</f>
        <v>138</v>
      </c>
      <c r="Q172" s="79">
        <f>IF('Settings'!$E$12="YES",VLOOKUP(B172,'Player Data'!A1:E667,5,FALSE),82)</f>
        <v>77.93000000000001</v>
      </c>
      <c r="R172" s="77">
        <f>VLOOKUP(B172,'Player Data'!$A1:$AE667,6,FALSE)</f>
        <v>18.6766232194188</v>
      </c>
      <c r="S172" s="79">
        <f>VLOOKUP(B172,'Player Data'!$A1:$AE667,7,FALSE)*$Q172*_xlfn.IFERROR((VLOOKUP(P172,'Settings'!$E$28:$F$33,2,FALSE)+1),1)</f>
        <v>24.3972645362275</v>
      </c>
      <c r="T172" s="79">
        <f>VLOOKUP(B172,'Player Data'!$A1:$AE667,8,FALSE)*$Q172*_xlfn.IFERROR((VLOOKUP(P172,'Settings'!$E$28:$F$33,2,FALSE)+1),1)</f>
        <v>40.8898226852109</v>
      </c>
      <c r="U172" s="79">
        <f>SUM(S172:T172)</f>
        <v>65.2870872214384</v>
      </c>
      <c r="V172" s="79">
        <f>VLOOKUP(B172,'Player Data'!$A1:$AE667,10,FALSE)*$Q172*_xlfn.IFERROR(((VLOOKUP(P172,'Settings'!$E$28:$F$33,2,FALSE)/2)+1),1)</f>
        <v>202.125965729886</v>
      </c>
      <c r="W172" s="79">
        <f>VLOOKUP(B172,'Player Data'!$A1:$AE667,11,FALSE)*$Q172*_xlfn.IFERROR((VLOOKUP(P172,'Settings'!$E$28:$F$33,2,FALSE)+1),1)</f>
        <v>7.42362529695375</v>
      </c>
      <c r="X172" s="80">
        <f>VLOOKUP(B172,'Player Data'!$A1:$AE667,12,FALSE)*$Q172*_xlfn.IFERROR((VLOOKUP(P172,'Settings'!$E$28:$F$33,2,FALSE)+1),1)</f>
        <v>21.9957358590513</v>
      </c>
      <c r="Y172" s="79">
        <f>VLOOKUP(B172,'Player Data'!$A1:$AE667,13,FALSE)*$Q172</f>
        <v>0.00675000180049399</v>
      </c>
      <c r="Z172" s="79">
        <f>VLOOKUP(B172,'Player Data'!$A1:$AE667,14,FALSE)*$Q172</f>
        <v>0.0116289453398848</v>
      </c>
      <c r="AA172" s="79">
        <f>VLOOKUP(B172,'Player Data'!$A1:$AE667,15,FALSE)*$Q172</f>
        <v>37.7880625148498</v>
      </c>
      <c r="AB172" s="79">
        <f>VLOOKUP(B172,'Player Data'!$A1:$AE667,16,FALSE)*$Q172</f>
        <v>39.0305678908038</v>
      </c>
      <c r="AC172" s="79">
        <f>VLOOKUP(B172,'Player Data'!$A1:$AE667,17,FALSE)*$Q172*_xlfn.IFERROR((VLOOKUP(P172,'Settings'!$E$28:$F$33,2,FALSE)+1),1)</f>
        <v>1.38907665778749</v>
      </c>
      <c r="AD172" s="79">
        <f>VLOOKUP(B172,'Player Data'!$A1:$AE667,18,FALSE)*$Q172</f>
        <v>56.796379466815</v>
      </c>
      <c r="AE172" s="79">
        <f>VLOOKUP(B172,'Player Data'!$A1:$AE667,19,FALSE)*$Q172*_xlfn.IFERROR((VLOOKUP(P172,'Settings'!$E$28:$F$33,2,FALSE)+1),1)</f>
        <v>3.61672130083074</v>
      </c>
      <c r="AF172" s="79">
        <f>VLOOKUP(B172,'Player Data'!$A1:$AE667,20,FALSE)*$Q172</f>
        <v>371.165395004389</v>
      </c>
      <c r="AG172" s="79">
        <f>VLOOKUP(B172,'Player Data'!$A1:$AE667,21,FALSE)*$Q172</f>
        <v>399.292699662214</v>
      </c>
      <c r="AH172" s="81">
        <f>VLOOKUP(B172,'Player Data'!$A1:$AE667,22,FALSE)</f>
        <v>0.481746376050474</v>
      </c>
      <c r="AI172" s="77"/>
      <c r="AJ172" s="89"/>
      <c r="AK172" s="79"/>
      <c r="AL172" s="79"/>
      <c r="AM172" s="79"/>
      <c r="AN172" s="79"/>
      <c r="AO172" s="79"/>
      <c r="AP172" s="79"/>
      <c r="AQ172" s="82"/>
      <c r="AR172" s="83"/>
      <c r="AS172" s="93"/>
    </row>
    <row r="173" ht="21.25" customHeight="1">
      <c r="A173" s="85">
        <f>RANK(K173,K$1:K$665)</f>
        <v>177</v>
      </c>
      <c r="B173" t="s" s="16">
        <v>360</v>
      </c>
      <c r="C173" t="s" s="69">
        <v>127</v>
      </c>
      <c r="D173" t="s" s="70">
        <f>VLOOKUP(B173,'Player Data'!A1:D667,4,FALSE)</f>
        <v>136</v>
      </c>
      <c r="E173" s="87">
        <f>VLOOKUP(B173,'LW'!A1:C152,3,FALSE)</f>
        <v>48</v>
      </c>
      <c r="F173" t="s" s="78">
        <f>VLOOKUP(B173,'Player Data'!A1:B667,2,FALSE)</f>
        <v>216</v>
      </c>
      <c r="G173" s="11">
        <f>VLOOKUP(B173,'Player Data'!A1:D667,3,FALSE)</f>
        <v>28</v>
      </c>
      <c r="H173" s="73">
        <f>_xlfn.IFERROR(VLOOKUP(B173,'ADP'!A1:G665,7,FALSE)/1000000,VLOOKUP(B173,'ADP'!A1:G665,7,FALSE))</f>
        <v>5</v>
      </c>
      <c r="I173" s="74">
        <f>IF('Settings'!$E$15="POINTS",((R173*Q173)*'Settings'!$B$12)+(S173*'Settings'!$B$2)+(T173*'Settings'!$B$3)+(U173*'Settings'!$B$4)+(V173*'Settings'!$B$5)+(X173*'Settings'!$B$9)+(AA173*'Settings'!$B$6)+(W173*'Settings'!$B$8)+(AB173*'Settings'!$B$7)+(AC173*'Settings'!$B$14)+(AD173*'Settings'!$B$15)+(AE173*'Settings'!$B$16)+(AF173*'Settings'!$B$17)+(AG173*'Settings'!$B$18)+(Y173*'Settings'!$B$10)+(Z173*'Settings'!$B$11),VLOOKUP(B173,'Standard Deviations'!A1:C666,3,FALSE))</f>
        <v>276.088639020191</v>
      </c>
      <c r="J173" s="75">
        <f>IF(D173="G",I173/AJ173,I173/Q173)</f>
        <v>3.36981129037216</v>
      </c>
      <c r="K173" s="74">
        <f>IF('Settings'!$E$18="C/LW/RW",VLOOKUP(B173,'LW'!A1:F152,6,FALSE),VLOOKUP(B173,'F'!A1:F392,6,FALSE))</f>
        <v>-55.631472746021</v>
      </c>
      <c r="L173" s="76">
        <f>_xlfn.IFERROR(K173/H173,"N/A")</f>
        <v>-11.1262945492042</v>
      </c>
      <c r="M173" s="109">
        <f>IF('Settings'!$E$9="YAHOO",VLOOKUP(B173,'ADP'!A1:E665,2,FALSE),IF('Settings'!$E$9="ESPN",VLOOKUP(B173,'ADP'!A1:E665,3,FALSE),IF('Settings'!$E$9="FANTRAX",VLOOKUP(B173,'ADP'!A1:E665,4,FALSE),VLOOKUP(B173,'ADP'!A1:E665,5,FALSE))))</f>
        <v>0</v>
      </c>
      <c r="N173" s="79">
        <f>_xlfn.IFERROR(M173-A173,"N/A")</f>
        <v>-177</v>
      </c>
      <c r="O173" s="77"/>
      <c r="P173" t="s" s="78">
        <f>IF('Settings'!$E$27="ON",VLOOKUP(B173,'ADP'!A1:H665,8,FALSE)," ")</f>
        <v>138</v>
      </c>
      <c r="Q173" s="79">
        <f>IF('Settings'!$E$12="YES",VLOOKUP(B173,'Player Data'!A1:E667,5,FALSE),82)</f>
        <v>81.93000000000001</v>
      </c>
      <c r="R173" s="77">
        <f>VLOOKUP(B173,'Player Data'!$A1:$AE667,6,FALSE)</f>
        <v>16.2544142607567</v>
      </c>
      <c r="S173" s="79">
        <f>VLOOKUP(B173,'Player Data'!$A1:$AE667,7,FALSE)*$Q173*_xlfn.IFERROR((VLOOKUP(P173,'Settings'!$E$28:$F$33,2,FALSE)+1),1)</f>
        <v>19.4106536045253</v>
      </c>
      <c r="T173" s="79">
        <f>VLOOKUP(B173,'Player Data'!$A1:$AE667,8,FALSE)*$Q173*_xlfn.IFERROR((VLOOKUP(P173,'Settings'!$E$28:$F$33,2,FALSE)+1),1)</f>
        <v>28.5029174199945</v>
      </c>
      <c r="U173" s="79">
        <f>SUM(S173:T173)</f>
        <v>47.9135710245198</v>
      </c>
      <c r="V173" s="79">
        <f>VLOOKUP(B173,'Player Data'!$A1:$AE667,10,FALSE)*$Q173*_xlfn.IFERROR(((VLOOKUP(P173,'Settings'!$E$28:$F$33,2,FALSE)/2)+1),1)</f>
        <v>124.278194992837</v>
      </c>
      <c r="W173" s="79">
        <f>VLOOKUP(B173,'Player Data'!$A1:$AE667,11,FALSE)*$Q173*_xlfn.IFERROR((VLOOKUP(P173,'Settings'!$E$28:$F$33,2,FALSE)+1),1)</f>
        <v>3.23875548632751</v>
      </c>
      <c r="X173" s="79">
        <f>VLOOKUP(B173,'Player Data'!$A1:$AE667,12,FALSE)*$Q173*_xlfn.IFERROR((VLOOKUP(P173,'Settings'!$E$28:$F$33,2,FALSE)+1),1)</f>
        <v>6.89781961770036</v>
      </c>
      <c r="Y173" s="79">
        <f>VLOOKUP(B173,'Player Data'!$A1:$AE667,13,FALSE)*$Q173</f>
        <v>0.00957417175972592</v>
      </c>
      <c r="Z173" s="79">
        <f>VLOOKUP(B173,'Player Data'!$A1:$AE667,14,FALSE)*$Q173</f>
        <v>0.0181892354118768</v>
      </c>
      <c r="AA173" s="79">
        <f>VLOOKUP(B173,'Player Data'!$A1:$AE667,15,FALSE)*$Q173</f>
        <v>41.5222468919293</v>
      </c>
      <c r="AB173" s="79">
        <f>VLOOKUP(B173,'Player Data'!$A1:$AE667,16,FALSE)*$Q173</f>
        <v>165.306986493616</v>
      </c>
      <c r="AC173" s="79">
        <f>VLOOKUP(B173,'Player Data'!$A1:$AE667,17,FALSE)*$Q173*_xlfn.IFERROR((VLOOKUP(P173,'Settings'!$E$28:$F$33,2,FALSE)+1),1)</f>
        <v>2.27730187746544</v>
      </c>
      <c r="AD173" s="79">
        <f>VLOOKUP(B173,'Player Data'!$A1:$AE667,18,FALSE)*$Q173</f>
        <v>38.9891526639033</v>
      </c>
      <c r="AE173" s="79">
        <f>VLOOKUP(B173,'Player Data'!$A1:$AE667,19,FALSE)*$Q173*_xlfn.IFERROR((VLOOKUP(P173,'Settings'!$E$28:$F$33,2,FALSE)+1),1)</f>
        <v>2.95238543280444</v>
      </c>
      <c r="AF173" s="79">
        <f>VLOOKUP(B173,'Player Data'!$A1:$AE667,20,FALSE)*$Q173</f>
        <v>53.0455635946986</v>
      </c>
      <c r="AG173" s="79">
        <f>VLOOKUP(B173,'Player Data'!$A1:$AE667,21,FALSE)*$Q173</f>
        <v>77.529463267685</v>
      </c>
      <c r="AH173" s="81">
        <f>VLOOKUP(B173,'Player Data'!$A1:$AE667,22,FALSE)</f>
        <v>0.406245856266258</v>
      </c>
      <c r="AI173" s="77"/>
      <c r="AJ173" s="79"/>
      <c r="AK173" s="79"/>
      <c r="AL173" s="79"/>
      <c r="AM173" s="79"/>
      <c r="AN173" s="79"/>
      <c r="AO173" s="79"/>
      <c r="AP173" s="79"/>
      <c r="AQ173" s="82"/>
      <c r="AR173" s="83"/>
      <c r="AS173" s="84"/>
    </row>
    <row r="174" ht="21.25" customHeight="1">
      <c r="A174" s="85">
        <f>RANK(K174,K$1:K$665)</f>
        <v>164</v>
      </c>
      <c r="B174" t="s" s="16">
        <v>361</v>
      </c>
      <c r="C174" t="s" s="69">
        <v>127</v>
      </c>
      <c r="D174" t="s" s="70">
        <f>VLOOKUP(B174,'Player Data'!A1:D667,4,FALSE)</f>
        <v>153</v>
      </c>
      <c r="E174" s="95">
        <f>VLOOKUP(B174,'D'!A1:C213,3,FALSE)</f>
        <v>43</v>
      </c>
      <c r="F174" t="s" s="86">
        <f>VLOOKUP(B174,'Player Data'!A1:B667,2,FALSE)</f>
        <v>165</v>
      </c>
      <c r="G174" s="11">
        <f>VLOOKUP(B174,'Player Data'!A1:D667,3,FALSE)</f>
        <v>30</v>
      </c>
      <c r="H174" s="73">
        <f>_xlfn.IFERROR(VLOOKUP(B174,'ADP'!A1:G665,7,FALSE)/1000000,VLOOKUP(B174,'ADP'!A1:G665,7,FALSE))</f>
        <v>7</v>
      </c>
      <c r="I174" s="74">
        <f>IF('Settings'!$E$15="POINTS",((R174*Q174)*'Settings'!$B$12)+(S174*'Settings'!$B$2)+(T174*'Settings'!$B$3)+(U174*'Settings'!$B$4)+(V174*'Settings'!$B$5)+(X174*'Settings'!$B$9)+(AA174*'Settings'!$B$6)+(W174*'Settings'!$B$8)+(AB174*'Settings'!$B$7)+(AC174*'Settings'!$B$14)+(AD174*'Settings'!$B$15)+(AE174*'Settings'!$B$16)+(AF174*'Settings'!$B$17)+(AG174*'Settings'!$B$18)+(U174*'Settings'!$B$13)+(Y174*'Settings'!$B$10)+(Z174*'Settings'!$B$11),VLOOKUP(B174,'Standard Deviations'!A1:C666,3,FALSE))</f>
        <v>282.755366294277</v>
      </c>
      <c r="J174" s="75">
        <f>IF(D174="G",I174/AJ174,I174/Q174)</f>
        <v>3.46779538610182</v>
      </c>
      <c r="K174" s="74">
        <f>VLOOKUP(B174,'D'!A1:F213,6,FALSE)</f>
        <v>-48.784841625805</v>
      </c>
      <c r="L174" s="76">
        <f>_xlfn.IFERROR(K174/H174,"N/A")</f>
        <v>-6.96926308940071</v>
      </c>
      <c r="M174" s="77">
        <f>IF('Settings'!$E$9="YAHOO",VLOOKUP(B174,'ADP'!A1:E665,2,FALSE),IF('Settings'!$E$9="ESPN",VLOOKUP(B174,'ADP'!A1:E665,3,FALSE),IF('Settings'!$E$9="FANTRAX",VLOOKUP(B174,'ADP'!A1:E665,4,FALSE),VLOOKUP(B174,'ADP'!A1:E665,5,FALSE))))</f>
        <v>0</v>
      </c>
      <c r="N174" s="77">
        <f>_xlfn.IFERROR(M174-A174,"N/A")</f>
        <v>-164</v>
      </c>
      <c r="O174" s="77"/>
      <c r="P174" t="s" s="78">
        <f>IF('Settings'!$E$27="ON",VLOOKUP(B174,'ADP'!A1:H665,8,FALSE)," ")</f>
        <v>138</v>
      </c>
      <c r="Q174" s="79">
        <f>IF('Settings'!$E$12="YES",VLOOKUP(B174,'Player Data'!A1:E667,5,FALSE),82)</f>
        <v>81.53749999999999</v>
      </c>
      <c r="R174" s="77">
        <f>VLOOKUP(B174,'Player Data'!$A1:$AE667,6,FALSE)</f>
        <v>21.785682637399</v>
      </c>
      <c r="S174" s="79">
        <f>VLOOKUP(B174,'Player Data'!$A1:$AE667,7,FALSE)*$Q174*_xlfn.IFERROR((VLOOKUP(P174,'Settings'!$E$28:$F$33,2,FALSE)+1),1)</f>
        <v>13.5419992461293</v>
      </c>
      <c r="T174" s="79">
        <f>VLOOKUP(B174,'Player Data'!$A1:$AE667,8,FALSE)*$Q174*_xlfn.IFERROR((VLOOKUP(P174,'Settings'!$E$28:$F$33,2,FALSE)+1),1)</f>
        <v>32.8424460555814</v>
      </c>
      <c r="U174" s="79">
        <f>SUM(S174:T174)</f>
        <v>46.3844453017107</v>
      </c>
      <c r="V174" s="79">
        <f>VLOOKUP(B174,'Player Data'!$A1:$AE667,10,FALSE)*$Q174*_xlfn.IFERROR(((VLOOKUP(P174,'Settings'!$E$28:$F$33,2,FALSE)/2)+1),1)</f>
        <v>188.297214736543</v>
      </c>
      <c r="W174" s="79">
        <f>VLOOKUP(B174,'Player Data'!$A1:$AE667,11,FALSE)*$Q174*_xlfn.IFERROR((VLOOKUP(P174,'Settings'!$E$28:$F$33,2,FALSE)+1),1)</f>
        <v>2.86395402834233</v>
      </c>
      <c r="X174" s="79">
        <f>VLOOKUP(B174,'Player Data'!$A1:$AE667,12,FALSE)*$Q174*_xlfn.IFERROR((VLOOKUP(P174,'Settings'!$E$28:$F$33,2,FALSE)+1),1)</f>
        <v>13.7200748913578</v>
      </c>
      <c r="Y174" s="79">
        <f>VLOOKUP(B174,'Player Data'!$A1:$AE667,13,FALSE)*$Q174</f>
        <v>0.659497503908745</v>
      </c>
      <c r="Z174" s="79">
        <f>VLOOKUP(B174,'Player Data'!$A1:$AE667,14,FALSE)*$Q174</f>
        <v>1.96938587757847</v>
      </c>
      <c r="AA174" s="79">
        <f>VLOOKUP(B174,'Player Data'!$A1:$AE667,15,FALSE)*$Q174</f>
        <v>94.4539047119021</v>
      </c>
      <c r="AB174" s="79">
        <f>VLOOKUP(B174,'Player Data'!$A1:$AE667,16,FALSE)*$Q174</f>
        <v>79.758505329114</v>
      </c>
      <c r="AC174" s="79">
        <f>VLOOKUP(B174,'Player Data'!$A1:$AE667,17,FALSE)*$Q174*_xlfn.IFERROR((VLOOKUP(P174,'Settings'!$E$28:$F$33,2,FALSE)+1),1)</f>
        <v>0.25168958748058</v>
      </c>
      <c r="AD174" s="79">
        <f>VLOOKUP(B174,'Player Data'!$A1:$AE667,18,FALSE)*$Q174</f>
        <v>43.9138448077362</v>
      </c>
      <c r="AE174" s="79">
        <f>VLOOKUP(B174,'Player Data'!$A1:$AE667,19,FALSE)*$Q174*_xlfn.IFERROR((VLOOKUP(P174,'Settings'!$E$28:$F$33,2,FALSE)+1),1)</f>
        <v>1.91744986201336</v>
      </c>
      <c r="AF174" s="79">
        <f>VLOOKUP(B174,'Player Data'!$A1:$AE667,20,FALSE)*$Q174</f>
        <v>0</v>
      </c>
      <c r="AG174" s="79">
        <f>VLOOKUP(B174,'Player Data'!$A1:$AE667,21,FALSE)*$Q174</f>
        <v>0</v>
      </c>
      <c r="AH174" s="81">
        <f>VLOOKUP(B174,'Player Data'!$A1:$AE667,22,FALSE)</f>
        <v>0</v>
      </c>
      <c r="AI174" s="77"/>
      <c r="AJ174" s="79"/>
      <c r="AK174" s="79"/>
      <c r="AL174" s="79"/>
      <c r="AM174" s="79"/>
      <c r="AN174" s="79"/>
      <c r="AO174" s="79"/>
      <c r="AP174" s="79"/>
      <c r="AQ174" s="82"/>
      <c r="AR174" s="83"/>
      <c r="AS174" s="93"/>
    </row>
    <row r="175" ht="21.25" customHeight="1">
      <c r="A175" s="85">
        <f>RANK(K175,K$1:K$665)</f>
        <v>165</v>
      </c>
      <c r="B175" t="s" s="16">
        <v>362</v>
      </c>
      <c r="C175" t="s" s="69">
        <v>127</v>
      </c>
      <c r="D175" t="s" s="70">
        <f>VLOOKUP(B175,'Player Data'!A1:D667,4,FALSE)</f>
        <v>153</v>
      </c>
      <c r="E175" s="95">
        <f>VLOOKUP(B175,'D'!A1:C213,3,FALSE)</f>
        <v>44</v>
      </c>
      <c r="F175" t="s" s="88">
        <f>VLOOKUP(B175,'Player Data'!A1:B667,2,FALSE)</f>
        <v>137</v>
      </c>
      <c r="G175" s="96">
        <f>VLOOKUP(B175,'Player Data'!A1:D667,3,FALSE)</f>
        <v>22</v>
      </c>
      <c r="H175" s="73">
        <f>_xlfn.IFERROR(VLOOKUP(B175,'ADP'!A1:G665,7,FALSE)/1000000,VLOOKUP(B175,'ADP'!A1:G665,7,FALSE))</f>
        <v>8.050000000000001</v>
      </c>
      <c r="I175" s="74">
        <f>IF('Settings'!$E$15="POINTS",((R175*Q175)*'Settings'!$B$12)+(S175*'Settings'!$B$2)+(T175*'Settings'!$B$3)+(U175*'Settings'!$B$4)+(V175*'Settings'!$B$5)+(X175*'Settings'!$B$9)+(AA175*'Settings'!$B$6)+(W175*'Settings'!$B$8)+(AB175*'Settings'!$B$7)+(AC175*'Settings'!$B$14)+(AD175*'Settings'!$B$15)+(AE175*'Settings'!$B$16)+(AF175*'Settings'!$B$17)+(AG175*'Settings'!$B$18)+(U175*'Settings'!$B$13)+(Y175*'Settings'!$B$10)+(Z175*'Settings'!$B$11),VLOOKUP(B175,'Standard Deviations'!A1:C666,3,FALSE))</f>
        <v>282.650034619283</v>
      </c>
      <c r="J175" s="75">
        <f>IF(D175="G",I175/AJ175,I175/Q175)</f>
        <v>3.52827405591416</v>
      </c>
      <c r="K175" s="74">
        <f>VLOOKUP(B175,'D'!A1:F213,6,FALSE)</f>
        <v>-48.890173300799</v>
      </c>
      <c r="L175" s="76">
        <f>_xlfn.IFERROR(K175/H175,"N/A")</f>
        <v>-6.0733134535154</v>
      </c>
      <c r="M175" s="77">
        <f>IF('Settings'!$E$9="YAHOO",VLOOKUP(B175,'ADP'!A1:E665,2,FALSE),IF('Settings'!$E$9="ESPN",VLOOKUP(B175,'ADP'!A1:E665,3,FALSE),IF('Settings'!$E$9="FANTRAX",VLOOKUP(B175,'ADP'!A1:E665,4,FALSE),VLOOKUP(B175,'ADP'!A1:E665,5,FALSE))))</f>
        <v>0</v>
      </c>
      <c r="N175" s="77">
        <f>_xlfn.IFERROR(M175-A175,"N/A")</f>
        <v>-165</v>
      </c>
      <c r="O175" s="77"/>
      <c r="P175" t="s" s="78">
        <f>IF('Settings'!$E$27="ON",VLOOKUP(B175,'ADP'!A1:H665,8,FALSE)," ")</f>
        <v>138</v>
      </c>
      <c r="Q175" s="79">
        <f>IF('Settings'!$E$12="YES",VLOOKUP(B175,'Player Data'!A1:E667,5,FALSE),82)</f>
        <v>80.11</v>
      </c>
      <c r="R175" s="77">
        <f>VLOOKUP(B175,'Player Data'!$A1:$AE667,6,FALSE)</f>
        <v>23.5145568152398</v>
      </c>
      <c r="S175" s="79">
        <f>VLOOKUP(B175,'Player Data'!$A1:$AE667,7,FALSE)*$Q175*_xlfn.IFERROR((VLOOKUP(P175,'Settings'!$E$28:$F$33,2,FALSE)+1),1)</f>
        <v>8.7522383462878</v>
      </c>
      <c r="T175" s="79">
        <f>VLOOKUP(B175,'Player Data'!$A1:$AE667,8,FALSE)*$Q175*_xlfn.IFERROR((VLOOKUP(P175,'Settings'!$E$28:$F$33,2,FALSE)+1),1)</f>
        <v>32.7080706515202</v>
      </c>
      <c r="U175" s="79">
        <f>SUM(S175:T175)</f>
        <v>41.460308997808</v>
      </c>
      <c r="V175" s="79">
        <f>VLOOKUP(B175,'Player Data'!$A1:$AE667,10,FALSE)*$Q175*_xlfn.IFERROR(((VLOOKUP(P175,'Settings'!$E$28:$F$33,2,FALSE)/2)+1),1)</f>
        <v>160.549940887894</v>
      </c>
      <c r="W175" s="79">
        <f>VLOOKUP(B175,'Player Data'!$A1:$AE667,11,FALSE)*$Q175*_xlfn.IFERROR((VLOOKUP(P175,'Settings'!$E$28:$F$33,2,FALSE)+1),1)</f>
        <v>2.95896441706282</v>
      </c>
      <c r="X175" s="80">
        <f>VLOOKUP(B175,'Player Data'!$A1:$AE667,12,FALSE)*$Q175*_xlfn.IFERROR((VLOOKUP(P175,'Settings'!$E$28:$F$33,2,FALSE)+1),1)</f>
        <v>17.0983377729783</v>
      </c>
      <c r="Y175" s="79">
        <f>VLOOKUP(B175,'Player Data'!$A1:$AE667,13,FALSE)*$Q175</f>
        <v>0.0273782046816059</v>
      </c>
      <c r="Z175" s="79">
        <f>VLOOKUP(B175,'Player Data'!$A1:$AE667,14,FALSE)*$Q175</f>
        <v>0.115756705806865</v>
      </c>
      <c r="AA175" s="79">
        <f>VLOOKUP(B175,'Player Data'!$A1:$AE667,15,FALSE)*$Q175</f>
        <v>144.671963490084</v>
      </c>
      <c r="AB175" s="79">
        <f>VLOOKUP(B175,'Player Data'!$A1:$AE667,16,FALSE)*$Q175</f>
        <v>63.8079770488989</v>
      </c>
      <c r="AC175" s="79">
        <f>VLOOKUP(B175,'Player Data'!$A1:$AE667,17,FALSE)*$Q175*_xlfn.IFERROR((VLOOKUP(P175,'Settings'!$E$28:$F$33,2,FALSE)+1),1)</f>
        <v>0.16532511707892</v>
      </c>
      <c r="AD175" s="79">
        <f>VLOOKUP(B175,'Player Data'!$A1:$AE667,18,FALSE)*$Q175</f>
        <v>25.0931915942795</v>
      </c>
      <c r="AE175" s="79">
        <f>VLOOKUP(B175,'Player Data'!$A1:$AE667,19,FALSE)*$Q175*_xlfn.IFERROR((VLOOKUP(P175,'Settings'!$E$28:$F$33,2,FALSE)+1),1)</f>
        <v>1.35890962861429</v>
      </c>
      <c r="AF175" s="79">
        <f>VLOOKUP(B175,'Player Data'!$A1:$AE667,20,FALSE)*$Q175</f>
        <v>0.48965466507025</v>
      </c>
      <c r="AG175" s="79">
        <f>VLOOKUP(B175,'Player Data'!$A1:$AE667,21,FALSE)*$Q175</f>
        <v>0.373727743272031</v>
      </c>
      <c r="AH175" s="81">
        <f>VLOOKUP(B175,'Player Data'!$A1:$AE667,22,FALSE)</f>
        <v>0.567135327682204</v>
      </c>
      <c r="AI175" s="77"/>
      <c r="AJ175" s="79"/>
      <c r="AK175" s="79"/>
      <c r="AL175" s="79"/>
      <c r="AM175" s="79"/>
      <c r="AN175" s="79"/>
      <c r="AO175" s="79"/>
      <c r="AP175" s="79"/>
      <c r="AQ175" s="82"/>
      <c r="AR175" s="83"/>
      <c r="AS175" s="84"/>
    </row>
    <row r="176" ht="21.25" customHeight="1">
      <c r="A176" s="85">
        <f>RANK(K176,K$1:K$665)</f>
        <v>168</v>
      </c>
      <c r="B176" t="s" s="16">
        <v>363</v>
      </c>
      <c r="C176" t="s" s="69">
        <v>127</v>
      </c>
      <c r="D176" t="s" s="70">
        <f>VLOOKUP(B176,'Player Data'!A1:D667,4,FALSE)</f>
        <v>153</v>
      </c>
      <c r="E176" s="95">
        <f>VLOOKUP(B176,'D'!A1:C213,3,FALSE)</f>
        <v>45</v>
      </c>
      <c r="F176" t="s" s="106">
        <f>VLOOKUP(B176,'Player Data'!A1:B667,2,FALSE)</f>
        <v>242</v>
      </c>
      <c r="G176" s="91">
        <f>VLOOKUP(B176,'Player Data'!A1:D667,3,FALSE)</f>
        <v>31</v>
      </c>
      <c r="H176" s="73">
        <f>_xlfn.IFERROR(VLOOKUP(B176,'ADP'!A1:G665,7,FALSE)/1000000,VLOOKUP(B176,'ADP'!A1:G665,7,FALSE))</f>
        <v>2.7</v>
      </c>
      <c r="I176" s="74">
        <f>IF('Settings'!$E$15="POINTS",((R176*Q176)*'Settings'!$B$12)+(S176*'Settings'!$B$2)+(T176*'Settings'!$B$3)+(U176*'Settings'!$B$4)+(V176*'Settings'!$B$5)+(X176*'Settings'!$B$9)+(AA176*'Settings'!$B$6)+(W176*'Settings'!$B$8)+(AB176*'Settings'!$B$7)+(AC176*'Settings'!$B$14)+(AD176*'Settings'!$B$15)+(AE176*'Settings'!$B$16)+(AF176*'Settings'!$B$17)+(AG176*'Settings'!$B$18)+(U176*'Settings'!$B$13)+(Y176*'Settings'!$B$10)+(Z176*'Settings'!$B$11),VLOOKUP(B176,'Standard Deviations'!A1:C666,3,FALSE))</f>
        <v>282.464884405529</v>
      </c>
      <c r="J176" s="75">
        <f>IF(D176="G",I176/AJ176,I176/Q176)</f>
        <v>3.74175234342998</v>
      </c>
      <c r="K176" s="74">
        <f>VLOOKUP(B176,'D'!A1:F213,6,FALSE)</f>
        <v>-49.075323514553</v>
      </c>
      <c r="L176" s="76">
        <f>_xlfn.IFERROR(K176/H176,"N/A")</f>
        <v>-18.1760457461307</v>
      </c>
      <c r="M176" s="109">
        <f>IF('Settings'!$E$9="YAHOO",VLOOKUP(B176,'ADP'!A1:E665,2,FALSE),IF('Settings'!$E$9="ESPN",VLOOKUP(B176,'ADP'!A1:E665,3,FALSE),IF('Settings'!$E$9="FANTRAX",VLOOKUP(B176,'ADP'!A1:E665,4,FALSE),VLOOKUP(B176,'ADP'!A1:E665,5,FALSE))))</f>
        <v>0</v>
      </c>
      <c r="N176" s="79">
        <f>_xlfn.IFERROR(M176-A176,"N/A")</f>
        <v>-168</v>
      </c>
      <c r="O176" s="77"/>
      <c r="P176" t="s" s="78">
        <f>IF('Settings'!$E$27="ON",VLOOKUP(B176,'ADP'!A1:H665,8,FALSE)," ")</f>
        <v>138</v>
      </c>
      <c r="Q176" s="79">
        <f>IF('Settings'!$E$12="YES",VLOOKUP(B176,'Player Data'!A1:E667,5,FALSE),82)</f>
        <v>75.48999999999999</v>
      </c>
      <c r="R176" s="98">
        <f>VLOOKUP(B176,'Player Data'!$A1:$AE667,6,FALSE)</f>
        <v>18.0430272530889</v>
      </c>
      <c r="S176" s="79">
        <f>VLOOKUP(B176,'Player Data'!$A1:$AE667,7,FALSE)*$Q176*_xlfn.IFERROR((VLOOKUP(P176,'Settings'!$E$28:$F$33,2,FALSE)+1),1)</f>
        <v>2.65559169681047</v>
      </c>
      <c r="T176" s="79">
        <f>VLOOKUP(B176,'Player Data'!$A1:$AE667,8,FALSE)*$Q176*_xlfn.IFERROR((VLOOKUP(P176,'Settings'!$E$28:$F$33,2,FALSE)+1),1)</f>
        <v>12.2181489171866</v>
      </c>
      <c r="U176" s="79">
        <f>SUM(S176:T176)</f>
        <v>14.8737406139971</v>
      </c>
      <c r="V176" s="79">
        <f>VLOOKUP(B176,'Player Data'!$A1:$AE667,10,FALSE)*$Q176*_xlfn.IFERROR(((VLOOKUP(P176,'Settings'!$E$28:$F$33,2,FALSE)/2)+1),1)</f>
        <v>100.385299297262</v>
      </c>
      <c r="W176" s="79">
        <f>VLOOKUP(B176,'Player Data'!$A1:$AE667,11,FALSE)*$Q176*_xlfn.IFERROR((VLOOKUP(P176,'Settings'!$E$28:$F$33,2,FALSE)+1),1)</f>
        <v>0.0204376539230142</v>
      </c>
      <c r="X176" s="79">
        <f>VLOOKUP(B176,'Player Data'!$A1:$AE667,12,FALSE)*$Q176*_xlfn.IFERROR((VLOOKUP(P176,'Settings'!$E$28:$F$33,2,FALSE)+1),1)</f>
        <v>0.138023152548535</v>
      </c>
      <c r="Y176" s="79">
        <f>VLOOKUP(B176,'Player Data'!$A1:$AE667,13,FALSE)*$Q176</f>
        <v>0.0355057730388637</v>
      </c>
      <c r="Z176" s="79">
        <f>VLOOKUP(B176,'Player Data'!$A1:$AE667,14,FALSE)*$Q176</f>
        <v>2.54372888568631</v>
      </c>
      <c r="AA176" s="79">
        <f>VLOOKUP(B176,'Player Data'!$A1:$AE667,15,FALSE)*$Q176</f>
        <v>194.3321122001</v>
      </c>
      <c r="AB176" s="79">
        <f>VLOOKUP(B176,'Player Data'!$A1:$AE667,16,FALSE)*$Q176</f>
        <v>141.7725840509</v>
      </c>
      <c r="AC176" s="79">
        <f>VLOOKUP(B176,'Player Data'!$A1:$AE667,17,FALSE)*$Q176*_xlfn.IFERROR((VLOOKUP(P176,'Settings'!$E$28:$F$33,2,FALSE)+1),1)</f>
        <v>-1.54070373124945</v>
      </c>
      <c r="AD176" s="79">
        <f>VLOOKUP(B176,'Player Data'!$A1:$AE667,18,FALSE)*$Q176</f>
        <v>54.1657634782337</v>
      </c>
      <c r="AE176" s="79">
        <f>VLOOKUP(B176,'Player Data'!$A1:$AE667,19,FALSE)*$Q176*_xlfn.IFERROR((VLOOKUP(P176,'Settings'!$E$28:$F$33,2,FALSE)+1),1)</f>
        <v>0.384926760372454</v>
      </c>
      <c r="AF176" s="79">
        <f>VLOOKUP(B176,'Player Data'!$A1:$AE667,20,FALSE)*$Q176</f>
        <v>0</v>
      </c>
      <c r="AG176" s="79">
        <f>VLOOKUP(B176,'Player Data'!$A1:$AE667,21,FALSE)*$Q176</f>
        <v>0</v>
      </c>
      <c r="AH176" s="81">
        <f>VLOOKUP(B176,'Player Data'!$A1:$AE667,22,FALSE)</f>
        <v>0</v>
      </c>
      <c r="AI176" s="77"/>
      <c r="AJ176" s="89"/>
      <c r="AK176" s="79"/>
      <c r="AL176" s="79"/>
      <c r="AM176" s="79"/>
      <c r="AN176" s="79"/>
      <c r="AO176" s="79"/>
      <c r="AP176" s="79"/>
      <c r="AQ176" s="82"/>
      <c r="AR176" s="83"/>
      <c r="AS176" s="84"/>
    </row>
    <row r="177" ht="21.25" customHeight="1">
      <c r="A177" s="85">
        <f>RANK(K177,K$1:K$665)</f>
        <v>157</v>
      </c>
      <c r="B177" t="s" s="16">
        <v>364</v>
      </c>
      <c r="C177" t="s" s="69">
        <v>127</v>
      </c>
      <c r="D177" t="s" s="70">
        <f>VLOOKUP(B177,'Player Data'!A1:D667,4,FALSE)</f>
        <v>161</v>
      </c>
      <c r="E177" s="99">
        <f>VLOOKUP(B177,'G'!A1:D65,3,FALSE)</f>
        <v>31</v>
      </c>
      <c r="F177" t="s" s="107">
        <f>VLOOKUP(B177,'Player Data'!A1:B667,2,FALSE)</f>
        <v>279</v>
      </c>
      <c r="G177" s="11">
        <f>VLOOKUP(B177,'Player Data'!A1:D667,3,FALSE)</f>
        <v>31</v>
      </c>
      <c r="H177" s="73">
        <f>_xlfn.IFERROR(VLOOKUP(B177,'ADP'!A1:G665,7,FALSE)/1000000,VLOOKUP(B177,'ADP'!A1:G665,7,FALSE))</f>
        <v>6.4</v>
      </c>
      <c r="I177" s="74">
        <f>IF('Settings'!$E$15="POINTS",(AJ177*'Settings'!$B$29)+(AK177*'Settings'!$B$21)+(AL177*'Settings'!$B$22)+(AN177*'Settings'!$B$24)+(AO177*'Settings'!$B$25)+(AP177*'Settings'!$B$27)+(AM177*'Settings'!$B$23),VLOOKUP(B177,'Standard Deviations'!A1:C666,3,FALSE))</f>
        <v>222.034974248511</v>
      </c>
      <c r="J177" s="75">
        <f>IF(D177="G",I177/AJ177,I177/Q177)</f>
        <v>5.04624941473889</v>
      </c>
      <c r="K177" s="74">
        <f>VLOOKUP(B177,'G'!A1:F65,6,FALSE)</f>
        <v>-45.556040316079</v>
      </c>
      <c r="L177" s="76">
        <f>_xlfn.IFERROR(K177/H177,"N/A")</f>
        <v>-7.11813129938734</v>
      </c>
      <c r="M177" s="77">
        <f>IF('Settings'!$E$9="YAHOO",VLOOKUP(B177,'ADP'!A1:E665,2,FALSE),IF('Settings'!$E$9="ESPN",VLOOKUP(B177,'ADP'!A1:E665,3,FALSE),IF('Settings'!$E$9="FANTRAX",VLOOKUP(B177,'ADP'!A1:E665,4,FALSE),VLOOKUP(B177,'ADP'!A1:E665,5,FALSE))))</f>
        <v>0</v>
      </c>
      <c r="N177" s="77">
        <f>_xlfn.IFERROR(M177-A177,"N/A")</f>
        <v>-157</v>
      </c>
      <c r="O177" s="77"/>
      <c r="P177" t="s" s="78">
        <f>IF('Settings'!$E$27="ON",VLOOKUP(B177,'ADP'!A1:H665,8,FALSE)," ")</f>
        <v>138</v>
      </c>
      <c r="Q177" s="79"/>
      <c r="R177" s="77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81"/>
      <c r="AI177" s="77"/>
      <c r="AJ177" s="89">
        <f>VLOOKUP(B177,'Player Data'!$A1:$AE667,24,FALSE)</f>
        <v>44</v>
      </c>
      <c r="AK177" s="79">
        <f>VLOOKUP(B177,'Player Data'!$A1:$AE667,25,FALSE)*$AJ177*_xlfn.IFERROR((VLOOKUP(P177,'Settings'!$E$28:$F$33,2,FALSE)+1),1)</f>
        <v>16.6149119679339</v>
      </c>
      <c r="AL177" s="79">
        <f>AJ177-AK177-AM177</f>
        <v>21.8850880320661</v>
      </c>
      <c r="AM177" s="79">
        <f>VLOOKUP(B177,'Player Data'!$A1:$AE667,27,FALSE)*$AJ177</f>
        <v>5.5</v>
      </c>
      <c r="AN177" s="79">
        <f>VLOOKUP(B177,'Player Data'!$A1:$AE667,28,FALSE)*AJ177</f>
        <v>1.24784683517574</v>
      </c>
      <c r="AO177" s="79">
        <f>VLOOKUP(B177,'Player Data'!$A1:$AE667,29,FALSE)*$AJ177*_xlfn.IFERROR((VLOOKUP(P177,'Settings'!$E$28:$F$33,2,FALSE)/4)+1,1)</f>
        <v>1265.875339981780</v>
      </c>
      <c r="AP177" s="79">
        <f>VLOOKUP(B177,'Player Data'!$A1:$AE667,31,FALSE)*$AJ177*(_xlfn.IFERROR(1-(VLOOKUP(P177,'Settings'!$E$28:$F$33,2,FALSE)/4),1))</f>
        <v>139.885493065789</v>
      </c>
      <c r="AQ177" s="82">
        <f>1-(AP177/(AO177+AP177))</f>
        <v>0.900491257277008</v>
      </c>
      <c r="AR177" s="83">
        <f>AP177/AJ177</f>
        <v>3.1792157514952</v>
      </c>
      <c r="AS177" s="84"/>
    </row>
    <row r="178" ht="21.25" customHeight="1">
      <c r="A178" s="85">
        <f>RANK(K178,K$1:K$665)</f>
        <v>188</v>
      </c>
      <c r="B178" t="s" s="16">
        <v>365</v>
      </c>
      <c r="C178" t="s" s="69">
        <v>127</v>
      </c>
      <c r="D178" t="s" s="70">
        <f>VLOOKUP(B178,'Player Data'!A1:D667,4,FALSE)</f>
        <v>128</v>
      </c>
      <c r="E178" s="71">
        <f>VLOOKUP(B178,'C'!A1:C206,3,FALSE)</f>
        <v>61</v>
      </c>
      <c r="F178" t="s" s="86">
        <f>VLOOKUP(B178,'Player Data'!A1:B667,2,FALSE)</f>
        <v>165</v>
      </c>
      <c r="G178" s="91">
        <f>VLOOKUP(B178,'Player Data'!A1:D667,3,FALSE)</f>
        <v>33</v>
      </c>
      <c r="H178" s="73">
        <f>_xlfn.IFERROR(VLOOKUP(B178,'ADP'!A1:G665,7,FALSE)/1000000,VLOOKUP(B178,'ADP'!A1:G665,7,FALSE))</f>
        <v>4.5</v>
      </c>
      <c r="I178" s="74">
        <f>IF('Settings'!$E$15="POINTS",((R178*Q178)*'Settings'!$B$12)+(S178*'Settings'!$B$2)+(T178*'Settings'!$B$3)+(U178*'Settings'!$B$4)+(V178*'Settings'!$B$5)+(X178*'Settings'!$B$9)+(AA178*'Settings'!$B$6)+(W178*'Settings'!$B$8)+(AB178*'Settings'!$B$7)+(AC178*'Settings'!$B$14)+(AD178*'Settings'!$B$15)+(AE178*'Settings'!$B$16)+(AF178*'Settings'!$B$17)+(AG178*'Settings'!$B$18)+(Y178*'Settings'!$B$10)+(Z178*'Settings'!$B$11),VLOOKUP(B178,'Standard Deviations'!A1:C666,3,FALSE))</f>
        <v>270.004573608843</v>
      </c>
      <c r="J178" s="75">
        <f>IF(D178="G",I178/AJ178,I178/Q178)</f>
        <v>3.47753580331446</v>
      </c>
      <c r="K178" s="74">
        <f>IF('Settings'!$E$18="C/LW/RW",VLOOKUP(B178,'C'!A1:F206,6,FALSE),VLOOKUP(B178,'F'!A1:F392,6,FALSE))</f>
        <v>-59.687320472335</v>
      </c>
      <c r="L178" s="76">
        <f>_xlfn.IFERROR(K178/H178,"N/A")</f>
        <v>-13.2638489938522</v>
      </c>
      <c r="M178" s="77">
        <f>IF('Settings'!$E$9="YAHOO",VLOOKUP(B178,'ADP'!A1:E665,2,FALSE),IF('Settings'!$E$9="ESPN",VLOOKUP(B178,'ADP'!A1:E665,3,FALSE),IF('Settings'!$E$9="FANTRAX",VLOOKUP(B178,'ADP'!A1:E665,4,FALSE),VLOOKUP(B178,'ADP'!A1:E665,5,FALSE))))</f>
        <v>0</v>
      </c>
      <c r="N178" s="77">
        <f>_xlfn.IFERROR(M178-A178,"N/A")</f>
        <v>-188</v>
      </c>
      <c r="O178" s="77"/>
      <c r="P178" t="s" s="78">
        <f>IF('Settings'!$E$27="ON",VLOOKUP(B178,'ADP'!A1:H665,8,FALSE)," ")</f>
        <v>130</v>
      </c>
      <c r="Q178" s="79">
        <f>IF('Settings'!$E$12="YES",VLOOKUP(B178,'Player Data'!A1:E667,5,FALSE),82)</f>
        <v>77.6425</v>
      </c>
      <c r="R178" s="77">
        <f>VLOOKUP(B178,'Player Data'!$A1:$AE667,6,FALSE)</f>
        <v>19.7877778496588</v>
      </c>
      <c r="S178" s="79">
        <f>VLOOKUP(B178,'Player Data'!$A1:$AE667,7,FALSE)*$Q178*_xlfn.IFERROR((VLOOKUP(P178,'Settings'!$E$28:$F$33,2,FALSE)+1),1)</f>
        <v>24.6217613839681</v>
      </c>
      <c r="T178" s="79">
        <f>VLOOKUP(B178,'Player Data'!$A1:$AE667,8,FALSE)*$Q178*_xlfn.IFERROR((VLOOKUP(P178,'Settings'!$E$28:$F$33,2,FALSE)+1),1)</f>
        <v>36.419529674132</v>
      </c>
      <c r="U178" s="79">
        <f>SUM(S178:T178)</f>
        <v>61.0412910581001</v>
      </c>
      <c r="V178" s="79">
        <f>VLOOKUP(B178,'Player Data'!$A1:$AE667,10,FALSE)*$Q178*_xlfn.IFERROR(((VLOOKUP(P178,'Settings'!$E$28:$F$33,2,FALSE)/2)+1),1)</f>
        <v>176.528877218786</v>
      </c>
      <c r="W178" s="79">
        <f>VLOOKUP(B178,'Player Data'!$A1:$AE667,11,FALSE)*$Q178*_xlfn.IFERROR((VLOOKUP(P178,'Settings'!$E$28:$F$33,2,FALSE)+1),1)</f>
        <v>10.3697497942991</v>
      </c>
      <c r="X178" s="80">
        <f>VLOOKUP(B178,'Player Data'!$A1:$AE667,12,FALSE)*$Q178*_xlfn.IFERROR((VLOOKUP(P178,'Settings'!$E$28:$F$33,2,FALSE)+1),1)</f>
        <v>22.6443357248823</v>
      </c>
      <c r="Y178" s="79">
        <f>VLOOKUP(B178,'Player Data'!$A1:$AE667,13,FALSE)*$Q178</f>
        <v>0.406243147374601</v>
      </c>
      <c r="Z178" s="79">
        <f>VLOOKUP(B178,'Player Data'!$A1:$AE667,14,FALSE)*$Q178</f>
        <v>0.699117978754597</v>
      </c>
      <c r="AA178" s="79">
        <f>VLOOKUP(B178,'Player Data'!$A1:$AE667,15,FALSE)*$Q178</f>
        <v>48.4464355250939</v>
      </c>
      <c r="AB178" s="79">
        <f>VLOOKUP(B178,'Player Data'!$A1:$AE667,16,FALSE)*$Q178</f>
        <v>31.9827600494824</v>
      </c>
      <c r="AC178" s="79">
        <f>VLOOKUP(B178,'Player Data'!$A1:$AE667,17,FALSE)*$Q178*_xlfn.IFERROR((VLOOKUP(P178,'Settings'!$E$28:$F$33,2,FALSE)+1),1)</f>
        <v>2.49838700166813</v>
      </c>
      <c r="AD178" s="79">
        <f>VLOOKUP(B178,'Player Data'!$A1:$AE667,18,FALSE)*$Q178</f>
        <v>21.6831943827986</v>
      </c>
      <c r="AE178" s="79">
        <f>VLOOKUP(B178,'Player Data'!$A1:$AE667,19,FALSE)*$Q178*_xlfn.IFERROR((VLOOKUP(P178,'Settings'!$E$28:$F$33,2,FALSE)+1),1)</f>
        <v>3.48626462829778</v>
      </c>
      <c r="AF178" s="79">
        <f>VLOOKUP(B178,'Player Data'!$A1:$AE667,20,FALSE)*$Q178</f>
        <v>816.294028652256</v>
      </c>
      <c r="AG178" s="79">
        <f>VLOOKUP(B178,'Player Data'!$A1:$AE667,21,FALSE)*$Q178</f>
        <v>664.740187453111</v>
      </c>
      <c r="AH178" s="81">
        <f>VLOOKUP(B178,'Player Data'!$A1:$AE667,22,FALSE)</f>
        <v>0.551164868289702</v>
      </c>
      <c r="AI178" s="77"/>
      <c r="AJ178" s="79"/>
      <c r="AK178" s="79"/>
      <c r="AL178" s="79"/>
      <c r="AM178" s="79"/>
      <c r="AN178" s="79"/>
      <c r="AO178" s="79"/>
      <c r="AP178" s="79"/>
      <c r="AQ178" s="82"/>
      <c r="AR178" s="83"/>
      <c r="AS178" s="84"/>
    </row>
    <row r="179" ht="21.25" customHeight="1">
      <c r="A179" s="85">
        <f>RANK(K179,K$1:K$665)</f>
        <v>175</v>
      </c>
      <c r="B179" t="s" s="16">
        <v>366</v>
      </c>
      <c r="C179" t="s" s="69">
        <v>127</v>
      </c>
      <c r="D179" t="s" s="70">
        <f>VLOOKUP(B179,'Player Data'!A1:D667,4,FALSE)</f>
        <v>145</v>
      </c>
      <c r="E179" s="87">
        <f>VLOOKUP(B179,'RW'!A1:C136,3,FALSE)</f>
        <v>38</v>
      </c>
      <c r="F179" t="s" s="86">
        <f>VLOOKUP(B179,'Player Data'!A1:B667,2,FALSE)</f>
        <v>174</v>
      </c>
      <c r="G179" s="91">
        <f>VLOOKUP(B179,'Player Data'!A1:D667,3,FALSE)</f>
        <v>32</v>
      </c>
      <c r="H179" s="73">
        <f>_xlfn.IFERROR(VLOOKUP(B179,'ADP'!A1:G665,7,FALSE)/1000000,VLOOKUP(B179,'ADP'!A1:G665,7,FALSE))</f>
        <v>4.9</v>
      </c>
      <c r="I179" s="74">
        <f>IF('Settings'!$E$15="POINTS",((R179*Q179)*'Settings'!$B$12)+(S179*'Settings'!$B$2)+(T179*'Settings'!$B$3)+(U179*'Settings'!$B$4)+(V179*'Settings'!$B$5)+(X179*'Settings'!$B$9)+(AA179*'Settings'!$B$6)+(W179*'Settings'!$B$8)+(AB179*'Settings'!$B$7)+(AC179*'Settings'!$B$14)+(AD179*'Settings'!$B$15)+(AE179*'Settings'!$B$16)+(AF179*'Settings'!$B$17)+(AG179*'Settings'!$B$18)+(Y179*'Settings'!$B$10)+(Z179*'Settings'!$B$11),VLOOKUP(B179,'Standard Deviations'!A1:C666,3,FALSE))</f>
        <v>274.959767936726</v>
      </c>
      <c r="J179" s="75">
        <f>IF(D179="G",I179/AJ179,I179/Q179)</f>
        <v>3.38537020360411</v>
      </c>
      <c r="K179" s="74">
        <f>IF('Settings'!$E$18="C/LW/RW",VLOOKUP(B179,'RW'!A1:F136,6,FALSE),VLOOKUP(B179,'F'!A1:F392,6,FALSE))</f>
        <v>-54.732126144452</v>
      </c>
      <c r="L179" s="76">
        <f>_xlfn.IFERROR(K179/H179,"N/A")</f>
        <v>-11.1698216621331</v>
      </c>
      <c r="M179" s="77">
        <f>IF('Settings'!$E$9="YAHOO",VLOOKUP(B179,'ADP'!A1:E665,2,FALSE),IF('Settings'!$E$9="ESPN",VLOOKUP(B179,'ADP'!A1:E665,3,FALSE),IF('Settings'!$E$9="FANTRAX",VLOOKUP(B179,'ADP'!A1:E665,4,FALSE),VLOOKUP(B179,'ADP'!A1:E665,5,FALSE))))</f>
        <v>0</v>
      </c>
      <c r="N179" s="77">
        <f>_xlfn.IFERROR(M179-A179,"N/A")</f>
        <v>-175</v>
      </c>
      <c r="O179" s="77"/>
      <c r="P179" t="s" s="78">
        <f>IF('Settings'!$E$27="ON",VLOOKUP(B179,'ADP'!A1:H665,8,FALSE)," ")</f>
        <v>138</v>
      </c>
      <c r="Q179" s="79">
        <f>IF('Settings'!$E$12="YES",VLOOKUP(B179,'Player Data'!A1:E667,5,FALSE),82)</f>
        <v>81.22</v>
      </c>
      <c r="R179" s="77">
        <f>VLOOKUP(B179,'Player Data'!$A1:$AE667,6,FALSE)</f>
        <v>16.6141993959899</v>
      </c>
      <c r="S179" s="79">
        <f>VLOOKUP(B179,'Player Data'!$A1:$AE667,7,FALSE)*$Q179*_xlfn.IFERROR((VLOOKUP(P179,'Settings'!$E$28:$F$33,2,FALSE)+1),1)</f>
        <v>21.5867129036383</v>
      </c>
      <c r="T179" s="79">
        <f>VLOOKUP(B179,'Player Data'!$A1:$AE667,8,FALSE)*$Q179*_xlfn.IFERROR((VLOOKUP(P179,'Settings'!$E$28:$F$33,2,FALSE)+1),1)</f>
        <v>20.9131828343982</v>
      </c>
      <c r="U179" s="79">
        <f>SUM(S179:T179)</f>
        <v>42.4998957380365</v>
      </c>
      <c r="V179" s="79">
        <f>VLOOKUP(B179,'Player Data'!$A1:$AE667,10,FALSE)*$Q179*_xlfn.IFERROR(((VLOOKUP(P179,'Settings'!$E$28:$F$33,2,FALSE)/2)+1),1)</f>
        <v>196.949394120721</v>
      </c>
      <c r="W179" s="79">
        <f>VLOOKUP(B179,'Player Data'!$A1:$AE667,11,FALSE)*$Q179*_xlfn.IFERROR((VLOOKUP(P179,'Settings'!$E$28:$F$33,2,FALSE)+1),1)</f>
        <v>1.80618244738999</v>
      </c>
      <c r="X179" s="79">
        <f>VLOOKUP(B179,'Player Data'!$A1:$AE667,12,FALSE)*$Q179*_xlfn.IFERROR((VLOOKUP(P179,'Settings'!$E$28:$F$33,2,FALSE)+1),1)</f>
        <v>2.50760583107855</v>
      </c>
      <c r="Y179" s="79">
        <f>VLOOKUP(B179,'Player Data'!$A1:$AE667,13,FALSE)*$Q179</f>
        <v>2.02630496719061</v>
      </c>
      <c r="Z179" s="79">
        <f>VLOOKUP(B179,'Player Data'!$A1:$AE667,14,FALSE)*$Q179</f>
        <v>3.14400657739969</v>
      </c>
      <c r="AA179" s="79">
        <f>VLOOKUP(B179,'Player Data'!$A1:$AE667,15,FALSE)*$Q179</f>
        <v>51.8780723237612</v>
      </c>
      <c r="AB179" s="79">
        <f>VLOOKUP(B179,'Player Data'!$A1:$AE667,16,FALSE)*$Q179</f>
        <v>120.451625385492</v>
      </c>
      <c r="AC179" s="79">
        <f>VLOOKUP(B179,'Player Data'!$A1:$AE667,17,FALSE)*$Q179*_xlfn.IFERROR((VLOOKUP(P179,'Settings'!$E$28:$F$33,2,FALSE)+1),1)</f>
        <v>-1.39290594625569</v>
      </c>
      <c r="AD179" s="79">
        <f>VLOOKUP(B179,'Player Data'!$A1:$AE667,18,FALSE)*$Q179</f>
        <v>58.9945980183118</v>
      </c>
      <c r="AE179" s="79">
        <f>VLOOKUP(B179,'Player Data'!$A1:$AE667,19,FALSE)*$Q179*_xlfn.IFERROR((VLOOKUP(P179,'Settings'!$E$28:$F$33,2,FALSE)+1),1)</f>
        <v>3.13619921271676</v>
      </c>
      <c r="AF179" s="79">
        <f>VLOOKUP(B179,'Player Data'!$A1:$AE667,20,FALSE)*$Q179</f>
        <v>22.6876168774102</v>
      </c>
      <c r="AG179" s="79">
        <f>VLOOKUP(B179,'Player Data'!$A1:$AE667,21,FALSE)*$Q179</f>
        <v>37.1165424688315</v>
      </c>
      <c r="AH179" s="81">
        <f>VLOOKUP(B179,'Player Data'!$A1:$AE667,22,FALSE)</f>
        <v>0.379365200103527</v>
      </c>
      <c r="AI179" s="77"/>
      <c r="AJ179" s="79"/>
      <c r="AK179" s="79"/>
      <c r="AL179" s="79"/>
      <c r="AM179" s="79"/>
      <c r="AN179" s="79"/>
      <c r="AO179" s="79"/>
      <c r="AP179" s="79"/>
      <c r="AQ179" s="82"/>
      <c r="AR179" s="83"/>
      <c r="AS179" s="84"/>
    </row>
    <row r="180" ht="21.25" customHeight="1">
      <c r="A180" s="85">
        <f>RANK(K180,K$1:K$665)</f>
        <v>190</v>
      </c>
      <c r="B180" t="s" s="16">
        <v>367</v>
      </c>
      <c r="C180" t="s" s="69">
        <v>127</v>
      </c>
      <c r="D180" t="s" s="70">
        <f>VLOOKUP(B180,'Player Data'!A1:D667,4,FALSE)</f>
        <v>128</v>
      </c>
      <c r="E180" s="71">
        <f>VLOOKUP(B180,'C'!A1:C206,3,FALSE)</f>
        <v>63</v>
      </c>
      <c r="F180" t="s" s="104">
        <f>VLOOKUP(B180,'Player Data'!A1:B667,2,FALSE)</f>
        <v>333</v>
      </c>
      <c r="G180" s="96">
        <f>VLOOKUP(B180,'Player Data'!A1:D667,3,FALSE)</f>
        <v>18</v>
      </c>
      <c r="H180" s="73">
        <f>_xlfn.IFERROR(VLOOKUP(B180,'ADP'!A1:G665,7,FALSE)/1000000,VLOOKUP(B180,'ADP'!A1:G665,7,FALSE))</f>
        <v>0.975</v>
      </c>
      <c r="I180" s="74">
        <f>IF('Settings'!$E$15="POINTS",((R180*Q180)*'Settings'!$B$12)+(S180*'Settings'!$B$2)+(T180*'Settings'!$B$3)+(U180*'Settings'!$B$4)+(V180*'Settings'!$B$5)+(X180*'Settings'!$B$9)+(AA180*'Settings'!$B$6)+(W180*'Settings'!$B$8)+(AB180*'Settings'!$B$7)+(AC180*'Settings'!$B$14)+(AD180*'Settings'!$B$15)+(AE180*'Settings'!$B$16)+(AF180*'Settings'!$B$17)+(AG180*'Settings'!$B$18)+(Y180*'Settings'!$B$10)+(Z180*'Settings'!$B$11),VLOOKUP(B180,'Standard Deviations'!A1:C666,3,FALSE))</f>
        <v>269.276009294918</v>
      </c>
      <c r="J180" s="75">
        <f>IF(D180="G",I180/AJ180,I180/Q180)</f>
        <v>3.45225652942203</v>
      </c>
      <c r="K180" s="74">
        <f>IF('Settings'!$E$18="C/LW/RW",VLOOKUP(B180,'C'!A1:F206,6,FALSE),VLOOKUP(B180,'F'!A1:F392,6,FALSE))</f>
        <v>-60.415884786260</v>
      </c>
      <c r="L180" s="76">
        <f>_xlfn.IFERROR(K180/H180,"N/A")</f>
        <v>-61.9650100371897</v>
      </c>
      <c r="M180" s="77">
        <f>IF('Settings'!$E$9="YAHOO",VLOOKUP(B180,'ADP'!A1:E665,2,FALSE),IF('Settings'!$E$9="ESPN",VLOOKUP(B180,'ADP'!A1:E665,3,FALSE),IF('Settings'!$E$9="FANTRAX",VLOOKUP(B180,'ADP'!A1:E665,4,FALSE),VLOOKUP(B180,'ADP'!A1:E665,5,FALSE))))</f>
        <v>0</v>
      </c>
      <c r="N180" s="77">
        <f>_xlfn.IFERROR(M180-A180,"N/A")</f>
        <v>-190</v>
      </c>
      <c r="O180" s="77"/>
      <c r="P180" t="s" s="78">
        <f>IF('Settings'!$E$27="ON",VLOOKUP(B180,'ADP'!A1:H665,8,FALSE)," ")</f>
        <v>138</v>
      </c>
      <c r="Q180" s="79">
        <f>IF('Settings'!$E$12="YES",VLOOKUP(B180,'Player Data'!A1:E667,5,FALSE),82)</f>
        <v>78</v>
      </c>
      <c r="R180" s="77">
        <f>VLOOKUP(B180,'Player Data'!$A1:$AE667,6,FALSE)</f>
        <v>18</v>
      </c>
      <c r="S180" s="79">
        <f>VLOOKUP(B180,'Player Data'!$A1:$AE667,7,FALSE)*$Q180*_xlfn.IFERROR((VLOOKUP(P180,'Settings'!$E$28:$F$33,2,FALSE)+1),1)</f>
        <v>24.18</v>
      </c>
      <c r="T180" s="79">
        <f>VLOOKUP(B180,'Player Data'!$A1:$AE667,8,FALSE)*$Q180*_xlfn.IFERROR((VLOOKUP(P180,'Settings'!$E$28:$F$33,2,FALSE)+1),1)</f>
        <v>34.32</v>
      </c>
      <c r="U180" s="79">
        <f>SUM(S180:T180)</f>
        <v>58.5</v>
      </c>
      <c r="V180" s="79">
        <f>VLOOKUP(B180,'Player Data'!$A1:$AE667,10,FALSE)*$Q180*_xlfn.IFERROR(((VLOOKUP(P180,'Settings'!$E$28:$F$33,2,FALSE)/2)+1),1)</f>
        <v>173.572829268293</v>
      </c>
      <c r="W180" s="79">
        <f>VLOOKUP(B180,'Player Data'!$A1:$AE667,11,FALSE)*$Q180*_xlfn.IFERROR((VLOOKUP(P180,'Settings'!$E$28:$F$33,2,FALSE)+1),1)</f>
        <v>6.91980487804878</v>
      </c>
      <c r="X180" s="80">
        <f>VLOOKUP(B180,'Player Data'!$A1:$AE667,12,FALSE)*$Q180*_xlfn.IFERROR((VLOOKUP(P180,'Settings'!$E$28:$F$33,2,FALSE)+1),1)</f>
        <v>16.7414634146341</v>
      </c>
      <c r="Y180" s="79">
        <f>VLOOKUP(B180,'Player Data'!$A1:$AE667,13,FALSE)*$Q180</f>
        <v>0</v>
      </c>
      <c r="Z180" s="79">
        <f>VLOOKUP(B180,'Player Data'!$A1:$AE667,14,FALSE)*$Q180</f>
        <v>0</v>
      </c>
      <c r="AA180" s="79">
        <f>VLOOKUP(B180,'Player Data'!$A1:$AE667,15,FALSE)*$Q180</f>
        <v>35.0048780487805</v>
      </c>
      <c r="AB180" s="79">
        <f>VLOOKUP(B180,'Player Data'!$A1:$AE667,16,FALSE)*$Q180</f>
        <v>92.2812074548463</v>
      </c>
      <c r="AC180" s="79">
        <f>VLOOKUP(B180,'Player Data'!$A1:$AE667,17,FALSE)*$Q180*_xlfn.IFERROR((VLOOKUP(P180,'Settings'!$E$28:$F$33,2,FALSE)+1),1)</f>
        <v>-5.85424338787638</v>
      </c>
      <c r="AD180" s="79">
        <f>VLOOKUP(B180,'Player Data'!$A1:$AE667,18,FALSE)*$Q180</f>
        <v>31.5172180739133</v>
      </c>
      <c r="AE180" s="79">
        <f>VLOOKUP(B180,'Player Data'!$A1:$AE667,19,FALSE)*$Q180*_xlfn.IFERROR((VLOOKUP(P180,'Settings'!$E$28:$F$33,2,FALSE)+1),1)</f>
        <v>2.58266882052237</v>
      </c>
      <c r="AF180" s="79">
        <f>VLOOKUP(B180,'Player Data'!$A1:$AE667,20,FALSE)*$Q180</f>
        <v>228.292682926829</v>
      </c>
      <c r="AG180" s="79">
        <f>VLOOKUP(B180,'Player Data'!$A1:$AE667,21,FALSE)*$Q180</f>
        <v>342.439024390244</v>
      </c>
      <c r="AH180" s="81">
        <f>VLOOKUP(B180,'Player Data'!$A1:$AE667,22,FALSE)</f>
        <v>0.4</v>
      </c>
      <c r="AI180" s="77"/>
      <c r="AJ180" s="79"/>
      <c r="AK180" s="79"/>
      <c r="AL180" s="79"/>
      <c r="AM180" s="79"/>
      <c r="AN180" s="79"/>
      <c r="AO180" s="79"/>
      <c r="AP180" s="79"/>
      <c r="AQ180" s="82"/>
      <c r="AR180" s="83"/>
      <c r="AS180" s="84"/>
    </row>
    <row r="181" ht="21.25" customHeight="1">
      <c r="A181" s="85">
        <f>RANK(K181,K$1:K$665)</f>
        <v>184</v>
      </c>
      <c r="B181" t="s" s="16">
        <v>368</v>
      </c>
      <c r="C181" t="s" s="69">
        <v>127</v>
      </c>
      <c r="D181" t="s" s="70">
        <f>VLOOKUP(B181,'Player Data'!A1:D667,4,FALSE)</f>
        <v>136</v>
      </c>
      <c r="E181" s="87">
        <f>VLOOKUP(B181,'LW'!A1:C152,3,FALSE)</f>
        <v>49</v>
      </c>
      <c r="F181" t="s" s="86">
        <f>VLOOKUP(B181,'Player Data'!A1:B667,2,FALSE)</f>
        <v>174</v>
      </c>
      <c r="G181" s="91">
        <f>VLOOKUP(B181,'Player Data'!A1:D667,3,FALSE)</f>
        <v>31</v>
      </c>
      <c r="H181" s="73">
        <f>_xlfn.IFERROR(VLOOKUP(B181,'ADP'!A1:G665,7,FALSE)/1000000,VLOOKUP(B181,'ADP'!A1:G665,7,FALSE))</f>
        <v>10.5</v>
      </c>
      <c r="I181" s="74">
        <f>IF('Settings'!$E$15="POINTS",((R181*Q181)*'Settings'!$B$12)+(S181*'Settings'!$B$2)+(T181*'Settings'!$B$3)+(U181*'Settings'!$B$4)+(V181*'Settings'!$B$5)+(X181*'Settings'!$B$9)+(AA181*'Settings'!$B$6)+(W181*'Settings'!$B$8)+(AB181*'Settings'!$B$7)+(AC181*'Settings'!$B$14)+(AD181*'Settings'!$B$15)+(AE181*'Settings'!$B$16)+(AF181*'Settings'!$B$17)+(AG181*'Settings'!$B$18)+(Y181*'Settings'!$B$10)+(Z181*'Settings'!$B$11),VLOOKUP(B181,'Standard Deviations'!A1:C666,3,FALSE))</f>
        <v>273.841798447359</v>
      </c>
      <c r="J181" s="75">
        <f>IF(D181="G",I181/AJ181,I181/Q181)</f>
        <v>3.3707754609473</v>
      </c>
      <c r="K181" s="74">
        <f>IF('Settings'!$E$18="C/LW/RW",VLOOKUP(B181,'LW'!A1:F152,6,FALSE),VLOOKUP(B181,'F'!A1:F392,6,FALSE))</f>
        <v>-57.878313318853</v>
      </c>
      <c r="L181" s="76">
        <f>_xlfn.IFERROR(K181/H181,"N/A")</f>
        <v>-5.51222031608124</v>
      </c>
      <c r="M181" s="109">
        <f>IF('Settings'!$E$9="YAHOO",VLOOKUP(B181,'ADP'!A1:E665,2,FALSE),IF('Settings'!$E$9="ESPN",VLOOKUP(B181,'ADP'!A1:E665,3,FALSE),IF('Settings'!$E$9="FANTRAX",VLOOKUP(B181,'ADP'!A1:E665,4,FALSE),VLOOKUP(B181,'ADP'!A1:E665,5,FALSE))))</f>
        <v>0</v>
      </c>
      <c r="N181" s="79">
        <f>_xlfn.IFERROR(M181-A181,"N/A")</f>
        <v>-184</v>
      </c>
      <c r="O181" s="77"/>
      <c r="P181" t="s" s="78">
        <f>IF('Settings'!$E$27="ON",VLOOKUP(B181,'ADP'!A1:H665,8,FALSE)," ")</f>
        <v>138</v>
      </c>
      <c r="Q181" s="79">
        <f>IF('Settings'!$E$12="YES",VLOOKUP(B181,'Player Data'!A1:E667,5,FALSE),82)</f>
        <v>81.23999999999999</v>
      </c>
      <c r="R181" s="77">
        <f>VLOOKUP(B181,'Player Data'!$A1:$AE667,6,FALSE)</f>
        <v>18.3243569840886</v>
      </c>
      <c r="S181" s="79">
        <f>VLOOKUP(B181,'Player Data'!$A1:$AE667,7,FALSE)*$Q181*_xlfn.IFERROR((VLOOKUP(P181,'Settings'!$E$28:$F$33,2,FALSE)+1),1)</f>
        <v>17.2210962717906</v>
      </c>
      <c r="T181" s="79">
        <f>VLOOKUP(B181,'Player Data'!$A1:$AE667,8,FALSE)*$Q181*_xlfn.IFERROR((VLOOKUP(P181,'Settings'!$E$28:$F$33,2,FALSE)+1),1)</f>
        <v>49.123312256590</v>
      </c>
      <c r="U181" s="79">
        <f>SUM(S181:T181)</f>
        <v>66.3444085283806</v>
      </c>
      <c r="V181" s="79">
        <f>VLOOKUP(B181,'Player Data'!$A1:$AE667,10,FALSE)*$Q181*_xlfn.IFERROR(((VLOOKUP(P181,'Settings'!$E$28:$F$33,2,FALSE)/2)+1),1)</f>
        <v>164.233115305395</v>
      </c>
      <c r="W181" s="79">
        <f>VLOOKUP(B181,'Player Data'!$A1:$AE667,11,FALSE)*$Q181*_xlfn.IFERROR((VLOOKUP(P181,'Settings'!$E$28:$F$33,2,FALSE)+1),1)</f>
        <v>4.52028030385492</v>
      </c>
      <c r="X181" s="80">
        <f>VLOOKUP(B181,'Player Data'!$A1:$AE667,12,FALSE)*$Q181*_xlfn.IFERROR((VLOOKUP(P181,'Settings'!$E$28:$F$33,2,FALSE)+1),1)</f>
        <v>21.2436939745179</v>
      </c>
      <c r="Y181" s="79">
        <f>VLOOKUP(B181,'Player Data'!$A1:$AE667,13,FALSE)*$Q181</f>
        <v>0.0348018675024905</v>
      </c>
      <c r="Z181" s="79">
        <f>VLOOKUP(B181,'Player Data'!$A1:$AE667,14,FALSE)*$Q181</f>
        <v>0.0609007256325765</v>
      </c>
      <c r="AA181" s="79">
        <f>VLOOKUP(B181,'Player Data'!$A1:$AE667,15,FALSE)*$Q181</f>
        <v>36.0558682700746</v>
      </c>
      <c r="AB181" s="79">
        <f>VLOOKUP(B181,'Player Data'!$A1:$AE667,16,FALSE)*$Q181</f>
        <v>68.4512135181414</v>
      </c>
      <c r="AC181" s="79">
        <f>VLOOKUP(B181,'Player Data'!$A1:$AE667,17,FALSE)*$Q181*_xlfn.IFERROR((VLOOKUP(P181,'Settings'!$E$28:$F$33,2,FALSE)+1),1)</f>
        <v>-2.25899641948743</v>
      </c>
      <c r="AD181" s="79">
        <f>VLOOKUP(B181,'Player Data'!$A1:$AE667,18,FALSE)*$Q181</f>
        <v>38.6601941991845</v>
      </c>
      <c r="AE181" s="79">
        <f>VLOOKUP(B181,'Player Data'!$A1:$AE667,19,FALSE)*$Q181*_xlfn.IFERROR((VLOOKUP(P181,'Settings'!$E$28:$F$33,2,FALSE)+1),1)</f>
        <v>2.50194593363061</v>
      </c>
      <c r="AF181" s="79">
        <f>VLOOKUP(B181,'Player Data'!$A1:$AE667,20,FALSE)*$Q181</f>
        <v>13.2640335907226</v>
      </c>
      <c r="AG181" s="79">
        <f>VLOOKUP(B181,'Player Data'!$A1:$AE667,21,FALSE)*$Q181</f>
        <v>20.2935320937345</v>
      </c>
      <c r="AH181" s="81">
        <f>VLOOKUP(B181,'Player Data'!$A1:$AE667,22,FALSE)</f>
        <v>0.395262091280539</v>
      </c>
      <c r="AI181" s="77"/>
      <c r="AJ181" s="89"/>
      <c r="AK181" s="79"/>
      <c r="AL181" s="79"/>
      <c r="AM181" s="79"/>
      <c r="AN181" s="79"/>
      <c r="AO181" s="79"/>
      <c r="AP181" s="79"/>
      <c r="AQ181" s="82"/>
      <c r="AR181" s="83"/>
      <c r="AS181" s="84"/>
    </row>
    <row r="182" ht="21.25" customHeight="1">
      <c r="A182" s="85">
        <f>RANK(K182,K$1:K$665)</f>
        <v>180</v>
      </c>
      <c r="B182" t="s" s="16">
        <v>369</v>
      </c>
      <c r="C182" t="s" s="69">
        <v>127</v>
      </c>
      <c r="D182" t="s" s="70">
        <f>VLOOKUP(B182,'Player Data'!A1:D667,4,FALSE)</f>
        <v>140</v>
      </c>
      <c r="E182" s="90">
        <f>VLOOKUP(B182,'RW'!A1:F136,3,FALSE)</f>
        <v>39</v>
      </c>
      <c r="F182" t="s" s="88">
        <f>VLOOKUP(B182,'Player Data'!A1:B667,2,FALSE)</f>
        <v>137</v>
      </c>
      <c r="G182" s="91">
        <f>VLOOKUP(B182,'Player Data'!A1:D667,3,FALSE)</f>
        <v>36</v>
      </c>
      <c r="H182" s="94">
        <f>_xlfn.IFERROR(VLOOKUP(B182,'ADP'!A1:G665,7,FALSE)/1000000,VLOOKUP(B182,'ADP'!A1:G665,7,FALSE))</f>
        <v>6.5</v>
      </c>
      <c r="I182" s="74">
        <f>IF('Settings'!$E$15="POINTS",((R182*Q182)*'Settings'!$B$12)+(S182*'Settings'!$B$2)+(T182*'Settings'!$B$3)+(U182*'Settings'!$B$4)+(V182*'Settings'!$B$5)+(X182*'Settings'!$B$9)+(AA182*'Settings'!$B$6)+(W182*'Settings'!$B$8)+(AB182*'Settings'!$B$7)+(AC182*'Settings'!$B$14)+(AD182*'Settings'!$B$15)+(AE182*'Settings'!$B$16)+(AF182*'Settings'!$B$17)+(AG182*'Settings'!$B$18)+(Y182*'Settings'!$B$10)+(Z182*'Settings'!$B$11),VLOOKUP(B182,'Standard Deviations'!A1:C666,3,FALSE))</f>
        <v>273.621830933101</v>
      </c>
      <c r="J182" s="75">
        <f>IF(D182="G",I182/AJ182,I182/Q182)</f>
        <v>3.36434072215789</v>
      </c>
      <c r="K182" s="74">
        <f>IF('Settings'!$E$18="C/LW/RW",VLOOKUP(B182,'RW'!A1:F136,6,FALSE),VLOOKUP(B182,'F'!A1:F392,6,FALSE))</f>
        <v>-56.070063148077</v>
      </c>
      <c r="L182" s="76">
        <f>_xlfn.IFERROR(K182/H182,"N/A")</f>
        <v>-8.62616356124262</v>
      </c>
      <c r="M182" s="77">
        <f>IF('Settings'!$E$9="YAHOO",VLOOKUP(B182,'ADP'!A1:E665,2,FALSE),IF('Settings'!$E$9="ESPN",VLOOKUP(B182,'ADP'!A1:E665,3,FALSE),IF('Settings'!$E$9="FANTRAX",VLOOKUP(B182,'ADP'!A1:E665,4,FALSE),VLOOKUP(B182,'ADP'!A1:E665,5,FALSE))))</f>
        <v>0</v>
      </c>
      <c r="N182" s="77">
        <f>_xlfn.IFERROR(M182-A182,"N/A")</f>
        <v>-180</v>
      </c>
      <c r="O182" s="77"/>
      <c r="P182" t="s" s="78">
        <f>IF('Settings'!$E$27="ON",VLOOKUP(B182,'ADP'!A1:H665,8,FALSE)," ")</f>
        <v>138</v>
      </c>
      <c r="Q182" s="79">
        <f>IF('Settings'!$E$12="YES",VLOOKUP(B182,'Player Data'!A1:E667,5,FALSE),82)</f>
        <v>81.33</v>
      </c>
      <c r="R182" s="77">
        <f>VLOOKUP(B182,'Player Data'!$A1:$AE667,6,FALSE)</f>
        <v>19.5924550802476</v>
      </c>
      <c r="S182" s="79">
        <f>VLOOKUP(B182,'Player Data'!$A1:$AE667,7,FALSE)*$Q182*_xlfn.IFERROR((VLOOKUP(P182,'Settings'!$E$28:$F$33,2,FALSE)+1),1)</f>
        <v>22.5354896440735</v>
      </c>
      <c r="T182" s="79">
        <f>VLOOKUP(B182,'Player Data'!$A1:$AE667,8,FALSE)*$Q182*_xlfn.IFERROR((VLOOKUP(P182,'Settings'!$E$28:$F$33,2,FALSE)+1),1)</f>
        <v>37.3400836397663</v>
      </c>
      <c r="U182" s="79">
        <f>SUM(S182:T182)</f>
        <v>59.8755732838398</v>
      </c>
      <c r="V182" s="79">
        <f>VLOOKUP(B182,'Player Data'!$A1:$AE667,10,FALSE)*$Q182*_xlfn.IFERROR(((VLOOKUP(P182,'Settings'!$E$28:$F$33,2,FALSE)/2)+1),1)</f>
        <v>191.820744338343</v>
      </c>
      <c r="W182" s="79">
        <f>VLOOKUP(B182,'Player Data'!$A1:$AE667,11,FALSE)*$Q182*_xlfn.IFERROR((VLOOKUP(P182,'Settings'!$E$28:$F$33,2,FALSE)+1),1)</f>
        <v>3.25616009858418</v>
      </c>
      <c r="X182" s="101">
        <f>VLOOKUP(B182,'Player Data'!$A1:$AE667,12,FALSE)*$Q182*_xlfn.IFERROR((VLOOKUP(P182,'Settings'!$E$28:$F$33,2,FALSE)+1),1)</f>
        <v>14.9489987732885</v>
      </c>
      <c r="Y182" s="79">
        <f>VLOOKUP(B182,'Player Data'!$A1:$AE667,13,FALSE)*$Q182</f>
        <v>1.20184446549353</v>
      </c>
      <c r="Z182" s="79">
        <f>VLOOKUP(B182,'Player Data'!$A1:$AE667,14,FALSE)*$Q182</f>
        <v>1.91166537310078</v>
      </c>
      <c r="AA182" s="79">
        <f>VLOOKUP(B182,'Player Data'!$A1:$AE667,15,FALSE)*$Q182</f>
        <v>31.9634185054659</v>
      </c>
      <c r="AB182" s="79">
        <f>VLOOKUP(B182,'Player Data'!$A1:$AE667,16,FALSE)*$Q182</f>
        <v>53.2324308879162</v>
      </c>
      <c r="AC182" s="79">
        <f>VLOOKUP(B182,'Player Data'!$A1:$AE667,17,FALSE)*$Q182*_xlfn.IFERROR((VLOOKUP(P182,'Settings'!$E$28:$F$33,2,FALSE)+1),1)</f>
        <v>-0.188662967683442</v>
      </c>
      <c r="AD182" s="79">
        <f>VLOOKUP(B182,'Player Data'!$A1:$AE667,18,FALSE)*$Q182</f>
        <v>31.2692504149536</v>
      </c>
      <c r="AE182" s="79">
        <f>VLOOKUP(B182,'Player Data'!$A1:$AE667,19,FALSE)*$Q182*_xlfn.IFERROR((VLOOKUP(P182,'Settings'!$E$28:$F$33,2,FALSE)+1),1)</f>
        <v>3.49895565582464</v>
      </c>
      <c r="AF182" s="79">
        <f>VLOOKUP(B182,'Player Data'!$A1:$AE667,20,FALSE)*$Q182</f>
        <v>683.908714660772</v>
      </c>
      <c r="AG182" s="79">
        <f>VLOOKUP(B182,'Player Data'!$A1:$AE667,21,FALSE)*$Q182</f>
        <v>482.434941863641</v>
      </c>
      <c r="AH182" s="81">
        <f>VLOOKUP(B182,'Player Data'!$A1:$AE667,22,FALSE)</f>
        <v>0.586369815478528</v>
      </c>
      <c r="AI182" s="77"/>
      <c r="AJ182" s="79"/>
      <c r="AK182" s="79"/>
      <c r="AL182" s="79"/>
      <c r="AM182" s="79"/>
      <c r="AN182" s="79"/>
      <c r="AO182" s="79"/>
      <c r="AP182" s="79"/>
      <c r="AQ182" s="82"/>
      <c r="AR182" s="83"/>
      <c r="AS182" s="84"/>
    </row>
    <row r="183" ht="21.25" customHeight="1">
      <c r="A183" s="85">
        <f>RANK(K183,K$1:K$665)</f>
        <v>198</v>
      </c>
      <c r="B183" t="s" s="16">
        <v>370</v>
      </c>
      <c r="C183" t="s" s="69">
        <v>127</v>
      </c>
      <c r="D183" t="s" s="70">
        <f>VLOOKUP(B183,'Player Data'!A1:D667,4,FALSE)</f>
        <v>128</v>
      </c>
      <c r="E183" s="71">
        <f>VLOOKUP(B183,'C'!A1:C206,3,FALSE)</f>
        <v>64</v>
      </c>
      <c r="F183" t="s" s="88">
        <f>VLOOKUP(B183,'Player Data'!A1:B667,2,FALSE)</f>
        <v>143</v>
      </c>
      <c r="G183" s="11">
        <f>VLOOKUP(B183,'Player Data'!A1:D667,3,FALSE)</f>
        <v>27</v>
      </c>
      <c r="H183" s="73">
        <f>_xlfn.IFERROR(VLOOKUP(B183,'ADP'!A1:G665,7,FALSE)/1000000,VLOOKUP(B183,'ADP'!A1:G665,7,FALSE))</f>
        <v>4.75</v>
      </c>
      <c r="I183" s="74">
        <f>IF('Settings'!$E$15="POINTS",((R183*Q183)*'Settings'!$B$12)+(S183*'Settings'!$B$2)+(T183*'Settings'!$B$3)+(U183*'Settings'!$B$4)+(V183*'Settings'!$B$5)+(X183*'Settings'!$B$9)+(AA183*'Settings'!$B$6)+(W183*'Settings'!$B$8)+(AB183*'Settings'!$B$7)+(AC183*'Settings'!$B$14)+(AD183*'Settings'!$B$15)+(AE183*'Settings'!$B$16)+(AF183*'Settings'!$B$17)+(AG183*'Settings'!$B$18)+(Y183*'Settings'!$B$10)+(Z183*'Settings'!$B$11),VLOOKUP(B183,'Standard Deviations'!A1:C666,3,FALSE))</f>
        <v>267.553627635774</v>
      </c>
      <c r="J183" s="75">
        <f>IF(D183="G",I183/AJ183,I183/Q183)</f>
        <v>3.33941122860427</v>
      </c>
      <c r="K183" s="74">
        <f>IF('Settings'!$E$18="C/LW/RW",VLOOKUP(B183,'C'!A1:F206,6,FALSE),VLOOKUP(B183,'F'!A1:F392,6,FALSE))</f>
        <v>-62.138266445404</v>
      </c>
      <c r="L183" s="76">
        <f>_xlfn.IFERROR(K183/H183,"N/A")</f>
        <v>-13.0817403042956</v>
      </c>
      <c r="M183" s="109">
        <f>IF('Settings'!$E$9="YAHOO",VLOOKUP(B183,'ADP'!A1:E665,2,FALSE),IF('Settings'!$E$9="ESPN",VLOOKUP(B183,'ADP'!A1:E665,3,FALSE),IF('Settings'!$E$9="FANTRAX",VLOOKUP(B183,'ADP'!A1:E665,4,FALSE),VLOOKUP(B183,'ADP'!A1:E665,5,FALSE))))</f>
        <v>0</v>
      </c>
      <c r="N183" s="79">
        <f>_xlfn.IFERROR(M183-A183,"N/A")</f>
        <v>-198</v>
      </c>
      <c r="O183" s="77"/>
      <c r="P183" t="s" s="78">
        <f>IF('Settings'!$E$27="ON",VLOOKUP(B183,'ADP'!A1:H665,8,FALSE)," ")</f>
        <v>235</v>
      </c>
      <c r="Q183" s="79">
        <f>IF('Settings'!$E$12="YES",VLOOKUP(B183,'Player Data'!A1:E667,5,FALSE),82)</f>
        <v>80.12</v>
      </c>
      <c r="R183" s="77">
        <f>VLOOKUP(B183,'Player Data'!$A1:$AE667,6,FALSE)</f>
        <v>18.1736110587842</v>
      </c>
      <c r="S183" s="79">
        <f>VLOOKUP(B183,'Player Data'!$A1:$AE667,7,FALSE)*$Q183*_xlfn.IFERROR((VLOOKUP(P183,'Settings'!$E$28:$F$33,2,FALSE)+1),1)</f>
        <v>20.9956136282284</v>
      </c>
      <c r="T183" s="79">
        <f>VLOOKUP(B183,'Player Data'!$A1:$AE667,8,FALSE)*$Q183*_xlfn.IFERROR((VLOOKUP(P183,'Settings'!$E$28:$F$33,2,FALSE)+1),1)</f>
        <v>35.2714042002368</v>
      </c>
      <c r="U183" s="79">
        <f>SUM(S183:T183)</f>
        <v>56.2670178284652</v>
      </c>
      <c r="V183" s="79">
        <f>VLOOKUP(B183,'Player Data'!$A1:$AE667,10,FALSE)*$Q183*_xlfn.IFERROR(((VLOOKUP(P183,'Settings'!$E$28:$F$33,2,FALSE)/2)+1),1)</f>
        <v>157.679449114038</v>
      </c>
      <c r="W183" s="79">
        <f>VLOOKUP(B183,'Player Data'!$A1:$AE667,11,FALSE)*$Q183*_xlfn.IFERROR((VLOOKUP(P183,'Settings'!$E$28:$F$33,2,FALSE)+1),1)</f>
        <v>5.8830413090034</v>
      </c>
      <c r="X183" s="80">
        <f>VLOOKUP(B183,'Player Data'!$A1:$AE667,12,FALSE)*$Q183*_xlfn.IFERROR((VLOOKUP(P183,'Settings'!$E$28:$F$33,2,FALSE)+1),1)</f>
        <v>14.4714003515691</v>
      </c>
      <c r="Y183" s="79">
        <f>VLOOKUP(B183,'Player Data'!$A1:$AE667,13,FALSE)*$Q183</f>
        <v>0.121771147518736</v>
      </c>
      <c r="Z183" s="79">
        <f>VLOOKUP(B183,'Player Data'!$A1:$AE667,14,FALSE)*$Q183</f>
        <v>0.51227502672848</v>
      </c>
      <c r="AA183" s="79">
        <f>VLOOKUP(B183,'Player Data'!$A1:$AE667,15,FALSE)*$Q183</f>
        <v>32.3780950838052</v>
      </c>
      <c r="AB183" s="79">
        <f>VLOOKUP(B183,'Player Data'!$A1:$AE667,16,FALSE)*$Q183</f>
        <v>99.6453368714553</v>
      </c>
      <c r="AC183" s="79">
        <f>VLOOKUP(B183,'Player Data'!$A1:$AE667,17,FALSE)*$Q183*_xlfn.IFERROR((VLOOKUP(P183,'Settings'!$E$28:$F$33,2,FALSE)+1),1)</f>
        <v>3.10994762389079</v>
      </c>
      <c r="AD183" s="79">
        <f>VLOOKUP(B183,'Player Data'!$A1:$AE667,18,FALSE)*$Q183</f>
        <v>23.8123647724638</v>
      </c>
      <c r="AE183" s="79">
        <f>VLOOKUP(B183,'Player Data'!$A1:$AE667,19,FALSE)*$Q183*_xlfn.IFERROR((VLOOKUP(P183,'Settings'!$E$28:$F$33,2,FALSE)+1),1)</f>
        <v>3.27014488360515</v>
      </c>
      <c r="AF183" s="79">
        <f>VLOOKUP(B183,'Player Data'!$A1:$AE667,20,FALSE)*$Q183</f>
        <v>460.821953592283</v>
      </c>
      <c r="AG183" s="79">
        <f>VLOOKUP(B183,'Player Data'!$A1:$AE667,21,FALSE)*$Q183</f>
        <v>451.295332227023</v>
      </c>
      <c r="AH183" s="81">
        <f>VLOOKUP(B183,'Player Data'!$A1:$AE667,22,FALSE)</f>
        <v>0.505222256782856</v>
      </c>
      <c r="AI183" s="77"/>
      <c r="AJ183" s="89"/>
      <c r="AK183" s="79"/>
      <c r="AL183" s="79"/>
      <c r="AM183" s="79"/>
      <c r="AN183" s="79"/>
      <c r="AO183" s="79"/>
      <c r="AP183" s="79"/>
      <c r="AQ183" s="82"/>
      <c r="AR183" s="83"/>
      <c r="AS183" s="84"/>
    </row>
    <row r="184" ht="21.25" customHeight="1">
      <c r="A184" s="85">
        <f>RANK(K184,K$1:K$665)</f>
        <v>163</v>
      </c>
      <c r="B184" t="s" s="16">
        <v>371</v>
      </c>
      <c r="C184" t="s" s="69">
        <v>127</v>
      </c>
      <c r="D184" t="s" s="70">
        <f>VLOOKUP(B184,'Player Data'!A1:D667,4,FALSE)</f>
        <v>161</v>
      </c>
      <c r="E184" s="99">
        <f>VLOOKUP(B184,'G'!A1:D65,3,FALSE)</f>
        <v>32</v>
      </c>
      <c r="F184" t="s" s="86">
        <f>VLOOKUP(B184,'Player Data'!A1:B667,2,FALSE)</f>
        <v>174</v>
      </c>
      <c r="G184" s="96">
        <f>VLOOKUP(B184,'Player Data'!A1:D667,3,FALSE)</f>
        <v>23</v>
      </c>
      <c r="H184" s="73">
        <f>_xlfn.IFERROR(VLOOKUP(B184,'ADP'!A1:G665,7,FALSE)/1000000,VLOOKUP(B184,'ADP'!A1:G665,7,FALSE))</f>
        <v>0.85</v>
      </c>
      <c r="I184" s="74">
        <f>IF('Settings'!$E$15="POINTS",(AJ184*'Settings'!$B$29)+(AK184*'Settings'!$B$21)+(AL184*'Settings'!$B$22)+(AN184*'Settings'!$B$24)+(AO184*'Settings'!$B$25)+(AP184*'Settings'!$B$27)+(AM184*'Settings'!$B$23),VLOOKUP(B184,'Standard Deviations'!A1:C666,3,FALSE))</f>
        <v>219.202874736760</v>
      </c>
      <c r="J184" s="75">
        <f>IF(D184="G",I184/AJ184,I184/Q184)</f>
        <v>5.21911606516095</v>
      </c>
      <c r="K184" s="74">
        <f>VLOOKUP(B184,'G'!A1:F65,6,FALSE)</f>
        <v>-48.388139827830</v>
      </c>
      <c r="L184" s="76">
        <f>_xlfn.IFERROR(K184/H184,"N/A")</f>
        <v>-56.9272233268588</v>
      </c>
      <c r="M184" s="77">
        <f>IF('Settings'!$E$9="YAHOO",VLOOKUP(B184,'ADP'!A1:E665,2,FALSE),IF('Settings'!$E$9="ESPN",VLOOKUP(B184,'ADP'!A1:E665,3,FALSE),IF('Settings'!$E$9="FANTRAX",VLOOKUP(B184,'ADP'!A1:E665,4,FALSE),VLOOKUP(B184,'ADP'!A1:E665,5,FALSE))))</f>
        <v>0</v>
      </c>
      <c r="N184" s="77">
        <f>_xlfn.IFERROR(M184-A184,"N/A")</f>
        <v>-163</v>
      </c>
      <c r="O184" s="77"/>
      <c r="P184" t="s" s="78">
        <f>IF('Settings'!$E$27="ON",VLOOKUP(B184,'ADP'!A1:H665,8,FALSE)," ")</f>
        <v>138</v>
      </c>
      <c r="Q184" s="79"/>
      <c r="R184" s="77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81"/>
      <c r="AI184" s="77"/>
      <c r="AJ184" s="89">
        <f>VLOOKUP(B184,'Player Data'!$A1:$AE667,24,FALSE)</f>
        <v>42</v>
      </c>
      <c r="AK184" s="79">
        <f>VLOOKUP(B184,'Player Data'!$A1:$AE667,25,FALSE)*$AJ184*_xlfn.IFERROR((VLOOKUP(P184,'Settings'!$E$28:$F$33,2,FALSE)+1),1)</f>
        <v>18.9036400245094</v>
      </c>
      <c r="AL184" s="79">
        <f>AJ184-AK184-AM184</f>
        <v>17.8463599754906</v>
      </c>
      <c r="AM184" s="79">
        <f>VLOOKUP(B184,'Player Data'!$A1:$AE667,27,FALSE)*$AJ184</f>
        <v>5.25</v>
      </c>
      <c r="AN184" s="79">
        <f>VLOOKUP(B184,'Player Data'!$A1:$AE667,28,FALSE)*AJ184</f>
        <v>1.84244894456104</v>
      </c>
      <c r="AO184" s="79">
        <f>VLOOKUP(B184,'Player Data'!$A1:$AE667,29,FALSE)*$AJ184*_xlfn.IFERROR((VLOOKUP(P184,'Settings'!$E$28:$F$33,2,FALSE)/4)+1,1)</f>
        <v>1166.184847888190</v>
      </c>
      <c r="AP184" s="79">
        <f>VLOOKUP(B184,'Player Data'!$A1:$AE667,31,FALSE)*$AJ184*(_xlfn.IFERROR(1-(VLOOKUP(P184,'Settings'!$E$28:$F$33,2,FALSE)/4),1))</f>
        <v>124.774866317812</v>
      </c>
      <c r="AQ184" s="82">
        <f>1-(AP184/(AO184+AP184))</f>
        <v>0.9033472036774181</v>
      </c>
      <c r="AR184" s="83">
        <f>AP184/AJ184</f>
        <v>2.9708301504241</v>
      </c>
      <c r="AS184" s="84"/>
    </row>
    <row r="185" ht="21.25" customHeight="1">
      <c r="A185" s="85">
        <f>RANK(K185,K$1:K$665)</f>
        <v>171</v>
      </c>
      <c r="B185" t="s" s="16">
        <v>372</v>
      </c>
      <c r="C185" t="s" s="69">
        <v>127</v>
      </c>
      <c r="D185" t="s" s="70">
        <f>VLOOKUP(B185,'Player Data'!A1:D667,4,FALSE)</f>
        <v>153</v>
      </c>
      <c r="E185" s="95">
        <f>VLOOKUP(B185,'D'!A1:C213,3,FALSE)</f>
        <v>46</v>
      </c>
      <c r="F185" t="s" s="78">
        <f>VLOOKUP(B185,'Player Data'!A1:B667,2,FALSE)</f>
        <v>216</v>
      </c>
      <c r="G185" s="11">
        <f>VLOOKUP(B185,'Player Data'!A1:D667,3,FALSE)</f>
        <v>29</v>
      </c>
      <c r="H185" s="94">
        <f>_xlfn.IFERROR(VLOOKUP(B185,'ADP'!A1:G665,7,FALSE)/1000000,VLOOKUP(B185,'ADP'!A1:G665,7,FALSE))</f>
        <v>5.2</v>
      </c>
      <c r="I185" s="74">
        <f>IF('Settings'!$E$15="POINTS",((R185*Q185)*'Settings'!$B$12)+(S185*'Settings'!$B$2)+(T185*'Settings'!$B$3)+(U185*'Settings'!$B$4)+(V185*'Settings'!$B$5)+(X185*'Settings'!$B$9)+(AA185*'Settings'!$B$6)+(W185*'Settings'!$B$8)+(AB185*'Settings'!$B$7)+(AC185*'Settings'!$B$14)+(AD185*'Settings'!$B$15)+(AE185*'Settings'!$B$16)+(AF185*'Settings'!$B$17)+(AG185*'Settings'!$B$18)+(U185*'Settings'!$B$13)+(Y185*'Settings'!$B$10)+(Z185*'Settings'!$B$11),VLOOKUP(B185,'Standard Deviations'!A1:C666,3,FALSE))</f>
        <v>279.042968460215</v>
      </c>
      <c r="J185" s="75">
        <f>IF(D185="G",I185/AJ185,I185/Q185)</f>
        <v>3.89154129363664</v>
      </c>
      <c r="K185" s="74">
        <f>VLOOKUP(B185,'D'!A1:F213,6,FALSE)</f>
        <v>-52.497239459867</v>
      </c>
      <c r="L185" s="76">
        <f>_xlfn.IFERROR(K185/H185,"N/A")</f>
        <v>-10.0956229730513</v>
      </c>
      <c r="M185" s="77">
        <f>IF('Settings'!$E$9="YAHOO",VLOOKUP(B185,'ADP'!A1:E665,2,FALSE),IF('Settings'!$E$9="ESPN",VLOOKUP(B185,'ADP'!A1:E665,3,FALSE),IF('Settings'!$E$9="FANTRAX",VLOOKUP(B185,'ADP'!A1:E665,4,FALSE),VLOOKUP(B185,'ADP'!A1:E665,5,FALSE))))</f>
        <v>0</v>
      </c>
      <c r="N185" s="77">
        <f>_xlfn.IFERROR(M185-A185,"N/A")</f>
        <v>-171</v>
      </c>
      <c r="O185" s="77"/>
      <c r="P185" t="s" s="78">
        <f>IF('Settings'!$E$27="ON",VLOOKUP(B185,'ADP'!A1:H665,8,FALSE)," ")</f>
        <v>138</v>
      </c>
      <c r="Q185" s="79">
        <f>IF('Settings'!$E$12="YES",VLOOKUP(B185,'Player Data'!A1:E667,5,FALSE),82)</f>
        <v>71.705</v>
      </c>
      <c r="R185" s="77">
        <f>VLOOKUP(B185,'Player Data'!$A1:$AE667,6,FALSE)</f>
        <v>22.0700633710829</v>
      </c>
      <c r="S185" s="79">
        <f>VLOOKUP(B185,'Player Data'!$A1:$AE667,7,FALSE)*$Q185*_xlfn.IFERROR((VLOOKUP(P185,'Settings'!$E$28:$F$33,2,FALSE)+1),1)</f>
        <v>10.4505296738449</v>
      </c>
      <c r="T185" s="79">
        <f>VLOOKUP(B185,'Player Data'!$A1:$AE667,8,FALSE)*$Q185*_xlfn.IFERROR((VLOOKUP(P185,'Settings'!$E$28:$F$33,2,FALSE)+1),1)</f>
        <v>45.8165853519789</v>
      </c>
      <c r="U185" s="79">
        <f>SUM(S185:T185)</f>
        <v>56.2671150258238</v>
      </c>
      <c r="V185" s="79">
        <f>VLOOKUP(B185,'Player Data'!$A1:$AE667,10,FALSE)*$Q185*_xlfn.IFERROR(((VLOOKUP(P185,'Settings'!$E$28:$F$33,2,FALSE)/2)+1),1)</f>
        <v>166.333713453426</v>
      </c>
      <c r="W185" s="79">
        <f>VLOOKUP(B185,'Player Data'!$A1:$AE667,11,FALSE)*$Q185*_xlfn.IFERROR((VLOOKUP(P185,'Settings'!$E$28:$F$33,2,FALSE)+1),1)</f>
        <v>2.76075527000053</v>
      </c>
      <c r="X185" s="80">
        <f>VLOOKUP(B185,'Player Data'!$A1:$AE667,12,FALSE)*$Q185*_xlfn.IFERROR((VLOOKUP(P185,'Settings'!$E$28:$F$33,2,FALSE)+1),1)</f>
        <v>19.2885370799844</v>
      </c>
      <c r="Y185" s="79">
        <f>VLOOKUP(B185,'Player Data'!$A1:$AE667,13,FALSE)*$Q185</f>
        <v>0.00566955884033899</v>
      </c>
      <c r="Z185" s="79">
        <f>VLOOKUP(B185,'Player Data'!$A1:$AE667,14,FALSE)*$Q185</f>
        <v>0.027992829100101</v>
      </c>
      <c r="AA185" s="79">
        <f>VLOOKUP(B185,'Player Data'!$A1:$AE667,15,FALSE)*$Q185</f>
        <v>109.517202051846</v>
      </c>
      <c r="AB185" s="79">
        <f>VLOOKUP(B185,'Player Data'!$A1:$AE667,16,FALSE)*$Q185</f>
        <v>35.5169628464724</v>
      </c>
      <c r="AC185" s="79">
        <f>VLOOKUP(B185,'Player Data'!$A1:$AE667,17,FALSE)*$Q185*_xlfn.IFERROR((VLOOKUP(P185,'Settings'!$E$28:$F$33,2,FALSE)+1),1)</f>
        <v>3.57294237449347</v>
      </c>
      <c r="AD185" s="79">
        <f>VLOOKUP(B185,'Player Data'!$A1:$AE667,18,FALSE)*$Q185</f>
        <v>23.0093372546687</v>
      </c>
      <c r="AE185" s="79">
        <f>VLOOKUP(B185,'Player Data'!$A1:$AE667,19,FALSE)*$Q185*_xlfn.IFERROR((VLOOKUP(P185,'Settings'!$E$28:$F$33,2,FALSE)+1),1)</f>
        <v>1.58953903370657</v>
      </c>
      <c r="AF185" s="79">
        <f>VLOOKUP(B185,'Player Data'!$A1:$AE667,20,FALSE)*$Q185</f>
        <v>0</v>
      </c>
      <c r="AG185" s="79">
        <f>VLOOKUP(B185,'Player Data'!$A1:$AE667,21,FALSE)*$Q185</f>
        <v>0</v>
      </c>
      <c r="AH185" s="81">
        <f>VLOOKUP(B185,'Player Data'!$A1:$AE667,22,FALSE)</f>
        <v>0</v>
      </c>
      <c r="AI185" s="77"/>
      <c r="AJ185" s="89"/>
      <c r="AK185" s="79"/>
      <c r="AL185" s="79"/>
      <c r="AM185" s="79"/>
      <c r="AN185" s="79"/>
      <c r="AO185" s="79"/>
      <c r="AP185" s="79"/>
      <c r="AQ185" s="82"/>
      <c r="AR185" s="83"/>
      <c r="AS185" s="84"/>
    </row>
    <row r="186" ht="21.25" customHeight="1">
      <c r="A186" s="85">
        <f>RANK(K186,K$1:K$665)</f>
        <v>174</v>
      </c>
      <c r="B186" t="s" s="16">
        <v>373</v>
      </c>
      <c r="C186" t="s" s="69">
        <v>127</v>
      </c>
      <c r="D186" t="s" s="70">
        <f>VLOOKUP(B186,'Player Data'!A1:D667,4,FALSE)</f>
        <v>153</v>
      </c>
      <c r="E186" s="95">
        <f>VLOOKUP(B186,'D'!A1:C213,3,FALSE)</f>
        <v>47</v>
      </c>
      <c r="F186" t="s" s="88">
        <f>VLOOKUP(B186,'Player Data'!A1:B667,2,FALSE)</f>
        <v>304</v>
      </c>
      <c r="G186" s="91">
        <f>VLOOKUP(B186,'Player Data'!A1:D667,3,FALSE)</f>
        <v>31</v>
      </c>
      <c r="H186" s="94">
        <f>_xlfn.IFERROR(VLOOKUP(B186,'ADP'!A1:G665,7,FALSE)/1000000,VLOOKUP(B186,'ADP'!A1:G665,7,FALSE))</f>
        <v>4</v>
      </c>
      <c r="I186" s="74">
        <f>IF('Settings'!$E$15="POINTS",((R186*Q186)*'Settings'!$B$12)+(S186*'Settings'!$B$2)+(T186*'Settings'!$B$3)+(U186*'Settings'!$B$4)+(V186*'Settings'!$B$5)+(X186*'Settings'!$B$9)+(AA186*'Settings'!$B$6)+(W186*'Settings'!$B$8)+(AB186*'Settings'!$B$7)+(AC186*'Settings'!$B$14)+(AD186*'Settings'!$B$15)+(AE186*'Settings'!$B$16)+(AF186*'Settings'!$B$17)+(AG186*'Settings'!$B$18)+(U186*'Settings'!$B$13)+(Y186*'Settings'!$B$10)+(Z186*'Settings'!$B$11),VLOOKUP(B186,'Standard Deviations'!A1:C666,3,FALSE))</f>
        <v>278.304010959885</v>
      </c>
      <c r="J186" s="75">
        <f>IF(D186="G",I186/AJ186,I186/Q186)</f>
        <v>3.40006732793604</v>
      </c>
      <c r="K186" s="74">
        <f>VLOOKUP(B186,'D'!A1:F213,6,FALSE)</f>
        <v>-53.236196960197</v>
      </c>
      <c r="L186" s="76">
        <f>_xlfn.IFERROR(K186/H186,"N/A")</f>
        <v>-13.3090492400493</v>
      </c>
      <c r="M186" s="109">
        <f>IF('Settings'!$E$9="YAHOO",VLOOKUP(B186,'ADP'!A1:E665,2,FALSE),IF('Settings'!$E$9="ESPN",VLOOKUP(B186,'ADP'!A1:E665,3,FALSE),IF('Settings'!$E$9="FANTRAX",VLOOKUP(B186,'ADP'!A1:E665,4,FALSE),VLOOKUP(B186,'ADP'!A1:E665,5,FALSE))))</f>
        <v>0</v>
      </c>
      <c r="N186" s="79">
        <f>_xlfn.IFERROR(M186-A186,"N/A")</f>
        <v>-174</v>
      </c>
      <c r="O186" s="77"/>
      <c r="P186" t="s" s="78">
        <f>IF('Settings'!$E$27="ON",VLOOKUP(B186,'ADP'!A1:H665,8,FALSE)," ")</f>
        <v>138</v>
      </c>
      <c r="Q186" s="79">
        <f>IF('Settings'!$E$12="YES",VLOOKUP(B186,'Player Data'!A1:E667,5,FALSE),82)</f>
        <v>81.85250000000001</v>
      </c>
      <c r="R186" s="108">
        <f>VLOOKUP(B186,'Player Data'!$A1:$AE667,6,FALSE)</f>
        <v>21.626043998118</v>
      </c>
      <c r="S186" s="79">
        <f>VLOOKUP(B186,'Player Data'!$A1:$AE667,7,FALSE)*$Q186*_xlfn.IFERROR((VLOOKUP(P186,'Settings'!$E$28:$F$33,2,FALSE)+1),1)</f>
        <v>5.6683794767804</v>
      </c>
      <c r="T186" s="79">
        <f>VLOOKUP(B186,'Player Data'!$A1:$AE667,8,FALSE)*$Q186*_xlfn.IFERROR((VLOOKUP(P186,'Settings'!$E$28:$F$33,2,FALSE)+1),1)</f>
        <v>17.5943075385066</v>
      </c>
      <c r="U186" s="79">
        <f>SUM(S186:T186)</f>
        <v>23.262687015287</v>
      </c>
      <c r="V186" s="79">
        <f>VLOOKUP(B186,'Player Data'!$A1:$AE667,10,FALSE)*$Q186*_xlfn.IFERROR(((VLOOKUP(P186,'Settings'!$E$28:$F$33,2,FALSE)/2)+1),1)</f>
        <v>121.218227995</v>
      </c>
      <c r="W186" s="79">
        <f>VLOOKUP(B186,'Player Data'!$A1:$AE667,11,FALSE)*$Q186*_xlfn.IFERROR((VLOOKUP(P186,'Settings'!$E$28:$F$33,2,FALSE)+1),1)</f>
        <v>0.0160519099094318</v>
      </c>
      <c r="X186" s="79">
        <f>VLOOKUP(B186,'Player Data'!$A1:$AE667,12,FALSE)*$Q186*_xlfn.IFERROR((VLOOKUP(P186,'Settings'!$E$28:$F$33,2,FALSE)+1),1)</f>
        <v>0.12977865245875</v>
      </c>
      <c r="Y186" s="79">
        <f>VLOOKUP(B186,'Player Data'!$A1:$AE667,13,FALSE)*$Q186</f>
        <v>0.0282438151718234</v>
      </c>
      <c r="Z186" s="79">
        <f>VLOOKUP(B186,'Player Data'!$A1:$AE667,14,FALSE)*$Q186</f>
        <v>0.591811511592534</v>
      </c>
      <c r="AA186" s="79">
        <f>VLOOKUP(B186,'Player Data'!$A1:$AE667,15,FALSE)*$Q186</f>
        <v>149.202440309880</v>
      </c>
      <c r="AB186" s="79">
        <f>VLOOKUP(B186,'Player Data'!$A1:$AE667,16,FALSE)*$Q186</f>
        <v>153.881109770757</v>
      </c>
      <c r="AC186" s="79">
        <f>VLOOKUP(B186,'Player Data'!$A1:$AE667,17,FALSE)*$Q186*_xlfn.IFERROR((VLOOKUP(P186,'Settings'!$E$28:$F$33,2,FALSE)+1),1)</f>
        <v>-0.603037181400003</v>
      </c>
      <c r="AD186" s="79">
        <f>VLOOKUP(B186,'Player Data'!$A1:$AE667,18,FALSE)*$Q186</f>
        <v>45.6611375683188</v>
      </c>
      <c r="AE186" s="79">
        <f>VLOOKUP(B186,'Player Data'!$A1:$AE667,19,FALSE)*$Q186*_xlfn.IFERROR((VLOOKUP(P186,'Settings'!$E$28:$F$33,2,FALSE)+1),1)</f>
        <v>0.860730221051403</v>
      </c>
      <c r="AF186" s="79">
        <f>VLOOKUP(B186,'Player Data'!$A1:$AE667,20,FALSE)*$Q186</f>
        <v>5.85971365170915e-13</v>
      </c>
      <c r="AG186" s="79">
        <f>VLOOKUP(B186,'Player Data'!$A1:$AE667,21,FALSE)*$Q186</f>
        <v>2.56964836151489e-05</v>
      </c>
      <c r="AH186" s="81">
        <f>VLOOKUP(B186,'Player Data'!$A1:$AE667,22,FALSE)</f>
        <v>2.28035617862995e-08</v>
      </c>
      <c r="AI186" s="77"/>
      <c r="AJ186" s="79"/>
      <c r="AK186" s="79"/>
      <c r="AL186" s="79"/>
      <c r="AM186" s="79"/>
      <c r="AN186" s="79"/>
      <c r="AO186" s="79"/>
      <c r="AP186" s="79"/>
      <c r="AQ186" s="82"/>
      <c r="AR186" s="83"/>
      <c r="AS186" s="84"/>
    </row>
    <row r="187" ht="21.25" customHeight="1">
      <c r="A187" s="85">
        <f>RANK(K187,K$1:K$665)</f>
        <v>196</v>
      </c>
      <c r="B187" t="s" s="16">
        <v>374</v>
      </c>
      <c r="C187" t="s" s="69">
        <v>127</v>
      </c>
      <c r="D187" t="s" s="70">
        <f>VLOOKUP(B187,'Player Data'!A1:D667,4,FALSE)</f>
        <v>178</v>
      </c>
      <c r="E187" s="102">
        <f>VLOOKUP(B187,'LW'!A1:C152,3,FALSE)</f>
        <v>50</v>
      </c>
      <c r="F187" t="s" s="78">
        <f>VLOOKUP(B187,'Player Data'!A1:B667,2,FALSE)</f>
        <v>168</v>
      </c>
      <c r="G187" s="11">
        <f>VLOOKUP(B187,'Player Data'!A1:D667,3,FALSE)</f>
        <v>28</v>
      </c>
      <c r="H187" s="94">
        <f>_xlfn.IFERROR(VLOOKUP(B187,'ADP'!A1:G665,7,FALSE)/1000000,VLOOKUP(B187,'ADP'!A1:G665,7,FALSE))</f>
        <v>6</v>
      </c>
      <c r="I187" s="74">
        <f>IF('Settings'!$E$15="POINTS",((R187*Q187)*'Settings'!$B$12)+(S187*'Settings'!$B$2)+(T187*'Settings'!$B$3)+(U187*'Settings'!$B$4)+(V187*'Settings'!$B$5)+(X187*'Settings'!$B$9)+(AA187*'Settings'!$B$6)+(W187*'Settings'!$B$8)+(AB187*'Settings'!$B$7)+(AC187*'Settings'!$B$14)+(AD187*'Settings'!$B$15)+(AE187*'Settings'!$B$16)+(AF187*'Settings'!$B$17)+(AG187*'Settings'!$B$18)+(Y187*'Settings'!$B$10)+(Z187*'Settings'!$B$11),VLOOKUP(B187,'Standard Deviations'!A1:C666,3,FALSE))</f>
        <v>270.347527857760</v>
      </c>
      <c r="J187" s="75">
        <f>IF(D187="G",I187/AJ187,I187/Q187)</f>
        <v>3.60739937762631</v>
      </c>
      <c r="K187" s="74">
        <f>IF('Settings'!$E$18="C/LW/RW",VLOOKUP(B187,'LW'!A1:F152,6,FALSE),VLOOKUP(B187,'F'!A1:F392,6,FALSE))</f>
        <v>-61.372583908452</v>
      </c>
      <c r="L187" s="76">
        <f>_xlfn.IFERROR(K187/H187,"N/A")</f>
        <v>-10.228763984742</v>
      </c>
      <c r="M187" s="77">
        <f>IF('Settings'!$E$9="YAHOO",VLOOKUP(B187,'ADP'!A1:E665,2,FALSE),IF('Settings'!$E$9="ESPN",VLOOKUP(B187,'ADP'!A1:E665,3,FALSE),IF('Settings'!$E$9="FANTRAX",VLOOKUP(B187,'ADP'!A1:E665,4,FALSE),VLOOKUP(B187,'ADP'!A1:E665,5,FALSE))))</f>
        <v>0</v>
      </c>
      <c r="N187" s="77">
        <f>_xlfn.IFERROR(M187-A187,"N/A")</f>
        <v>-196</v>
      </c>
      <c r="O187" s="77"/>
      <c r="P187" t="s" s="78">
        <f>IF('Settings'!$E$27="ON",VLOOKUP(B187,'ADP'!A1:H665,8,FALSE)," ")</f>
        <v>138</v>
      </c>
      <c r="Q187" s="79">
        <f>IF('Settings'!$E$12="YES",VLOOKUP(B187,'Player Data'!A1:E667,5,FALSE),82)</f>
        <v>74.9425</v>
      </c>
      <c r="R187" s="98">
        <f>VLOOKUP(B187,'Player Data'!$A1:$AE667,6,FALSE)</f>
        <v>17.4798078610123</v>
      </c>
      <c r="S187" s="79">
        <f>VLOOKUP(B187,'Player Data'!$A1:$AE667,7,FALSE)*$Q187*_xlfn.IFERROR((VLOOKUP(P187,'Settings'!$E$28:$F$33,2,FALSE)+1),1)</f>
        <v>24.6083286572894</v>
      </c>
      <c r="T187" s="79">
        <f>VLOOKUP(B187,'Player Data'!$A1:$AE667,8,FALSE)*$Q187*_xlfn.IFERROR((VLOOKUP(P187,'Settings'!$E$28:$F$33,2,FALSE)+1),1)</f>
        <v>37.4128137895753</v>
      </c>
      <c r="U187" s="79">
        <f>SUM(S187:T187)</f>
        <v>62.0211424468647</v>
      </c>
      <c r="V187" s="79">
        <f>VLOOKUP(B187,'Player Data'!$A1:$AE667,10,FALSE)*$Q187*_xlfn.IFERROR(((VLOOKUP(P187,'Settings'!$E$28:$F$33,2,FALSE)/2)+1),1)</f>
        <v>237.378455018369</v>
      </c>
      <c r="W187" s="79">
        <f>VLOOKUP(B187,'Player Data'!$A1:$AE667,11,FALSE)*$Q187*_xlfn.IFERROR((VLOOKUP(P187,'Settings'!$E$28:$F$33,2,FALSE)+1),1)</f>
        <v>3.01927643513509</v>
      </c>
      <c r="X187" s="80">
        <f>VLOOKUP(B187,'Player Data'!$A1:$AE667,12,FALSE)*$Q187*_xlfn.IFERROR((VLOOKUP(P187,'Settings'!$E$28:$F$33,2,FALSE)+1),1)</f>
        <v>13.3655267403074</v>
      </c>
      <c r="Y187" s="79">
        <f>VLOOKUP(B187,'Player Data'!$A1:$AE667,13,FALSE)*$Q187</f>
        <v>0.00354549665507891</v>
      </c>
      <c r="Z187" s="79">
        <f>VLOOKUP(B187,'Player Data'!$A1:$AE667,14,FALSE)*$Q187</f>
        <v>0.0060171389149419</v>
      </c>
      <c r="AA187" s="79">
        <f>VLOOKUP(B187,'Player Data'!$A1:$AE667,15,FALSE)*$Q187</f>
        <v>34.7977331160637</v>
      </c>
      <c r="AB187" s="79">
        <f>VLOOKUP(B187,'Player Data'!$A1:$AE667,16,FALSE)*$Q187</f>
        <v>40.4617779342621</v>
      </c>
      <c r="AC187" s="79">
        <f>VLOOKUP(B187,'Player Data'!$A1:$AE667,17,FALSE)*$Q187*_xlfn.IFERROR((VLOOKUP(P187,'Settings'!$E$28:$F$33,2,FALSE)+1),1)</f>
        <v>5.74404992142619</v>
      </c>
      <c r="AD187" s="79">
        <f>VLOOKUP(B187,'Player Data'!$A1:$AE667,18,FALSE)*$Q187</f>
        <v>27.8416435528094</v>
      </c>
      <c r="AE187" s="79">
        <f>VLOOKUP(B187,'Player Data'!$A1:$AE667,19,FALSE)*$Q187*_xlfn.IFERROR((VLOOKUP(P187,'Settings'!$E$28:$F$33,2,FALSE)+1),1)</f>
        <v>4.09055776748399</v>
      </c>
      <c r="AF187" s="79">
        <f>VLOOKUP(B187,'Player Data'!$A1:$AE667,20,FALSE)*$Q187</f>
        <v>5.30528938142519</v>
      </c>
      <c r="AG187" s="79">
        <f>VLOOKUP(B187,'Player Data'!$A1:$AE667,21,FALSE)*$Q187</f>
        <v>7.2120501746456</v>
      </c>
      <c r="AH187" s="81">
        <f>VLOOKUP(B187,'Player Data'!$A1:$AE667,22,FALSE)</f>
        <v>0.423835221347189</v>
      </c>
      <c r="AI187" s="77"/>
      <c r="AJ187" s="79"/>
      <c r="AK187" s="79"/>
      <c r="AL187" s="79"/>
      <c r="AM187" s="79"/>
      <c r="AN187" s="79"/>
      <c r="AO187" s="79"/>
      <c r="AP187" s="79"/>
      <c r="AQ187" s="82"/>
      <c r="AR187" s="83"/>
      <c r="AS187" s="84"/>
    </row>
    <row r="188" ht="21.25" customHeight="1">
      <c r="A188" s="85">
        <f>RANK(K188,K$1:K$665)</f>
        <v>189</v>
      </c>
      <c r="B188" t="s" s="16">
        <v>375</v>
      </c>
      <c r="C188" t="s" s="69">
        <v>127</v>
      </c>
      <c r="D188" t="s" s="70">
        <f>VLOOKUP(B188,'Player Data'!A1:D667,4,FALSE)</f>
        <v>145</v>
      </c>
      <c r="E188" s="87">
        <f>VLOOKUP(B188,'RW'!A1:C136,3,FALSE)</f>
        <v>40</v>
      </c>
      <c r="F188" t="s" s="86">
        <f>VLOOKUP(B188,'Player Data'!A1:B667,2,FALSE)</f>
        <v>174</v>
      </c>
      <c r="G188" s="11">
        <f>VLOOKUP(B188,'Player Data'!A1:D667,3,FALSE)</f>
        <v>26</v>
      </c>
      <c r="H188" s="73">
        <f>_xlfn.IFERROR(VLOOKUP(B188,'ADP'!A1:G665,7,FALSE)/1000000,VLOOKUP(B188,'ADP'!A1:G665,7,FALSE))</f>
        <v>3.1</v>
      </c>
      <c r="I188" s="74">
        <f>IF('Settings'!$E$15="POINTS",((R188*Q188)*'Settings'!$B$12)+(S188*'Settings'!$B$2)+(T188*'Settings'!$B$3)+(U188*'Settings'!$B$4)+(V188*'Settings'!$B$5)+(X188*'Settings'!$B$9)+(AA188*'Settings'!$B$6)+(W188*'Settings'!$B$8)+(AB188*'Settings'!$B$7)+(AC188*'Settings'!$B$14)+(AD188*'Settings'!$B$15)+(AE188*'Settings'!$B$16)+(AF188*'Settings'!$B$17)+(AG188*'Settings'!$B$18)+(Y188*'Settings'!$B$10)+(Z188*'Settings'!$B$11),VLOOKUP(B188,'Standard Deviations'!A1:C666,3,FALSE))</f>
        <v>269.588445524555</v>
      </c>
      <c r="J188" s="75">
        <f>IF(D188="G",I188/AJ188,I188/Q188)</f>
        <v>3.35027738558493</v>
      </c>
      <c r="K188" s="74">
        <f>IF('Settings'!$E$18="C/LW/RW",VLOOKUP(B188,'RW'!A1:F136,6,FALSE),VLOOKUP(B188,'F'!A1:F392,6,FALSE))</f>
        <v>-60.103448556623</v>
      </c>
      <c r="L188" s="76">
        <f>_xlfn.IFERROR(K188/H188,"N/A")</f>
        <v>-19.3882092118139</v>
      </c>
      <c r="M188" s="77">
        <f>IF('Settings'!$E$9="YAHOO",VLOOKUP(B188,'ADP'!A1:E665,2,FALSE),IF('Settings'!$E$9="ESPN",VLOOKUP(B188,'ADP'!A1:E665,3,FALSE),IF('Settings'!$E$9="FANTRAX",VLOOKUP(B188,'ADP'!A1:E665,4,FALSE),VLOOKUP(B188,'ADP'!A1:E665,5,FALSE))))</f>
        <v>0</v>
      </c>
      <c r="N188" s="77">
        <f>_xlfn.IFERROR(M188-A188,"N/A")</f>
        <v>-189</v>
      </c>
      <c r="O188" s="77"/>
      <c r="P188" t="s" s="78">
        <f>IF('Settings'!$E$27="ON",VLOOKUP(B188,'ADP'!A1:H665,8,FALSE)," ")</f>
        <v>138</v>
      </c>
      <c r="Q188" s="79">
        <f>IF('Settings'!$E$12="YES",VLOOKUP(B188,'Player Data'!A1:E667,5,FALSE),82)</f>
        <v>80.4675</v>
      </c>
      <c r="R188" s="77">
        <f>VLOOKUP(B188,'Player Data'!$A1:$AE667,6,FALSE)</f>
        <v>18.2878523117691</v>
      </c>
      <c r="S188" s="79">
        <f>VLOOKUP(B188,'Player Data'!$A1:$AE667,7,FALSE)*$Q188*_xlfn.IFERROR((VLOOKUP(P188,'Settings'!$E$28:$F$33,2,FALSE)+1),1)</f>
        <v>28.4688096228278</v>
      </c>
      <c r="T188" s="79">
        <f>VLOOKUP(B188,'Player Data'!$A1:$AE667,8,FALSE)*$Q188*_xlfn.IFERROR((VLOOKUP(P188,'Settings'!$E$28:$F$33,2,FALSE)+1),1)</f>
        <v>31.9825049891651</v>
      </c>
      <c r="U188" s="79">
        <f>SUM(S188:T188)</f>
        <v>60.4513146119929</v>
      </c>
      <c r="V188" s="79">
        <f>VLOOKUP(B188,'Player Data'!$A1:$AE667,10,FALSE)*$Q188*_xlfn.IFERROR(((VLOOKUP(P188,'Settings'!$E$28:$F$33,2,FALSE)/2)+1),1)</f>
        <v>193.806094725664</v>
      </c>
      <c r="W188" s="79">
        <f>VLOOKUP(B188,'Player Data'!$A1:$AE667,11,FALSE)*$Q188*_xlfn.IFERROR((VLOOKUP(P188,'Settings'!$E$28:$F$33,2,FALSE)+1),1)</f>
        <v>7.17721620642669</v>
      </c>
      <c r="X188" s="80">
        <f>VLOOKUP(B188,'Player Data'!$A1:$AE667,12,FALSE)*$Q188*_xlfn.IFERROR((VLOOKUP(P188,'Settings'!$E$28:$F$33,2,FALSE)+1),1)</f>
        <v>19.5305895024133</v>
      </c>
      <c r="Y188" s="79">
        <f>VLOOKUP(B188,'Player Data'!$A1:$AE667,13,FALSE)*$Q188</f>
        <v>2.1982187435408</v>
      </c>
      <c r="Z188" s="79">
        <f>VLOOKUP(B188,'Player Data'!$A1:$AE667,14,FALSE)*$Q188</f>
        <v>4.71204336538727</v>
      </c>
      <c r="AA188" s="79">
        <f>VLOOKUP(B188,'Player Data'!$A1:$AE667,15,FALSE)*$Q188</f>
        <v>44.4343111926341</v>
      </c>
      <c r="AB188" s="79">
        <f>VLOOKUP(B188,'Player Data'!$A1:$AE667,16,FALSE)*$Q188</f>
        <v>25.5724062580822</v>
      </c>
      <c r="AC188" s="79">
        <f>VLOOKUP(B188,'Player Data'!$A1:$AE667,17,FALSE)*$Q188*_xlfn.IFERROR((VLOOKUP(P188,'Settings'!$E$28:$F$33,2,FALSE)+1),1)</f>
        <v>-5.50034930700727</v>
      </c>
      <c r="AD188" s="79">
        <f>VLOOKUP(B188,'Player Data'!$A1:$AE667,18,FALSE)*$Q188</f>
        <v>18.1702368915693</v>
      </c>
      <c r="AE188" s="79">
        <f>VLOOKUP(B188,'Player Data'!$A1:$AE667,19,FALSE)*$Q188*_xlfn.IFERROR((VLOOKUP(P188,'Settings'!$E$28:$F$33,2,FALSE)+1),1)</f>
        <v>4.13605622702508</v>
      </c>
      <c r="AF188" s="79">
        <f>VLOOKUP(B188,'Player Data'!$A1:$AE667,20,FALSE)*$Q188</f>
        <v>117.105600646236</v>
      </c>
      <c r="AG188" s="79">
        <f>VLOOKUP(B188,'Player Data'!$A1:$AE667,21,FALSE)*$Q188</f>
        <v>194.624104863355</v>
      </c>
      <c r="AH188" s="81">
        <f>VLOOKUP(B188,'Player Data'!$A1:$AE667,22,FALSE)</f>
        <v>0.375663911961168</v>
      </c>
      <c r="AI188" s="77"/>
      <c r="AJ188" s="79"/>
      <c r="AK188" s="79"/>
      <c r="AL188" s="79"/>
      <c r="AM188" s="79"/>
      <c r="AN188" s="79"/>
      <c r="AO188" s="79"/>
      <c r="AP188" s="79"/>
      <c r="AQ188" s="82"/>
      <c r="AR188" s="83"/>
      <c r="AS188" s="84"/>
    </row>
    <row r="189" ht="21.25" customHeight="1">
      <c r="A189" s="85">
        <f>RANK(K189,K$1:K$665)</f>
        <v>203</v>
      </c>
      <c r="B189" t="s" s="16">
        <v>376</v>
      </c>
      <c r="C189" t="s" s="69">
        <v>127</v>
      </c>
      <c r="D189" t="s" s="70">
        <f>VLOOKUP(B189,'Player Data'!A1:D667,4,FALSE)</f>
        <v>128</v>
      </c>
      <c r="E189" s="71">
        <f>VLOOKUP(B189,'C'!A1:C206,3,FALSE)</f>
        <v>65</v>
      </c>
      <c r="F189" t="s" s="104">
        <f>VLOOKUP(B189,'Player Data'!A1:B667,2,FALSE)</f>
        <v>281</v>
      </c>
      <c r="G189" s="96">
        <f>VLOOKUP(B189,'Player Data'!A1:D667,3,FALSE)</f>
        <v>19</v>
      </c>
      <c r="H189" s="73">
        <f>_xlfn.IFERROR(VLOOKUP(B189,'ADP'!A1:G665,7,FALSE)/1000000,VLOOKUP(B189,'ADP'!A1:G665,7,FALSE))</f>
        <v>0.95</v>
      </c>
      <c r="I189" s="74">
        <f>IF('Settings'!$E$15="POINTS",((R189*Q189)*'Settings'!$B$12)+(S189*'Settings'!$B$2)+(T189*'Settings'!$B$3)+(U189*'Settings'!$B$4)+(V189*'Settings'!$B$5)+(X189*'Settings'!$B$9)+(AA189*'Settings'!$B$6)+(W189*'Settings'!$B$8)+(AB189*'Settings'!$B$7)+(AC189*'Settings'!$B$14)+(AD189*'Settings'!$B$15)+(AE189*'Settings'!$B$16)+(AF189*'Settings'!$B$17)+(AG189*'Settings'!$B$18)+(Y189*'Settings'!$B$10)+(Z189*'Settings'!$B$11),VLOOKUP(B189,'Standard Deviations'!A1:C666,3,FALSE))</f>
        <v>264.346088183893</v>
      </c>
      <c r="J189" s="75">
        <f>IF(D189="G",I189/AJ189,I189/Q189)</f>
        <v>3.68632112932496</v>
      </c>
      <c r="K189" s="74">
        <f>IF('Settings'!$E$18="C/LW/RW",VLOOKUP(B189,'C'!A1:F206,6,FALSE),VLOOKUP(B189,'F'!A1:F392,6,FALSE))</f>
        <v>-65.345805897285</v>
      </c>
      <c r="L189" s="76">
        <f>_xlfn.IFERROR(K189/H189,"N/A")</f>
        <v>-68.7850588392474</v>
      </c>
      <c r="M189" s="109">
        <f>IF('Settings'!$E$9="YAHOO",VLOOKUP(B189,'ADP'!A1:E665,2,FALSE),IF('Settings'!$E$9="ESPN",VLOOKUP(B189,'ADP'!A1:E665,3,FALSE),IF('Settings'!$E$9="FANTRAX",VLOOKUP(B189,'ADP'!A1:E665,4,FALSE),VLOOKUP(B189,'ADP'!A1:E665,5,FALSE))))</f>
        <v>0</v>
      </c>
      <c r="N189" s="79">
        <f>_xlfn.IFERROR(M189-A189,"N/A")</f>
        <v>-203</v>
      </c>
      <c r="O189" s="77"/>
      <c r="P189" t="s" s="78">
        <f>IF('Settings'!$E$27="ON",VLOOKUP(B189,'ADP'!A1:H665,8,FALSE)," ")</f>
        <v>138</v>
      </c>
      <c r="Q189" s="79">
        <f>IF('Settings'!$E$12="YES",VLOOKUP(B189,'Player Data'!A1:E667,5,FALSE),82)</f>
        <v>71.70999999999999</v>
      </c>
      <c r="R189" s="98">
        <f>VLOOKUP(B189,'Player Data'!$A1:$AE667,6,FALSE)</f>
        <v>17.7742867970202</v>
      </c>
      <c r="S189" s="79">
        <f>VLOOKUP(B189,'Player Data'!$A1:$AE667,7,FALSE)*$Q189*_xlfn.IFERROR((VLOOKUP(P189,'Settings'!$E$28:$F$33,2,FALSE)+1),1)</f>
        <v>22.7952388702803</v>
      </c>
      <c r="T189" s="79">
        <f>VLOOKUP(B189,'Player Data'!$A1:$AE667,8,FALSE)*$Q189*_xlfn.IFERROR((VLOOKUP(P189,'Settings'!$E$28:$F$33,2,FALSE)+1),1)</f>
        <v>30.2160904506406</v>
      </c>
      <c r="U189" s="79">
        <f>SUM(S189:T189)</f>
        <v>53.0113293209209</v>
      </c>
      <c r="V189" s="79">
        <f>VLOOKUP(B189,'Player Data'!$A1:$AE667,10,FALSE)*$Q189*_xlfn.IFERROR(((VLOOKUP(P189,'Settings'!$E$28:$F$33,2,FALSE)/2)+1),1)</f>
        <v>190.784815785814</v>
      </c>
      <c r="W189" s="79">
        <f>VLOOKUP(B189,'Player Data'!$A1:$AE667,11,FALSE)*$Q189*_xlfn.IFERROR((VLOOKUP(P189,'Settings'!$E$28:$F$33,2,FALSE)+1),1)</f>
        <v>4.4451927561365</v>
      </c>
      <c r="X189" s="80">
        <f>VLOOKUP(B189,'Player Data'!$A1:$AE667,12,FALSE)*$Q189*_xlfn.IFERROR((VLOOKUP(P189,'Settings'!$E$28:$F$33,2,FALSE)+1),1)</f>
        <v>12.0114546216222</v>
      </c>
      <c r="Y189" s="79">
        <f>VLOOKUP(B189,'Player Data'!$A1:$AE667,13,FALSE)*$Q189</f>
        <v>0.0117785248571051</v>
      </c>
      <c r="Z189" s="79">
        <f>VLOOKUP(B189,'Player Data'!$A1:$AE667,14,FALSE)*$Q189</f>
        <v>0.0197935997798691</v>
      </c>
      <c r="AA189" s="79">
        <f>VLOOKUP(B189,'Player Data'!$A1:$AE667,15,FALSE)*$Q189</f>
        <v>38.9775180006848</v>
      </c>
      <c r="AB189" s="79">
        <f>VLOOKUP(B189,'Player Data'!$A1:$AE667,16,FALSE)*$Q189</f>
        <v>94.46868008577481</v>
      </c>
      <c r="AC189" s="79">
        <f>VLOOKUP(B189,'Player Data'!$A1:$AE667,17,FALSE)*$Q189*_xlfn.IFERROR((VLOOKUP(P189,'Settings'!$E$28:$F$33,2,FALSE)+1),1)</f>
        <v>-8.495010626044611</v>
      </c>
      <c r="AD189" s="79">
        <f>VLOOKUP(B189,'Player Data'!$A1:$AE667,18,FALSE)*$Q189</f>
        <v>29.6082260275878</v>
      </c>
      <c r="AE189" s="79">
        <f>VLOOKUP(B189,'Player Data'!$A1:$AE667,19,FALSE)*$Q189*_xlfn.IFERROR((VLOOKUP(P189,'Settings'!$E$28:$F$33,2,FALSE)+1),1)</f>
        <v>2.52079665377391</v>
      </c>
      <c r="AF189" s="79">
        <f>VLOOKUP(B189,'Player Data'!$A1:$AE667,20,FALSE)*$Q189</f>
        <v>283.132751575277</v>
      </c>
      <c r="AG189" s="79">
        <f>VLOOKUP(B189,'Player Data'!$A1:$AE667,21,FALSE)*$Q189</f>
        <v>365.920105837054</v>
      </c>
      <c r="AH189" s="81">
        <f>VLOOKUP(B189,'Player Data'!$A1:$AE667,22,FALSE)</f>
        <v>0.436224489795918</v>
      </c>
      <c r="AI189" s="77"/>
      <c r="AJ189" s="79"/>
      <c r="AK189" s="79"/>
      <c r="AL189" s="79"/>
      <c r="AM189" s="79"/>
      <c r="AN189" s="79"/>
      <c r="AO189" s="79"/>
      <c r="AP189" s="79"/>
      <c r="AQ189" s="82"/>
      <c r="AR189" s="83"/>
      <c r="AS189" s="84"/>
    </row>
    <row r="190" ht="21.25" customHeight="1">
      <c r="A190" s="85">
        <f>RANK(K190,K$1:K$665)</f>
        <v>191</v>
      </c>
      <c r="B190" t="s" s="16">
        <v>377</v>
      </c>
      <c r="C190" t="s" s="69">
        <v>127</v>
      </c>
      <c r="D190" t="s" s="70">
        <f>VLOOKUP(B190,'Player Data'!A1:D667,4,FALSE)</f>
        <v>148</v>
      </c>
      <c r="E190" s="87">
        <f>VLOOKUP(B190,'RW'!A1:C136,3,FALSE)</f>
        <v>41</v>
      </c>
      <c r="F190" t="s" s="78">
        <f>VLOOKUP(B190,'Player Data'!A1:B667,2,FALSE)</f>
        <v>261</v>
      </c>
      <c r="G190" s="11">
        <f>VLOOKUP(B190,'Player Data'!A1:D667,3,FALSE)</f>
        <v>27</v>
      </c>
      <c r="H190" s="73">
        <f>_xlfn.IFERROR(VLOOKUP(B190,'ADP'!A1:G665,7,FALSE)/1000000,VLOOKUP(B190,'ADP'!A1:G665,7,FALSE))</f>
        <v>4.3</v>
      </c>
      <c r="I190" s="74">
        <f>IF('Settings'!$E$15="POINTS",((R190*Q190)*'Settings'!$B$12)+(S190*'Settings'!$B$2)+(T190*'Settings'!$B$3)+(U190*'Settings'!$B$4)+(V190*'Settings'!$B$5)+(X190*'Settings'!$B$9)+(AA190*'Settings'!$B$6)+(W190*'Settings'!$B$8)+(AB190*'Settings'!$B$7)+(AC190*'Settings'!$B$14)+(AD190*'Settings'!$B$15)+(AE190*'Settings'!$B$16)+(AF190*'Settings'!$B$17)+(AG190*'Settings'!$B$18)+(Y190*'Settings'!$B$10)+(Z190*'Settings'!$B$11),VLOOKUP(B190,'Standard Deviations'!A1:C666,3,FALSE))</f>
        <v>269.271871379416</v>
      </c>
      <c r="J190" s="75">
        <f>IF(D190="G",I190/AJ190,I190/Q190)</f>
        <v>3.3885593831173</v>
      </c>
      <c r="K190" s="74">
        <f>IF('Settings'!$E$18="C/LW/RW",VLOOKUP(B190,'RW'!A1:F136,6,FALSE),VLOOKUP(B190,'F'!A1:F392,6,FALSE))</f>
        <v>-60.420022701762</v>
      </c>
      <c r="L190" s="76">
        <f>_xlfn.IFERROR(K190/H190,"N/A")</f>
        <v>-14.0511680701772</v>
      </c>
      <c r="M190" s="77">
        <f>IF('Settings'!$E$9="YAHOO",VLOOKUP(B190,'ADP'!A1:E665,2,FALSE),IF('Settings'!$E$9="ESPN",VLOOKUP(B190,'ADP'!A1:E665,3,FALSE),IF('Settings'!$E$9="FANTRAX",VLOOKUP(B190,'ADP'!A1:E665,4,FALSE),VLOOKUP(B190,'ADP'!A1:E665,5,FALSE))))</f>
        <v>0</v>
      </c>
      <c r="N190" s="77">
        <f>_xlfn.IFERROR(M190-A190,"N/A")</f>
        <v>-191</v>
      </c>
      <c r="O190" s="77"/>
      <c r="P190" t="s" s="78">
        <f>IF('Settings'!$E$27="ON",VLOOKUP(B190,'ADP'!A1:H665,8,FALSE)," ")</f>
        <v>138</v>
      </c>
      <c r="Q190" s="79">
        <f>IF('Settings'!$E$12="YES",VLOOKUP(B190,'Player Data'!A1:E667,5,FALSE),82)</f>
        <v>79.465</v>
      </c>
      <c r="R190" s="77">
        <f>VLOOKUP(B190,'Player Data'!$A1:$AE667,6,FALSE)</f>
        <v>15.9187168299727</v>
      </c>
      <c r="S190" s="79">
        <f>VLOOKUP(B190,'Player Data'!$A1:$AE667,7,FALSE)*$Q190*_xlfn.IFERROR((VLOOKUP(P190,'Settings'!$E$28:$F$33,2,FALSE)+1),1)</f>
        <v>19.8426368758606</v>
      </c>
      <c r="T190" s="79">
        <f>VLOOKUP(B190,'Player Data'!$A1:$AE667,8,FALSE)*$Q190*_xlfn.IFERROR((VLOOKUP(P190,'Settings'!$E$28:$F$33,2,FALSE)+1),1)</f>
        <v>18.2303838070093</v>
      </c>
      <c r="U190" s="79">
        <f>SUM(S190:T190)</f>
        <v>38.0730206828699</v>
      </c>
      <c r="V190" s="79">
        <f>VLOOKUP(B190,'Player Data'!$A1:$AE667,10,FALSE)*$Q190*_xlfn.IFERROR(((VLOOKUP(P190,'Settings'!$E$28:$F$33,2,FALSE)/2)+1),1)</f>
        <v>152.273871102876</v>
      </c>
      <c r="W190" s="79">
        <f>VLOOKUP(B190,'Player Data'!$A1:$AE667,11,FALSE)*$Q190*_xlfn.IFERROR((VLOOKUP(P190,'Settings'!$E$28:$F$33,2,FALSE)+1),1)</f>
        <v>3.673556014231</v>
      </c>
      <c r="X190" s="79">
        <f>VLOOKUP(B190,'Player Data'!$A1:$AE667,12,FALSE)*$Q190*_xlfn.IFERROR((VLOOKUP(P190,'Settings'!$E$28:$F$33,2,FALSE)+1),1)</f>
        <v>5.85907695796452</v>
      </c>
      <c r="Y190" s="79">
        <f>VLOOKUP(B190,'Player Data'!$A1:$AE667,13,FALSE)*$Q190</f>
        <v>0.282793088676089</v>
      </c>
      <c r="Z190" s="79">
        <f>VLOOKUP(B190,'Player Data'!$A1:$AE667,14,FALSE)*$Q190</f>
        <v>0.848366304093096</v>
      </c>
      <c r="AA190" s="79">
        <f>VLOOKUP(B190,'Player Data'!$A1:$AE667,15,FALSE)*$Q190</f>
        <v>52.4240715703599</v>
      </c>
      <c r="AB190" s="79">
        <f>VLOOKUP(B190,'Player Data'!$A1:$AE667,16,FALSE)*$Q190</f>
        <v>162.013126858529</v>
      </c>
      <c r="AC190" s="79">
        <f>VLOOKUP(B190,'Player Data'!$A1:$AE667,17,FALSE)*$Q190*_xlfn.IFERROR((VLOOKUP(P190,'Settings'!$E$28:$F$33,2,FALSE)+1),1)</f>
        <v>-0.166446939130842</v>
      </c>
      <c r="AD190" s="79">
        <f>VLOOKUP(B190,'Player Data'!$A1:$AE667,18,FALSE)*$Q190</f>
        <v>37.6423602922924</v>
      </c>
      <c r="AE190" s="79">
        <f>VLOOKUP(B190,'Player Data'!$A1:$AE667,19,FALSE)*$Q190*_xlfn.IFERROR((VLOOKUP(P190,'Settings'!$E$28:$F$33,2,FALSE)+1),1)</f>
        <v>2.90356100644366</v>
      </c>
      <c r="AF190" s="79">
        <f>VLOOKUP(B190,'Player Data'!$A1:$AE667,20,FALSE)*$Q190</f>
        <v>27.4283945840947</v>
      </c>
      <c r="AG190" s="79">
        <f>VLOOKUP(B190,'Player Data'!$A1:$AE667,21,FALSE)*$Q190</f>
        <v>51.2663758767698</v>
      </c>
      <c r="AH190" s="81">
        <f>VLOOKUP(B190,'Player Data'!$A1:$AE667,22,FALSE)</f>
        <v>0.348541515827091</v>
      </c>
      <c r="AI190" s="77"/>
      <c r="AJ190" s="79"/>
      <c r="AK190" s="79"/>
      <c r="AL190" s="79"/>
      <c r="AM190" s="79"/>
      <c r="AN190" s="79"/>
      <c r="AO190" s="79"/>
      <c r="AP190" s="79"/>
      <c r="AQ190" s="82"/>
      <c r="AR190" s="83"/>
      <c r="AS190" s="84"/>
    </row>
    <row r="191" ht="21.25" customHeight="1">
      <c r="A191" s="85">
        <f>RANK(K191,K$1:K$665)</f>
        <v>178</v>
      </c>
      <c r="B191" t="s" s="16">
        <v>378</v>
      </c>
      <c r="C191" t="s" s="69">
        <v>127</v>
      </c>
      <c r="D191" t="s" s="70">
        <f>VLOOKUP(B191,'Player Data'!A1:D667,4,FALSE)</f>
        <v>153</v>
      </c>
      <c r="E191" s="95">
        <f>VLOOKUP(B191,'D'!A1:C213,3,FALSE)</f>
        <v>48</v>
      </c>
      <c r="F191" t="s" s="103">
        <f>VLOOKUP(B191,'Player Data'!A1:B667,2,FALSE)</f>
        <v>190</v>
      </c>
      <c r="G191" s="96">
        <f>VLOOKUP(B191,'Player Data'!A1:D667,3,FALSE)</f>
        <v>24</v>
      </c>
      <c r="H191" s="94">
        <f>_xlfn.IFERROR(VLOOKUP(B191,'ADP'!A1:G665,7,FALSE)/1000000,VLOOKUP(B191,'ADP'!A1:G665,7,FALSE))</f>
        <v>2.5</v>
      </c>
      <c r="I191" s="74">
        <f>IF('Settings'!$E$15="POINTS",((R191*Q191)*'Settings'!$B$12)+(S191*'Settings'!$B$2)+(T191*'Settings'!$B$3)+(U191*'Settings'!$B$4)+(V191*'Settings'!$B$5)+(X191*'Settings'!$B$9)+(AA191*'Settings'!$B$6)+(W191*'Settings'!$B$8)+(AB191*'Settings'!$B$7)+(AC191*'Settings'!$B$14)+(AD191*'Settings'!$B$15)+(AE191*'Settings'!$B$16)+(AF191*'Settings'!$B$17)+(AG191*'Settings'!$B$18)+(U191*'Settings'!$B$13)+(Y191*'Settings'!$B$10)+(Z191*'Settings'!$B$11),VLOOKUP(B191,'Standard Deviations'!A1:C666,3,FALSE))</f>
        <v>275.512002622509</v>
      </c>
      <c r="J191" s="75">
        <f>IF(D191="G",I191/AJ191,I191/Q191)</f>
        <v>3.41286429807078</v>
      </c>
      <c r="K191" s="74">
        <f>VLOOKUP(B191,'D'!A1:F213,6,FALSE)</f>
        <v>-56.028205297573</v>
      </c>
      <c r="L191" s="76">
        <f>_xlfn.IFERROR(K191/H191,"N/A")</f>
        <v>-22.4112821190292</v>
      </c>
      <c r="M191" s="109">
        <f>IF('Settings'!$E$9="YAHOO",VLOOKUP(B191,'ADP'!A1:E665,2,FALSE),IF('Settings'!$E$9="ESPN",VLOOKUP(B191,'ADP'!A1:E665,3,FALSE),IF('Settings'!$E$9="FANTRAX",VLOOKUP(B191,'ADP'!A1:E665,4,FALSE),VLOOKUP(B191,'ADP'!A1:E665,5,FALSE))))</f>
        <v>0</v>
      </c>
      <c r="N191" s="79">
        <f>_xlfn.IFERROR(M191-A191,"N/A")</f>
        <v>-178</v>
      </c>
      <c r="O191" s="77"/>
      <c r="P191" t="s" s="78">
        <f>IF('Settings'!$E$27="ON",VLOOKUP(B191,'ADP'!A1:H665,8,FALSE)," ")</f>
        <v>138</v>
      </c>
      <c r="Q191" s="79">
        <f>IF('Settings'!$E$12="YES",VLOOKUP(B191,'Player Data'!A1:E667,5,FALSE),82)</f>
        <v>80.72750000000001</v>
      </c>
      <c r="R191" s="77">
        <f>VLOOKUP(B191,'Player Data'!$A1:$AE667,6,FALSE)</f>
        <v>20.0120240859065</v>
      </c>
      <c r="S191" s="79">
        <f>VLOOKUP(B191,'Player Data'!$A1:$AE667,7,FALSE)*$Q191*_xlfn.IFERROR((VLOOKUP(P191,'Settings'!$E$28:$F$33,2,FALSE)+1),1)</f>
        <v>4.93851765167049</v>
      </c>
      <c r="T191" s="79">
        <f>VLOOKUP(B191,'Player Data'!$A1:$AE667,8,FALSE)*$Q191*_xlfn.IFERROR((VLOOKUP(P191,'Settings'!$E$28:$F$33,2,FALSE)+1),1)</f>
        <v>16.9945870387873</v>
      </c>
      <c r="U191" s="79">
        <f>SUM(S191:T191)</f>
        <v>21.9331046904578</v>
      </c>
      <c r="V191" s="79">
        <f>VLOOKUP(B191,'Player Data'!$A1:$AE667,10,FALSE)*$Q191*_xlfn.IFERROR(((VLOOKUP(P191,'Settings'!$E$28:$F$33,2,FALSE)/2)+1),1)</f>
        <v>111.205899144281</v>
      </c>
      <c r="W191" s="79">
        <f>VLOOKUP(B191,'Player Data'!$A1:$AE667,11,FALSE)*$Q191*_xlfn.IFERROR((VLOOKUP(P191,'Settings'!$E$28:$F$33,2,FALSE)+1),1)</f>
        <v>0.0251040657284795</v>
      </c>
      <c r="X191" s="79">
        <f>VLOOKUP(B191,'Player Data'!$A1:$AE667,12,FALSE)*$Q191*_xlfn.IFERROR((VLOOKUP(P191,'Settings'!$E$28:$F$33,2,FALSE)+1),1)</f>
        <v>0.160060508179196</v>
      </c>
      <c r="Y191" s="79">
        <f>VLOOKUP(B191,'Player Data'!$A1:$AE667,13,FALSE)*$Q191</f>
        <v>0.0283876246868874</v>
      </c>
      <c r="Z191" s="79">
        <f>VLOOKUP(B191,'Player Data'!$A1:$AE667,14,FALSE)*$Q191</f>
        <v>0.121130723950012</v>
      </c>
      <c r="AA191" s="79">
        <f>VLOOKUP(B191,'Player Data'!$A1:$AE667,15,FALSE)*$Q191</f>
        <v>153.674587680520</v>
      </c>
      <c r="AB191" s="79">
        <f>VLOOKUP(B191,'Player Data'!$A1:$AE667,16,FALSE)*$Q191</f>
        <v>156.741550961955</v>
      </c>
      <c r="AC191" s="79">
        <f>VLOOKUP(B191,'Player Data'!$A1:$AE667,17,FALSE)*$Q191*_xlfn.IFERROR((VLOOKUP(P191,'Settings'!$E$28:$F$33,2,FALSE)+1),1)</f>
        <v>2.71201011885197</v>
      </c>
      <c r="AD191" s="79">
        <f>VLOOKUP(B191,'Player Data'!$A1:$AE667,18,FALSE)*$Q191</f>
        <v>34.9901208640493</v>
      </c>
      <c r="AE191" s="79">
        <f>VLOOKUP(B191,'Player Data'!$A1:$AE667,19,FALSE)*$Q191*_xlfn.IFERROR((VLOOKUP(P191,'Settings'!$E$28:$F$33,2,FALSE)+1),1)</f>
        <v>0.776132190688651</v>
      </c>
      <c r="AF191" s="79">
        <f>VLOOKUP(B191,'Player Data'!$A1:$AE667,20,FALSE)*$Q191</f>
        <v>0</v>
      </c>
      <c r="AG191" s="79">
        <f>VLOOKUP(B191,'Player Data'!$A1:$AE667,21,FALSE)*$Q191</f>
        <v>0</v>
      </c>
      <c r="AH191" s="81">
        <f>VLOOKUP(B191,'Player Data'!$A1:$AE667,22,FALSE)</f>
        <v>0</v>
      </c>
      <c r="AI191" s="77"/>
      <c r="AJ191" s="79"/>
      <c r="AK191" s="79"/>
      <c r="AL191" s="79"/>
      <c r="AM191" s="79"/>
      <c r="AN191" s="79"/>
      <c r="AO191" s="79"/>
      <c r="AP191" s="79"/>
      <c r="AQ191" s="82"/>
      <c r="AR191" s="83"/>
      <c r="AS191" s="84"/>
    </row>
    <row r="192" ht="21.25" customHeight="1">
      <c r="A192" s="85">
        <f>RANK(K192,K$1:K$665)</f>
        <v>197</v>
      </c>
      <c r="B192" t="s" s="16">
        <v>379</v>
      </c>
      <c r="C192" t="s" s="69">
        <v>127</v>
      </c>
      <c r="D192" t="s" s="70">
        <f>VLOOKUP(B192,'Player Data'!A1:D667,4,FALSE)</f>
        <v>148</v>
      </c>
      <c r="E192" s="87">
        <f>VLOOKUP(B192,'RW'!A1:C136,3,FALSE)</f>
        <v>42</v>
      </c>
      <c r="F192" t="s" s="103">
        <f>VLOOKUP(B192,'Player Data'!A1:B667,2,FALSE)</f>
        <v>225</v>
      </c>
      <c r="G192" s="11">
        <f>VLOOKUP(B192,'Player Data'!A1:D667,3,FALSE)</f>
        <v>29</v>
      </c>
      <c r="H192" s="73">
        <f>_xlfn.IFERROR(VLOOKUP(B192,'ADP'!A1:G665,7,FALSE)/1000000,VLOOKUP(B192,'ADP'!A1:G665,7,FALSE))</f>
        <v>4.2</v>
      </c>
      <c r="I192" s="74">
        <f>IF('Settings'!$E$15="POINTS",((R192*Q192)*'Settings'!$B$12)+(S192*'Settings'!$B$2)+(T192*'Settings'!$B$3)+(U192*'Settings'!$B$4)+(V192*'Settings'!$B$5)+(X192*'Settings'!$B$9)+(AA192*'Settings'!$B$6)+(W192*'Settings'!$B$8)+(AB192*'Settings'!$B$7)+(AC192*'Settings'!$B$14)+(AD192*'Settings'!$B$15)+(AE192*'Settings'!$B$16)+(AF192*'Settings'!$B$17)+(AG192*'Settings'!$B$18)+(Y192*'Settings'!$B$10)+(Z192*'Settings'!$B$11),VLOOKUP(B192,'Standard Deviations'!A1:C666,3,FALSE))</f>
        <v>268.054128376422</v>
      </c>
      <c r="J192" s="75">
        <f>IF(D192="G",I192/AJ192,I192/Q192)</f>
        <v>3.40310570192557</v>
      </c>
      <c r="K192" s="74">
        <f>IF('Settings'!$E$18="C/LW/RW",VLOOKUP(B192,'RW'!A1:F136,6,FALSE),VLOOKUP(B192,'F'!A1:F392,6,FALSE))</f>
        <v>-61.637765704756</v>
      </c>
      <c r="L192" s="76">
        <f>_xlfn.IFERROR(K192/H192,"N/A")</f>
        <v>-14.6756585011324</v>
      </c>
      <c r="M192" s="77">
        <f>IF('Settings'!$E$9="YAHOO",VLOOKUP(B192,'ADP'!A1:E665,2,FALSE),IF('Settings'!$E$9="ESPN",VLOOKUP(B192,'ADP'!A1:E665,3,FALSE),IF('Settings'!$E$9="FANTRAX",VLOOKUP(B192,'ADP'!A1:E665,4,FALSE),VLOOKUP(B192,'ADP'!A1:E665,5,FALSE))))</f>
        <v>0</v>
      </c>
      <c r="N192" s="77">
        <f>_xlfn.IFERROR(M192-A192,"N/A")</f>
        <v>-197</v>
      </c>
      <c r="O192" s="77"/>
      <c r="P192" t="s" s="78">
        <f>IF('Settings'!$E$27="ON",VLOOKUP(B192,'ADP'!A1:H665,8,FALSE)," ")</f>
        <v>138</v>
      </c>
      <c r="Q192" s="79">
        <f>IF('Settings'!$E$12="YES",VLOOKUP(B192,'Player Data'!A1:E667,5,FALSE),82)</f>
        <v>78.7675</v>
      </c>
      <c r="R192" s="77">
        <f>VLOOKUP(B192,'Player Data'!$A1:$AE667,6,FALSE)</f>
        <v>17.3753708953217</v>
      </c>
      <c r="S192" s="79">
        <f>VLOOKUP(B192,'Player Data'!$A1:$AE667,7,FALSE)*$Q192*_xlfn.IFERROR((VLOOKUP(P192,'Settings'!$E$28:$F$33,2,FALSE)+1),1)</f>
        <v>21.7775853951369</v>
      </c>
      <c r="T192" s="79">
        <f>VLOOKUP(B192,'Player Data'!$A1:$AE667,8,FALSE)*$Q192*_xlfn.IFERROR((VLOOKUP(P192,'Settings'!$E$28:$F$33,2,FALSE)+1),1)</f>
        <v>25.5529097185349</v>
      </c>
      <c r="U192" s="79">
        <f>SUM(S192:T192)</f>
        <v>47.3304951136718</v>
      </c>
      <c r="V192" s="79">
        <f>VLOOKUP(B192,'Player Data'!$A1:$AE667,10,FALSE)*$Q192*_xlfn.IFERROR(((VLOOKUP(P192,'Settings'!$E$28:$F$33,2,FALSE)/2)+1),1)</f>
        <v>217.035328578320</v>
      </c>
      <c r="W192" s="79">
        <f>VLOOKUP(B192,'Player Data'!$A1:$AE667,11,FALSE)*$Q192*_xlfn.IFERROR((VLOOKUP(P192,'Settings'!$E$28:$F$33,2,FALSE)+1),1)</f>
        <v>1.97749729138638</v>
      </c>
      <c r="X192" s="79">
        <f>VLOOKUP(B192,'Player Data'!$A1:$AE667,12,FALSE)*$Q192*_xlfn.IFERROR((VLOOKUP(P192,'Settings'!$E$28:$F$33,2,FALSE)+1),1)</f>
        <v>6.20036291566157</v>
      </c>
      <c r="Y192" s="79">
        <f>VLOOKUP(B192,'Player Data'!$A1:$AE667,13,FALSE)*$Q192</f>
        <v>1.91911722802231</v>
      </c>
      <c r="Z192" s="79">
        <f>VLOOKUP(B192,'Player Data'!$A1:$AE667,14,FALSE)*$Q192</f>
        <v>2.56499342551052</v>
      </c>
      <c r="AA192" s="79">
        <f>VLOOKUP(B192,'Player Data'!$A1:$AE667,15,FALSE)*$Q192</f>
        <v>48.7021198727107</v>
      </c>
      <c r="AB192" s="79">
        <f>VLOOKUP(B192,'Player Data'!$A1:$AE667,16,FALSE)*$Q192</f>
        <v>83.2292818429848</v>
      </c>
      <c r="AC192" s="79">
        <f>VLOOKUP(B192,'Player Data'!$A1:$AE667,17,FALSE)*$Q192*_xlfn.IFERROR((VLOOKUP(P192,'Settings'!$E$28:$F$33,2,FALSE)+1),1)</f>
        <v>3.81785091073184</v>
      </c>
      <c r="AD192" s="79">
        <f>VLOOKUP(B192,'Player Data'!$A1:$AE667,18,FALSE)*$Q192</f>
        <v>26.3945398597488</v>
      </c>
      <c r="AE192" s="79">
        <f>VLOOKUP(B192,'Player Data'!$A1:$AE667,19,FALSE)*$Q192*_xlfn.IFERROR((VLOOKUP(P192,'Settings'!$E$28:$F$33,2,FALSE)+1),1)</f>
        <v>3.88101986966351</v>
      </c>
      <c r="AF192" s="79">
        <f>VLOOKUP(B192,'Player Data'!$A1:$AE667,20,FALSE)*$Q192</f>
        <v>16.7728379569762</v>
      </c>
      <c r="AG192" s="79">
        <f>VLOOKUP(B192,'Player Data'!$A1:$AE667,21,FALSE)*$Q192</f>
        <v>32.4287743137699</v>
      </c>
      <c r="AH192" s="81">
        <f>VLOOKUP(B192,'Player Data'!$A1:$AE667,22,FALSE)</f>
        <v>0.340900169382232</v>
      </c>
      <c r="AI192" s="77"/>
      <c r="AJ192" s="89"/>
      <c r="AK192" s="79"/>
      <c r="AL192" s="79"/>
      <c r="AM192" s="79"/>
      <c r="AN192" s="79"/>
      <c r="AO192" s="79"/>
      <c r="AP192" s="79"/>
      <c r="AQ192" s="82"/>
      <c r="AR192" s="83"/>
      <c r="AS192" s="84"/>
    </row>
    <row r="193" ht="21.25" customHeight="1">
      <c r="A193" s="85">
        <f>RANK(K193,K$1:K$665)</f>
        <v>182</v>
      </c>
      <c r="B193" t="s" s="16">
        <v>380</v>
      </c>
      <c r="C193" t="s" s="69">
        <v>127</v>
      </c>
      <c r="D193" t="s" s="70">
        <f>VLOOKUP(B193,'Player Data'!A1:D667,4,FALSE)</f>
        <v>153</v>
      </c>
      <c r="E193" s="95">
        <f>VLOOKUP(B193,'D'!A1:C213,3,FALSE)</f>
        <v>49</v>
      </c>
      <c r="F193" t="s" s="78">
        <f>VLOOKUP(B193,'Player Data'!A1:B667,2,FALSE)</f>
        <v>134</v>
      </c>
      <c r="G193" s="11">
        <f>VLOOKUP(B193,'Player Data'!A1:D667,3,FALSE)</f>
        <v>30</v>
      </c>
      <c r="H193" s="73">
        <f>_xlfn.IFERROR(VLOOKUP(B193,'ADP'!A1:G665,7,FALSE)/1000000,VLOOKUP(B193,'ADP'!A1:G665,7,FALSE))</f>
        <v>7.25</v>
      </c>
      <c r="I193" s="74">
        <f>IF('Settings'!$E$15="POINTS",((R193*Q193)*'Settings'!$B$12)+(S193*'Settings'!$B$2)+(T193*'Settings'!$B$3)+(U193*'Settings'!$B$4)+(V193*'Settings'!$B$5)+(X193*'Settings'!$B$9)+(AA193*'Settings'!$B$6)+(W193*'Settings'!$B$8)+(AB193*'Settings'!$B$7)+(AC193*'Settings'!$B$14)+(AD193*'Settings'!$B$15)+(AE193*'Settings'!$B$16)+(AF193*'Settings'!$B$17)+(AG193*'Settings'!$B$18)+(U193*'Settings'!$B$13)+(Y193*'Settings'!$B$10)+(Z193*'Settings'!$B$11),VLOOKUP(B193,'Standard Deviations'!A1:C666,3,FALSE))</f>
        <v>274.885243527</v>
      </c>
      <c r="J193" s="75">
        <f>IF(D193="G",I193/AJ193,I193/Q193)</f>
        <v>3.42942104082091</v>
      </c>
      <c r="K193" s="74">
        <f>VLOOKUP(B193,'D'!A1:F213,6,FALSE)</f>
        <v>-56.654964393082</v>
      </c>
      <c r="L193" s="76">
        <f>_xlfn.IFERROR(K193/H193,"N/A")</f>
        <v>-7.81447784732166</v>
      </c>
      <c r="M193" s="77">
        <f>IF('Settings'!$E$9="YAHOO",VLOOKUP(B193,'ADP'!A1:E665,2,FALSE),IF('Settings'!$E$9="ESPN",VLOOKUP(B193,'ADP'!A1:E665,3,FALSE),IF('Settings'!$E$9="FANTRAX",VLOOKUP(B193,'ADP'!A1:E665,4,FALSE),VLOOKUP(B193,'ADP'!A1:E665,5,FALSE))))</f>
        <v>0</v>
      </c>
      <c r="N193" s="77">
        <f>_xlfn.IFERROR(M193-A193,"N/A")</f>
        <v>-182</v>
      </c>
      <c r="O193" s="77"/>
      <c r="P193" t="s" s="78">
        <f>IF('Settings'!$E$27="ON",VLOOKUP(B193,'ADP'!A1:H665,8,FALSE)," ")</f>
        <v>138</v>
      </c>
      <c r="Q193" s="79">
        <f>IF('Settings'!$E$12="YES",VLOOKUP(B193,'Player Data'!A1:E667,5,FALSE),82)</f>
        <v>80.155</v>
      </c>
      <c r="R193" s="77">
        <f>VLOOKUP(B193,'Player Data'!$A1:$AE667,6,FALSE)</f>
        <v>22.5662692963687</v>
      </c>
      <c r="S193" s="79">
        <f>VLOOKUP(B193,'Player Data'!$A1:$AE667,7,FALSE)*$Q193*_xlfn.IFERROR((VLOOKUP(P193,'Settings'!$E$28:$F$33,2,FALSE)+1),1)</f>
        <v>9.28143804349631</v>
      </c>
      <c r="T193" s="79">
        <f>VLOOKUP(B193,'Player Data'!$A1:$AE667,8,FALSE)*$Q193*_xlfn.IFERROR((VLOOKUP(P193,'Settings'!$E$28:$F$33,2,FALSE)+1),1)</f>
        <v>36.2010648693995</v>
      </c>
      <c r="U193" s="79">
        <f>SUM(S193:T193)</f>
        <v>45.4825029128958</v>
      </c>
      <c r="V193" s="79">
        <f>VLOOKUP(B193,'Player Data'!$A1:$AE667,10,FALSE)*$Q193*_xlfn.IFERROR(((VLOOKUP(P193,'Settings'!$E$28:$F$33,2,FALSE)/2)+1),1)</f>
        <v>150.029104480658</v>
      </c>
      <c r="W193" s="79">
        <f>VLOOKUP(B193,'Player Data'!$A1:$AE667,11,FALSE)*$Q193*_xlfn.IFERROR((VLOOKUP(P193,'Settings'!$E$28:$F$33,2,FALSE)+1),1)</f>
        <v>0.437479676777046</v>
      </c>
      <c r="X193" s="79">
        <f>VLOOKUP(B193,'Player Data'!$A1:$AE667,12,FALSE)*$Q193*_xlfn.IFERROR((VLOOKUP(P193,'Settings'!$E$28:$F$33,2,FALSE)+1),1)</f>
        <v>3.94737549908099</v>
      </c>
      <c r="Y193" s="79">
        <f>VLOOKUP(B193,'Player Data'!$A1:$AE667,13,FALSE)*$Q193</f>
        <v>0.0250550551375084</v>
      </c>
      <c r="Z193" s="79">
        <f>VLOOKUP(B193,'Player Data'!$A1:$AE667,14,FALSE)*$Q193</f>
        <v>0.519130043744207</v>
      </c>
      <c r="AA193" s="79">
        <f>VLOOKUP(B193,'Player Data'!$A1:$AE667,15,FALSE)*$Q193</f>
        <v>115.687862155549</v>
      </c>
      <c r="AB193" s="79">
        <f>VLOOKUP(B193,'Player Data'!$A1:$AE667,16,FALSE)*$Q193</f>
        <v>79.1383701635385</v>
      </c>
      <c r="AC193" s="79">
        <f>VLOOKUP(B193,'Player Data'!$A1:$AE667,17,FALSE)*$Q193*_xlfn.IFERROR((VLOOKUP(P193,'Settings'!$E$28:$F$33,2,FALSE)+1),1)</f>
        <v>6.41106235038317</v>
      </c>
      <c r="AD193" s="79">
        <f>VLOOKUP(B193,'Player Data'!$A1:$AE667,18,FALSE)*$Q193</f>
        <v>23.9750174048681</v>
      </c>
      <c r="AE193" s="79">
        <f>VLOOKUP(B193,'Player Data'!$A1:$AE667,19,FALSE)*$Q193*_xlfn.IFERROR((VLOOKUP(P193,'Settings'!$E$28:$F$33,2,FALSE)+1),1)</f>
        <v>1.38674573401793</v>
      </c>
      <c r="AF193" s="79">
        <f>VLOOKUP(B193,'Player Data'!$A1:$AE667,20,FALSE)*$Q193</f>
        <v>0</v>
      </c>
      <c r="AG193" s="79">
        <f>VLOOKUP(B193,'Player Data'!$A1:$AE667,21,FALSE)*$Q193</f>
        <v>0</v>
      </c>
      <c r="AH193" s="81">
        <f>VLOOKUP(B193,'Player Data'!$A1:$AE667,22,FALSE)</f>
        <v>0</v>
      </c>
      <c r="AI193" s="77"/>
      <c r="AJ193" s="79"/>
      <c r="AK193" s="79"/>
      <c r="AL193" s="79"/>
      <c r="AM193" s="79"/>
      <c r="AN193" s="79"/>
      <c r="AO193" s="79"/>
      <c r="AP193" s="79"/>
      <c r="AQ193" s="82"/>
      <c r="AR193" s="83"/>
      <c r="AS193" s="84"/>
    </row>
    <row r="194" ht="21.25" customHeight="1">
      <c r="A194" s="85">
        <f>RANK(K194,K$1:K$665)</f>
        <v>207</v>
      </c>
      <c r="B194" t="s" s="16">
        <v>381</v>
      </c>
      <c r="C194" t="s" s="69">
        <v>127</v>
      </c>
      <c r="D194" t="s" s="70">
        <f>VLOOKUP(B194,'Player Data'!A1:D667,4,FALSE)</f>
        <v>128</v>
      </c>
      <c r="E194" s="71">
        <f>VLOOKUP(B194,'C'!A1:C206,3,FALSE)</f>
        <v>66</v>
      </c>
      <c r="F194" t="s" s="78">
        <f>VLOOKUP(B194,'Player Data'!A1:B667,2,FALSE)</f>
        <v>216</v>
      </c>
      <c r="G194" s="91">
        <f>VLOOKUP(B194,'Player Data'!A1:D667,3,FALSE)</f>
        <v>31</v>
      </c>
      <c r="H194" s="73">
        <f>_xlfn.IFERROR(VLOOKUP(B194,'ADP'!A1:G665,7,FALSE)/1000000,VLOOKUP(B194,'ADP'!A1:G665,7,FALSE))</f>
        <v>5.9</v>
      </c>
      <c r="I194" s="74">
        <f>IF('Settings'!$E$15="POINTS",((R194*Q194)*'Settings'!$B$12)+(S194*'Settings'!$B$2)+(T194*'Settings'!$B$3)+(U194*'Settings'!$B$4)+(V194*'Settings'!$B$5)+(X194*'Settings'!$B$9)+(AA194*'Settings'!$B$6)+(W194*'Settings'!$B$8)+(AB194*'Settings'!$B$7)+(AC194*'Settings'!$B$14)+(AD194*'Settings'!$B$15)+(AE194*'Settings'!$B$16)+(AF194*'Settings'!$B$17)+(AG194*'Settings'!$B$18)+(Y194*'Settings'!$B$10)+(Z194*'Settings'!$B$11),VLOOKUP(B194,'Standard Deviations'!A1:C666,3,FALSE))</f>
        <v>262.681917286389</v>
      </c>
      <c r="J194" s="75">
        <f>IF(D194="G",I194/AJ194,I194/Q194)</f>
        <v>3.35053465926517</v>
      </c>
      <c r="K194" s="74">
        <f>IF('Settings'!$E$18="C/LW/RW",VLOOKUP(B194,'C'!A1:F206,6,FALSE),VLOOKUP(B194,'F'!A1:F392,6,FALSE))</f>
        <v>-67.009976794789</v>
      </c>
      <c r="L194" s="76">
        <f>_xlfn.IFERROR(K194/H194,"N/A")</f>
        <v>-11.3576231855575</v>
      </c>
      <c r="M194" s="77">
        <f>IF('Settings'!$E$9="YAHOO",VLOOKUP(B194,'ADP'!A1:E665,2,FALSE),IF('Settings'!$E$9="ESPN",VLOOKUP(B194,'ADP'!A1:E665,3,FALSE),IF('Settings'!$E$9="FANTRAX",VLOOKUP(B194,'ADP'!A1:E665,4,FALSE),VLOOKUP(B194,'ADP'!A1:E665,5,FALSE))))</f>
        <v>0</v>
      </c>
      <c r="N194" s="77">
        <f>_xlfn.IFERROR(M194-A194,"N/A")</f>
        <v>-207</v>
      </c>
      <c r="O194" s="77"/>
      <c r="P194" t="s" s="78">
        <f>IF('Settings'!$E$27="ON",VLOOKUP(B194,'ADP'!A1:H665,8,FALSE)," ")</f>
        <v>138</v>
      </c>
      <c r="Q194" s="79">
        <f>IF('Settings'!$E$12="YES",VLOOKUP(B194,'Player Data'!A1:E667,5,FALSE),82)</f>
        <v>78.40000000000001</v>
      </c>
      <c r="R194" s="77">
        <f>VLOOKUP(B194,'Player Data'!$A1:$AE667,6,FALSE)</f>
        <v>17.8268616837611</v>
      </c>
      <c r="S194" s="79">
        <f>VLOOKUP(B194,'Player Data'!$A1:$AE667,7,FALSE)*$Q194*_xlfn.IFERROR((VLOOKUP(P194,'Settings'!$E$28:$F$33,2,FALSE)+1),1)</f>
        <v>21.2056567571612</v>
      </c>
      <c r="T194" s="79">
        <f>VLOOKUP(B194,'Player Data'!$A1:$AE667,8,FALSE)*$Q194*_xlfn.IFERROR((VLOOKUP(P194,'Settings'!$E$28:$F$33,2,FALSE)+1),1)</f>
        <v>31.611587458826</v>
      </c>
      <c r="U194" s="79">
        <f>SUM(S194:T194)</f>
        <v>52.8172442159872</v>
      </c>
      <c r="V194" s="79">
        <f>VLOOKUP(B194,'Player Data'!$A1:$AE667,10,FALSE)*$Q194*_xlfn.IFERROR(((VLOOKUP(P194,'Settings'!$E$28:$F$33,2,FALSE)/2)+1),1)</f>
        <v>177.542423582442</v>
      </c>
      <c r="W194" s="79">
        <f>VLOOKUP(B194,'Player Data'!$A1:$AE667,11,FALSE)*$Q194*_xlfn.IFERROR((VLOOKUP(P194,'Settings'!$E$28:$F$33,2,FALSE)+1),1)</f>
        <v>4.19759668204945</v>
      </c>
      <c r="X194" s="79">
        <f>VLOOKUP(B194,'Player Data'!$A1:$AE667,12,FALSE)*$Q194*_xlfn.IFERROR((VLOOKUP(P194,'Settings'!$E$28:$F$33,2,FALSE)+1),1)</f>
        <v>10.9956385029024</v>
      </c>
      <c r="Y194" s="79">
        <f>VLOOKUP(B194,'Player Data'!$A1:$AE667,13,FALSE)*$Q194</f>
        <v>1.45014759639549</v>
      </c>
      <c r="Z194" s="79">
        <f>VLOOKUP(B194,'Player Data'!$A1:$AE667,14,FALSE)*$Q194</f>
        <v>3.08400658542682</v>
      </c>
      <c r="AA194" s="79">
        <f>VLOOKUP(B194,'Player Data'!$A1:$AE667,15,FALSE)*$Q194</f>
        <v>51.0238489939246</v>
      </c>
      <c r="AB194" s="79">
        <f>VLOOKUP(B194,'Player Data'!$A1:$AE667,16,FALSE)*$Q194</f>
        <v>50.7712393135193</v>
      </c>
      <c r="AC194" s="79">
        <f>VLOOKUP(B194,'Player Data'!$A1:$AE667,17,FALSE)*$Q194*_xlfn.IFERROR((VLOOKUP(P194,'Settings'!$E$28:$F$33,2,FALSE)+1),1)</f>
        <v>3.85865432115159</v>
      </c>
      <c r="AD194" s="79">
        <f>VLOOKUP(B194,'Player Data'!$A1:$AE667,18,FALSE)*$Q194</f>
        <v>16.7153572491547</v>
      </c>
      <c r="AE194" s="79">
        <f>VLOOKUP(B194,'Player Data'!$A1:$AE667,19,FALSE)*$Q194*_xlfn.IFERROR((VLOOKUP(P194,'Settings'!$E$28:$F$33,2,FALSE)+1),1)</f>
        <v>3.22540772600762</v>
      </c>
      <c r="AF194" s="79">
        <f>VLOOKUP(B194,'Player Data'!$A1:$AE667,20,FALSE)*$Q194</f>
        <v>607.895685784878</v>
      </c>
      <c r="AG194" s="79">
        <f>VLOOKUP(B194,'Player Data'!$A1:$AE667,21,FALSE)*$Q194</f>
        <v>499.366936264912</v>
      </c>
      <c r="AH194" s="81">
        <f>VLOOKUP(B194,'Player Data'!$A1:$AE667,22,FALSE)</f>
        <v>0.549007682260174</v>
      </c>
      <c r="AI194" s="77"/>
      <c r="AJ194" s="79"/>
      <c r="AK194" s="79"/>
      <c r="AL194" s="79"/>
      <c r="AM194" s="79"/>
      <c r="AN194" s="79"/>
      <c r="AO194" s="79"/>
      <c r="AP194" s="79"/>
      <c r="AQ194" s="82"/>
      <c r="AR194" s="83"/>
      <c r="AS194" s="84"/>
    </row>
    <row r="195" ht="21.25" customHeight="1">
      <c r="A195" s="85">
        <f>RANK(K195,K$1:K$665)</f>
        <v>183</v>
      </c>
      <c r="B195" t="s" s="16">
        <v>382</v>
      </c>
      <c r="C195" t="s" s="69">
        <v>127</v>
      </c>
      <c r="D195" t="s" s="70">
        <f>VLOOKUP(B195,'Player Data'!A1:D667,4,FALSE)</f>
        <v>153</v>
      </c>
      <c r="E195" s="95">
        <f>VLOOKUP(B195,'D'!A1:C213,3,FALSE)</f>
        <v>50</v>
      </c>
      <c r="F195" t="s" s="88">
        <f>VLOOKUP(B195,'Player Data'!A1:B667,2,FALSE)</f>
        <v>304</v>
      </c>
      <c r="G195" s="11">
        <f>VLOOKUP(B195,'Player Data'!A1:D667,3,FALSE)</f>
        <v>27</v>
      </c>
      <c r="H195" s="73">
        <f>_xlfn.IFERROR(VLOOKUP(B195,'ADP'!A1:G665,7,FALSE)/1000000,VLOOKUP(B195,'ADP'!A1:G665,7,FALSE))</f>
        <v>7.35</v>
      </c>
      <c r="I195" s="74">
        <f>IF('Settings'!$E$15="POINTS",((R195*Q195)*'Settings'!$B$12)+(S195*'Settings'!$B$2)+(T195*'Settings'!$B$3)+(U195*'Settings'!$B$4)+(V195*'Settings'!$B$5)+(X195*'Settings'!$B$9)+(AA195*'Settings'!$B$6)+(W195*'Settings'!$B$8)+(AB195*'Settings'!$B$7)+(AC195*'Settings'!$B$14)+(AD195*'Settings'!$B$15)+(AE195*'Settings'!$B$16)+(AF195*'Settings'!$B$17)+(AG195*'Settings'!$B$18)+(U195*'Settings'!$B$13)+(Y195*'Settings'!$B$10)+(Z195*'Settings'!$B$11),VLOOKUP(B195,'Standard Deviations'!A1:C666,3,FALSE))</f>
        <v>273.770550637042</v>
      </c>
      <c r="J195" s="75">
        <f>IF(D195="G",I195/AJ195,I195/Q195)</f>
        <v>3.55962229407154</v>
      </c>
      <c r="K195" s="74">
        <f>VLOOKUP(B195,'D'!A1:F213,6,FALSE)</f>
        <v>-57.769657283040</v>
      </c>
      <c r="L195" s="76">
        <f>_xlfn.IFERROR(K195/H195,"N/A")</f>
        <v>-7.85981731742041</v>
      </c>
      <c r="M195" s="77">
        <f>IF('Settings'!$E$9="YAHOO",VLOOKUP(B195,'ADP'!A1:E665,2,FALSE),IF('Settings'!$E$9="ESPN",VLOOKUP(B195,'ADP'!A1:E665,3,FALSE),IF('Settings'!$E$9="FANTRAX",VLOOKUP(B195,'ADP'!A1:E665,4,FALSE),VLOOKUP(B195,'ADP'!A1:E665,5,FALSE))))</f>
        <v>0</v>
      </c>
      <c r="N195" s="77">
        <f>_xlfn.IFERROR(M195-A195,"N/A")</f>
        <v>-183</v>
      </c>
      <c r="O195" s="77"/>
      <c r="P195" t="s" s="78">
        <f>IF('Settings'!$E$27="ON",VLOOKUP(B195,'ADP'!A1:H665,8,FALSE)," ")</f>
        <v>138</v>
      </c>
      <c r="Q195" s="79">
        <f>IF('Settings'!$E$12="YES",VLOOKUP(B195,'Player Data'!A1:E667,5,FALSE),82)</f>
        <v>76.91</v>
      </c>
      <c r="R195" s="77">
        <f>VLOOKUP(B195,'Player Data'!$A1:$AE667,6,FALSE)</f>
        <v>22.6821536844542</v>
      </c>
      <c r="S195" s="79">
        <f>VLOOKUP(B195,'Player Data'!$A1:$AE667,7,FALSE)*$Q195*_xlfn.IFERROR((VLOOKUP(P195,'Settings'!$E$28:$F$33,2,FALSE)+1),1)</f>
        <v>11.9436386474747</v>
      </c>
      <c r="T195" s="79">
        <f>VLOOKUP(B195,'Player Data'!$A1:$AE667,8,FALSE)*$Q195*_xlfn.IFERROR((VLOOKUP(P195,'Settings'!$E$28:$F$33,2,FALSE)+1),1)</f>
        <v>41.1192932991147</v>
      </c>
      <c r="U195" s="79">
        <f>SUM(S195:T195)</f>
        <v>53.0629319465894</v>
      </c>
      <c r="V195" s="79">
        <f>VLOOKUP(B195,'Player Data'!$A1:$AE667,10,FALSE)*$Q195*_xlfn.IFERROR(((VLOOKUP(P195,'Settings'!$E$28:$F$33,2,FALSE)/2)+1),1)</f>
        <v>147.661904763582</v>
      </c>
      <c r="W195" s="79">
        <f>VLOOKUP(B195,'Player Data'!$A1:$AE667,11,FALSE)*$Q195*_xlfn.IFERROR((VLOOKUP(P195,'Settings'!$E$28:$F$33,2,FALSE)+1),1)</f>
        <v>2.23691006303548</v>
      </c>
      <c r="X195" s="101">
        <f>VLOOKUP(B195,'Player Data'!$A1:$AE667,12,FALSE)*$Q195*_xlfn.IFERROR((VLOOKUP(P195,'Settings'!$E$28:$F$33,2,FALSE)+1),1)</f>
        <v>14.4689633293784</v>
      </c>
      <c r="Y195" s="79">
        <f>VLOOKUP(B195,'Player Data'!$A1:$AE667,13,FALSE)*$Q195</f>
        <v>0.00748368580066934</v>
      </c>
      <c r="Z195" s="79">
        <f>VLOOKUP(B195,'Player Data'!$A1:$AE667,14,FALSE)*$Q195</f>
        <v>0.175421610435478</v>
      </c>
      <c r="AA195" s="79">
        <f>VLOOKUP(B195,'Player Data'!$A1:$AE667,15,FALSE)*$Q195</f>
        <v>89.0977216131469</v>
      </c>
      <c r="AB195" s="79">
        <f>VLOOKUP(B195,'Player Data'!$A1:$AE667,16,FALSE)*$Q195</f>
        <v>73.0585843551365</v>
      </c>
      <c r="AC195" s="79">
        <f>VLOOKUP(B195,'Player Data'!$A1:$AE667,17,FALSE)*$Q195*_xlfn.IFERROR((VLOOKUP(P195,'Settings'!$E$28:$F$33,2,FALSE)+1),1)</f>
        <v>1.6539360335122</v>
      </c>
      <c r="AD195" s="79">
        <f>VLOOKUP(B195,'Player Data'!$A1:$AE667,18,FALSE)*$Q195</f>
        <v>57.2871655368083</v>
      </c>
      <c r="AE195" s="79">
        <f>VLOOKUP(B195,'Player Data'!$A1:$AE667,19,FALSE)*$Q195*_xlfn.IFERROR((VLOOKUP(P195,'Settings'!$E$28:$F$33,2,FALSE)+1),1)</f>
        <v>1.81361371011069</v>
      </c>
      <c r="AF195" s="79">
        <f>VLOOKUP(B195,'Player Data'!$A1:$AE667,20,FALSE)*$Q195</f>
        <v>0</v>
      </c>
      <c r="AG195" s="79">
        <f>VLOOKUP(B195,'Player Data'!$A1:$AE667,21,FALSE)*$Q195</f>
        <v>0</v>
      </c>
      <c r="AH195" s="81">
        <f>VLOOKUP(B195,'Player Data'!$A1:$AE667,22,FALSE)</f>
        <v>0</v>
      </c>
      <c r="AI195" s="77"/>
      <c r="AJ195" s="79"/>
      <c r="AK195" s="79"/>
      <c r="AL195" s="79"/>
      <c r="AM195" s="79"/>
      <c r="AN195" s="79"/>
      <c r="AO195" s="79"/>
      <c r="AP195" s="79"/>
      <c r="AQ195" s="82"/>
      <c r="AR195" s="83"/>
      <c r="AS195" s="93"/>
    </row>
    <row r="196" ht="21.25" customHeight="1">
      <c r="A196" s="85">
        <f>RANK(K196,K$1:K$665)</f>
        <v>200</v>
      </c>
      <c r="B196" t="s" s="16">
        <v>383</v>
      </c>
      <c r="C196" t="s" s="69">
        <v>127</v>
      </c>
      <c r="D196" t="s" s="70">
        <f>VLOOKUP(B196,'Player Data'!A1:D667,4,FALSE)</f>
        <v>148</v>
      </c>
      <c r="E196" s="87">
        <f>VLOOKUP(B196,'RW'!A1:C136,3,FALSE)</f>
        <v>43</v>
      </c>
      <c r="F196" t="s" s="104">
        <f>VLOOKUP(B196,'Player Data'!A1:B667,2,FALSE)</f>
        <v>333</v>
      </c>
      <c r="G196" s="91">
        <f>VLOOKUP(B196,'Player Data'!A1:D667,3,FALSE)</f>
        <v>32</v>
      </c>
      <c r="H196" s="73">
        <f>_xlfn.IFERROR(VLOOKUP(B196,'ADP'!A1:G665,7,FALSE)/1000000,VLOOKUP(B196,'ADP'!A1:G665,7,FALSE))</f>
        <v>6</v>
      </c>
      <c r="I196" s="74">
        <f>IF('Settings'!$E$15="POINTS",((R196*Q196)*'Settings'!$B$12)+(S196*'Settings'!$B$2)+(T196*'Settings'!$B$3)+(U196*'Settings'!$B$4)+(V196*'Settings'!$B$5)+(X196*'Settings'!$B$9)+(AA196*'Settings'!$B$6)+(W196*'Settings'!$B$8)+(AB196*'Settings'!$B$7)+(AC196*'Settings'!$B$14)+(AD196*'Settings'!$B$15)+(AE196*'Settings'!$B$16)+(AF196*'Settings'!$B$17)+(AG196*'Settings'!$B$18)+(Y196*'Settings'!$B$10)+(Z196*'Settings'!$B$11),VLOOKUP(B196,'Standard Deviations'!A1:C666,3,FALSE))</f>
        <v>266.708586778935</v>
      </c>
      <c r="J196" s="75">
        <f>IF(D196="G",I196/AJ196,I196/Q196)</f>
        <v>3.30504150412262</v>
      </c>
      <c r="K196" s="74">
        <f>IF('Settings'!$E$18="C/LW/RW",VLOOKUP(B196,'RW'!A1:F136,6,FALSE),VLOOKUP(B196,'F'!A1:F392,6,FALSE))</f>
        <v>-62.983307302243</v>
      </c>
      <c r="L196" s="76">
        <f>_xlfn.IFERROR(K196/H196,"N/A")</f>
        <v>-10.4972178837072</v>
      </c>
      <c r="M196" s="77">
        <f>IF('Settings'!$E$9="YAHOO",VLOOKUP(B196,'ADP'!A1:E665,2,FALSE),IF('Settings'!$E$9="ESPN",VLOOKUP(B196,'ADP'!A1:E665,3,FALSE),IF('Settings'!$E$9="FANTRAX",VLOOKUP(B196,'ADP'!A1:E665,4,FALSE),VLOOKUP(B196,'ADP'!A1:E665,5,FALSE))))</f>
        <v>0</v>
      </c>
      <c r="N196" s="77">
        <f>_xlfn.IFERROR(M196-A196,"N/A")</f>
        <v>-200</v>
      </c>
      <c r="O196" s="77"/>
      <c r="P196" t="s" s="78">
        <f>IF('Settings'!$E$27="ON",VLOOKUP(B196,'ADP'!A1:H665,8,FALSE)," ")</f>
        <v>138</v>
      </c>
      <c r="Q196" s="79">
        <f>IF('Settings'!$E$12="YES",VLOOKUP(B196,'Player Data'!A1:E667,5,FALSE),82)</f>
        <v>80.69750000000001</v>
      </c>
      <c r="R196" s="77">
        <f>VLOOKUP(B196,'Player Data'!$A1:$AE667,6,FALSE)</f>
        <v>17.2531536974876</v>
      </c>
      <c r="S196" s="79">
        <f>VLOOKUP(B196,'Player Data'!$A1:$AE667,7,FALSE)*$Q196*_xlfn.IFERROR((VLOOKUP(P196,'Settings'!$E$28:$F$33,2,FALSE)+1),1)</f>
        <v>28.2527385781469</v>
      </c>
      <c r="T196" s="79">
        <f>VLOOKUP(B196,'Player Data'!$A1:$AE667,8,FALSE)*$Q196*_xlfn.IFERROR((VLOOKUP(P196,'Settings'!$E$28:$F$33,2,FALSE)+1),1)</f>
        <v>27.4710264826829</v>
      </c>
      <c r="U196" s="79">
        <f>SUM(S196:T196)</f>
        <v>55.7237650608298</v>
      </c>
      <c r="V196" s="79">
        <f>VLOOKUP(B196,'Player Data'!$A1:$AE667,10,FALSE)*$Q196*_xlfn.IFERROR(((VLOOKUP(P196,'Settings'!$E$28:$F$33,2,FALSE)/2)+1),1)</f>
        <v>238.665232156328</v>
      </c>
      <c r="W196" s="79">
        <f>VLOOKUP(B196,'Player Data'!$A1:$AE667,11,FALSE)*$Q196*_xlfn.IFERROR((VLOOKUP(P196,'Settings'!$E$28:$F$33,2,FALSE)+1),1)</f>
        <v>8.64782181706971</v>
      </c>
      <c r="X196" s="80">
        <f>VLOOKUP(B196,'Player Data'!$A1:$AE667,12,FALSE)*$Q196*_xlfn.IFERROR((VLOOKUP(P196,'Settings'!$E$28:$F$33,2,FALSE)+1),1)</f>
        <v>18.0978542860151</v>
      </c>
      <c r="Y196" s="79">
        <f>VLOOKUP(B196,'Player Data'!$A1:$AE667,13,FALSE)*$Q196</f>
        <v>0.00571531229411034</v>
      </c>
      <c r="Z196" s="79">
        <f>VLOOKUP(B196,'Player Data'!$A1:$AE667,14,FALSE)*$Q196</f>
        <v>0.0107580162015363</v>
      </c>
      <c r="AA196" s="79">
        <f>VLOOKUP(B196,'Player Data'!$A1:$AE667,15,FALSE)*$Q196</f>
        <v>16.4746164297949</v>
      </c>
      <c r="AB196" s="79">
        <f>VLOOKUP(B196,'Player Data'!$A1:$AE667,16,FALSE)*$Q196</f>
        <v>75.91904767088469</v>
      </c>
      <c r="AC196" s="79">
        <f>VLOOKUP(B196,'Player Data'!$A1:$AE667,17,FALSE)*$Q196*_xlfn.IFERROR((VLOOKUP(P196,'Settings'!$E$28:$F$33,2,FALSE)+1),1)</f>
        <v>1.04510281983645</v>
      </c>
      <c r="AD196" s="79">
        <f>VLOOKUP(B196,'Player Data'!$A1:$AE667,18,FALSE)*$Q196</f>
        <v>22.7272340945703</v>
      </c>
      <c r="AE196" s="79">
        <f>VLOOKUP(B196,'Player Data'!$A1:$AE667,19,FALSE)*$Q196*_xlfn.IFERROR((VLOOKUP(P196,'Settings'!$E$28:$F$33,2,FALSE)+1),1)</f>
        <v>3.01767853681346</v>
      </c>
      <c r="AF196" s="79">
        <f>VLOOKUP(B196,'Player Data'!$A1:$AE667,20,FALSE)*$Q196</f>
        <v>29.1254631604604</v>
      </c>
      <c r="AG196" s="79">
        <f>VLOOKUP(B196,'Player Data'!$A1:$AE667,21,FALSE)*$Q196</f>
        <v>30.8392982997578</v>
      </c>
      <c r="AH196" s="81">
        <f>VLOOKUP(B196,'Player Data'!$A1:$AE667,22,FALSE)</f>
        <v>0.48570964765336</v>
      </c>
      <c r="AI196" s="77"/>
      <c r="AJ196" s="89"/>
      <c r="AK196" s="79"/>
      <c r="AL196" s="79"/>
      <c r="AM196" s="79"/>
      <c r="AN196" s="79"/>
      <c r="AO196" s="79"/>
      <c r="AP196" s="79"/>
      <c r="AQ196" s="82"/>
      <c r="AR196" s="83"/>
      <c r="AS196" s="84"/>
    </row>
    <row r="197" ht="21.25" customHeight="1">
      <c r="A197" s="85">
        <f>RANK(K197,K$1:K$665)</f>
        <v>185</v>
      </c>
      <c r="B197" t="s" s="16">
        <v>384</v>
      </c>
      <c r="C197" t="s" s="69">
        <v>127</v>
      </c>
      <c r="D197" t="s" s="70">
        <f>VLOOKUP(B197,'Player Data'!A1:D667,4,FALSE)</f>
        <v>153</v>
      </c>
      <c r="E197" s="95">
        <f>VLOOKUP(B197,'D'!A1:C213,3,FALSE)</f>
        <v>51</v>
      </c>
      <c r="F197" t="s" s="92">
        <f>VLOOKUP(B197,'Player Data'!A1:B667,2,FALSE)</f>
        <v>170</v>
      </c>
      <c r="G197" s="96">
        <f>VLOOKUP(B197,'Player Data'!A1:D667,3,FALSE)</f>
        <v>22</v>
      </c>
      <c r="H197" s="73">
        <f>_xlfn.IFERROR(VLOOKUP(B197,'ADP'!A1:G665,7,FALSE)/1000000,VLOOKUP(B197,'ADP'!A1:G665,7,FALSE))</f>
        <v>2.2</v>
      </c>
      <c r="I197" s="74">
        <f>IF('Settings'!$E$15="POINTS",((R197*Q197)*'Settings'!$B$12)+(S197*'Settings'!$B$2)+(T197*'Settings'!$B$3)+(U197*'Settings'!$B$4)+(V197*'Settings'!$B$5)+(X197*'Settings'!$B$9)+(AA197*'Settings'!$B$6)+(W197*'Settings'!$B$8)+(AB197*'Settings'!$B$7)+(AC197*'Settings'!$B$14)+(AD197*'Settings'!$B$15)+(AE197*'Settings'!$B$16)+(AF197*'Settings'!$B$17)+(AG197*'Settings'!$B$18)+(U197*'Settings'!$B$13)+(Y197*'Settings'!$B$10)+(Z197*'Settings'!$B$11),VLOOKUP(B197,'Standard Deviations'!A1:C666,3,FALSE))</f>
        <v>273.129512706523</v>
      </c>
      <c r="J197" s="75">
        <f>IF(D197="G",I197/AJ197,I197/Q197)</f>
        <v>3.50199714980957</v>
      </c>
      <c r="K197" s="74">
        <f>VLOOKUP(B197,'D'!A1:F213,6,FALSE)</f>
        <v>-58.410695213559</v>
      </c>
      <c r="L197" s="76">
        <f>_xlfn.IFERROR(K197/H197,"N/A")</f>
        <v>-26.5503160061632</v>
      </c>
      <c r="M197" s="77">
        <f>IF('Settings'!$E$9="YAHOO",VLOOKUP(B197,'ADP'!A1:E665,2,FALSE),IF('Settings'!$E$9="ESPN",VLOOKUP(B197,'ADP'!A1:E665,3,FALSE),IF('Settings'!$E$9="FANTRAX",VLOOKUP(B197,'ADP'!A1:E665,4,FALSE),VLOOKUP(B197,'ADP'!A1:E665,5,FALSE))))</f>
        <v>0</v>
      </c>
      <c r="N197" s="77">
        <f>_xlfn.IFERROR(M197-A197,"N/A")</f>
        <v>-185</v>
      </c>
      <c r="O197" s="77"/>
      <c r="P197" t="s" s="78">
        <f>IF('Settings'!$E$27="ON",VLOOKUP(B197,'ADP'!A1:H665,8,FALSE)," ")</f>
        <v>138</v>
      </c>
      <c r="Q197" s="79">
        <f>IF('Settings'!$E$12="YES",VLOOKUP(B197,'Player Data'!A1:E667,5,FALSE),82)</f>
        <v>77.99250000000001</v>
      </c>
      <c r="R197" s="98">
        <f>VLOOKUP(B197,'Player Data'!$A1:$AE667,6,FALSE)</f>
        <v>18.8653235425783</v>
      </c>
      <c r="S197" s="79">
        <f>VLOOKUP(B197,'Player Data'!$A1:$AE667,7,FALSE)*$Q197*_xlfn.IFERROR((VLOOKUP(P197,'Settings'!$E$28:$F$33,2,FALSE)+1),1)</f>
        <v>5.88973951047929</v>
      </c>
      <c r="T197" s="79">
        <f>VLOOKUP(B197,'Player Data'!$A1:$AE667,8,FALSE)*$Q197*_xlfn.IFERROR((VLOOKUP(P197,'Settings'!$E$28:$F$33,2,FALSE)+1),1)</f>
        <v>17.7613915316348</v>
      </c>
      <c r="U197" s="79">
        <f>SUM(S197:T197)</f>
        <v>23.6511310421141</v>
      </c>
      <c r="V197" s="79">
        <f>VLOOKUP(B197,'Player Data'!$A1:$AE667,10,FALSE)*$Q197*_xlfn.IFERROR(((VLOOKUP(P197,'Settings'!$E$28:$F$33,2,FALSE)/2)+1),1)</f>
        <v>100.619351148249</v>
      </c>
      <c r="W197" s="79">
        <f>VLOOKUP(B197,'Player Data'!$A1:$AE667,11,FALSE)*$Q197*_xlfn.IFERROR((VLOOKUP(P197,'Settings'!$E$28:$F$33,2,FALSE)+1),1)</f>
        <v>0.00760109654563054</v>
      </c>
      <c r="X197" s="79">
        <f>VLOOKUP(B197,'Player Data'!$A1:$AE667,12,FALSE)*$Q197*_xlfn.IFERROR((VLOOKUP(P197,'Settings'!$E$28:$F$33,2,FALSE)+1),1)</f>
        <v>0.0601447310356038</v>
      </c>
      <c r="Y197" s="79">
        <f>VLOOKUP(B197,'Player Data'!$A1:$AE667,13,FALSE)*$Q197</f>
        <v>0.499034299147234</v>
      </c>
      <c r="Z197" s="79">
        <f>VLOOKUP(B197,'Player Data'!$A1:$AE667,14,FALSE)*$Q197</f>
        <v>0.605821672062862</v>
      </c>
      <c r="AA197" s="79">
        <f>VLOOKUP(B197,'Player Data'!$A1:$AE667,15,FALSE)*$Q197</f>
        <v>142.234738383675</v>
      </c>
      <c r="AB197" s="79">
        <f>VLOOKUP(B197,'Player Data'!$A1:$AE667,16,FALSE)*$Q197</f>
        <v>160.663389162701</v>
      </c>
      <c r="AC197" s="79">
        <f>VLOOKUP(B197,'Player Data'!$A1:$AE667,17,FALSE)*$Q197*_xlfn.IFERROR((VLOOKUP(P197,'Settings'!$E$28:$F$33,2,FALSE)+1),1)</f>
        <v>2.31107234116039</v>
      </c>
      <c r="AD197" s="79">
        <f>VLOOKUP(B197,'Player Data'!$A1:$AE667,18,FALSE)*$Q197</f>
        <v>22.7266377557088</v>
      </c>
      <c r="AE197" s="79">
        <f>VLOOKUP(B197,'Player Data'!$A1:$AE667,19,FALSE)*$Q197*_xlfn.IFERROR((VLOOKUP(P197,'Settings'!$E$28:$F$33,2,FALSE)+1),1)</f>
        <v>0.9627268304793281</v>
      </c>
      <c r="AF197" s="79">
        <f>VLOOKUP(B197,'Player Data'!$A1:$AE667,20,FALSE)*$Q197</f>
        <v>0</v>
      </c>
      <c r="AG197" s="79">
        <f>VLOOKUP(B197,'Player Data'!$A1:$AE667,21,FALSE)*$Q197</f>
        <v>0</v>
      </c>
      <c r="AH197" s="81">
        <f>VLOOKUP(B197,'Player Data'!$A1:$AE667,22,FALSE)</f>
        <v>0</v>
      </c>
      <c r="AI197" s="77"/>
      <c r="AJ197" s="79"/>
      <c r="AK197" s="79"/>
      <c r="AL197" s="79"/>
      <c r="AM197" s="79"/>
      <c r="AN197" s="79"/>
      <c r="AO197" s="79"/>
      <c r="AP197" s="79"/>
      <c r="AQ197" s="82"/>
      <c r="AR197" s="83"/>
      <c r="AS197" s="84"/>
    </row>
    <row r="198" ht="21.25" customHeight="1">
      <c r="A198" s="85">
        <f>RANK(K198,K$1:K$665)</f>
        <v>212</v>
      </c>
      <c r="B198" t="s" s="16">
        <v>385</v>
      </c>
      <c r="C198" t="s" s="69">
        <v>127</v>
      </c>
      <c r="D198" t="s" s="70">
        <f>VLOOKUP(B198,'Player Data'!A1:D667,4,FALSE)</f>
        <v>128</v>
      </c>
      <c r="E198" s="71">
        <f>VLOOKUP(B198,'C'!A1:C206,3,FALSE)</f>
        <v>67</v>
      </c>
      <c r="F198" t="s" s="103">
        <f>VLOOKUP(B198,'Player Data'!A1:B667,2,FALSE)</f>
        <v>225</v>
      </c>
      <c r="G198" s="91">
        <f>VLOOKUP(B198,'Player Data'!A1:D667,3,FALSE)</f>
        <v>31</v>
      </c>
      <c r="H198" s="73">
        <f>_xlfn.IFERROR(VLOOKUP(B198,'ADP'!A1:G665,7,FALSE)/1000000,VLOOKUP(B198,'ADP'!A1:G665,7,FALSE))</f>
        <v>5.5</v>
      </c>
      <c r="I198" s="74">
        <f>IF('Settings'!$E$15="POINTS",((R198*Q198)*'Settings'!$B$12)+(S198*'Settings'!$B$2)+(T198*'Settings'!$B$3)+(U198*'Settings'!$B$4)+(V198*'Settings'!$B$5)+(X198*'Settings'!$B$9)+(AA198*'Settings'!$B$6)+(W198*'Settings'!$B$8)+(AB198*'Settings'!$B$7)+(AC198*'Settings'!$B$14)+(AD198*'Settings'!$B$15)+(AE198*'Settings'!$B$16)+(AF198*'Settings'!$B$17)+(AG198*'Settings'!$B$18)+(Y198*'Settings'!$B$10)+(Z198*'Settings'!$B$11),VLOOKUP(B198,'Standard Deviations'!A1:C666,3,FALSE))</f>
        <v>261.081678023883</v>
      </c>
      <c r="J198" s="75">
        <f>IF(D198="G",I198/AJ198,I198/Q198)</f>
        <v>3.22243492994178</v>
      </c>
      <c r="K198" s="74">
        <f>IF('Settings'!$E$18="C/LW/RW",VLOOKUP(B198,'C'!A1:F206,6,FALSE),VLOOKUP(B198,'F'!A1:F392,6,FALSE))</f>
        <v>-68.61021605729501</v>
      </c>
      <c r="L198" s="76">
        <f>_xlfn.IFERROR(K198/H198,"N/A")</f>
        <v>-12.474584737690</v>
      </c>
      <c r="M198" s="77">
        <f>IF('Settings'!$E$9="YAHOO",VLOOKUP(B198,'ADP'!A1:E665,2,FALSE),IF('Settings'!$E$9="ESPN",VLOOKUP(B198,'ADP'!A1:E665,3,FALSE),IF('Settings'!$E$9="FANTRAX",VLOOKUP(B198,'ADP'!A1:E665,4,FALSE),VLOOKUP(B198,'ADP'!A1:E665,5,FALSE))))</f>
        <v>0</v>
      </c>
      <c r="N198" s="77">
        <f>_xlfn.IFERROR(M198-A198,"N/A")</f>
        <v>-212</v>
      </c>
      <c r="O198" s="77"/>
      <c r="P198" t="s" s="78">
        <f>IF('Settings'!$E$27="ON",VLOOKUP(B198,'ADP'!A1:H665,8,FALSE)," ")</f>
        <v>138</v>
      </c>
      <c r="Q198" s="79">
        <f>IF('Settings'!$E$12="YES",VLOOKUP(B198,'Player Data'!A1:E667,5,FALSE),82)</f>
        <v>81.02</v>
      </c>
      <c r="R198" s="77">
        <f>VLOOKUP(B198,'Player Data'!$A1:$AE667,6,FALSE)</f>
        <v>17.8906338156749</v>
      </c>
      <c r="S198" s="79">
        <f>VLOOKUP(B198,'Player Data'!$A1:$AE667,7,FALSE)*$Q198*_xlfn.IFERROR((VLOOKUP(P198,'Settings'!$E$28:$F$33,2,FALSE)+1),1)</f>
        <v>17.7877655293491</v>
      </c>
      <c r="T198" s="79">
        <f>VLOOKUP(B198,'Player Data'!$A1:$AE667,8,FALSE)*$Q198*_xlfn.IFERROR((VLOOKUP(P198,'Settings'!$E$28:$F$33,2,FALSE)+1),1)</f>
        <v>28.4110029899719</v>
      </c>
      <c r="U198" s="79">
        <f>SUM(S198:T198)</f>
        <v>46.198768519321</v>
      </c>
      <c r="V198" s="79">
        <f>VLOOKUP(B198,'Player Data'!$A1:$AE667,10,FALSE)*$Q198*_xlfn.IFERROR(((VLOOKUP(P198,'Settings'!$E$28:$F$33,2,FALSE)/2)+1),1)</f>
        <v>164.457590762918</v>
      </c>
      <c r="W198" s="79">
        <f>VLOOKUP(B198,'Player Data'!$A1:$AE667,11,FALSE)*$Q198*_xlfn.IFERROR((VLOOKUP(P198,'Settings'!$E$28:$F$33,2,FALSE)+1),1)</f>
        <v>2.30888096390504</v>
      </c>
      <c r="X198" s="79">
        <f>VLOOKUP(B198,'Player Data'!$A1:$AE667,12,FALSE)*$Q198*_xlfn.IFERROR((VLOOKUP(P198,'Settings'!$E$28:$F$33,2,FALSE)+1),1)</f>
        <v>8.44884389761595</v>
      </c>
      <c r="Y198" s="79">
        <f>VLOOKUP(B198,'Player Data'!$A1:$AE667,13,FALSE)*$Q198</f>
        <v>0.129416259804584</v>
      </c>
      <c r="Z198" s="79">
        <f>VLOOKUP(B198,'Player Data'!$A1:$AE667,14,FALSE)*$Q198</f>
        <v>1.76947620813755</v>
      </c>
      <c r="AA198" s="79">
        <f>VLOOKUP(B198,'Player Data'!$A1:$AE667,15,FALSE)*$Q198</f>
        <v>63.4839778153481</v>
      </c>
      <c r="AB198" s="79">
        <f>VLOOKUP(B198,'Player Data'!$A1:$AE667,16,FALSE)*$Q198</f>
        <v>81.30215867746141</v>
      </c>
      <c r="AC198" s="79">
        <f>VLOOKUP(B198,'Player Data'!$A1:$AE667,17,FALSE)*$Q198*_xlfn.IFERROR((VLOOKUP(P198,'Settings'!$E$28:$F$33,2,FALSE)+1),1)</f>
        <v>3.84413991434749</v>
      </c>
      <c r="AD198" s="79">
        <f>VLOOKUP(B198,'Player Data'!$A1:$AE667,18,FALSE)*$Q198</f>
        <v>35.803618586090</v>
      </c>
      <c r="AE198" s="79">
        <f>VLOOKUP(B198,'Player Data'!$A1:$AE667,19,FALSE)*$Q198*_xlfn.IFERROR((VLOOKUP(P198,'Settings'!$E$28:$F$33,2,FALSE)+1),1)</f>
        <v>3.16998740694803</v>
      </c>
      <c r="AF198" s="79">
        <f>VLOOKUP(B198,'Player Data'!$A1:$AE667,20,FALSE)*$Q198</f>
        <v>643.261705685420</v>
      </c>
      <c r="AG198" s="79">
        <f>VLOOKUP(B198,'Player Data'!$A1:$AE667,21,FALSE)*$Q198</f>
        <v>567.678084956298</v>
      </c>
      <c r="AH198" s="81">
        <f>VLOOKUP(B198,'Player Data'!$A1:$AE667,22,FALSE)</f>
        <v>0.531208661782048</v>
      </c>
      <c r="AI198" s="77"/>
      <c r="AJ198" s="89"/>
      <c r="AK198" s="79"/>
      <c r="AL198" s="79"/>
      <c r="AM198" s="79"/>
      <c r="AN198" s="79"/>
      <c r="AO198" s="79"/>
      <c r="AP198" s="79"/>
      <c r="AQ198" s="82"/>
      <c r="AR198" s="83"/>
      <c r="AS198" s="84"/>
    </row>
    <row r="199" ht="21.25" customHeight="1">
      <c r="A199" s="85">
        <f>RANK(K199,K$1:K$665)</f>
        <v>187</v>
      </c>
      <c r="B199" t="s" s="16">
        <v>386</v>
      </c>
      <c r="C199" t="s" s="69">
        <v>127</v>
      </c>
      <c r="D199" t="s" s="70">
        <f>VLOOKUP(B199,'Player Data'!A1:D667,4,FALSE)</f>
        <v>153</v>
      </c>
      <c r="E199" s="95">
        <f>VLOOKUP(B199,'D'!A1:C213,3,FALSE)</f>
        <v>52</v>
      </c>
      <c r="F199" t="s" s="104">
        <f>VLOOKUP(B199,'Player Data'!A1:B667,2,FALSE)</f>
        <v>333</v>
      </c>
      <c r="G199" s="11">
        <f>VLOOKUP(B199,'Player Data'!A1:D667,3,FALSE)</f>
        <v>28</v>
      </c>
      <c r="H199" s="73">
        <f>_xlfn.IFERROR(VLOOKUP(B199,'ADP'!A1:G665,7,FALSE)/1000000,VLOOKUP(B199,'ADP'!A1:G665,7,FALSE))</f>
        <v>3.4</v>
      </c>
      <c r="I199" s="74">
        <f>IF('Settings'!$E$15="POINTS",((R199*Q199)*'Settings'!$B$12)+(S199*'Settings'!$B$2)+(T199*'Settings'!$B$3)+(U199*'Settings'!$B$4)+(V199*'Settings'!$B$5)+(X199*'Settings'!$B$9)+(AA199*'Settings'!$B$6)+(W199*'Settings'!$B$8)+(AB199*'Settings'!$B$7)+(AC199*'Settings'!$B$14)+(AD199*'Settings'!$B$15)+(AE199*'Settings'!$B$16)+(AF199*'Settings'!$B$17)+(AG199*'Settings'!$B$18)+(U199*'Settings'!$B$13)+(Y199*'Settings'!$B$10)+(Z199*'Settings'!$B$11),VLOOKUP(B199,'Standard Deviations'!A1:C666,3,FALSE))</f>
        <v>272.618156566778</v>
      </c>
      <c r="J199" s="75">
        <f>IF(D199="G",I199/AJ199,I199/Q199)</f>
        <v>3.73731107775417</v>
      </c>
      <c r="K199" s="74">
        <f>VLOOKUP(B199,'D'!A1:F213,6,FALSE)</f>
        <v>-58.922051353304</v>
      </c>
      <c r="L199" s="76">
        <f>_xlfn.IFERROR(K199/H199,"N/A")</f>
        <v>-17.3300151039129</v>
      </c>
      <c r="M199" s="109">
        <f>IF('Settings'!$E$9="YAHOO",VLOOKUP(B199,'ADP'!A1:E665,2,FALSE),IF('Settings'!$E$9="ESPN",VLOOKUP(B199,'ADP'!A1:E665,3,FALSE),IF('Settings'!$E$9="FANTRAX",VLOOKUP(B199,'ADP'!A1:E665,4,FALSE),VLOOKUP(B199,'ADP'!A1:E665,5,FALSE))))</f>
        <v>0</v>
      </c>
      <c r="N199" s="79">
        <f>_xlfn.IFERROR(M199-A199,"N/A")</f>
        <v>-187</v>
      </c>
      <c r="O199" s="77"/>
      <c r="P199" t="s" s="78">
        <f>IF('Settings'!$E$27="ON",VLOOKUP(B199,'ADP'!A1:H665,8,FALSE)," ")</f>
        <v>138</v>
      </c>
      <c r="Q199" s="79">
        <f>IF('Settings'!$E$12="YES",VLOOKUP(B199,'Player Data'!A1:E667,5,FALSE),82)</f>
        <v>72.94499999999999</v>
      </c>
      <c r="R199" s="98">
        <f>VLOOKUP(B199,'Player Data'!$A1:$AE667,6,FALSE)</f>
        <v>22.127590238672</v>
      </c>
      <c r="S199" s="79">
        <f>VLOOKUP(B199,'Player Data'!$A1:$AE667,7,FALSE)*$Q199*_xlfn.IFERROR((VLOOKUP(P199,'Settings'!$E$28:$F$33,2,FALSE)+1),1)</f>
        <v>11.8066167892044</v>
      </c>
      <c r="T199" s="79">
        <f>VLOOKUP(B199,'Player Data'!$A1:$AE667,8,FALSE)*$Q199*_xlfn.IFERROR((VLOOKUP(P199,'Settings'!$E$28:$F$33,2,FALSE)+1),1)</f>
        <v>20.5471351506118</v>
      </c>
      <c r="U199" s="79">
        <f>SUM(S199:T199)</f>
        <v>32.3537519398162</v>
      </c>
      <c r="V199" s="79">
        <f>VLOOKUP(B199,'Player Data'!$A1:$AE667,10,FALSE)*$Q199*_xlfn.IFERROR(((VLOOKUP(P199,'Settings'!$E$28:$F$33,2,FALSE)/2)+1),1)</f>
        <v>160.001671015299</v>
      </c>
      <c r="W199" s="79">
        <f>VLOOKUP(B199,'Player Data'!$A1:$AE667,11,FALSE)*$Q199*_xlfn.IFERROR((VLOOKUP(P199,'Settings'!$E$28:$F$33,2,FALSE)+1),1)</f>
        <v>2.19359654139663</v>
      </c>
      <c r="X199" s="101">
        <f>VLOOKUP(B199,'Player Data'!$A1:$AE667,12,FALSE)*$Q199*_xlfn.IFERROR((VLOOKUP(P199,'Settings'!$E$28:$F$33,2,FALSE)+1),1)</f>
        <v>11.868508751962</v>
      </c>
      <c r="Y199" s="79">
        <f>VLOOKUP(B199,'Player Data'!$A1:$AE667,13,FALSE)*$Q199</f>
        <v>0.030350647883848</v>
      </c>
      <c r="Z199" s="79">
        <f>VLOOKUP(B199,'Player Data'!$A1:$AE667,14,FALSE)*$Q199</f>
        <v>0.620435862995133</v>
      </c>
      <c r="AA199" s="79">
        <f>VLOOKUP(B199,'Player Data'!$A1:$AE667,15,FALSE)*$Q199</f>
        <v>156.237055893416</v>
      </c>
      <c r="AB199" s="79">
        <f>VLOOKUP(B199,'Player Data'!$A1:$AE667,16,FALSE)*$Q199</f>
        <v>64.40435506914289</v>
      </c>
      <c r="AC199" s="79">
        <f>VLOOKUP(B199,'Player Data'!$A1:$AE667,17,FALSE)*$Q199*_xlfn.IFERROR((VLOOKUP(P199,'Settings'!$E$28:$F$33,2,FALSE)+1),1)</f>
        <v>-3.94906591118066</v>
      </c>
      <c r="AD199" s="79">
        <f>VLOOKUP(B199,'Player Data'!$A1:$AE667,18,FALSE)*$Q199</f>
        <v>45.0509572836568</v>
      </c>
      <c r="AE199" s="79">
        <f>VLOOKUP(B199,'Player Data'!$A1:$AE667,19,FALSE)*$Q199*_xlfn.IFERROR((VLOOKUP(P199,'Settings'!$E$28:$F$33,2,FALSE)+1),1)</f>
        <v>1.26106621411639</v>
      </c>
      <c r="AF199" s="79">
        <f>VLOOKUP(B199,'Player Data'!$A1:$AE667,20,FALSE)*$Q199</f>
        <v>0</v>
      </c>
      <c r="AG199" s="79">
        <f>VLOOKUP(B199,'Player Data'!$A1:$AE667,21,FALSE)*$Q199</f>
        <v>0</v>
      </c>
      <c r="AH199" s="81">
        <f>VLOOKUP(B199,'Player Data'!$A1:$AE667,22,FALSE)</f>
        <v>0</v>
      </c>
      <c r="AI199" s="77"/>
      <c r="AJ199" s="89"/>
      <c r="AK199" s="79"/>
      <c r="AL199" s="79"/>
      <c r="AM199" s="79"/>
      <c r="AN199" s="79"/>
      <c r="AO199" s="79"/>
      <c r="AP199" s="79"/>
      <c r="AQ199" s="82"/>
      <c r="AR199" s="83"/>
      <c r="AS199" s="84"/>
    </row>
    <row r="200" ht="21.25" customHeight="1">
      <c r="A200" s="85">
        <f>RANK(K200,K$1:K$665)</f>
        <v>206</v>
      </c>
      <c r="B200" t="s" s="16">
        <v>387</v>
      </c>
      <c r="C200" t="s" s="69">
        <v>127</v>
      </c>
      <c r="D200" t="s" s="70">
        <f>VLOOKUP(B200,'Player Data'!A1:D667,4,FALSE)</f>
        <v>178</v>
      </c>
      <c r="E200" s="102">
        <f>VLOOKUP(B200,'LW'!A1:C152,3,FALSE)</f>
        <v>54</v>
      </c>
      <c r="F200" t="s" s="78">
        <f>VLOOKUP(B200,'Player Data'!A1:B667,2,FALSE)</f>
        <v>244</v>
      </c>
      <c r="G200" s="11">
        <f>VLOOKUP(B200,'Player Data'!A1:D667,3,FALSE)</f>
        <v>29</v>
      </c>
      <c r="H200" s="73">
        <f>_xlfn.IFERROR(VLOOKUP(B200,'ADP'!A1:G665,7,FALSE)/1000000,VLOOKUP(B200,'ADP'!A1:G665,7,FALSE))</f>
        <v>5.5</v>
      </c>
      <c r="I200" s="74">
        <f>IF('Settings'!$E$15="POINTS",((R200*Q200)*'Settings'!$B$12)+(S200*'Settings'!$B$2)+(T200*'Settings'!$B$3)+(U200*'Settings'!$B$4)+(V200*'Settings'!$B$5)+(X200*'Settings'!$B$9)+(AA200*'Settings'!$B$6)+(W200*'Settings'!$B$8)+(AB200*'Settings'!$B$7)+(AC200*'Settings'!$B$14)+(AD200*'Settings'!$B$15)+(AE200*'Settings'!$B$16)+(AF200*'Settings'!$B$17)+(AG200*'Settings'!$B$18)+(Y200*'Settings'!$B$10)+(Z200*'Settings'!$B$11),VLOOKUP(B200,'Standard Deviations'!A1:C666,3,FALSE))</f>
        <v>264.854741829322</v>
      </c>
      <c r="J200" s="75">
        <f>IF(D200="G",I200/AJ200,I200/Q200)</f>
        <v>3.49067205046882</v>
      </c>
      <c r="K200" s="74">
        <f>IF('Settings'!$E$18="C/LW/RW",VLOOKUP(B200,'LW'!A1:F152,6,FALSE),VLOOKUP(B200,'F'!A1:F392,6,FALSE))</f>
        <v>-66.865369936890</v>
      </c>
      <c r="L200" s="76">
        <f>_xlfn.IFERROR(K200/H200,"N/A")</f>
        <v>-12.1573399885255</v>
      </c>
      <c r="M200" s="109">
        <f>IF('Settings'!$E$9="YAHOO",VLOOKUP(B200,'ADP'!A1:E665,2,FALSE),IF('Settings'!$E$9="ESPN",VLOOKUP(B200,'ADP'!A1:E665,3,FALSE),IF('Settings'!$E$9="FANTRAX",VLOOKUP(B200,'ADP'!A1:E665,4,FALSE),VLOOKUP(B200,'ADP'!A1:E665,5,FALSE))))</f>
        <v>0</v>
      </c>
      <c r="N200" s="79">
        <f>_xlfn.IFERROR(M200-A200,"N/A")</f>
        <v>-206</v>
      </c>
      <c r="O200" s="77"/>
      <c r="P200" t="s" s="78">
        <f>IF('Settings'!$E$27="ON",VLOOKUP(B200,'ADP'!A1:H665,8,FALSE)," ")</f>
        <v>130</v>
      </c>
      <c r="Q200" s="79">
        <f>IF('Settings'!$E$12="YES",VLOOKUP(B200,'Player Data'!A1:E667,5,FALSE),82)</f>
        <v>75.875</v>
      </c>
      <c r="R200" s="98">
        <f>VLOOKUP(B200,'Player Data'!$A1:$AE667,6,FALSE)</f>
        <v>17.9864193650252</v>
      </c>
      <c r="S200" s="79">
        <f>VLOOKUP(B200,'Player Data'!$A1:$AE667,7,FALSE)*$Q200*_xlfn.IFERROR((VLOOKUP(P200,'Settings'!$E$28:$F$33,2,FALSE)+1),1)</f>
        <v>22.6730759944421</v>
      </c>
      <c r="T200" s="79">
        <f>VLOOKUP(B200,'Player Data'!$A1:$AE667,8,FALSE)*$Q200*_xlfn.IFERROR((VLOOKUP(P200,'Settings'!$E$28:$F$33,2,FALSE)+1),1)</f>
        <v>29.4912376134054</v>
      </c>
      <c r="U200" s="79">
        <f>SUM(S200:T200)</f>
        <v>52.1643136078475</v>
      </c>
      <c r="V200" s="79">
        <f>VLOOKUP(B200,'Player Data'!$A1:$AE667,10,FALSE)*$Q200*_xlfn.IFERROR(((VLOOKUP(P200,'Settings'!$E$28:$F$33,2,FALSE)/2)+1),1)</f>
        <v>183.854777196429</v>
      </c>
      <c r="W200" s="79">
        <f>VLOOKUP(B200,'Player Data'!$A1:$AE667,11,FALSE)*$Q200*_xlfn.IFERROR((VLOOKUP(P200,'Settings'!$E$28:$F$33,2,FALSE)+1),1)</f>
        <v>7.52614679550761</v>
      </c>
      <c r="X200" s="80">
        <f>VLOOKUP(B200,'Player Data'!$A1:$AE667,12,FALSE)*$Q200*_xlfn.IFERROR((VLOOKUP(P200,'Settings'!$E$28:$F$33,2,FALSE)+1),1)</f>
        <v>14.8769233875379</v>
      </c>
      <c r="Y200" s="79">
        <f>VLOOKUP(B200,'Player Data'!$A1:$AE667,13,FALSE)*$Q200</f>
        <v>0.008591110487829909</v>
      </c>
      <c r="Z200" s="79">
        <f>VLOOKUP(B200,'Player Data'!$A1:$AE667,14,FALSE)*$Q200</f>
        <v>0.0162971515876238</v>
      </c>
      <c r="AA200" s="79">
        <f>VLOOKUP(B200,'Player Data'!$A1:$AE667,15,FALSE)*$Q200</f>
        <v>41.0633450516197</v>
      </c>
      <c r="AB200" s="79">
        <f>VLOOKUP(B200,'Player Data'!$A1:$AE667,16,FALSE)*$Q200</f>
        <v>90.6846433588565</v>
      </c>
      <c r="AC200" s="79">
        <f>VLOOKUP(B200,'Player Data'!$A1:$AE667,17,FALSE)*$Q200*_xlfn.IFERROR((VLOOKUP(P200,'Settings'!$E$28:$F$33,2,FALSE)+1),1)</f>
        <v>1.30958103456231</v>
      </c>
      <c r="AD200" s="79">
        <f>VLOOKUP(B200,'Player Data'!$A1:$AE667,18,FALSE)*$Q200</f>
        <v>39.3522411730042</v>
      </c>
      <c r="AE200" s="79">
        <f>VLOOKUP(B200,'Player Data'!$A1:$AE667,19,FALSE)*$Q200*_xlfn.IFERROR((VLOOKUP(P200,'Settings'!$E$28:$F$33,2,FALSE)+1),1)</f>
        <v>2.93016053840669</v>
      </c>
      <c r="AF200" s="79">
        <f>VLOOKUP(B200,'Player Data'!$A1:$AE667,20,FALSE)*$Q200</f>
        <v>4.62463557051389</v>
      </c>
      <c r="AG200" s="79">
        <f>VLOOKUP(B200,'Player Data'!$A1:$AE667,21,FALSE)*$Q200</f>
        <v>12.1131407874526</v>
      </c>
      <c r="AH200" s="81">
        <f>VLOOKUP(B200,'Player Data'!$A1:$AE667,22,FALSE)</f>
        <v>0.276299280836833</v>
      </c>
      <c r="AI200" s="77"/>
      <c r="AJ200" s="89"/>
      <c r="AK200" s="79"/>
      <c r="AL200" s="79"/>
      <c r="AM200" s="79"/>
      <c r="AN200" s="79"/>
      <c r="AO200" s="79"/>
      <c r="AP200" s="79"/>
      <c r="AQ200" s="82"/>
      <c r="AR200" s="83"/>
      <c r="AS200" s="84"/>
    </row>
    <row r="201" ht="21.25" customHeight="1">
      <c r="A201" s="85">
        <f>RANK(K201,K$1:K$665)</f>
        <v>193</v>
      </c>
      <c r="B201" t="s" s="16">
        <v>388</v>
      </c>
      <c r="C201" t="s" s="69">
        <v>127</v>
      </c>
      <c r="D201" t="s" s="70">
        <f>VLOOKUP(B201,'Player Data'!A1:D667,4,FALSE)</f>
        <v>153</v>
      </c>
      <c r="E201" s="95">
        <f>VLOOKUP(B201,'D'!A1:C213,3,FALSE)</f>
        <v>53</v>
      </c>
      <c r="F201" t="s" s="86">
        <f>VLOOKUP(B201,'Player Data'!A1:B667,2,FALSE)</f>
        <v>149</v>
      </c>
      <c r="G201" s="11">
        <f>VLOOKUP(B201,'Player Data'!A1:D667,3,FALSE)</f>
        <v>28</v>
      </c>
      <c r="H201" s="94">
        <f>_xlfn.IFERROR(VLOOKUP(B201,'ADP'!A1:G665,7,FALSE)/1000000,VLOOKUP(B201,'ADP'!A1:G665,7,FALSE))</f>
        <v>7.5</v>
      </c>
      <c r="I201" s="74">
        <f>IF('Settings'!$E$15="POINTS",((R201*Q201)*'Settings'!$B$12)+(S201*'Settings'!$B$2)+(T201*'Settings'!$B$3)+(U201*'Settings'!$B$4)+(V201*'Settings'!$B$5)+(X201*'Settings'!$B$9)+(AA201*'Settings'!$B$6)+(W201*'Settings'!$B$8)+(AB201*'Settings'!$B$7)+(AC201*'Settings'!$B$14)+(AD201*'Settings'!$B$15)+(AE201*'Settings'!$B$16)+(AF201*'Settings'!$B$17)+(AG201*'Settings'!$B$18)+(U201*'Settings'!$B$13)+(Y201*'Settings'!$B$10)+(Z201*'Settings'!$B$11),VLOOKUP(B201,'Standard Deviations'!A1:C666,3,FALSE))</f>
        <v>270.872451593439</v>
      </c>
      <c r="J201" s="75">
        <f>IF(D201="G",I201/AJ201,I201/Q201)</f>
        <v>3.71490710544386</v>
      </c>
      <c r="K201" s="74">
        <f>VLOOKUP(B201,'D'!A1:F213,6,FALSE)</f>
        <v>-60.667756326643</v>
      </c>
      <c r="L201" s="76">
        <f>_xlfn.IFERROR(K201/H201,"N/A")</f>
        <v>-8.089034176885731</v>
      </c>
      <c r="M201" s="77">
        <f>IF('Settings'!$E$9="YAHOO",VLOOKUP(B201,'ADP'!A1:E665,2,FALSE),IF('Settings'!$E$9="ESPN",VLOOKUP(B201,'ADP'!A1:E665,3,FALSE),IF('Settings'!$E$9="FANTRAX",VLOOKUP(B201,'ADP'!A1:E665,4,FALSE),VLOOKUP(B201,'ADP'!A1:E665,5,FALSE))))</f>
        <v>0</v>
      </c>
      <c r="N201" s="77">
        <f>_xlfn.IFERROR(M201-A201,"N/A")</f>
        <v>-193</v>
      </c>
      <c r="O201" s="77"/>
      <c r="P201" t="s" s="78">
        <f>IF('Settings'!$E$27="ON",VLOOKUP(B201,'ADP'!A1:H665,8,FALSE)," ")</f>
        <v>138</v>
      </c>
      <c r="Q201" s="79">
        <f>IF('Settings'!$E$12="YES",VLOOKUP(B201,'Player Data'!A1:E667,5,FALSE),82)</f>
        <v>72.91500000000001</v>
      </c>
      <c r="R201" s="98">
        <f>VLOOKUP(B201,'Player Data'!$A1:$AE667,6,FALSE)</f>
        <v>23.399770734461</v>
      </c>
      <c r="S201" s="79">
        <f>VLOOKUP(B201,'Player Data'!$A1:$AE667,7,FALSE)*$Q201*_xlfn.IFERROR((VLOOKUP(P201,'Settings'!$E$28:$F$33,2,FALSE)+1),1)</f>
        <v>10.5878016452261</v>
      </c>
      <c r="T201" s="79">
        <f>VLOOKUP(B201,'Player Data'!$A1:$AE667,8,FALSE)*$Q201*_xlfn.IFERROR((VLOOKUP(P201,'Settings'!$E$28:$F$33,2,FALSE)+1),1)</f>
        <v>27.5973984574158</v>
      </c>
      <c r="U201" s="79">
        <f>SUM(S201:T201)</f>
        <v>38.1852001026419</v>
      </c>
      <c r="V201" s="79">
        <f>VLOOKUP(B201,'Player Data'!$A1:$AE667,10,FALSE)*$Q201*_xlfn.IFERROR(((VLOOKUP(P201,'Settings'!$E$28:$F$33,2,FALSE)/2)+1),1)</f>
        <v>175.503866354305</v>
      </c>
      <c r="W201" s="79">
        <f>VLOOKUP(B201,'Player Data'!$A1:$AE667,11,FALSE)*$Q201*_xlfn.IFERROR((VLOOKUP(P201,'Settings'!$E$28:$F$33,2,FALSE)+1),1)</f>
        <v>2.70855898232119</v>
      </c>
      <c r="X201" s="79">
        <f>VLOOKUP(B201,'Player Data'!$A1:$AE667,12,FALSE)*$Q201*_xlfn.IFERROR((VLOOKUP(P201,'Settings'!$E$28:$F$33,2,FALSE)+1),1)</f>
        <v>9.604426303600221</v>
      </c>
      <c r="Y201" s="79">
        <f>VLOOKUP(B201,'Player Data'!$A1:$AE667,13,FALSE)*$Q201</f>
        <v>0.293250778023653</v>
      </c>
      <c r="Z201" s="79">
        <f>VLOOKUP(B201,'Player Data'!$A1:$AE667,14,FALSE)*$Q201</f>
        <v>0.877311418517302</v>
      </c>
      <c r="AA201" s="79">
        <f>VLOOKUP(B201,'Player Data'!$A1:$AE667,15,FALSE)*$Q201</f>
        <v>98.80668075048909</v>
      </c>
      <c r="AB201" s="79">
        <f>VLOOKUP(B201,'Player Data'!$A1:$AE667,16,FALSE)*$Q201</f>
        <v>104.324983893509</v>
      </c>
      <c r="AC201" s="79">
        <f>VLOOKUP(B201,'Player Data'!$A1:$AE667,17,FALSE)*$Q201*_xlfn.IFERROR((VLOOKUP(P201,'Settings'!$E$28:$F$33,2,FALSE)+1),1)</f>
        <v>5.85542501783516</v>
      </c>
      <c r="AD201" s="79">
        <f>VLOOKUP(B201,'Player Data'!$A1:$AE667,18,FALSE)*$Q201</f>
        <v>48.3479114187428</v>
      </c>
      <c r="AE201" s="79">
        <f>VLOOKUP(B201,'Player Data'!$A1:$AE667,19,FALSE)*$Q201*_xlfn.IFERROR((VLOOKUP(P201,'Settings'!$E$28:$F$33,2,FALSE)+1),1)</f>
        <v>1.80375621099089</v>
      </c>
      <c r="AF201" s="79">
        <f>VLOOKUP(B201,'Player Data'!$A1:$AE667,20,FALSE)*$Q201</f>
        <v>0</v>
      </c>
      <c r="AG201" s="79">
        <f>VLOOKUP(B201,'Player Data'!$A1:$AE667,21,FALSE)*$Q201</f>
        <v>0</v>
      </c>
      <c r="AH201" s="81">
        <f>VLOOKUP(B201,'Player Data'!$A1:$AE667,22,FALSE)</f>
        <v>0</v>
      </c>
      <c r="AI201" s="77"/>
      <c r="AJ201" s="79"/>
      <c r="AK201" s="79"/>
      <c r="AL201" s="79"/>
      <c r="AM201" s="79"/>
      <c r="AN201" s="79"/>
      <c r="AO201" s="79"/>
      <c r="AP201" s="79"/>
      <c r="AQ201" s="82"/>
      <c r="AR201" s="83"/>
      <c r="AS201" s="84"/>
    </row>
    <row r="202" ht="21.25" customHeight="1">
      <c r="A202" s="85">
        <f>RANK(K202,K$1:K$665)</f>
        <v>194</v>
      </c>
      <c r="B202" t="s" s="16">
        <v>389</v>
      </c>
      <c r="C202" t="s" s="69">
        <v>127</v>
      </c>
      <c r="D202" t="s" s="70">
        <f>VLOOKUP(B202,'Player Data'!A1:D667,4,FALSE)</f>
        <v>153</v>
      </c>
      <c r="E202" s="95">
        <f>VLOOKUP(B202,'D'!A1:C213,3,FALSE)</f>
        <v>54</v>
      </c>
      <c r="F202" t="s" s="78">
        <f>VLOOKUP(B202,'Player Data'!A1:B667,2,FALSE)</f>
        <v>204</v>
      </c>
      <c r="G202" s="96">
        <f>VLOOKUP(B202,'Player Data'!A1:D667,3,FALSE)</f>
        <v>23</v>
      </c>
      <c r="H202" t="s" s="86">
        <f>_xlfn.IFERROR(VLOOKUP(B202,'ADP'!A1:G665,7,FALSE)/1000000,VLOOKUP(B202,'ADP'!A1:G665,7,FALSE))</f>
        <v>157</v>
      </c>
      <c r="I202" s="74">
        <f>IF('Settings'!$E$15="POINTS",((R202*Q202)*'Settings'!$B$12)+(S202*'Settings'!$B$2)+(T202*'Settings'!$B$3)+(U202*'Settings'!$B$4)+(V202*'Settings'!$B$5)+(X202*'Settings'!$B$9)+(AA202*'Settings'!$B$6)+(W202*'Settings'!$B$8)+(AB202*'Settings'!$B$7)+(AC202*'Settings'!$B$14)+(AD202*'Settings'!$B$15)+(AE202*'Settings'!$B$16)+(AF202*'Settings'!$B$17)+(AG202*'Settings'!$B$18)+(U202*'Settings'!$B$13)+(Y202*'Settings'!$B$10)+(Z202*'Settings'!$B$11),VLOOKUP(B202,'Standard Deviations'!A1:C666,3,FALSE))</f>
        <v>270.485688051404</v>
      </c>
      <c r="J202" s="75">
        <f>IF(D202="G",I202/AJ202,I202/Q202)</f>
        <v>3.61744876861686</v>
      </c>
      <c r="K202" s="74">
        <f>VLOOKUP(B202,'D'!A1:F213,6,FALSE)</f>
        <v>-61.054519868678</v>
      </c>
      <c r="L202" t="s" s="97">
        <f>_xlfn.IFERROR(K202/H202,"N/A")</f>
        <v>158</v>
      </c>
      <c r="M202" s="77">
        <f>IF('Settings'!$E$9="YAHOO",VLOOKUP(B202,'ADP'!A1:E665,2,FALSE),IF('Settings'!$E$9="ESPN",VLOOKUP(B202,'ADP'!A1:E665,3,FALSE),IF('Settings'!$E$9="FANTRAX",VLOOKUP(B202,'ADP'!A1:E665,4,FALSE),VLOOKUP(B202,'ADP'!A1:E665,5,FALSE))))</f>
        <v>0</v>
      </c>
      <c r="N202" s="77">
        <f>_xlfn.IFERROR(M202-A202,"N/A")</f>
        <v>-194</v>
      </c>
      <c r="O202" s="77"/>
      <c r="P202" t="s" s="78">
        <f>IF('Settings'!$E$27="ON",VLOOKUP(B202,'ADP'!A1:H665,8,FALSE)," ")</f>
        <v>138</v>
      </c>
      <c r="Q202" s="79">
        <f>IF('Settings'!$E$12="YES",VLOOKUP(B202,'Player Data'!A1:E667,5,FALSE),82)</f>
        <v>74.77249999999999</v>
      </c>
      <c r="R202" s="77">
        <f>VLOOKUP(B202,'Player Data'!$A1:$AE667,6,FALSE)</f>
        <v>21.2810601806003</v>
      </c>
      <c r="S202" s="79">
        <f>VLOOKUP(B202,'Player Data'!$A1:$AE667,7,FALSE)*$Q202*_xlfn.IFERROR((VLOOKUP(P202,'Settings'!$E$28:$F$33,2,FALSE)+1),1)</f>
        <v>11.8858955243873</v>
      </c>
      <c r="T202" s="79">
        <f>VLOOKUP(B202,'Player Data'!$A1:$AE667,8,FALSE)*$Q202*_xlfn.IFERROR((VLOOKUP(P202,'Settings'!$E$28:$F$33,2,FALSE)+1),1)</f>
        <v>31.2291667479449</v>
      </c>
      <c r="U202" s="79">
        <f>SUM(S202:T202)</f>
        <v>43.1150622723322</v>
      </c>
      <c r="V202" s="79">
        <f>VLOOKUP(B202,'Player Data'!$A1:$AE667,10,FALSE)*$Q202*_xlfn.IFERROR(((VLOOKUP(P202,'Settings'!$E$28:$F$33,2,FALSE)/2)+1),1)</f>
        <v>138.442161992747</v>
      </c>
      <c r="W202" s="79">
        <f>VLOOKUP(B202,'Player Data'!$A1:$AE667,11,FALSE)*$Q202*_xlfn.IFERROR((VLOOKUP(P202,'Settings'!$E$28:$F$33,2,FALSE)+1),1)</f>
        <v>1.15553350992298</v>
      </c>
      <c r="X202" s="79">
        <f>VLOOKUP(B202,'Player Data'!$A1:$AE667,12,FALSE)*$Q202*_xlfn.IFERROR((VLOOKUP(P202,'Settings'!$E$28:$F$33,2,FALSE)+1),1)</f>
        <v>9.703171914111939</v>
      </c>
      <c r="Y202" s="79">
        <f>VLOOKUP(B202,'Player Data'!$A1:$AE667,13,FALSE)*$Q202</f>
        <v>0.571517808342048</v>
      </c>
      <c r="Z202" s="79">
        <f>VLOOKUP(B202,'Player Data'!$A1:$AE667,14,FALSE)*$Q202</f>
        <v>0.691955162327809</v>
      </c>
      <c r="AA202" s="79">
        <f>VLOOKUP(B202,'Player Data'!$A1:$AE667,15,FALSE)*$Q202</f>
        <v>122.660375632012</v>
      </c>
      <c r="AB202" s="79">
        <f>VLOOKUP(B202,'Player Data'!$A1:$AE667,16,FALSE)*$Q202</f>
        <v>69.0223445798929</v>
      </c>
      <c r="AC202" s="79">
        <f>VLOOKUP(B202,'Player Data'!$A1:$AE667,17,FALSE)*$Q202*_xlfn.IFERROR((VLOOKUP(P202,'Settings'!$E$28:$F$33,2,FALSE)+1),1)</f>
        <v>7.60345642965963</v>
      </c>
      <c r="AD202" s="79">
        <f>VLOOKUP(B202,'Player Data'!$A1:$AE667,18,FALSE)*$Q202</f>
        <v>24.320974106642</v>
      </c>
      <c r="AE202" s="79">
        <f>VLOOKUP(B202,'Player Data'!$A1:$AE667,19,FALSE)*$Q202*_xlfn.IFERROR((VLOOKUP(P202,'Settings'!$E$28:$F$33,2,FALSE)+1),1)</f>
        <v>1.90077712435542</v>
      </c>
      <c r="AF202" s="79">
        <f>VLOOKUP(B202,'Player Data'!$A1:$AE667,20,FALSE)*$Q202</f>
        <v>0</v>
      </c>
      <c r="AG202" s="79">
        <f>VLOOKUP(B202,'Player Data'!$A1:$AE667,21,FALSE)*$Q202</f>
        <v>0</v>
      </c>
      <c r="AH202" s="81">
        <f>VLOOKUP(B202,'Player Data'!$A1:$AE667,22,FALSE)</f>
        <v>0</v>
      </c>
      <c r="AI202" s="77"/>
      <c r="AJ202" s="79"/>
      <c r="AK202" s="79"/>
      <c r="AL202" s="79"/>
      <c r="AM202" s="79"/>
      <c r="AN202" s="79"/>
      <c r="AO202" s="79"/>
      <c r="AP202" s="79"/>
      <c r="AQ202" s="82"/>
      <c r="AR202" s="83"/>
      <c r="AS202" s="84"/>
    </row>
    <row r="203" ht="21.25" customHeight="1">
      <c r="A203" s="85">
        <f>RANK(K203,K$1:K$665)</f>
        <v>217</v>
      </c>
      <c r="B203" t="s" s="16">
        <v>390</v>
      </c>
      <c r="C203" t="s" s="69">
        <v>127</v>
      </c>
      <c r="D203" t="s" s="70">
        <f>VLOOKUP(B203,'Player Data'!A1:D667,4,FALSE)</f>
        <v>128</v>
      </c>
      <c r="E203" s="71">
        <f>VLOOKUP(B203,'C'!A1:C206,3,FALSE)</f>
        <v>68</v>
      </c>
      <c r="F203" t="s" s="103">
        <f>VLOOKUP(B203,'Player Data'!A1:B667,2,FALSE)</f>
        <v>225</v>
      </c>
      <c r="G203" s="96">
        <f>VLOOKUP(B203,'Player Data'!A1:D667,3,FALSE)</f>
        <v>22</v>
      </c>
      <c r="H203" s="73">
        <f>_xlfn.IFERROR(VLOOKUP(B203,'ADP'!A1:G665,7,FALSE)/1000000,VLOOKUP(B203,'ADP'!A1:G665,7,FALSE))</f>
        <v>6.25</v>
      </c>
      <c r="I203" s="74">
        <f>IF('Settings'!$E$15="POINTS",((R203*Q203)*'Settings'!$B$12)+(S203*'Settings'!$B$2)+(T203*'Settings'!$B$3)+(U203*'Settings'!$B$4)+(V203*'Settings'!$B$5)+(X203*'Settings'!$B$9)+(AA203*'Settings'!$B$6)+(W203*'Settings'!$B$8)+(AB203*'Settings'!$B$7)+(AC203*'Settings'!$B$14)+(AD203*'Settings'!$B$15)+(AE203*'Settings'!$B$16)+(AF203*'Settings'!$B$17)+(AG203*'Settings'!$B$18)+(Y203*'Settings'!$B$10)+(Z203*'Settings'!$B$11),VLOOKUP(B203,'Standard Deviations'!A1:C666,3,FALSE))</f>
        <v>258.329883759428</v>
      </c>
      <c r="J203" s="75">
        <f>IF(D203="G",I203/AJ203,I203/Q203)</f>
        <v>3.3675070393929</v>
      </c>
      <c r="K203" s="74">
        <f>IF('Settings'!$E$18="C/LW/RW",VLOOKUP(B203,'C'!A1:F206,6,FALSE),VLOOKUP(B203,'F'!A1:F392,6,FALSE))</f>
        <v>-71.36201032175001</v>
      </c>
      <c r="L203" s="76">
        <f>_xlfn.IFERROR(K203/H203,"N/A")</f>
        <v>-11.417921651480</v>
      </c>
      <c r="M203" s="77">
        <f>IF('Settings'!$E$9="YAHOO",VLOOKUP(B203,'ADP'!A1:E665,2,FALSE),IF('Settings'!$E$9="ESPN",VLOOKUP(B203,'ADP'!A1:E665,3,FALSE),IF('Settings'!$E$9="FANTRAX",VLOOKUP(B203,'ADP'!A1:E665,4,FALSE),VLOOKUP(B203,'ADP'!A1:E665,5,FALSE))))</f>
        <v>0</v>
      </c>
      <c r="N203" s="77">
        <f>_xlfn.IFERROR(M203-A203,"N/A")</f>
        <v>-217</v>
      </c>
      <c r="O203" s="77"/>
      <c r="P203" t="s" s="78">
        <f>IF('Settings'!$E$27="ON",VLOOKUP(B203,'ADP'!A1:H665,8,FALSE)," ")</f>
        <v>138</v>
      </c>
      <c r="Q203" s="79">
        <f>IF('Settings'!$E$12="YES",VLOOKUP(B203,'Player Data'!A1:E667,5,FALSE),82)</f>
        <v>76.71250000000001</v>
      </c>
      <c r="R203" s="98">
        <f>VLOOKUP(B203,'Player Data'!$A1:$AE667,6,FALSE)</f>
        <v>18.6537215488873</v>
      </c>
      <c r="S203" s="79">
        <f>VLOOKUP(B203,'Player Data'!$A1:$AE667,7,FALSE)*$Q203*_xlfn.IFERROR((VLOOKUP(P203,'Settings'!$E$28:$F$33,2,FALSE)+1),1)</f>
        <v>21.171006114180</v>
      </c>
      <c r="T203" s="79">
        <f>VLOOKUP(B203,'Player Data'!$A1:$AE667,8,FALSE)*$Q203*_xlfn.IFERROR((VLOOKUP(P203,'Settings'!$E$28:$F$33,2,FALSE)+1),1)</f>
        <v>38.5259256776043</v>
      </c>
      <c r="U203" s="79">
        <f>SUM(S203:T203)</f>
        <v>59.6969317917843</v>
      </c>
      <c r="V203" s="79">
        <f>VLOOKUP(B203,'Player Data'!$A1:$AE667,10,FALSE)*$Q203*_xlfn.IFERROR(((VLOOKUP(P203,'Settings'!$E$28:$F$33,2,FALSE)/2)+1),1)</f>
        <v>174.472098855703</v>
      </c>
      <c r="W203" s="79">
        <f>VLOOKUP(B203,'Player Data'!$A1:$AE667,11,FALSE)*$Q203*_xlfn.IFERROR((VLOOKUP(P203,'Settings'!$E$28:$F$33,2,FALSE)+1),1)</f>
        <v>7.63870540332738</v>
      </c>
      <c r="X203" s="80">
        <f>VLOOKUP(B203,'Player Data'!$A1:$AE667,12,FALSE)*$Q203*_xlfn.IFERROR((VLOOKUP(P203,'Settings'!$E$28:$F$33,2,FALSE)+1),1)</f>
        <v>16.0269887257978</v>
      </c>
      <c r="Y203" s="79">
        <f>VLOOKUP(B203,'Player Data'!$A1:$AE667,13,FALSE)*$Q203</f>
        <v>0.24618432108352</v>
      </c>
      <c r="Z203" s="79">
        <f>VLOOKUP(B203,'Player Data'!$A1:$AE667,14,FALSE)*$Q203</f>
        <v>0.409581349333686</v>
      </c>
      <c r="AA203" s="79">
        <f>VLOOKUP(B203,'Player Data'!$A1:$AE667,15,FALSE)*$Q203</f>
        <v>24.9102516531976</v>
      </c>
      <c r="AB203" s="79">
        <f>VLOOKUP(B203,'Player Data'!$A1:$AE667,16,FALSE)*$Q203</f>
        <v>71.61933014713971</v>
      </c>
      <c r="AC203" s="79">
        <f>VLOOKUP(B203,'Player Data'!$A1:$AE667,17,FALSE)*$Q203*_xlfn.IFERROR((VLOOKUP(P203,'Settings'!$E$28:$F$33,2,FALSE)+1),1)</f>
        <v>4.49612336615718</v>
      </c>
      <c r="AD203" s="79">
        <f>VLOOKUP(B203,'Player Data'!$A1:$AE667,18,FALSE)*$Q203</f>
        <v>43.7418025814123</v>
      </c>
      <c r="AE203" s="79">
        <f>VLOOKUP(B203,'Player Data'!$A1:$AE667,19,FALSE)*$Q203*_xlfn.IFERROR((VLOOKUP(P203,'Settings'!$E$28:$F$33,2,FALSE)+1),1)</f>
        <v>3.77292036279872</v>
      </c>
      <c r="AF203" s="79">
        <f>VLOOKUP(B203,'Player Data'!$A1:$AE667,20,FALSE)*$Q203</f>
        <v>70.51673449550439</v>
      </c>
      <c r="AG203" s="79">
        <f>VLOOKUP(B203,'Player Data'!$A1:$AE667,21,FALSE)*$Q203</f>
        <v>82.7745883601566</v>
      </c>
      <c r="AH203" s="81">
        <f>VLOOKUP(B203,'Player Data'!$A1:$AE667,22,FALSE)</f>
        <v>0.460017783015043</v>
      </c>
      <c r="AI203" s="77"/>
      <c r="AJ203" s="89"/>
      <c r="AK203" s="79"/>
      <c r="AL203" s="79"/>
      <c r="AM203" s="79"/>
      <c r="AN203" s="79"/>
      <c r="AO203" s="79"/>
      <c r="AP203" s="79"/>
      <c r="AQ203" s="82"/>
      <c r="AR203" s="83"/>
      <c r="AS203" s="84"/>
    </row>
    <row r="204" ht="21.25" customHeight="1">
      <c r="A204" s="85">
        <f>RANK(K204,K$1:K$665)</f>
        <v>220</v>
      </c>
      <c r="B204" t="s" s="16">
        <v>391</v>
      </c>
      <c r="C204" t="s" s="69">
        <v>127</v>
      </c>
      <c r="D204" t="s" s="70">
        <f>VLOOKUP(B204,'Player Data'!A1:D667,4,FALSE)</f>
        <v>128</v>
      </c>
      <c r="E204" s="71">
        <f>VLOOKUP(B204,'C'!A1:C206,3,FALSE)</f>
        <v>70</v>
      </c>
      <c r="F204" t="s" s="78">
        <f>VLOOKUP(B204,'Player Data'!A1:B667,2,FALSE)</f>
        <v>168</v>
      </c>
      <c r="G204" s="91">
        <f>VLOOKUP(B204,'Player Data'!A1:D667,3,FALSE)</f>
        <v>31</v>
      </c>
      <c r="H204" s="73">
        <f>_xlfn.IFERROR(VLOOKUP(B204,'ADP'!A1:G665,7,FALSE)/1000000,VLOOKUP(B204,'ADP'!A1:G665,7,FALSE))</f>
        <v>3.25</v>
      </c>
      <c r="I204" s="74">
        <f>IF('Settings'!$E$15="POINTS",((R204*Q204)*'Settings'!$B$12)+(S204*'Settings'!$B$2)+(T204*'Settings'!$B$3)+(U204*'Settings'!$B$4)+(V204*'Settings'!$B$5)+(X204*'Settings'!$B$9)+(AA204*'Settings'!$B$6)+(W204*'Settings'!$B$8)+(AB204*'Settings'!$B$7)+(AC204*'Settings'!$B$14)+(AD204*'Settings'!$B$15)+(AE204*'Settings'!$B$16)+(AF204*'Settings'!$B$17)+(AG204*'Settings'!$B$18)+(Y204*'Settings'!$B$10)+(Z204*'Settings'!$B$11),VLOOKUP(B204,'Standard Deviations'!A1:C666,3,FALSE))</f>
        <v>257.380177594157</v>
      </c>
      <c r="J204" s="75">
        <f>IF(D204="G",I204/AJ204,I204/Q204)</f>
        <v>3.15600597889895</v>
      </c>
      <c r="K204" s="74">
        <f>IF('Settings'!$E$18="C/LW/RW",VLOOKUP(B204,'C'!A1:F206,6,FALSE),VLOOKUP(B204,'F'!A1:F392,6,FALSE))</f>
        <v>-72.311716487021</v>
      </c>
      <c r="L204" s="76">
        <f>_xlfn.IFERROR(K204/H204,"N/A")</f>
        <v>-22.2497589190834</v>
      </c>
      <c r="M204" s="109">
        <f>IF('Settings'!$E$9="YAHOO",VLOOKUP(B204,'ADP'!A1:E665,2,FALSE),IF('Settings'!$E$9="ESPN",VLOOKUP(B204,'ADP'!A1:E665,3,FALSE),IF('Settings'!$E$9="FANTRAX",VLOOKUP(B204,'ADP'!A1:E665,4,FALSE),VLOOKUP(B204,'ADP'!A1:E665,5,FALSE))))</f>
        <v>0</v>
      </c>
      <c r="N204" s="79">
        <f>_xlfn.IFERROR(M204-A204,"N/A")</f>
        <v>-220</v>
      </c>
      <c r="O204" s="77"/>
      <c r="P204" t="s" s="78">
        <f>IF('Settings'!$E$27="ON",VLOOKUP(B204,'ADP'!A1:H665,8,FALSE)," ")</f>
        <v>138</v>
      </c>
      <c r="Q204" s="79">
        <f>IF('Settings'!$E$12="YES",VLOOKUP(B204,'Player Data'!A1:E667,5,FALSE),82)</f>
        <v>81.55249999999999</v>
      </c>
      <c r="R204" s="77">
        <f>VLOOKUP(B204,'Player Data'!$A1:$AE667,6,FALSE)</f>
        <v>16.3307817601829</v>
      </c>
      <c r="S204" s="79">
        <f>VLOOKUP(B204,'Player Data'!$A1:$AE667,7,FALSE)*$Q204*_xlfn.IFERROR((VLOOKUP(P204,'Settings'!$E$28:$F$33,2,FALSE)+1),1)</f>
        <v>12.5545395244352</v>
      </c>
      <c r="T204" s="79">
        <f>VLOOKUP(B204,'Player Data'!$A1:$AE667,8,FALSE)*$Q204*_xlfn.IFERROR((VLOOKUP(P204,'Settings'!$E$28:$F$33,2,FALSE)+1),1)</f>
        <v>19.6724980908468</v>
      </c>
      <c r="U204" s="79">
        <f>SUM(S204:T204)</f>
        <v>32.227037615282</v>
      </c>
      <c r="V204" s="79">
        <f>VLOOKUP(B204,'Player Data'!$A1:$AE667,10,FALSE)*$Q204*_xlfn.IFERROR(((VLOOKUP(P204,'Settings'!$E$28:$F$33,2,FALSE)/2)+1),1)</f>
        <v>123.644933255087</v>
      </c>
      <c r="W204" s="79">
        <f>VLOOKUP(B204,'Player Data'!$A1:$AE667,11,FALSE)*$Q204*_xlfn.IFERROR((VLOOKUP(P204,'Settings'!$E$28:$F$33,2,FALSE)+1),1)</f>
        <v>0.241377162905699</v>
      </c>
      <c r="X204" s="79">
        <f>VLOOKUP(B204,'Player Data'!$A1:$AE667,12,FALSE)*$Q204*_xlfn.IFERROR((VLOOKUP(P204,'Settings'!$E$28:$F$33,2,FALSE)+1),1)</f>
        <v>1.22599821368854</v>
      </c>
      <c r="Y204" s="79">
        <f>VLOOKUP(B204,'Player Data'!$A1:$AE667,13,FALSE)*$Q204</f>
        <v>1.28378898034537</v>
      </c>
      <c r="Z204" s="79">
        <f>VLOOKUP(B204,'Player Data'!$A1:$AE667,14,FALSE)*$Q204</f>
        <v>2.43244407131679</v>
      </c>
      <c r="AA204" s="79">
        <f>VLOOKUP(B204,'Player Data'!$A1:$AE667,15,FALSE)*$Q204</f>
        <v>60.0091306140669</v>
      </c>
      <c r="AB204" s="79">
        <f>VLOOKUP(B204,'Player Data'!$A1:$AE667,16,FALSE)*$Q204</f>
        <v>169.191126598796</v>
      </c>
      <c r="AC204" s="79">
        <f>VLOOKUP(B204,'Player Data'!$A1:$AE667,17,FALSE)*$Q204*_xlfn.IFERROR((VLOOKUP(P204,'Settings'!$E$28:$F$33,2,FALSE)+1),1)</f>
        <v>3.43557736858076</v>
      </c>
      <c r="AD204" s="79">
        <f>VLOOKUP(B204,'Player Data'!$A1:$AE667,18,FALSE)*$Q204</f>
        <v>50.8792407546864</v>
      </c>
      <c r="AE204" s="79">
        <f>VLOOKUP(B204,'Player Data'!$A1:$AE667,19,FALSE)*$Q204*_xlfn.IFERROR((VLOOKUP(P204,'Settings'!$E$28:$F$33,2,FALSE)+1),1)</f>
        <v>2.08689789071274</v>
      </c>
      <c r="AF204" s="79">
        <f>VLOOKUP(B204,'Player Data'!$A1:$AE667,20,FALSE)*$Q204</f>
        <v>679.393796432740</v>
      </c>
      <c r="AG204" s="79">
        <f>VLOOKUP(B204,'Player Data'!$A1:$AE667,21,FALSE)*$Q204</f>
        <v>668.1253258126389</v>
      </c>
      <c r="AH204" s="81">
        <f>VLOOKUP(B204,'Player Data'!$A1:$AE667,22,FALSE)</f>
        <v>0.504181191359023</v>
      </c>
      <c r="AI204" s="77"/>
      <c r="AJ204" s="79"/>
      <c r="AK204" s="79"/>
      <c r="AL204" s="79"/>
      <c r="AM204" s="79"/>
      <c r="AN204" s="79"/>
      <c r="AO204" s="79"/>
      <c r="AP204" s="79"/>
      <c r="AQ204" s="82"/>
      <c r="AR204" s="83"/>
      <c r="AS204" s="93"/>
    </row>
    <row r="205" ht="21.25" customHeight="1">
      <c r="A205" s="85">
        <f>RANK(K205,K$1:K$665)</f>
        <v>199</v>
      </c>
      <c r="B205" t="s" s="16">
        <v>392</v>
      </c>
      <c r="C205" t="s" s="69">
        <v>127</v>
      </c>
      <c r="D205" t="s" s="70">
        <f>VLOOKUP(B205,'Player Data'!A1:D667,4,FALSE)</f>
        <v>153</v>
      </c>
      <c r="E205" s="95">
        <f>VLOOKUP(B205,'D'!A1:C213,3,FALSE)</f>
        <v>55</v>
      </c>
      <c r="F205" t="s" s="86">
        <f>VLOOKUP(B205,'Player Data'!A1:B667,2,FALSE)</f>
        <v>129</v>
      </c>
      <c r="G205" s="91">
        <f>VLOOKUP(B205,'Player Data'!A1:D667,3,FALSE)</f>
        <v>34</v>
      </c>
      <c r="H205" s="73">
        <f>_xlfn.IFERROR(VLOOKUP(B205,'ADP'!A1:G665,7,FALSE)/1000000,VLOOKUP(B205,'ADP'!A1:G665,7,FALSE))</f>
        <v>6</v>
      </c>
      <c r="I205" s="74">
        <f>IF('Settings'!$E$15="POINTS",((R205*Q205)*'Settings'!$B$12)+(S205*'Settings'!$B$2)+(T205*'Settings'!$B$3)+(U205*'Settings'!$B$4)+(V205*'Settings'!$B$5)+(X205*'Settings'!$B$9)+(AA205*'Settings'!$B$6)+(W205*'Settings'!$B$8)+(AB205*'Settings'!$B$7)+(AC205*'Settings'!$B$14)+(AD205*'Settings'!$B$15)+(AE205*'Settings'!$B$16)+(AF205*'Settings'!$B$17)+(AG205*'Settings'!$B$18)+(U205*'Settings'!$B$13)+(Y205*'Settings'!$B$10)+(Z205*'Settings'!$B$11),VLOOKUP(B205,'Standard Deviations'!A1:C666,3,FALSE))</f>
        <v>269.360130298382</v>
      </c>
      <c r="J205" s="75">
        <f>IF(D205="G",I205/AJ205,I205/Q205)</f>
        <v>3.35243946978291</v>
      </c>
      <c r="K205" s="74">
        <f>VLOOKUP(B205,'D'!A1:F213,6,FALSE)</f>
        <v>-62.1800776217</v>
      </c>
      <c r="L205" s="76">
        <f>_xlfn.IFERROR(K205/H205,"N/A")</f>
        <v>-10.3633462702833</v>
      </c>
      <c r="M205" s="77">
        <f>IF('Settings'!$E$9="YAHOO",VLOOKUP(B205,'ADP'!A1:E665,2,FALSE),IF('Settings'!$E$9="ESPN",VLOOKUP(B205,'ADP'!A1:E665,3,FALSE),IF('Settings'!$E$9="FANTRAX",VLOOKUP(B205,'ADP'!A1:E665,4,FALSE),VLOOKUP(B205,'ADP'!A1:E665,5,FALSE))))</f>
        <v>0</v>
      </c>
      <c r="N205" s="77">
        <f>_xlfn.IFERROR(M205-A205,"N/A")</f>
        <v>-199</v>
      </c>
      <c r="O205" s="77"/>
      <c r="P205" t="s" s="78">
        <f>IF('Settings'!$E$27="ON",VLOOKUP(B205,'ADP'!A1:H665,8,FALSE)," ")</f>
        <v>138</v>
      </c>
      <c r="Q205" s="79">
        <f>IF('Settings'!$E$12="YES",VLOOKUP(B205,'Player Data'!A1:E667,5,FALSE),82)</f>
        <v>80.3475</v>
      </c>
      <c r="R205" s="77">
        <f>VLOOKUP(B205,'Player Data'!$A1:$AE667,6,FALSE)</f>
        <v>21.462720012458</v>
      </c>
      <c r="S205" s="79">
        <f>VLOOKUP(B205,'Player Data'!$A1:$AE667,7,FALSE)*$Q205*_xlfn.IFERROR((VLOOKUP(P205,'Settings'!$E$28:$F$33,2,FALSE)+1),1)</f>
        <v>8.12995878098774</v>
      </c>
      <c r="T205" s="79">
        <f>VLOOKUP(B205,'Player Data'!$A1:$AE667,8,FALSE)*$Q205*_xlfn.IFERROR((VLOOKUP(P205,'Settings'!$E$28:$F$33,2,FALSE)+1),1)</f>
        <v>25.4814400749678</v>
      </c>
      <c r="U205" s="79">
        <f>SUM(S205:T205)</f>
        <v>33.6113988559555</v>
      </c>
      <c r="V205" s="79">
        <f>VLOOKUP(B205,'Player Data'!$A1:$AE667,10,FALSE)*$Q205*_xlfn.IFERROR(((VLOOKUP(P205,'Settings'!$E$28:$F$33,2,FALSE)/2)+1),1)</f>
        <v>157.820821133059</v>
      </c>
      <c r="W205" s="79">
        <f>VLOOKUP(B205,'Player Data'!$A1:$AE667,11,FALSE)*$Q205*_xlfn.IFERROR((VLOOKUP(P205,'Settings'!$E$28:$F$33,2,FALSE)+1),1)</f>
        <v>0.653349957968149</v>
      </c>
      <c r="X205" s="79">
        <f>VLOOKUP(B205,'Player Data'!$A1:$AE667,12,FALSE)*$Q205*_xlfn.IFERROR((VLOOKUP(P205,'Settings'!$E$28:$F$33,2,FALSE)+1),1)</f>
        <v>2.86228772174211</v>
      </c>
      <c r="Y205" s="79">
        <f>VLOOKUP(B205,'Player Data'!$A1:$AE667,13,FALSE)*$Q205</f>
        <v>0.435900716234806</v>
      </c>
      <c r="Z205" s="79">
        <f>VLOOKUP(B205,'Player Data'!$A1:$AE667,14,FALSE)*$Q205</f>
        <v>0.923453993992529</v>
      </c>
      <c r="AA205" s="79">
        <f>VLOOKUP(B205,'Player Data'!$A1:$AE667,15,FALSE)*$Q205</f>
        <v>108.688775165545</v>
      </c>
      <c r="AB205" s="79">
        <f>VLOOKUP(B205,'Player Data'!$A1:$AE667,16,FALSE)*$Q205</f>
        <v>123.059901389577</v>
      </c>
      <c r="AC205" s="79">
        <f>VLOOKUP(B205,'Player Data'!$A1:$AE667,17,FALSE)*$Q205*_xlfn.IFERROR((VLOOKUP(P205,'Settings'!$E$28:$F$33,2,FALSE)+1),1)</f>
        <v>11.407218005860</v>
      </c>
      <c r="AD205" s="79">
        <f>VLOOKUP(B205,'Player Data'!$A1:$AE667,18,FALSE)*$Q205</f>
        <v>41.4628877192829</v>
      </c>
      <c r="AE205" s="79">
        <f>VLOOKUP(B205,'Player Data'!$A1:$AE667,19,FALSE)*$Q205*_xlfn.IFERROR((VLOOKUP(P205,'Settings'!$E$28:$F$33,2,FALSE)+1),1)</f>
        <v>1.31278637471205</v>
      </c>
      <c r="AF205" s="79">
        <f>VLOOKUP(B205,'Player Data'!$A1:$AE667,20,FALSE)*$Q205</f>
        <v>0</v>
      </c>
      <c r="AG205" s="79">
        <f>VLOOKUP(B205,'Player Data'!$A1:$AE667,21,FALSE)*$Q205</f>
        <v>0</v>
      </c>
      <c r="AH205" s="81">
        <f>VLOOKUP(B205,'Player Data'!$A1:$AE667,22,FALSE)</f>
        <v>0</v>
      </c>
      <c r="AI205" s="77"/>
      <c r="AJ205" s="79"/>
      <c r="AK205" s="79"/>
      <c r="AL205" s="79"/>
      <c r="AM205" s="79"/>
      <c r="AN205" s="79"/>
      <c r="AO205" s="79"/>
      <c r="AP205" s="79"/>
      <c r="AQ205" s="82"/>
      <c r="AR205" s="83"/>
      <c r="AS205" s="84"/>
    </row>
    <row r="206" ht="21.25" customHeight="1">
      <c r="A206" s="85">
        <f>RANK(K206,K$1:K$665)</f>
        <v>221</v>
      </c>
      <c r="B206" t="s" s="16">
        <v>393</v>
      </c>
      <c r="C206" t="s" s="69">
        <v>127</v>
      </c>
      <c r="D206" t="s" s="70">
        <f>VLOOKUP(B206,'Player Data'!A1:D667,4,FALSE)</f>
        <v>128</v>
      </c>
      <c r="E206" s="71">
        <f>VLOOKUP(B206,'C'!A1:C206,3,FALSE)</f>
        <v>71</v>
      </c>
      <c r="F206" t="s" s="88">
        <f>VLOOKUP(B206,'Player Data'!A1:B667,2,FALSE)</f>
        <v>304</v>
      </c>
      <c r="G206" s="96">
        <f>VLOOKUP(B206,'Player Data'!A1:D667,3,FALSE)</f>
        <v>21</v>
      </c>
      <c r="H206" s="73">
        <f>_xlfn.IFERROR(VLOOKUP(B206,'ADP'!A1:G665,7,FALSE)/1000000,VLOOKUP(B206,'ADP'!A1:G665,7,FALSE))</f>
        <v>7.142857</v>
      </c>
      <c r="I206" s="74">
        <f>IF('Settings'!$E$15="POINTS",((R206*Q206)*'Settings'!$B$12)+(S206*'Settings'!$B$2)+(T206*'Settings'!$B$3)+(U206*'Settings'!$B$4)+(V206*'Settings'!$B$5)+(X206*'Settings'!$B$9)+(AA206*'Settings'!$B$6)+(W206*'Settings'!$B$8)+(AB206*'Settings'!$B$7)+(AC206*'Settings'!$B$14)+(AD206*'Settings'!$B$15)+(AE206*'Settings'!$B$16)+(AF206*'Settings'!$B$17)+(AG206*'Settings'!$B$18)+(Y206*'Settings'!$B$10)+(Z206*'Settings'!$B$11),VLOOKUP(B206,'Standard Deviations'!A1:C666,3,FALSE))</f>
        <v>256.541922725089</v>
      </c>
      <c r="J206" s="75">
        <f>IF(D206="G",I206/AJ206,I206/Q206)</f>
        <v>3.20007387937866</v>
      </c>
      <c r="K206" s="74">
        <f>IF('Settings'!$E$18="C/LW/RW",VLOOKUP(B206,'C'!A1:F206,6,FALSE),VLOOKUP(B206,'F'!A1:F392,6,FALSE))</f>
        <v>-73.149971356089</v>
      </c>
      <c r="L206" s="76">
        <f>_xlfn.IFERROR(K206/H206,"N/A")</f>
        <v>-10.2409961946724</v>
      </c>
      <c r="M206" s="109">
        <f>IF('Settings'!$E$9="YAHOO",VLOOKUP(B206,'ADP'!A1:E665,2,FALSE),IF('Settings'!$E$9="ESPN",VLOOKUP(B206,'ADP'!A1:E665,3,FALSE),IF('Settings'!$E$9="FANTRAX",VLOOKUP(B206,'ADP'!A1:E665,4,FALSE),VLOOKUP(B206,'ADP'!A1:E665,5,FALSE))))</f>
        <v>0</v>
      </c>
      <c r="N206" s="79">
        <f>_xlfn.IFERROR(M206-A206,"N/A")</f>
        <v>-221</v>
      </c>
      <c r="O206" s="77"/>
      <c r="P206" t="s" s="78">
        <f>IF('Settings'!$E$27="ON",VLOOKUP(B206,'ADP'!A1:H665,8,FALSE)," ")</f>
        <v>138</v>
      </c>
      <c r="Q206" s="79">
        <f>IF('Settings'!$E$12="YES",VLOOKUP(B206,'Player Data'!A1:E667,5,FALSE),82)</f>
        <v>80.1675</v>
      </c>
      <c r="R206" s="77">
        <f>VLOOKUP(B206,'Player Data'!$A1:$AE667,6,FALSE)</f>
        <v>18.579948781943</v>
      </c>
      <c r="S206" s="79">
        <f>VLOOKUP(B206,'Player Data'!$A1:$AE667,7,FALSE)*$Q206*_xlfn.IFERROR((VLOOKUP(P206,'Settings'!$E$28:$F$33,2,FALSE)+1),1)</f>
        <v>23.6584211187414</v>
      </c>
      <c r="T206" s="79">
        <f>VLOOKUP(B206,'Player Data'!$A1:$AE667,8,FALSE)*$Q206*_xlfn.IFERROR((VLOOKUP(P206,'Settings'!$E$28:$F$33,2,FALSE)+1),1)</f>
        <v>33.4844899447536</v>
      </c>
      <c r="U206" s="79">
        <f>SUM(S206:T206)</f>
        <v>57.142911063495</v>
      </c>
      <c r="V206" s="79">
        <f>VLOOKUP(B206,'Player Data'!$A1:$AE667,10,FALSE)*$Q206*_xlfn.IFERROR(((VLOOKUP(P206,'Settings'!$E$28:$F$33,2,FALSE)/2)+1),1)</f>
        <v>154.240799650737</v>
      </c>
      <c r="W206" s="79">
        <f>VLOOKUP(B206,'Player Data'!$A1:$AE667,11,FALSE)*$Q206*_xlfn.IFERROR((VLOOKUP(P206,'Settings'!$E$28:$F$33,2,FALSE)+1),1)</f>
        <v>6.93735816900054</v>
      </c>
      <c r="X206" s="101">
        <f>VLOOKUP(B206,'Player Data'!$A1:$AE667,12,FALSE)*$Q206*_xlfn.IFERROR((VLOOKUP(P206,'Settings'!$E$28:$F$33,2,FALSE)+1),1)</f>
        <v>15.355831944289</v>
      </c>
      <c r="Y206" s="79">
        <f>VLOOKUP(B206,'Player Data'!$A1:$AE667,13,FALSE)*$Q206</f>
        <v>0.223892646906547</v>
      </c>
      <c r="Z206" s="79">
        <f>VLOOKUP(B206,'Player Data'!$A1:$AE667,14,FALSE)*$Q206</f>
        <v>0.931228928041698</v>
      </c>
      <c r="AA206" s="79">
        <f>VLOOKUP(B206,'Player Data'!$A1:$AE667,15,FALSE)*$Q206</f>
        <v>48.4385427319078</v>
      </c>
      <c r="AB206" s="79">
        <f>VLOOKUP(B206,'Player Data'!$A1:$AE667,16,FALSE)*$Q206</f>
        <v>61.9182470912336</v>
      </c>
      <c r="AC206" s="79">
        <f>VLOOKUP(B206,'Player Data'!$A1:$AE667,17,FALSE)*$Q206*_xlfn.IFERROR((VLOOKUP(P206,'Settings'!$E$28:$F$33,2,FALSE)+1),1)</f>
        <v>0.009114910392836731</v>
      </c>
      <c r="AD206" s="79">
        <f>VLOOKUP(B206,'Player Data'!$A1:$AE667,18,FALSE)*$Q206</f>
        <v>18.7874630040613</v>
      </c>
      <c r="AE206" s="79">
        <f>VLOOKUP(B206,'Player Data'!$A1:$AE667,19,FALSE)*$Q206*_xlfn.IFERROR((VLOOKUP(P206,'Settings'!$E$28:$F$33,2,FALSE)+1),1)</f>
        <v>3.59247614290422</v>
      </c>
      <c r="AF206" s="79">
        <f>VLOOKUP(B206,'Player Data'!$A1:$AE667,20,FALSE)*$Q206</f>
        <v>524.050226414854</v>
      </c>
      <c r="AG206" s="79">
        <f>VLOOKUP(B206,'Player Data'!$A1:$AE667,21,FALSE)*$Q206</f>
        <v>641.081842118512</v>
      </c>
      <c r="AH206" s="81">
        <f>VLOOKUP(B206,'Player Data'!$A1:$AE667,22,FALSE)</f>
        <v>0.449777532150937</v>
      </c>
      <c r="AI206" s="77"/>
      <c r="AJ206" s="89"/>
      <c r="AK206" s="79"/>
      <c r="AL206" s="79"/>
      <c r="AM206" s="79"/>
      <c r="AN206" s="79"/>
      <c r="AO206" s="79"/>
      <c r="AP206" s="79"/>
      <c r="AQ206" s="82"/>
      <c r="AR206" s="83"/>
      <c r="AS206" s="84"/>
    </row>
    <row r="207" ht="21.25" customHeight="1">
      <c r="A207" s="85">
        <f>RANK(K207,K$1:K$665)</f>
        <v>201</v>
      </c>
      <c r="B207" t="s" s="16">
        <v>394</v>
      </c>
      <c r="C207" t="s" s="69">
        <v>127</v>
      </c>
      <c r="D207" t="s" s="70">
        <f>VLOOKUP(B207,'Player Data'!A1:D667,4,FALSE)</f>
        <v>153</v>
      </c>
      <c r="E207" s="95">
        <f>VLOOKUP(B207,'D'!A1:C213,3,FALSE)</f>
        <v>56</v>
      </c>
      <c r="F207" t="s" s="88">
        <f>VLOOKUP(B207,'Player Data'!A1:B667,2,FALSE)</f>
        <v>141</v>
      </c>
      <c r="G207" s="11">
        <f>VLOOKUP(B207,'Player Data'!A1:D667,3,FALSE)</f>
        <v>27</v>
      </c>
      <c r="H207" s="73">
        <f>_xlfn.IFERROR(VLOOKUP(B207,'ADP'!A1:G665,7,FALSE)/1000000,VLOOKUP(B207,'ADP'!A1:G665,7,FALSE))</f>
        <v>5.2</v>
      </c>
      <c r="I207" s="74">
        <f>IF('Settings'!$E$15="POINTS",((R207*Q207)*'Settings'!$B$12)+(S207*'Settings'!$B$2)+(T207*'Settings'!$B$3)+(U207*'Settings'!$B$4)+(V207*'Settings'!$B$5)+(X207*'Settings'!$B$9)+(AA207*'Settings'!$B$6)+(W207*'Settings'!$B$8)+(AB207*'Settings'!$B$7)+(AC207*'Settings'!$B$14)+(AD207*'Settings'!$B$15)+(AE207*'Settings'!$B$16)+(AF207*'Settings'!$B$17)+(AG207*'Settings'!$B$18)+(U207*'Settings'!$B$13)+(Y207*'Settings'!$B$10)+(Z207*'Settings'!$B$11),VLOOKUP(B207,'Standard Deviations'!A1:C666,3,FALSE))</f>
        <v>268.319776579016</v>
      </c>
      <c r="J207" s="75">
        <f>IF(D207="G",I207/AJ207,I207/Q207)</f>
        <v>3.55991610440168</v>
      </c>
      <c r="K207" s="74">
        <f>VLOOKUP(B207,'D'!A1:F213,6,FALSE)</f>
        <v>-63.220431341066</v>
      </c>
      <c r="L207" s="76">
        <f>_xlfn.IFERROR(K207/H207,"N/A")</f>
        <v>-12.1577752578973</v>
      </c>
      <c r="M207" s="109">
        <f>IF('Settings'!$E$9="YAHOO",VLOOKUP(B207,'ADP'!A1:E665,2,FALSE),IF('Settings'!$E$9="ESPN",VLOOKUP(B207,'ADP'!A1:E665,3,FALSE),IF('Settings'!$E$9="FANTRAX",VLOOKUP(B207,'ADP'!A1:E665,4,FALSE),VLOOKUP(B207,'ADP'!A1:E665,5,FALSE))))</f>
        <v>0</v>
      </c>
      <c r="N207" s="79">
        <f>_xlfn.IFERROR(M207-A207,"N/A")</f>
        <v>-201</v>
      </c>
      <c r="O207" s="77"/>
      <c r="P207" t="s" s="78">
        <f>IF('Settings'!$E$27="ON",VLOOKUP(B207,'ADP'!A1:H665,8,FALSE)," ")</f>
        <v>138</v>
      </c>
      <c r="Q207" s="79">
        <f>IF('Settings'!$E$12="YES",VLOOKUP(B207,'Player Data'!A1:E667,5,FALSE),82)</f>
        <v>75.3725</v>
      </c>
      <c r="R207" s="98">
        <f>VLOOKUP(B207,'Player Data'!$A1:$AE667,6,FALSE)</f>
        <v>20.8005905308988</v>
      </c>
      <c r="S207" s="79">
        <f>VLOOKUP(B207,'Player Data'!$A1:$AE667,7,FALSE)*$Q207*_xlfn.IFERROR((VLOOKUP(P207,'Settings'!$E$28:$F$33,2,FALSE)+1),1)</f>
        <v>2.8326288295501</v>
      </c>
      <c r="T207" s="79">
        <f>VLOOKUP(B207,'Player Data'!$A1:$AE667,8,FALSE)*$Q207*_xlfn.IFERROR((VLOOKUP(P207,'Settings'!$E$28:$F$33,2,FALSE)+1),1)</f>
        <v>16.4604635534875</v>
      </c>
      <c r="U207" s="79">
        <f>SUM(S207:T207)</f>
        <v>19.2930923830376</v>
      </c>
      <c r="V207" s="79">
        <f>VLOOKUP(B207,'Player Data'!$A1:$AE667,10,FALSE)*$Q207*_xlfn.IFERROR(((VLOOKUP(P207,'Settings'!$E$28:$F$33,2,FALSE)/2)+1),1)</f>
        <v>85.18750311727899</v>
      </c>
      <c r="W207" s="79">
        <f>VLOOKUP(B207,'Player Data'!$A1:$AE667,11,FALSE)*$Q207*_xlfn.IFERROR((VLOOKUP(P207,'Settings'!$E$28:$F$33,2,FALSE)+1),1)</f>
        <v>0.0199342133813136</v>
      </c>
      <c r="X207" s="79">
        <f>VLOOKUP(B207,'Player Data'!$A1:$AE667,12,FALSE)*$Q207*_xlfn.IFERROR((VLOOKUP(P207,'Settings'!$E$28:$F$33,2,FALSE)+1),1)</f>
        <v>0.128865528334375</v>
      </c>
      <c r="Y207" s="79">
        <f>VLOOKUP(B207,'Player Data'!$A1:$AE667,13,FALSE)*$Q207</f>
        <v>0.0282576896737701</v>
      </c>
      <c r="Z207" s="79">
        <f>VLOOKUP(B207,'Player Data'!$A1:$AE667,14,FALSE)*$Q207</f>
        <v>0.388143767782445</v>
      </c>
      <c r="AA207" s="79">
        <f>VLOOKUP(B207,'Player Data'!$A1:$AE667,15,FALSE)*$Q207</f>
        <v>125.701099727377</v>
      </c>
      <c r="AB207" s="79">
        <f>VLOOKUP(B207,'Player Data'!$A1:$AE667,16,FALSE)*$Q207</f>
        <v>203.686040707230</v>
      </c>
      <c r="AC207" s="79">
        <f>VLOOKUP(B207,'Player Data'!$A1:$AE667,17,FALSE)*$Q207*_xlfn.IFERROR((VLOOKUP(P207,'Settings'!$E$28:$F$33,2,FALSE)+1),1)</f>
        <v>0.554147358673021</v>
      </c>
      <c r="AD207" s="79">
        <f>VLOOKUP(B207,'Player Data'!$A1:$AE667,18,FALSE)*$Q207</f>
        <v>52.723579756980</v>
      </c>
      <c r="AE207" s="79">
        <f>VLOOKUP(B207,'Player Data'!$A1:$AE667,19,FALSE)*$Q207*_xlfn.IFERROR((VLOOKUP(P207,'Settings'!$E$28:$F$33,2,FALSE)+1),1)</f>
        <v>0.446313592851559</v>
      </c>
      <c r="AF207" s="79">
        <f>VLOOKUP(B207,'Player Data'!$A1:$AE667,20,FALSE)*$Q207</f>
        <v>0</v>
      </c>
      <c r="AG207" s="79">
        <f>VLOOKUP(B207,'Player Data'!$A1:$AE667,21,FALSE)*$Q207</f>
        <v>0</v>
      </c>
      <c r="AH207" s="81">
        <f>VLOOKUP(B207,'Player Data'!$A1:$AE667,22,FALSE)</f>
        <v>0</v>
      </c>
      <c r="AI207" s="77"/>
      <c r="AJ207" s="89"/>
      <c r="AK207" s="79"/>
      <c r="AL207" s="79"/>
      <c r="AM207" s="79"/>
      <c r="AN207" s="79"/>
      <c r="AO207" s="79"/>
      <c r="AP207" s="79"/>
      <c r="AQ207" s="82"/>
      <c r="AR207" s="83"/>
      <c r="AS207" s="84"/>
    </row>
    <row r="208" ht="21.25" customHeight="1">
      <c r="A208" s="85">
        <f>RANK(K208,K$1:K$665)</f>
        <v>202</v>
      </c>
      <c r="B208" t="s" s="16">
        <v>395</v>
      </c>
      <c r="C208" t="s" s="69">
        <v>127</v>
      </c>
      <c r="D208" t="s" s="70">
        <f>VLOOKUP(B208,'Player Data'!A1:D667,4,FALSE)</f>
        <v>153</v>
      </c>
      <c r="E208" s="95">
        <f>VLOOKUP(B208,'D'!A1:C213,3,FALSE)</f>
        <v>57</v>
      </c>
      <c r="F208" t="s" s="78">
        <f>VLOOKUP(B208,'Player Data'!A1:B667,2,FALSE)</f>
        <v>168</v>
      </c>
      <c r="G208" s="91">
        <f>VLOOKUP(B208,'Player Data'!A1:D667,3,FALSE)</f>
        <v>31</v>
      </c>
      <c r="H208" s="73">
        <f>_xlfn.IFERROR(VLOOKUP(B208,'ADP'!A1:G665,7,FALSE)/1000000,VLOOKUP(B208,'ADP'!A1:G665,7,FALSE))</f>
        <v>4.9</v>
      </c>
      <c r="I208" s="74">
        <f>IF('Settings'!$E$15="POINTS",((R208*Q208)*'Settings'!$B$12)+(S208*'Settings'!$B$2)+(T208*'Settings'!$B$3)+(U208*'Settings'!$B$4)+(V208*'Settings'!$B$5)+(X208*'Settings'!$B$9)+(AA208*'Settings'!$B$6)+(W208*'Settings'!$B$8)+(AB208*'Settings'!$B$7)+(AC208*'Settings'!$B$14)+(AD208*'Settings'!$B$15)+(AE208*'Settings'!$B$16)+(AF208*'Settings'!$B$17)+(AG208*'Settings'!$B$18)+(U208*'Settings'!$B$13)+(Y208*'Settings'!$B$10)+(Z208*'Settings'!$B$11),VLOOKUP(B208,'Standard Deviations'!A1:C666,3,FALSE))</f>
        <v>267.600570940053</v>
      </c>
      <c r="J208" s="75">
        <f>IF(D208="G",I208/AJ208,I208/Q208)</f>
        <v>3.3255733176755</v>
      </c>
      <c r="K208" s="74">
        <f>VLOOKUP(B208,'D'!A1:F213,6,FALSE)</f>
        <v>-63.939636980029</v>
      </c>
      <c r="L208" s="76">
        <f>_xlfn.IFERROR(K208/H208,"N/A")</f>
        <v>-13.0489055061284</v>
      </c>
      <c r="M208" s="77">
        <f>IF('Settings'!$E$9="YAHOO",VLOOKUP(B208,'ADP'!A1:E665,2,FALSE),IF('Settings'!$E$9="ESPN",VLOOKUP(B208,'ADP'!A1:E665,3,FALSE),IF('Settings'!$E$9="FANTRAX",VLOOKUP(B208,'ADP'!A1:E665,4,FALSE),VLOOKUP(B208,'ADP'!A1:E665,5,FALSE))))</f>
        <v>0</v>
      </c>
      <c r="N208" s="77">
        <f>_xlfn.IFERROR(M208-A208,"N/A")</f>
        <v>-202</v>
      </c>
      <c r="O208" s="77"/>
      <c r="P208" t="s" s="78">
        <f>IF('Settings'!$E$27="ON",VLOOKUP(B208,'ADP'!A1:H665,8,FALSE)," ")</f>
        <v>138</v>
      </c>
      <c r="Q208" s="79">
        <f>IF('Settings'!$E$12="YES",VLOOKUP(B208,'Player Data'!A1:E667,5,FALSE),82)</f>
        <v>80.4675</v>
      </c>
      <c r="R208" s="77">
        <f>VLOOKUP(B208,'Player Data'!$A1:$AE667,6,FALSE)</f>
        <v>21.9624550286881</v>
      </c>
      <c r="S208" s="79">
        <f>VLOOKUP(B208,'Player Data'!$A1:$AE667,7,FALSE)*$Q208*_xlfn.IFERROR((VLOOKUP(P208,'Settings'!$E$28:$F$33,2,FALSE)+1),1)</f>
        <v>3.66518466924658</v>
      </c>
      <c r="T208" s="79">
        <f>VLOOKUP(B208,'Player Data'!$A1:$AE667,8,FALSE)*$Q208*_xlfn.IFERROR((VLOOKUP(P208,'Settings'!$E$28:$F$33,2,FALSE)+1),1)</f>
        <v>23.8941166347688</v>
      </c>
      <c r="U208" s="79">
        <f>SUM(S208:T208)</f>
        <v>27.5593013040154</v>
      </c>
      <c r="V208" s="79">
        <f>VLOOKUP(B208,'Player Data'!$A1:$AE667,10,FALSE)*$Q208*_xlfn.IFERROR(((VLOOKUP(P208,'Settings'!$E$28:$F$33,2,FALSE)/2)+1),1)</f>
        <v>92.540459132233</v>
      </c>
      <c r="W208" s="79">
        <f>VLOOKUP(B208,'Player Data'!$A1:$AE667,11,FALSE)*$Q208*_xlfn.IFERROR((VLOOKUP(P208,'Settings'!$E$28:$F$33,2,FALSE)+1),1)</f>
        <v>0.0336099271561715</v>
      </c>
      <c r="X208" s="79">
        <f>VLOOKUP(B208,'Player Data'!$A1:$AE667,12,FALSE)*$Q208*_xlfn.IFERROR((VLOOKUP(P208,'Settings'!$E$28:$F$33,2,FALSE)+1),1)</f>
        <v>0.337798117730721</v>
      </c>
      <c r="Y208" s="79">
        <f>VLOOKUP(B208,'Player Data'!$A1:$AE667,13,FALSE)*$Q208</f>
        <v>0.422356450219327</v>
      </c>
      <c r="Z208" s="79">
        <f>VLOOKUP(B208,'Player Data'!$A1:$AE667,14,FALSE)*$Q208</f>
        <v>1.24646940593411</v>
      </c>
      <c r="AA208" s="79">
        <f>VLOOKUP(B208,'Player Data'!$A1:$AE667,15,FALSE)*$Q208</f>
        <v>135.819748347997</v>
      </c>
      <c r="AB208" s="79">
        <f>VLOOKUP(B208,'Player Data'!$A1:$AE667,16,FALSE)*$Q208</f>
        <v>146.232759282551</v>
      </c>
      <c r="AC208" s="79">
        <f>VLOOKUP(B208,'Player Data'!$A1:$AE667,17,FALSE)*$Q208*_xlfn.IFERROR((VLOOKUP(P208,'Settings'!$E$28:$F$33,2,FALSE)+1),1)</f>
        <v>2.12717031852283</v>
      </c>
      <c r="AD208" s="79">
        <f>VLOOKUP(B208,'Player Data'!$A1:$AE667,18,FALSE)*$Q208</f>
        <v>42.8518682743418</v>
      </c>
      <c r="AE208" s="79">
        <f>VLOOKUP(B208,'Player Data'!$A1:$AE667,19,FALSE)*$Q208*_xlfn.IFERROR((VLOOKUP(P208,'Settings'!$E$28:$F$33,2,FALSE)+1),1)</f>
        <v>0.609251031504277</v>
      </c>
      <c r="AF208" s="79">
        <f>VLOOKUP(B208,'Player Data'!$A1:$AE667,20,FALSE)*$Q208</f>
        <v>0</v>
      </c>
      <c r="AG208" s="79">
        <f>VLOOKUP(B208,'Player Data'!$A1:$AE667,21,FALSE)*$Q208</f>
        <v>0</v>
      </c>
      <c r="AH208" s="81">
        <f>VLOOKUP(B208,'Player Data'!$A1:$AE667,22,FALSE)</f>
        <v>0</v>
      </c>
      <c r="AI208" s="77"/>
      <c r="AJ208" s="79"/>
      <c r="AK208" s="79"/>
      <c r="AL208" s="79"/>
      <c r="AM208" s="79"/>
      <c r="AN208" s="79"/>
      <c r="AO208" s="79"/>
      <c r="AP208" s="79"/>
      <c r="AQ208" s="82"/>
      <c r="AR208" s="83"/>
      <c r="AS208" s="84"/>
    </row>
    <row r="209" ht="21.25" customHeight="1">
      <c r="A209" s="85">
        <f>RANK(K209,K$1:K$665)</f>
        <v>192</v>
      </c>
      <c r="B209" t="s" s="16">
        <v>396</v>
      </c>
      <c r="C209" t="s" s="69">
        <v>127</v>
      </c>
      <c r="D209" t="s" s="70">
        <f>VLOOKUP(B209,'Player Data'!A1:D667,4,FALSE)</f>
        <v>161</v>
      </c>
      <c r="E209" s="99">
        <f>VLOOKUP(B209,'G'!A1:D65,3,FALSE)</f>
        <v>33</v>
      </c>
      <c r="F209" t="s" s="86">
        <f>VLOOKUP(B209,'Player Data'!A1:B667,2,FALSE)</f>
        <v>132</v>
      </c>
      <c r="G209" s="11">
        <f>VLOOKUP(B209,'Player Data'!A1:D667,3,FALSE)</f>
        <v>30</v>
      </c>
      <c r="H209" s="73">
        <f>_xlfn.IFERROR(VLOOKUP(B209,'ADP'!A1:G665,7,FALSE)/1000000,VLOOKUP(B209,'ADP'!A1:G665,7,FALSE))</f>
        <v>2.5</v>
      </c>
      <c r="I209" s="74">
        <f>IF('Settings'!$E$15="POINTS",(AJ209*'Settings'!$B$29)+(AK209*'Settings'!$B$21)+(AL209*'Settings'!$B$22)+(AN209*'Settings'!$B$24)+(AO209*'Settings'!$B$25)+(AP209*'Settings'!$B$27)+(AM209*'Settings'!$B$23),VLOOKUP(B209,'Standard Deviations'!A1:C666,3,FALSE))</f>
        <v>207.001526463686</v>
      </c>
      <c r="J209" s="75">
        <f>IF(D209="G",I209/AJ209,I209/Q209)</f>
        <v>5.75004240176906</v>
      </c>
      <c r="K209" s="74">
        <f>VLOOKUP(B209,'G'!A1:F65,6,FALSE)</f>
        <v>-60.589488100904</v>
      </c>
      <c r="L209" s="76">
        <f>_xlfn.IFERROR(K209/H209,"N/A")</f>
        <v>-24.2357952403616</v>
      </c>
      <c r="M209" s="77">
        <f>IF('Settings'!$E$9="YAHOO",VLOOKUP(B209,'ADP'!A1:E665,2,FALSE),IF('Settings'!$E$9="ESPN",VLOOKUP(B209,'ADP'!A1:E665,3,FALSE),IF('Settings'!$E$9="FANTRAX",VLOOKUP(B209,'ADP'!A1:E665,4,FALSE),VLOOKUP(B209,'ADP'!A1:E665,5,FALSE))))</f>
        <v>0</v>
      </c>
      <c r="N209" s="77">
        <f>_xlfn.IFERROR(M209-A209,"N/A")</f>
        <v>-192</v>
      </c>
      <c r="O209" s="77"/>
      <c r="P209" t="s" s="78">
        <f>IF('Settings'!$E$27="ON",VLOOKUP(B209,'ADP'!A1:H665,8,FALSE)," ")</f>
        <v>138</v>
      </c>
      <c r="Q209" s="79"/>
      <c r="R209" s="77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81"/>
      <c r="AI209" s="77"/>
      <c r="AJ209" s="89">
        <f>VLOOKUP(B209,'Player Data'!$A1:$AE667,24,FALSE)</f>
        <v>36</v>
      </c>
      <c r="AK209" s="79">
        <f>VLOOKUP(B209,'Player Data'!$A1:$AE667,25,FALSE)*$AJ209*_xlfn.IFERROR((VLOOKUP(P209,'Settings'!$E$28:$F$33,2,FALSE)+1),1)</f>
        <v>22.9037406606767</v>
      </c>
      <c r="AL209" s="79">
        <f>AJ209-AK209-AM209</f>
        <v>8.5962593393233</v>
      </c>
      <c r="AM209" s="79">
        <f>VLOOKUP(B209,'Player Data'!$A1:$AE667,27,FALSE)*$AJ209</f>
        <v>4.5</v>
      </c>
      <c r="AN209" s="79">
        <f>VLOOKUP(B209,'Player Data'!$A1:$AE667,28,FALSE)*AJ209</f>
        <v>2.29137954849095</v>
      </c>
      <c r="AO209" s="79">
        <f>VLOOKUP(B209,'Player Data'!$A1:$AE667,29,FALSE)*$AJ209*_xlfn.IFERROR((VLOOKUP(P209,'Settings'!$E$28:$F$33,2,FALSE)/4)+1,1)</f>
        <v>970.746318038552</v>
      </c>
      <c r="AP209" s="79">
        <f>VLOOKUP(B209,'Player Data'!$A1:$AE667,31,FALSE)*$AJ209*(_xlfn.IFERROR(1-(VLOOKUP(P209,'Settings'!$E$28:$F$33,2,FALSE)/4),1))</f>
        <v>97.6440673514052</v>
      </c>
      <c r="AQ209" s="82">
        <f>1-(AP209/(AO209+AP209))</f>
        <v>0.9086063776998839</v>
      </c>
      <c r="AR209" s="83">
        <f>AP209/AJ209</f>
        <v>2.7123352042057</v>
      </c>
      <c r="AS209" s="84"/>
    </row>
    <row r="210" ht="21.25" customHeight="1">
      <c r="A210" s="85">
        <f>RANK(K210,K$1:K$665)</f>
        <v>214</v>
      </c>
      <c r="B210" t="s" s="16">
        <v>397</v>
      </c>
      <c r="C210" t="s" s="69">
        <v>127</v>
      </c>
      <c r="D210" t="s" s="70">
        <f>VLOOKUP(B210,'Player Data'!A1:D667,4,FALSE)</f>
        <v>140</v>
      </c>
      <c r="E210" s="90">
        <f>VLOOKUP(B210,'RW'!A1:F136,3,FALSE)</f>
        <v>44</v>
      </c>
      <c r="F210" t="s" s="106">
        <f>VLOOKUP(B210,'Player Data'!A1:B667,2,FALSE)</f>
        <v>242</v>
      </c>
      <c r="G210" s="91">
        <f>VLOOKUP(B210,'Player Data'!A1:D667,3,FALSE)</f>
        <v>32</v>
      </c>
      <c r="H210" s="73">
        <f>_xlfn.IFERROR(VLOOKUP(B210,'ADP'!A1:G665,7,FALSE)/1000000,VLOOKUP(B210,'ADP'!A1:G665,7,FALSE))</f>
        <v>2.375</v>
      </c>
      <c r="I210" s="74">
        <f>IF('Settings'!$E$15="POINTS",((R210*Q210)*'Settings'!$B$12)+(S210*'Settings'!$B$2)+(T210*'Settings'!$B$3)+(U210*'Settings'!$B$4)+(V210*'Settings'!$B$5)+(X210*'Settings'!$B$9)+(AA210*'Settings'!$B$6)+(W210*'Settings'!$B$8)+(AB210*'Settings'!$B$7)+(AC210*'Settings'!$B$14)+(AD210*'Settings'!$B$15)+(AE210*'Settings'!$B$16)+(AF210*'Settings'!$B$17)+(AG210*'Settings'!$B$18)+(Y210*'Settings'!$B$10)+(Z210*'Settings'!$B$11),VLOOKUP(B210,'Standard Deviations'!A1:C666,3,FALSE))</f>
        <v>260.146076896566</v>
      </c>
      <c r="J210" s="75">
        <f>IF(D210="G",I210/AJ210,I210/Q210)</f>
        <v>3.18396765065254</v>
      </c>
      <c r="K210" s="74">
        <f>IF('Settings'!$E$18="C/LW/RW",VLOOKUP(B210,'RW'!A1:F136,6,FALSE),VLOOKUP(B210,'F'!A1:F392,6,FALSE))</f>
        <v>-69.54581718461201</v>
      </c>
      <c r="L210" s="76">
        <f>_xlfn.IFERROR(K210/H210,"N/A")</f>
        <v>-29.2824493408893</v>
      </c>
      <c r="M210" s="109">
        <f>IF('Settings'!$E$9="YAHOO",VLOOKUP(B210,'ADP'!A1:E665,2,FALSE),IF('Settings'!$E$9="ESPN",VLOOKUP(B210,'ADP'!A1:E665,3,FALSE),IF('Settings'!$E$9="FANTRAX",VLOOKUP(B210,'ADP'!A1:E665,4,FALSE),VLOOKUP(B210,'ADP'!A1:E665,5,FALSE))))</f>
        <v>0</v>
      </c>
      <c r="N210" s="79">
        <f>_xlfn.IFERROR(M210-A210,"N/A")</f>
        <v>-214</v>
      </c>
      <c r="O210" s="77"/>
      <c r="P210" t="s" s="78">
        <f>IF('Settings'!$E$27="ON",VLOOKUP(B210,'ADP'!A1:H665,8,FALSE)," ")</f>
        <v>138</v>
      </c>
      <c r="Q210" s="79">
        <f>IF('Settings'!$E$12="YES",VLOOKUP(B210,'Player Data'!A1:E667,5,FALSE),82)</f>
        <v>81.705</v>
      </c>
      <c r="R210" s="108">
        <f>VLOOKUP(B210,'Player Data'!$A1:$AE667,6,FALSE)</f>
        <v>11.4962450614894</v>
      </c>
      <c r="S210" s="79">
        <f>VLOOKUP(B210,'Player Data'!$A1:$AE667,7,FALSE)*$Q210*_xlfn.IFERROR((VLOOKUP(P210,'Settings'!$E$28:$F$33,2,FALSE)+1),1)</f>
        <v>7.86576955060877</v>
      </c>
      <c r="T210" s="79">
        <f>VLOOKUP(B210,'Player Data'!$A1:$AE667,8,FALSE)*$Q210*_xlfn.IFERROR((VLOOKUP(P210,'Settings'!$E$28:$F$33,2,FALSE)+1),1)</f>
        <v>8.569314053984</v>
      </c>
      <c r="U210" s="79">
        <f>SUM(S210:T210)</f>
        <v>16.4350836045928</v>
      </c>
      <c r="V210" s="79">
        <f>VLOOKUP(B210,'Player Data'!$A1:$AE667,10,FALSE)*$Q210*_xlfn.IFERROR(((VLOOKUP(P210,'Settings'!$E$28:$F$33,2,FALSE)/2)+1),1)</f>
        <v>93.38726576329449</v>
      </c>
      <c r="W210" s="79">
        <f>VLOOKUP(B210,'Player Data'!$A1:$AE667,11,FALSE)*$Q210*_xlfn.IFERROR((VLOOKUP(P210,'Settings'!$E$28:$F$33,2,FALSE)+1),1)</f>
        <v>0.0577554062694337</v>
      </c>
      <c r="X210" s="79">
        <f>VLOOKUP(B210,'Player Data'!$A1:$AE667,12,FALSE)*$Q210*_xlfn.IFERROR((VLOOKUP(P210,'Settings'!$E$28:$F$33,2,FALSE)+1),1)</f>
        <v>0.134855035958309</v>
      </c>
      <c r="Y210" s="79">
        <f>VLOOKUP(B210,'Player Data'!$A1:$AE667,13,FALSE)*$Q210</f>
        <v>0.5062487147846459</v>
      </c>
      <c r="Z210" s="79">
        <f>VLOOKUP(B210,'Player Data'!$A1:$AE667,14,FALSE)*$Q210</f>
        <v>1.80644855813872</v>
      </c>
      <c r="AA210" s="79">
        <f>VLOOKUP(B210,'Player Data'!$A1:$AE667,15,FALSE)*$Q210</f>
        <v>66.63011134291919</v>
      </c>
      <c r="AB210" s="79">
        <f>VLOOKUP(B210,'Player Data'!$A1:$AE667,16,FALSE)*$Q210</f>
        <v>256.884659778563</v>
      </c>
      <c r="AC210" s="79">
        <f>VLOOKUP(B210,'Player Data'!$A1:$AE667,17,FALSE)*$Q210*_xlfn.IFERROR((VLOOKUP(P210,'Settings'!$E$28:$F$33,2,FALSE)+1),1)</f>
        <v>-2.02876475201748</v>
      </c>
      <c r="AD210" s="79">
        <f>VLOOKUP(B210,'Player Data'!$A1:$AE667,18,FALSE)*$Q210</f>
        <v>51.766201617430</v>
      </c>
      <c r="AE210" s="79">
        <f>VLOOKUP(B210,'Player Data'!$A1:$AE667,19,FALSE)*$Q210*_xlfn.IFERROR((VLOOKUP(P210,'Settings'!$E$28:$F$33,2,FALSE)+1),1)</f>
        <v>1.14013957589514</v>
      </c>
      <c r="AF210" s="79">
        <f>VLOOKUP(B210,'Player Data'!$A1:$AE667,20,FALSE)*$Q210</f>
        <v>12.0276065533617</v>
      </c>
      <c r="AG210" s="79">
        <f>VLOOKUP(B210,'Player Data'!$A1:$AE667,21,FALSE)*$Q210</f>
        <v>15.038237884207</v>
      </c>
      <c r="AH210" s="81">
        <f>VLOOKUP(B210,'Player Data'!$A1:$AE667,22,FALSE)</f>
        <v>0.444383199685683</v>
      </c>
      <c r="AI210" s="77"/>
      <c r="AJ210" s="79"/>
      <c r="AK210" s="79"/>
      <c r="AL210" s="79"/>
      <c r="AM210" s="79"/>
      <c r="AN210" s="79"/>
      <c r="AO210" s="79"/>
      <c r="AP210" s="79"/>
      <c r="AQ210" s="82"/>
      <c r="AR210" s="83"/>
      <c r="AS210" s="84"/>
    </row>
    <row r="211" ht="21.25" customHeight="1">
      <c r="A211" s="85">
        <f>RANK(K211,K$1:K$665)</f>
        <v>195</v>
      </c>
      <c r="B211" t="s" s="16">
        <v>398</v>
      </c>
      <c r="C211" t="s" s="69">
        <v>127</v>
      </c>
      <c r="D211" t="s" s="70">
        <f>VLOOKUP(B211,'Player Data'!A1:D667,4,FALSE)</f>
        <v>161</v>
      </c>
      <c r="E211" s="99">
        <f>VLOOKUP(B211,'G'!A1:D65,3,FALSE)</f>
        <v>34</v>
      </c>
      <c r="F211" t="s" s="107">
        <f>VLOOKUP(B211,'Player Data'!A1:B667,2,FALSE)</f>
        <v>399</v>
      </c>
      <c r="G211" s="91">
        <f>VLOOKUP(B211,'Player Data'!A1:D667,3,FALSE)</f>
        <v>32</v>
      </c>
      <c r="H211" s="73">
        <f>_xlfn.IFERROR(VLOOKUP(B211,'ADP'!A1:G665,7,FALSE)/1000000,VLOOKUP(B211,'ADP'!A1:G665,7,FALSE))</f>
        <v>4.25</v>
      </c>
      <c r="I211" s="74">
        <f>IF('Settings'!$E$15="POINTS",(AJ211*'Settings'!$B$29)+(AK211*'Settings'!$B$21)+(AL211*'Settings'!$B$22)+(AN211*'Settings'!$B$24)+(AO211*'Settings'!$B$25)+(AP211*'Settings'!$B$27)+(AM211*'Settings'!$B$23),VLOOKUP(B211,'Standard Deviations'!A1:C666,3,FALSE))</f>
        <v>206.371169191251</v>
      </c>
      <c r="J211" s="75">
        <f>IF(D211="G",I211/AJ211,I211/Q211)</f>
        <v>5.15927922978128</v>
      </c>
      <c r="K211" s="74">
        <f>VLOOKUP(B211,'G'!A1:F65,6,FALSE)</f>
        <v>-61.219845373339</v>
      </c>
      <c r="L211" s="76">
        <f>_xlfn.IFERROR(K211/H211,"N/A")</f>
        <v>-14.4046694996092</v>
      </c>
      <c r="M211" s="109">
        <f>IF('Settings'!$E$9="YAHOO",VLOOKUP(B211,'ADP'!A1:E665,2,FALSE),IF('Settings'!$E$9="ESPN",VLOOKUP(B211,'ADP'!A1:E665,3,FALSE),IF('Settings'!$E$9="FANTRAX",VLOOKUP(B211,'ADP'!A1:E665,4,FALSE),VLOOKUP(B211,'ADP'!A1:E665,5,FALSE))))</f>
        <v>0</v>
      </c>
      <c r="N211" s="79">
        <f>_xlfn.IFERROR(M211-A211,"N/A")</f>
        <v>-195</v>
      </c>
      <c r="O211" s="77"/>
      <c r="P211" t="s" s="78">
        <f>IF('Settings'!$E$27="ON",VLOOKUP(B211,'ADP'!A1:H665,8,FALSE)," ")</f>
        <v>138</v>
      </c>
      <c r="Q211" s="79"/>
      <c r="R211" s="77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81"/>
      <c r="AI211" s="77"/>
      <c r="AJ211" s="89">
        <f>VLOOKUP(B211,'Player Data'!$A1:$AE667,24,FALSE)</f>
        <v>40</v>
      </c>
      <c r="AK211" s="79">
        <f>VLOOKUP(B211,'Player Data'!$A1:$AE667,25,FALSE)*$AJ211*_xlfn.IFERROR((VLOOKUP(P211,'Settings'!$E$28:$F$33,2,FALSE)+1),1)</f>
        <v>15.685821255346</v>
      </c>
      <c r="AL211" s="79">
        <f>AJ211-AK211-AM211</f>
        <v>19.314178744654</v>
      </c>
      <c r="AM211" s="79">
        <f>VLOOKUP(B211,'Player Data'!$A1:$AE667,27,FALSE)*$AJ211</f>
        <v>5</v>
      </c>
      <c r="AN211" s="79">
        <f>VLOOKUP(B211,'Player Data'!$A1:$AE667,28,FALSE)*AJ211</f>
        <v>1.91647015442942</v>
      </c>
      <c r="AO211" s="79">
        <f>VLOOKUP(B211,'Player Data'!$A1:$AE667,29,FALSE)*$AJ211*_xlfn.IFERROR((VLOOKUP(P211,'Settings'!$E$28:$F$33,2,FALSE)/4)+1,1)</f>
        <v>1110.512056991380</v>
      </c>
      <c r="AP211" s="79">
        <f>VLOOKUP(B211,'Player Data'!$A1:$AE667,31,FALSE)*$AJ211*(_xlfn.IFERROR(1-(VLOOKUP(P211,'Settings'!$E$28:$F$33,2,FALSE)/4),1))</f>
        <v>116.422201813344</v>
      </c>
      <c r="AQ211" s="82">
        <f>1-(AP211/(AO211+AP211))</f>
        <v>0.905111295916733</v>
      </c>
      <c r="AR211" s="83">
        <f>AP211/AJ211</f>
        <v>2.9105550453336</v>
      </c>
      <c r="AS211" s="84"/>
    </row>
    <row r="212" ht="21.25" customHeight="1">
      <c r="A212" s="85">
        <f>RANK(K212,K$1:K$665)</f>
        <v>219</v>
      </c>
      <c r="B212" t="s" s="16">
        <v>400</v>
      </c>
      <c r="C212" t="s" s="69">
        <v>127</v>
      </c>
      <c r="D212" t="s" s="70">
        <f>VLOOKUP(B212,'Player Data'!A1:D667,4,FALSE)</f>
        <v>178</v>
      </c>
      <c r="E212" s="102">
        <f>VLOOKUP(B212,'LW'!A1:C152,3,FALSE)</f>
        <v>55</v>
      </c>
      <c r="F212" t="s" s="103">
        <f>VLOOKUP(B212,'Player Data'!A1:B667,2,FALSE)</f>
        <v>225</v>
      </c>
      <c r="G212" s="11">
        <f>VLOOKUP(B212,'Player Data'!A1:D667,3,FALSE)</f>
        <v>27</v>
      </c>
      <c r="H212" s="94">
        <f>_xlfn.IFERROR(VLOOKUP(B212,'ADP'!A1:G665,7,FALSE)/1000000,VLOOKUP(B212,'ADP'!A1:G665,7,FALSE))</f>
        <v>2.665</v>
      </c>
      <c r="I212" s="74">
        <f>IF('Settings'!$E$15="POINTS",((R212*Q212)*'Settings'!$B$12)+(S212*'Settings'!$B$2)+(T212*'Settings'!$B$3)+(U212*'Settings'!$B$4)+(V212*'Settings'!$B$5)+(X212*'Settings'!$B$9)+(AA212*'Settings'!$B$6)+(W212*'Settings'!$B$8)+(AB212*'Settings'!$B$7)+(AC212*'Settings'!$B$14)+(AD212*'Settings'!$B$15)+(AE212*'Settings'!$B$16)+(AF212*'Settings'!$B$17)+(AG212*'Settings'!$B$18)+(Y212*'Settings'!$B$10)+(Z212*'Settings'!$B$11),VLOOKUP(B212,'Standard Deviations'!A1:C666,3,FALSE))</f>
        <v>259.415880421793</v>
      </c>
      <c r="J212" s="75">
        <f>IF(D212="G",I212/AJ212,I212/Q212)</f>
        <v>3.39938909643627</v>
      </c>
      <c r="K212" s="74">
        <f>IF('Settings'!$E$18="C/LW/RW",VLOOKUP(B212,'LW'!A1:F152,6,FALSE),VLOOKUP(B212,'F'!A1:F392,6,FALSE))</f>
        <v>-72.30423134441899</v>
      </c>
      <c r="L212" s="76">
        <f>_xlfn.IFERROR(K212/H212,"N/A")</f>
        <v>-27.1310436564424</v>
      </c>
      <c r="M212" s="77">
        <f>IF('Settings'!$E$9="YAHOO",VLOOKUP(B212,'ADP'!A1:E665,2,FALSE),IF('Settings'!$E$9="ESPN",VLOOKUP(B212,'ADP'!A1:E665,3,FALSE),IF('Settings'!$E$9="FANTRAX",VLOOKUP(B212,'ADP'!A1:E665,4,FALSE),VLOOKUP(B212,'ADP'!A1:E665,5,FALSE))))</f>
        <v>0</v>
      </c>
      <c r="N212" s="77">
        <f>_xlfn.IFERROR(M212-A212,"N/A")</f>
        <v>-219</v>
      </c>
      <c r="O212" s="77"/>
      <c r="P212" t="s" s="78">
        <f>IF('Settings'!$E$27="ON",VLOOKUP(B212,'ADP'!A1:H665,8,FALSE)," ")</f>
        <v>138</v>
      </c>
      <c r="Q212" s="79">
        <f>IF('Settings'!$E$12="YES",VLOOKUP(B212,'Player Data'!A1:E667,5,FALSE),82)</f>
        <v>76.3125</v>
      </c>
      <c r="R212" s="77">
        <f>VLOOKUP(B212,'Player Data'!$A1:$AE667,6,FALSE)</f>
        <v>12.7032986637335</v>
      </c>
      <c r="S212" s="79">
        <f>VLOOKUP(B212,'Player Data'!$A1:$AE667,7,FALSE)*$Q212*_xlfn.IFERROR((VLOOKUP(P212,'Settings'!$E$28:$F$33,2,FALSE)+1),1)</f>
        <v>10.9620120371665</v>
      </c>
      <c r="T212" s="79">
        <f>VLOOKUP(B212,'Player Data'!$A1:$AE667,8,FALSE)*$Q212*_xlfn.IFERROR((VLOOKUP(P212,'Settings'!$E$28:$F$33,2,FALSE)+1),1)</f>
        <v>12.488129496565</v>
      </c>
      <c r="U212" s="79">
        <f>SUM(S212:T212)</f>
        <v>23.4501415337315</v>
      </c>
      <c r="V212" s="79">
        <f>VLOOKUP(B212,'Player Data'!$A1:$AE667,10,FALSE)*$Q212*_xlfn.IFERROR(((VLOOKUP(P212,'Settings'!$E$28:$F$33,2,FALSE)/2)+1),1)</f>
        <v>96.0756677196315</v>
      </c>
      <c r="W212" s="79">
        <f>VLOOKUP(B212,'Player Data'!$A1:$AE667,11,FALSE)*$Q212*_xlfn.IFERROR((VLOOKUP(P212,'Settings'!$E$28:$F$33,2,FALSE)+1),1)</f>
        <v>1.31712676542548</v>
      </c>
      <c r="X212" s="79">
        <f>VLOOKUP(B212,'Player Data'!$A1:$AE667,12,FALSE)*$Q212*_xlfn.IFERROR((VLOOKUP(P212,'Settings'!$E$28:$F$33,2,FALSE)+1),1)</f>
        <v>2.67764624401793</v>
      </c>
      <c r="Y212" s="79">
        <f>VLOOKUP(B212,'Player Data'!$A1:$AE667,13,FALSE)*$Q212</f>
        <v>0.00088300872387001</v>
      </c>
      <c r="Z212" s="79">
        <f>VLOOKUP(B212,'Player Data'!$A1:$AE667,14,FALSE)*$Q212</f>
        <v>0.00202366658971024</v>
      </c>
      <c r="AA212" s="79">
        <f>VLOOKUP(B212,'Player Data'!$A1:$AE667,15,FALSE)*$Q212</f>
        <v>41.9282100944379</v>
      </c>
      <c r="AB212" s="79">
        <f>VLOOKUP(B212,'Player Data'!$A1:$AE667,16,FALSE)*$Q212</f>
        <v>261.193438498835</v>
      </c>
      <c r="AC212" s="79">
        <f>VLOOKUP(B212,'Player Data'!$A1:$AE667,17,FALSE)*$Q212*_xlfn.IFERROR((VLOOKUP(P212,'Settings'!$E$28:$F$33,2,FALSE)+1),1)</f>
        <v>0.768417460531802</v>
      </c>
      <c r="AD212" s="79">
        <f>VLOOKUP(B212,'Player Data'!$A1:$AE667,18,FALSE)*$Q212</f>
        <v>71.2194627998021</v>
      </c>
      <c r="AE212" s="79">
        <f>VLOOKUP(B212,'Player Data'!$A1:$AE667,19,FALSE)*$Q212*_xlfn.IFERROR((VLOOKUP(P212,'Settings'!$E$28:$F$33,2,FALSE)+1),1)</f>
        <v>1.95355847564413</v>
      </c>
      <c r="AF212" s="79">
        <f>VLOOKUP(B212,'Player Data'!$A1:$AE667,20,FALSE)*$Q212</f>
        <v>25.2856215898304</v>
      </c>
      <c r="AG212" s="79">
        <f>VLOOKUP(B212,'Player Data'!$A1:$AE667,21,FALSE)*$Q212</f>
        <v>36.7856653040719</v>
      </c>
      <c r="AH212" s="81">
        <f>VLOOKUP(B212,'Player Data'!$A1:$AE667,22,FALSE)</f>
        <v>0.407364223542695</v>
      </c>
      <c r="AI212" s="77"/>
      <c r="AJ212" s="79"/>
      <c r="AK212" s="79"/>
      <c r="AL212" s="79"/>
      <c r="AM212" s="79"/>
      <c r="AN212" s="79"/>
      <c r="AO212" s="79"/>
      <c r="AP212" s="79"/>
      <c r="AQ212" s="82"/>
      <c r="AR212" s="83"/>
      <c r="AS212" s="84"/>
    </row>
    <row r="213" ht="21.25" customHeight="1">
      <c r="A213" s="85">
        <f>RANK(K213,K$1:K$665)</f>
        <v>204</v>
      </c>
      <c r="B213" t="s" s="16">
        <v>401</v>
      </c>
      <c r="C213" t="s" s="69">
        <v>127</v>
      </c>
      <c r="D213" t="s" s="70">
        <f>VLOOKUP(B213,'Player Data'!A1:D667,4,FALSE)</f>
        <v>153</v>
      </c>
      <c r="E213" s="95">
        <f>VLOOKUP(B213,'D'!A1:C213,3,FALSE)</f>
        <v>58</v>
      </c>
      <c r="F213" t="s" s="104">
        <f>VLOOKUP(B213,'Player Data'!A1:B667,2,FALSE)</f>
        <v>333</v>
      </c>
      <c r="G213" s="11">
        <f>VLOOKUP(B213,'Player Data'!A1:D667,3,FALSE)</f>
        <v>25</v>
      </c>
      <c r="H213" s="73">
        <f>_xlfn.IFERROR(VLOOKUP(B213,'ADP'!A1:G665,7,FALSE)/1000000,VLOOKUP(B213,'ADP'!A1:G665,7,FALSE))</f>
        <v>3.25</v>
      </c>
      <c r="I213" s="74">
        <f>IF('Settings'!$E$15="POINTS",((R213*Q213)*'Settings'!$B$12)+(S213*'Settings'!$B$2)+(T213*'Settings'!$B$3)+(U213*'Settings'!$B$4)+(V213*'Settings'!$B$5)+(X213*'Settings'!$B$9)+(AA213*'Settings'!$B$6)+(W213*'Settings'!$B$8)+(AB213*'Settings'!$B$7)+(AC213*'Settings'!$B$14)+(AD213*'Settings'!$B$15)+(AE213*'Settings'!$B$16)+(AF213*'Settings'!$B$17)+(AG213*'Settings'!$B$18)+(U213*'Settings'!$B$13)+(Y213*'Settings'!$B$10)+(Z213*'Settings'!$B$11),VLOOKUP(B213,'Standard Deviations'!A1:C666,3,FALSE))</f>
        <v>266.117752556740</v>
      </c>
      <c r="J213" s="75">
        <f>IF(D213="G",I213/AJ213,I213/Q213)</f>
        <v>3.40979886676584</v>
      </c>
      <c r="K213" s="74">
        <f>VLOOKUP(B213,'D'!A1:F213,6,FALSE)</f>
        <v>-65.422455363342</v>
      </c>
      <c r="L213" s="76">
        <f>_xlfn.IFERROR(K213/H213,"N/A")</f>
        <v>-20.1299862656437</v>
      </c>
      <c r="M213" s="109">
        <f>IF('Settings'!$E$9="YAHOO",VLOOKUP(B213,'ADP'!A1:E665,2,FALSE),IF('Settings'!$E$9="ESPN",VLOOKUP(B213,'ADP'!A1:E665,3,FALSE),IF('Settings'!$E$9="FANTRAX",VLOOKUP(B213,'ADP'!A1:E665,4,FALSE),VLOOKUP(B213,'ADP'!A1:E665,5,FALSE))))</f>
        <v>0</v>
      </c>
      <c r="N213" s="79">
        <f>_xlfn.IFERROR(M213-A213,"N/A")</f>
        <v>-204</v>
      </c>
      <c r="O213" s="77"/>
      <c r="P213" t="s" s="78">
        <f>IF('Settings'!$E$27="ON",VLOOKUP(B213,'ADP'!A1:H665,8,FALSE)," ")</f>
        <v>138</v>
      </c>
      <c r="Q213" s="79">
        <f>IF('Settings'!$E$12="YES",VLOOKUP(B213,'Player Data'!A1:E667,5,FALSE),82)</f>
        <v>78.045</v>
      </c>
      <c r="R213" s="77">
        <f>VLOOKUP(B213,'Player Data'!$A1:$AE667,6,FALSE)</f>
        <v>22.4702170433685</v>
      </c>
      <c r="S213" s="79">
        <f>VLOOKUP(B213,'Player Data'!$A1:$AE667,7,FALSE)*$Q213*_xlfn.IFERROR((VLOOKUP(P213,'Settings'!$E$28:$F$33,2,FALSE)+1),1)</f>
        <v>4.16038416517466</v>
      </c>
      <c r="T213" s="79">
        <f>VLOOKUP(B213,'Player Data'!$A1:$AE667,8,FALSE)*$Q213*_xlfn.IFERROR((VLOOKUP(P213,'Settings'!$E$28:$F$33,2,FALSE)+1),1)</f>
        <v>17.0321602914341</v>
      </c>
      <c r="U213" s="79">
        <f>SUM(S213:T213)</f>
        <v>21.1925444566088</v>
      </c>
      <c r="V213" s="79">
        <f>VLOOKUP(B213,'Player Data'!$A1:$AE667,10,FALSE)*$Q213*_xlfn.IFERROR(((VLOOKUP(P213,'Settings'!$E$28:$F$33,2,FALSE)/2)+1),1)</f>
        <v>108.751231472950</v>
      </c>
      <c r="W213" s="79">
        <f>VLOOKUP(B213,'Player Data'!$A1:$AE667,11,FALSE)*$Q213*_xlfn.IFERROR((VLOOKUP(P213,'Settings'!$E$28:$F$33,2,FALSE)+1),1)</f>
        <v>0.112109622117816</v>
      </c>
      <c r="X213" s="79">
        <f>VLOOKUP(B213,'Player Data'!$A1:$AE667,12,FALSE)*$Q213*_xlfn.IFERROR((VLOOKUP(P213,'Settings'!$E$28:$F$33,2,FALSE)+1),1)</f>
        <v>0.949784395470017</v>
      </c>
      <c r="Y213" s="79">
        <f>VLOOKUP(B213,'Player Data'!$A1:$AE667,13,FALSE)*$Q213</f>
        <v>0.0261782353839629</v>
      </c>
      <c r="Z213" s="79">
        <f>VLOOKUP(B213,'Player Data'!$A1:$AE667,14,FALSE)*$Q213</f>
        <v>0.112025887260375</v>
      </c>
      <c r="AA213" s="79">
        <f>VLOOKUP(B213,'Player Data'!$A1:$AE667,15,FALSE)*$Q213</f>
        <v>171.764627354438</v>
      </c>
      <c r="AB213" s="79">
        <f>VLOOKUP(B213,'Player Data'!$A1:$AE667,16,FALSE)*$Q213</f>
        <v>121.838313337751</v>
      </c>
      <c r="AC213" s="79">
        <f>VLOOKUP(B213,'Player Data'!$A1:$AE667,17,FALSE)*$Q213*_xlfn.IFERROR((VLOOKUP(P213,'Settings'!$E$28:$F$33,2,FALSE)+1),1)</f>
        <v>-12.0819247442484</v>
      </c>
      <c r="AD213" s="79">
        <f>VLOOKUP(B213,'Player Data'!$A1:$AE667,18,FALSE)*$Q213</f>
        <v>31.7036187197841</v>
      </c>
      <c r="AE213" s="79">
        <f>VLOOKUP(B213,'Player Data'!$A1:$AE667,19,FALSE)*$Q213*_xlfn.IFERROR((VLOOKUP(P213,'Settings'!$E$28:$F$33,2,FALSE)+1),1)</f>
        <v>0.444371152390057</v>
      </c>
      <c r="AF213" s="79">
        <f>VLOOKUP(B213,'Player Data'!$A1:$AE667,20,FALSE)*$Q213</f>
        <v>0</v>
      </c>
      <c r="AG213" s="79">
        <f>VLOOKUP(B213,'Player Data'!$A1:$AE667,21,FALSE)*$Q213</f>
        <v>0.150312369476134</v>
      </c>
      <c r="AH213" s="81">
        <f>VLOOKUP(B213,'Player Data'!$A1:$AE667,22,FALSE)</f>
        <v>0</v>
      </c>
      <c r="AI213" s="77"/>
      <c r="AJ213" s="79"/>
      <c r="AK213" s="79"/>
      <c r="AL213" s="79"/>
      <c r="AM213" s="79"/>
      <c r="AN213" s="79"/>
      <c r="AO213" s="79"/>
      <c r="AP213" s="79"/>
      <c r="AQ213" s="82"/>
      <c r="AR213" s="83"/>
      <c r="AS213" s="84"/>
    </row>
    <row r="214" ht="21.25" customHeight="1">
      <c r="A214" s="85">
        <f>RANK(K214,K$1:K$665)</f>
        <v>205</v>
      </c>
      <c r="B214" t="s" s="16">
        <v>402</v>
      </c>
      <c r="C214" t="s" s="69">
        <v>127</v>
      </c>
      <c r="D214" t="s" s="70">
        <f>VLOOKUP(B214,'Player Data'!A1:D667,4,FALSE)</f>
        <v>153</v>
      </c>
      <c r="E214" s="95">
        <f>VLOOKUP(B214,'D'!A1:C213,3,FALSE)</f>
        <v>59</v>
      </c>
      <c r="F214" t="s" s="103">
        <f>VLOOKUP(B214,'Player Data'!A1:B667,2,FALSE)</f>
        <v>190</v>
      </c>
      <c r="G214" s="11">
        <f>VLOOKUP(B214,'Player Data'!A1:D667,3,FALSE)</f>
        <v>29</v>
      </c>
      <c r="H214" s="73">
        <f>_xlfn.IFERROR(VLOOKUP(B214,'ADP'!A1:G665,7,FALSE)/1000000,VLOOKUP(B214,'ADP'!A1:G665,7,FALSE))</f>
        <v>6.15</v>
      </c>
      <c r="I214" s="74">
        <f>IF('Settings'!$E$15="POINTS",((R214*Q214)*'Settings'!$B$12)+(S214*'Settings'!$B$2)+(T214*'Settings'!$B$3)+(U214*'Settings'!$B$4)+(V214*'Settings'!$B$5)+(X214*'Settings'!$B$9)+(AA214*'Settings'!$B$6)+(W214*'Settings'!$B$8)+(AB214*'Settings'!$B$7)+(AC214*'Settings'!$B$14)+(AD214*'Settings'!$B$15)+(AE214*'Settings'!$B$16)+(AF214*'Settings'!$B$17)+(AG214*'Settings'!$B$18)+(U214*'Settings'!$B$13)+(Y214*'Settings'!$B$10)+(Z214*'Settings'!$B$11),VLOOKUP(B214,'Standard Deviations'!A1:C666,3,FALSE))</f>
        <v>265.996377241912</v>
      </c>
      <c r="J214" s="75">
        <f>IF(D214="G",I214/AJ214,I214/Q214)</f>
        <v>3.538597542130</v>
      </c>
      <c r="K214" s="74">
        <f>VLOOKUP(B214,'D'!A1:F213,6,FALSE)</f>
        <v>-65.543830678170</v>
      </c>
      <c r="L214" s="76">
        <f>_xlfn.IFERROR(K214/H214,"N/A")</f>
        <v>-10.6575334436049</v>
      </c>
      <c r="M214" s="109">
        <f>IF('Settings'!$E$9="YAHOO",VLOOKUP(B214,'ADP'!A1:E665,2,FALSE),IF('Settings'!$E$9="ESPN",VLOOKUP(B214,'ADP'!A1:E665,3,FALSE),IF('Settings'!$E$9="FANTRAX",VLOOKUP(B214,'ADP'!A1:E665,4,FALSE),VLOOKUP(B214,'ADP'!A1:E665,5,FALSE))))</f>
        <v>0</v>
      </c>
      <c r="N214" s="79">
        <f>_xlfn.IFERROR(M214-A214,"N/A")</f>
        <v>-205</v>
      </c>
      <c r="O214" s="77"/>
      <c r="P214" t="s" s="78">
        <f>IF('Settings'!$E$27="ON",VLOOKUP(B214,'ADP'!A1:H665,8,FALSE)," ")</f>
        <v>138</v>
      </c>
      <c r="Q214" s="79">
        <f>IF('Settings'!$E$12="YES",VLOOKUP(B214,'Player Data'!A1:E667,5,FALSE),82)</f>
        <v>75.17</v>
      </c>
      <c r="R214" s="77">
        <f>VLOOKUP(B214,'Player Data'!$A1:$AE667,6,FALSE)</f>
        <v>21.6320987899028</v>
      </c>
      <c r="S214" s="79">
        <f>VLOOKUP(B214,'Player Data'!$A1:$AE667,7,FALSE)*$Q214*_xlfn.IFERROR((VLOOKUP(P214,'Settings'!$E$28:$F$33,2,FALSE)+1),1)</f>
        <v>5.1610330150879</v>
      </c>
      <c r="T214" s="79">
        <f>VLOOKUP(B214,'Player Data'!$A1:$AE667,8,FALSE)*$Q214*_xlfn.IFERROR((VLOOKUP(P214,'Settings'!$E$28:$F$33,2,FALSE)+1),1)</f>
        <v>18.5257106338262</v>
      </c>
      <c r="U214" s="79">
        <f>SUM(S214:T214)</f>
        <v>23.6867436489141</v>
      </c>
      <c r="V214" s="79">
        <f>VLOOKUP(B214,'Player Data'!$A1:$AE667,10,FALSE)*$Q214*_xlfn.IFERROR(((VLOOKUP(P214,'Settings'!$E$28:$F$33,2,FALSE)/2)+1),1)</f>
        <v>115.356541801337</v>
      </c>
      <c r="W214" s="79">
        <f>VLOOKUP(B214,'Player Data'!$A1:$AE667,11,FALSE)*$Q214*_xlfn.IFERROR((VLOOKUP(P214,'Settings'!$E$28:$F$33,2,FALSE)+1),1)</f>
        <v>1.31168490296454</v>
      </c>
      <c r="X214" s="79">
        <f>VLOOKUP(B214,'Player Data'!$A1:$AE667,12,FALSE)*$Q214*_xlfn.IFERROR((VLOOKUP(P214,'Settings'!$E$28:$F$33,2,FALSE)+1),1)</f>
        <v>4.88313451526231</v>
      </c>
      <c r="Y214" s="79">
        <f>VLOOKUP(B214,'Player Data'!$A1:$AE667,13,FALSE)*$Q214</f>
        <v>0.0359565492628507</v>
      </c>
      <c r="Z214" s="79">
        <f>VLOOKUP(B214,'Player Data'!$A1:$AE667,14,FALSE)*$Q214</f>
        <v>0.362441636764029</v>
      </c>
      <c r="AA214" s="79">
        <f>VLOOKUP(B214,'Player Data'!$A1:$AE667,15,FALSE)*$Q214</f>
        <v>160.219913110905</v>
      </c>
      <c r="AB214" s="79">
        <f>VLOOKUP(B214,'Player Data'!$A1:$AE667,16,FALSE)*$Q214</f>
        <v>117.815323447875</v>
      </c>
      <c r="AC214" s="79">
        <f>VLOOKUP(B214,'Player Data'!$A1:$AE667,17,FALSE)*$Q214*_xlfn.IFERROR((VLOOKUP(P214,'Settings'!$E$28:$F$33,2,FALSE)+1),1)</f>
        <v>2.12621686711144</v>
      </c>
      <c r="AD214" s="79">
        <f>VLOOKUP(B214,'Player Data'!$A1:$AE667,18,FALSE)*$Q214</f>
        <v>17.4432172251093</v>
      </c>
      <c r="AE214" s="79">
        <f>VLOOKUP(B214,'Player Data'!$A1:$AE667,19,FALSE)*$Q214*_xlfn.IFERROR((VLOOKUP(P214,'Settings'!$E$28:$F$33,2,FALSE)+1),1)</f>
        <v>0.811102468948688</v>
      </c>
      <c r="AF214" s="79">
        <f>VLOOKUP(B214,'Player Data'!$A1:$AE667,20,FALSE)*$Q214</f>
        <v>0</v>
      </c>
      <c r="AG214" s="79">
        <f>VLOOKUP(B214,'Player Data'!$A1:$AE667,21,FALSE)*$Q214</f>
        <v>0</v>
      </c>
      <c r="AH214" s="81">
        <f>VLOOKUP(B214,'Player Data'!$A1:$AE667,22,FALSE)</f>
        <v>0</v>
      </c>
      <c r="AI214" s="77"/>
      <c r="AJ214" s="79"/>
      <c r="AK214" s="79"/>
      <c r="AL214" s="79"/>
      <c r="AM214" s="79"/>
      <c r="AN214" s="79"/>
      <c r="AO214" s="79"/>
      <c r="AP214" s="79"/>
      <c r="AQ214" s="82"/>
      <c r="AR214" s="83"/>
      <c r="AS214" s="93"/>
    </row>
    <row r="215" ht="21.25" customHeight="1">
      <c r="A215" s="85">
        <f>RANK(K215,K$1:K$665)</f>
        <v>216</v>
      </c>
      <c r="B215" t="s" s="16">
        <v>403</v>
      </c>
      <c r="C215" t="s" s="69">
        <v>127</v>
      </c>
      <c r="D215" t="s" s="70">
        <f>VLOOKUP(B215,'Player Data'!A1:D667,4,FALSE)</f>
        <v>140</v>
      </c>
      <c r="E215" s="90">
        <f>VLOOKUP(B215,'RW'!A1:F136,3,FALSE)</f>
        <v>45</v>
      </c>
      <c r="F215" t="s" s="86">
        <f>VLOOKUP(B215,'Player Data'!A1:B667,2,FALSE)</f>
        <v>154</v>
      </c>
      <c r="G215" s="96">
        <f>VLOOKUP(B215,'Player Data'!A1:D667,3,FALSE)</f>
        <v>22</v>
      </c>
      <c r="H215" s="94">
        <f>_xlfn.IFERROR(VLOOKUP(B215,'ADP'!A1:G665,7,FALSE)/1000000,VLOOKUP(B215,'ADP'!A1:G665,7,FALSE))</f>
        <v>0.855833</v>
      </c>
      <c r="I215" s="74">
        <f>IF('Settings'!$E$15="POINTS",((R215*Q215)*'Settings'!$B$12)+(S215*'Settings'!$B$2)+(T215*'Settings'!$B$3)+(U215*'Settings'!$B$4)+(V215*'Settings'!$B$5)+(X215*'Settings'!$B$9)+(AA215*'Settings'!$B$6)+(W215*'Settings'!$B$8)+(AB215*'Settings'!$B$7)+(AC215*'Settings'!$B$14)+(AD215*'Settings'!$B$15)+(AE215*'Settings'!$B$16)+(AF215*'Settings'!$B$17)+(AG215*'Settings'!$B$18)+(Y215*'Settings'!$B$10)+(Z215*'Settings'!$B$11),VLOOKUP(B215,'Standard Deviations'!A1:C666,3,FALSE))</f>
        <v>258.474524297259</v>
      </c>
      <c r="J215" s="75">
        <f>IF(D215="G",I215/AJ215,I215/Q215)</f>
        <v>3.21715809561887</v>
      </c>
      <c r="K215" s="74">
        <f>IF('Settings'!$E$18="C/LW/RW",VLOOKUP(B215,'RW'!A1:F136,6,FALSE),VLOOKUP(B215,'F'!A1:F392,6,FALSE))</f>
        <v>-71.217369783919</v>
      </c>
      <c r="L215" s="76">
        <f>_xlfn.IFERROR(K215/H215,"N/A")</f>
        <v>-83.21409642292249</v>
      </c>
      <c r="M215" s="77">
        <f>IF('Settings'!$E$9="YAHOO",VLOOKUP(B215,'ADP'!A1:E665,2,FALSE),IF('Settings'!$E$9="ESPN",VLOOKUP(B215,'ADP'!A1:E665,3,FALSE),IF('Settings'!$E$9="FANTRAX",VLOOKUP(B215,'ADP'!A1:E665,4,FALSE),VLOOKUP(B215,'ADP'!A1:E665,5,FALSE))))</f>
        <v>0</v>
      </c>
      <c r="N215" s="77">
        <f>_xlfn.IFERROR(M215-A215,"N/A")</f>
        <v>-216</v>
      </c>
      <c r="O215" s="77"/>
      <c r="P215" t="s" s="78">
        <f>IF('Settings'!$E$27="ON",VLOOKUP(B215,'ADP'!A1:H665,8,FALSE)," ")</f>
        <v>138</v>
      </c>
      <c r="Q215" s="79">
        <f>IF('Settings'!$E$12="YES",VLOOKUP(B215,'Player Data'!A1:E667,5,FALSE),82)</f>
        <v>80.3425</v>
      </c>
      <c r="R215" s="98">
        <f>VLOOKUP(B215,'Player Data'!$A1:$AE667,6,FALSE)</f>
        <v>17.8798997013355</v>
      </c>
      <c r="S215" s="79">
        <f>VLOOKUP(B215,'Player Data'!$A1:$AE667,7,FALSE)*$Q215*_xlfn.IFERROR((VLOOKUP(P215,'Settings'!$E$28:$F$33,2,FALSE)+1),1)</f>
        <v>29.6549361551577</v>
      </c>
      <c r="T215" s="79">
        <f>VLOOKUP(B215,'Player Data'!$A1:$AE667,8,FALSE)*$Q215*_xlfn.IFERROR((VLOOKUP(P215,'Settings'!$E$28:$F$33,2,FALSE)+1),1)</f>
        <v>32.8648339783802</v>
      </c>
      <c r="U215" s="79">
        <f>SUM(S215:T215)</f>
        <v>62.5197701335379</v>
      </c>
      <c r="V215" s="79">
        <f>VLOOKUP(B215,'Player Data'!$A1:$AE667,10,FALSE)*$Q215*_xlfn.IFERROR(((VLOOKUP(P215,'Settings'!$E$28:$F$33,2,FALSE)/2)+1),1)</f>
        <v>229.887296151085</v>
      </c>
      <c r="W215" s="79">
        <f>VLOOKUP(B215,'Player Data'!$A1:$AE667,11,FALSE)*$Q215*_xlfn.IFERROR((VLOOKUP(P215,'Settings'!$E$28:$F$33,2,FALSE)+1),1)</f>
        <v>6.05957154461404</v>
      </c>
      <c r="X215" s="80">
        <f>VLOOKUP(B215,'Player Data'!$A1:$AE667,12,FALSE)*$Q215*_xlfn.IFERROR((VLOOKUP(P215,'Settings'!$E$28:$F$33,2,FALSE)+1),1)</f>
        <v>14.8943793411033</v>
      </c>
      <c r="Y215" s="79">
        <f>VLOOKUP(B215,'Player Data'!$A1:$AE667,13,FALSE)*$Q215</f>
        <v>0.00117163775430522</v>
      </c>
      <c r="Z215" s="79">
        <f>VLOOKUP(B215,'Player Data'!$A1:$AE667,14,FALSE)*$Q215</f>
        <v>0.00197797978240735</v>
      </c>
      <c r="AA215" s="79">
        <f>VLOOKUP(B215,'Player Data'!$A1:$AE667,15,FALSE)*$Q215</f>
        <v>19.7827398665495</v>
      </c>
      <c r="AB215" s="79">
        <f>VLOOKUP(B215,'Player Data'!$A1:$AE667,16,FALSE)*$Q215</f>
        <v>31.8268635975412</v>
      </c>
      <c r="AC215" s="79">
        <f>VLOOKUP(B215,'Player Data'!$A1:$AE667,17,FALSE)*$Q215*_xlfn.IFERROR((VLOOKUP(P215,'Settings'!$E$28:$F$33,2,FALSE)+1),1)</f>
        <v>0.241566992928056</v>
      </c>
      <c r="AD215" s="79">
        <f>VLOOKUP(B215,'Player Data'!$A1:$AE667,18,FALSE)*$Q215</f>
        <v>27.7751816441874</v>
      </c>
      <c r="AE215" s="79">
        <f>VLOOKUP(B215,'Player Data'!$A1:$AE667,19,FALSE)*$Q215*_xlfn.IFERROR((VLOOKUP(P215,'Settings'!$E$28:$F$33,2,FALSE)+1),1)</f>
        <v>4.19485191960881</v>
      </c>
      <c r="AF215" s="79">
        <f>VLOOKUP(B215,'Player Data'!$A1:$AE667,20,FALSE)*$Q215</f>
        <v>5.20556368575062</v>
      </c>
      <c r="AG215" s="79">
        <f>VLOOKUP(B215,'Player Data'!$A1:$AE667,21,FALSE)*$Q215</f>
        <v>10.2422924060826</v>
      </c>
      <c r="AH215" s="81">
        <f>VLOOKUP(B215,'Player Data'!$A1:$AE667,22,FALSE)</f>
        <v>0.336976448693268</v>
      </c>
      <c r="AI215" s="77"/>
      <c r="AJ215" s="89"/>
      <c r="AK215" s="79"/>
      <c r="AL215" s="79"/>
      <c r="AM215" s="79"/>
      <c r="AN215" s="79"/>
      <c r="AO215" s="79"/>
      <c r="AP215" s="79"/>
      <c r="AQ215" s="82"/>
      <c r="AR215" s="83"/>
      <c r="AS215" s="84"/>
    </row>
    <row r="216" ht="21.25" customHeight="1">
      <c r="A216" s="85">
        <f>RANK(K216,K$1:K$665)</f>
        <v>218</v>
      </c>
      <c r="B216" t="s" s="16">
        <v>404</v>
      </c>
      <c r="C216" t="s" s="69">
        <v>127</v>
      </c>
      <c r="D216" t="s" s="70">
        <f>VLOOKUP(B216,'Player Data'!A1:D667,4,FALSE)</f>
        <v>145</v>
      </c>
      <c r="E216" s="87">
        <f>VLOOKUP(B216,'RW'!A1:C136,3,FALSE)</f>
        <v>46</v>
      </c>
      <c r="F216" t="s" s="107">
        <f>VLOOKUP(B216,'Player Data'!A1:B667,2,FALSE)</f>
        <v>279</v>
      </c>
      <c r="G216" s="11">
        <f>VLOOKUP(B216,'Player Data'!A1:D667,3,FALSE)</f>
        <v>26</v>
      </c>
      <c r="H216" s="73">
        <f>_xlfn.IFERROR(VLOOKUP(B216,'ADP'!A1:G665,7,FALSE)/1000000,VLOOKUP(B216,'ADP'!A1:G665,7,FALSE))</f>
        <v>7</v>
      </c>
      <c r="I216" s="74">
        <f>IF('Settings'!$E$15="POINTS",((R216*Q216)*'Settings'!$B$12)+(S216*'Settings'!$B$2)+(T216*'Settings'!$B$3)+(U216*'Settings'!$B$4)+(V216*'Settings'!$B$5)+(X216*'Settings'!$B$9)+(AA216*'Settings'!$B$6)+(W216*'Settings'!$B$8)+(AB216*'Settings'!$B$7)+(AC216*'Settings'!$B$14)+(AD216*'Settings'!$B$15)+(AE216*'Settings'!$B$16)+(AF216*'Settings'!$B$17)+(AG216*'Settings'!$B$18)+(Y216*'Settings'!$B$10)+(Z216*'Settings'!$B$11),VLOOKUP(B216,'Standard Deviations'!A1:C666,3,FALSE))</f>
        <v>258.075093138858</v>
      </c>
      <c r="J216" s="75">
        <f>IF(D216="G",I216/AJ216,I216/Q216)</f>
        <v>3.28277164839863</v>
      </c>
      <c r="K216" s="74">
        <f>IF('Settings'!$E$18="C/LW/RW",VLOOKUP(B216,'RW'!A1:F136,6,FALSE),VLOOKUP(B216,'F'!A1:F392,6,FALSE))</f>
        <v>-71.616800942320</v>
      </c>
      <c r="L216" s="76">
        <f>_xlfn.IFERROR(K216/H216,"N/A")</f>
        <v>-10.2309715631886</v>
      </c>
      <c r="M216" s="77">
        <f>IF('Settings'!$E$9="YAHOO",VLOOKUP(B216,'ADP'!A1:E665,2,FALSE),IF('Settings'!$E$9="ESPN",VLOOKUP(B216,'ADP'!A1:E665,3,FALSE),IF('Settings'!$E$9="FANTRAX",VLOOKUP(B216,'ADP'!A1:E665,4,FALSE),VLOOKUP(B216,'ADP'!A1:E665,5,FALSE))))</f>
        <v>0</v>
      </c>
      <c r="N216" s="77">
        <f>_xlfn.IFERROR(M216-A216,"N/A")</f>
        <v>-218</v>
      </c>
      <c r="O216" s="77"/>
      <c r="P216" t="s" s="78">
        <f>IF('Settings'!$E$27="ON",VLOOKUP(B216,'ADP'!A1:H665,8,FALSE)," ")</f>
        <v>138</v>
      </c>
      <c r="Q216" s="79">
        <f>IF('Settings'!$E$12="YES",VLOOKUP(B216,'Player Data'!A1:E667,5,FALSE),82)</f>
        <v>78.61499999999999</v>
      </c>
      <c r="R216" s="77">
        <f>VLOOKUP(B216,'Player Data'!$A1:$AE667,6,FALSE)</f>
        <v>18.9159920009418</v>
      </c>
      <c r="S216" s="79">
        <f>VLOOKUP(B216,'Player Data'!$A1:$AE667,7,FALSE)*$Q216*_xlfn.IFERROR((VLOOKUP(P216,'Settings'!$E$28:$F$33,2,FALSE)+1),1)</f>
        <v>27.0092898082054</v>
      </c>
      <c r="T216" s="79">
        <f>VLOOKUP(B216,'Player Data'!$A1:$AE667,8,FALSE)*$Q216*_xlfn.IFERROR((VLOOKUP(P216,'Settings'!$E$28:$F$33,2,FALSE)+1),1)</f>
        <v>39.0817391261178</v>
      </c>
      <c r="U216" s="79">
        <f>SUM(S216:T216)</f>
        <v>66.09102893432321</v>
      </c>
      <c r="V216" s="79">
        <f>VLOOKUP(B216,'Player Data'!$A1:$AE667,10,FALSE)*$Q216*_xlfn.IFERROR(((VLOOKUP(P216,'Settings'!$E$28:$F$33,2,FALSE)/2)+1),1)</f>
        <v>197.059364045408</v>
      </c>
      <c r="W216" s="79">
        <f>VLOOKUP(B216,'Player Data'!$A1:$AE667,11,FALSE)*$Q216*_xlfn.IFERROR((VLOOKUP(P216,'Settings'!$E$28:$F$33,2,FALSE)+1),1)</f>
        <v>6.66895934718742</v>
      </c>
      <c r="X216" s="80">
        <f>VLOOKUP(B216,'Player Data'!$A1:$AE667,12,FALSE)*$Q216*_xlfn.IFERROR((VLOOKUP(P216,'Settings'!$E$28:$F$33,2,FALSE)+1),1)</f>
        <v>16.3972973649377</v>
      </c>
      <c r="Y216" s="79">
        <f>VLOOKUP(B216,'Player Data'!$A1:$AE667,13,FALSE)*$Q216</f>
        <v>0.0185807420391324</v>
      </c>
      <c r="Z216" s="79">
        <f>VLOOKUP(B216,'Player Data'!$A1:$AE667,14,FALSE)*$Q216</f>
        <v>0.0314324946625536</v>
      </c>
      <c r="AA216" s="79">
        <f>VLOOKUP(B216,'Player Data'!$A1:$AE667,15,FALSE)*$Q216</f>
        <v>30.1364803242911</v>
      </c>
      <c r="AB216" s="79">
        <f>VLOOKUP(B216,'Player Data'!$A1:$AE667,16,FALSE)*$Q216</f>
        <v>21.5312890938695</v>
      </c>
      <c r="AC216" s="79">
        <f>VLOOKUP(B216,'Player Data'!$A1:$AE667,17,FALSE)*$Q216*_xlfn.IFERROR((VLOOKUP(P216,'Settings'!$E$28:$F$33,2,FALSE)+1),1)</f>
        <v>-5.97719263051272</v>
      </c>
      <c r="AD216" s="79">
        <f>VLOOKUP(B216,'Player Data'!$A1:$AE667,18,FALSE)*$Q216</f>
        <v>28.2998406670538</v>
      </c>
      <c r="AE216" s="79">
        <f>VLOOKUP(B216,'Player Data'!$A1:$AE667,19,FALSE)*$Q216*_xlfn.IFERROR((VLOOKUP(P216,'Settings'!$E$28:$F$33,2,FALSE)+1),1)</f>
        <v>3.1481906477709</v>
      </c>
      <c r="AF216" s="79">
        <f>VLOOKUP(B216,'Player Data'!$A1:$AE667,20,FALSE)*$Q216</f>
        <v>7.80728319070304</v>
      </c>
      <c r="AG216" s="79">
        <f>VLOOKUP(B216,'Player Data'!$A1:$AE667,21,FALSE)*$Q216</f>
        <v>7.64081602347122</v>
      </c>
      <c r="AH216" s="81">
        <f>VLOOKUP(B216,'Player Data'!$A1:$AE667,22,FALSE)</f>
        <v>0.505387949835248</v>
      </c>
      <c r="AI216" s="77"/>
      <c r="AJ216" s="79"/>
      <c r="AK216" s="79"/>
      <c r="AL216" s="79"/>
      <c r="AM216" s="79"/>
      <c r="AN216" s="79"/>
      <c r="AO216" s="79"/>
      <c r="AP216" s="79"/>
      <c r="AQ216" s="82"/>
      <c r="AR216" s="83"/>
      <c r="AS216" s="84"/>
    </row>
    <row r="217" ht="21.25" customHeight="1">
      <c r="A217" s="85">
        <f>RANK(K217,K$1:K$665)</f>
        <v>208</v>
      </c>
      <c r="B217" t="s" s="16">
        <v>405</v>
      </c>
      <c r="C217" t="s" s="69">
        <v>127</v>
      </c>
      <c r="D217" t="s" s="70">
        <f>VLOOKUP(B217,'Player Data'!A1:D667,4,FALSE)</f>
        <v>153</v>
      </c>
      <c r="E217" s="95">
        <f>VLOOKUP(B217,'D'!A1:C213,3,FALSE)</f>
        <v>60</v>
      </c>
      <c r="F217" t="s" s="88">
        <f>VLOOKUP(B217,'Player Data'!A1:B667,2,FALSE)</f>
        <v>143</v>
      </c>
      <c r="G217" s="11">
        <f>VLOOKUP(B217,'Player Data'!A1:D667,3,FALSE)</f>
        <v>29</v>
      </c>
      <c r="H217" s="73">
        <f>_xlfn.IFERROR(VLOOKUP(B217,'ADP'!A1:G665,7,FALSE)/1000000,VLOOKUP(B217,'ADP'!A1:G665,7,FALSE))</f>
        <v>5</v>
      </c>
      <c r="I217" s="74">
        <f>IF('Settings'!$E$15="POINTS",((R217*Q217)*'Settings'!$B$12)+(S217*'Settings'!$B$2)+(T217*'Settings'!$B$3)+(U217*'Settings'!$B$4)+(V217*'Settings'!$B$5)+(X217*'Settings'!$B$9)+(AA217*'Settings'!$B$6)+(W217*'Settings'!$B$8)+(AB217*'Settings'!$B$7)+(AC217*'Settings'!$B$14)+(AD217*'Settings'!$B$15)+(AE217*'Settings'!$B$16)+(AF217*'Settings'!$B$17)+(AG217*'Settings'!$B$18)+(U217*'Settings'!$B$13)+(Y217*'Settings'!$B$10)+(Z217*'Settings'!$B$11),VLOOKUP(B217,'Standard Deviations'!A1:C666,3,FALSE))</f>
        <v>264.431369856233</v>
      </c>
      <c r="J217" s="75">
        <f>IF(D217="G",I217/AJ217,I217/Q217)</f>
        <v>3.30590867143282</v>
      </c>
      <c r="K217" s="74">
        <f>VLOOKUP(B217,'D'!A1:F213,6,FALSE)</f>
        <v>-67.10883806384901</v>
      </c>
      <c r="L217" s="76">
        <f>_xlfn.IFERROR(K217/H217,"N/A")</f>
        <v>-13.4217676127698</v>
      </c>
      <c r="M217" s="77">
        <f>IF('Settings'!$E$9="YAHOO",VLOOKUP(B217,'ADP'!A1:E665,2,FALSE),IF('Settings'!$E$9="ESPN",VLOOKUP(B217,'ADP'!A1:E665,3,FALSE),IF('Settings'!$E$9="FANTRAX",VLOOKUP(B217,'ADP'!A1:E665,4,FALSE),VLOOKUP(B217,'ADP'!A1:E665,5,FALSE))))</f>
        <v>0</v>
      </c>
      <c r="N217" s="77">
        <f>_xlfn.IFERROR(M217-A217,"N/A")</f>
        <v>-208</v>
      </c>
      <c r="O217" s="77"/>
      <c r="P217" t="s" s="78">
        <f>IF('Settings'!$E$27="ON",VLOOKUP(B217,'ADP'!A1:H665,8,FALSE)," ")</f>
        <v>138</v>
      </c>
      <c r="Q217" s="79">
        <f>IF('Settings'!$E$12="YES",VLOOKUP(B217,'Player Data'!A1:E667,5,FALSE),82)</f>
        <v>79.9875</v>
      </c>
      <c r="R217" s="98">
        <f>VLOOKUP(B217,'Player Data'!$A1:$AE667,6,FALSE)</f>
        <v>19.8479312055502</v>
      </c>
      <c r="S217" s="79">
        <f>VLOOKUP(B217,'Player Data'!$A1:$AE667,7,FALSE)*$Q217*_xlfn.IFERROR((VLOOKUP(P217,'Settings'!$E$28:$F$33,2,FALSE)+1),1)</f>
        <v>10.2103977829356</v>
      </c>
      <c r="T217" s="79">
        <f>VLOOKUP(B217,'Player Data'!$A1:$AE667,8,FALSE)*$Q217*_xlfn.IFERROR((VLOOKUP(P217,'Settings'!$E$28:$F$33,2,FALSE)+1),1)</f>
        <v>17.6888476125475</v>
      </c>
      <c r="U217" s="79">
        <f>SUM(S217:T217)</f>
        <v>27.8992453954831</v>
      </c>
      <c r="V217" s="79">
        <f>VLOOKUP(B217,'Player Data'!$A1:$AE667,10,FALSE)*$Q217*_xlfn.IFERROR(((VLOOKUP(P217,'Settings'!$E$28:$F$33,2,FALSE)/2)+1),1)</f>
        <v>121.105887169225</v>
      </c>
      <c r="W217" s="79">
        <f>VLOOKUP(B217,'Player Data'!$A1:$AE667,11,FALSE)*$Q217*_xlfn.IFERROR((VLOOKUP(P217,'Settings'!$E$28:$F$33,2,FALSE)+1),1)</f>
        <v>0.0387073089305355</v>
      </c>
      <c r="X217" s="79">
        <f>VLOOKUP(B217,'Player Data'!$A1:$AE667,12,FALSE)*$Q217*_xlfn.IFERROR((VLOOKUP(P217,'Settings'!$E$28:$F$33,2,FALSE)+1),1)</f>
        <v>0.325710450342727</v>
      </c>
      <c r="Y217" s="79">
        <f>VLOOKUP(B217,'Player Data'!$A1:$AE667,13,FALSE)*$Q217</f>
        <v>0.0190743034406328</v>
      </c>
      <c r="Z217" s="79">
        <f>VLOOKUP(B217,'Player Data'!$A1:$AE667,14,FALSE)*$Q217</f>
        <v>0.446317400515081</v>
      </c>
      <c r="AA217" s="79">
        <f>VLOOKUP(B217,'Player Data'!$A1:$AE667,15,FALSE)*$Q217</f>
        <v>88.190819077832</v>
      </c>
      <c r="AB217" s="79">
        <f>VLOOKUP(B217,'Player Data'!$A1:$AE667,16,FALSE)*$Q217</f>
        <v>181.089771719612</v>
      </c>
      <c r="AC217" s="79">
        <f>VLOOKUP(B217,'Player Data'!$A1:$AE667,17,FALSE)*$Q217*_xlfn.IFERROR((VLOOKUP(P217,'Settings'!$E$28:$F$33,2,FALSE)+1),1)</f>
        <v>-0.0193416915018881</v>
      </c>
      <c r="AD217" s="79">
        <f>VLOOKUP(B217,'Player Data'!$A1:$AE667,18,FALSE)*$Q217</f>
        <v>82.0056228656352</v>
      </c>
      <c r="AE217" s="79">
        <f>VLOOKUP(B217,'Player Data'!$A1:$AE667,19,FALSE)*$Q217*_xlfn.IFERROR((VLOOKUP(P217,'Settings'!$E$28:$F$33,2,FALSE)+1),1)</f>
        <v>1.59030741661909</v>
      </c>
      <c r="AF217" s="79">
        <f>VLOOKUP(B217,'Player Data'!$A1:$AE667,20,FALSE)*$Q217</f>
        <v>0</v>
      </c>
      <c r="AG217" s="79">
        <f>VLOOKUP(B217,'Player Data'!$A1:$AE667,21,FALSE)*$Q217</f>
        <v>0</v>
      </c>
      <c r="AH217" s="81">
        <f>VLOOKUP(B217,'Player Data'!$A1:$AE667,22,FALSE)</f>
        <v>0</v>
      </c>
      <c r="AI217" s="77"/>
      <c r="AJ217" s="79"/>
      <c r="AK217" s="79"/>
      <c r="AL217" s="79"/>
      <c r="AM217" s="79"/>
      <c r="AN217" s="79"/>
      <c r="AO217" s="79"/>
      <c r="AP217" s="79"/>
      <c r="AQ217" s="82"/>
      <c r="AR217" s="83"/>
      <c r="AS217" s="84"/>
    </row>
    <row r="218" ht="21.25" customHeight="1">
      <c r="A218" s="85">
        <f>RANK(K218,K$1:K$665)</f>
        <v>209</v>
      </c>
      <c r="B218" t="s" s="16">
        <v>406</v>
      </c>
      <c r="C218" t="s" s="69">
        <v>127</v>
      </c>
      <c r="D218" t="s" s="70">
        <f>VLOOKUP(B218,'Player Data'!A1:D667,4,FALSE)</f>
        <v>153</v>
      </c>
      <c r="E218" s="95">
        <f>VLOOKUP(B218,'D'!A1:C213,3,FALSE)</f>
        <v>61</v>
      </c>
      <c r="F218" t="s" s="100">
        <f>VLOOKUP(B218,'Player Data'!A1:B667,2,FALSE)</f>
        <v>172</v>
      </c>
      <c r="G218" s="11">
        <f>VLOOKUP(B218,'Player Data'!A1:D667,3,FALSE)</f>
        <v>28</v>
      </c>
      <c r="H218" s="94">
        <f>_xlfn.IFERROR(VLOOKUP(B218,'ADP'!A1:G665,7,FALSE)/1000000,VLOOKUP(B218,'ADP'!A1:G665,7,FALSE))</f>
        <v>4.025</v>
      </c>
      <c r="I218" s="74">
        <f>IF('Settings'!$E$15="POINTS",((R218*Q218)*'Settings'!$B$12)+(S218*'Settings'!$B$2)+(T218*'Settings'!$B$3)+(U218*'Settings'!$B$4)+(V218*'Settings'!$B$5)+(X218*'Settings'!$B$9)+(AA218*'Settings'!$B$6)+(W218*'Settings'!$B$8)+(AB218*'Settings'!$B$7)+(AC218*'Settings'!$B$14)+(AD218*'Settings'!$B$15)+(AE218*'Settings'!$B$16)+(AF218*'Settings'!$B$17)+(AG218*'Settings'!$B$18)+(U218*'Settings'!$B$13)+(Y218*'Settings'!$B$10)+(Z218*'Settings'!$B$11),VLOOKUP(B218,'Standard Deviations'!A1:C666,3,FALSE))</f>
        <v>264.080324835893</v>
      </c>
      <c r="J218" s="75">
        <f>IF(D218="G",I218/AJ218,I218/Q218)</f>
        <v>3.33835187201685</v>
      </c>
      <c r="K218" s="74">
        <f>VLOOKUP(B218,'D'!A1:F213,6,FALSE)</f>
        <v>-67.459883084189</v>
      </c>
      <c r="L218" s="76">
        <f>_xlfn.IFERROR(K218/H218,"N/A")</f>
        <v>-16.7602193997985</v>
      </c>
      <c r="M218" s="109">
        <f>IF('Settings'!$E$9="YAHOO",VLOOKUP(B218,'ADP'!A1:E665,2,FALSE),IF('Settings'!$E$9="ESPN",VLOOKUP(B218,'ADP'!A1:E665,3,FALSE),IF('Settings'!$E$9="FANTRAX",VLOOKUP(B218,'ADP'!A1:E665,4,FALSE),VLOOKUP(B218,'ADP'!A1:E665,5,FALSE))))</f>
        <v>0</v>
      </c>
      <c r="N218" s="79">
        <f>_xlfn.IFERROR(M218-A218,"N/A")</f>
        <v>-209</v>
      </c>
      <c r="O218" s="77"/>
      <c r="P218" t="s" s="78">
        <f>IF('Settings'!$E$27="ON",VLOOKUP(B218,'ADP'!A1:H665,8,FALSE)," ")</f>
        <v>138</v>
      </c>
      <c r="Q218" s="79">
        <f>IF('Settings'!$E$12="YES",VLOOKUP(B218,'Player Data'!A1:E667,5,FALSE),82)</f>
        <v>79.105</v>
      </c>
      <c r="R218" s="77">
        <f>VLOOKUP(B218,'Player Data'!$A1:$AE667,6,FALSE)</f>
        <v>21.893020517922</v>
      </c>
      <c r="S218" s="79">
        <f>VLOOKUP(B218,'Player Data'!$A1:$AE667,7,FALSE)*$Q218*_xlfn.IFERROR((VLOOKUP(P218,'Settings'!$E$28:$F$33,2,FALSE)+1),1)</f>
        <v>3.32903064196292</v>
      </c>
      <c r="T218" s="79">
        <f>VLOOKUP(B218,'Player Data'!$A1:$AE667,8,FALSE)*$Q218*_xlfn.IFERROR((VLOOKUP(P218,'Settings'!$E$28:$F$33,2,FALSE)+1),1)</f>
        <v>25.117262298597</v>
      </c>
      <c r="U218" s="79">
        <f>SUM(S218:T218)</f>
        <v>28.4462929405599</v>
      </c>
      <c r="V218" s="79">
        <f>VLOOKUP(B218,'Player Data'!$A1:$AE667,10,FALSE)*$Q218*_xlfn.IFERROR(((VLOOKUP(P218,'Settings'!$E$28:$F$33,2,FALSE)/2)+1),1)</f>
        <v>106.717146056789</v>
      </c>
      <c r="W218" s="79">
        <f>VLOOKUP(B218,'Player Data'!$A1:$AE667,11,FALSE)*$Q218*_xlfn.IFERROR((VLOOKUP(P218,'Settings'!$E$28:$F$33,2,FALSE)+1),1)</f>
        <v>0.07851065770608751</v>
      </c>
      <c r="X218" s="79">
        <f>VLOOKUP(B218,'Player Data'!$A1:$AE667,12,FALSE)*$Q218*_xlfn.IFERROR((VLOOKUP(P218,'Settings'!$E$28:$F$33,2,FALSE)+1),1)</f>
        <v>0.514344283944004</v>
      </c>
      <c r="Y218" s="79">
        <f>VLOOKUP(B218,'Player Data'!$A1:$AE667,13,FALSE)*$Q218</f>
        <v>0.0376417061540066</v>
      </c>
      <c r="Z218" s="79">
        <f>VLOOKUP(B218,'Player Data'!$A1:$AE667,14,FALSE)*$Q218</f>
        <v>0.165036397123082</v>
      </c>
      <c r="AA218" s="79">
        <f>VLOOKUP(B218,'Player Data'!$A1:$AE667,15,FALSE)*$Q218</f>
        <v>149.489206104567</v>
      </c>
      <c r="AB218" s="79">
        <f>VLOOKUP(B218,'Player Data'!$A1:$AE667,16,FALSE)*$Q218</f>
        <v>118.749357047033</v>
      </c>
      <c r="AC218" s="79">
        <f>VLOOKUP(B218,'Player Data'!$A1:$AE667,17,FALSE)*$Q218*_xlfn.IFERROR((VLOOKUP(P218,'Settings'!$E$28:$F$33,2,FALSE)+1),1)</f>
        <v>2.15281802760336</v>
      </c>
      <c r="AD218" s="79">
        <f>VLOOKUP(B218,'Player Data'!$A1:$AE667,18,FALSE)*$Q218</f>
        <v>48.0561776840731</v>
      </c>
      <c r="AE218" s="79">
        <f>VLOOKUP(B218,'Player Data'!$A1:$AE667,19,FALSE)*$Q218*_xlfn.IFERROR((VLOOKUP(P218,'Settings'!$E$28:$F$33,2,FALSE)+1),1)</f>
        <v>0.493505163909958</v>
      </c>
      <c r="AF218" s="79">
        <f>VLOOKUP(B218,'Player Data'!$A1:$AE667,20,FALSE)*$Q218</f>
        <v>0</v>
      </c>
      <c r="AG218" s="79">
        <f>VLOOKUP(B218,'Player Data'!$A1:$AE667,21,FALSE)*$Q218</f>
        <v>0</v>
      </c>
      <c r="AH218" s="81">
        <f>VLOOKUP(B218,'Player Data'!$A1:$AE667,22,FALSE)</f>
        <v>0</v>
      </c>
      <c r="AI218" s="77"/>
      <c r="AJ218" s="79"/>
      <c r="AK218" s="79"/>
      <c r="AL218" s="79"/>
      <c r="AM218" s="79"/>
      <c r="AN218" s="79"/>
      <c r="AO218" s="79"/>
      <c r="AP218" s="79"/>
      <c r="AQ218" s="82"/>
      <c r="AR218" s="83"/>
      <c r="AS218" s="84"/>
    </row>
    <row r="219" ht="21.25" customHeight="1">
      <c r="A219" s="85">
        <f>RANK(K219,K$1:K$665)</f>
        <v>210</v>
      </c>
      <c r="B219" t="s" s="16">
        <v>407</v>
      </c>
      <c r="C219" t="s" s="69">
        <v>127</v>
      </c>
      <c r="D219" t="s" s="70">
        <f>VLOOKUP(B219,'Player Data'!A1:D667,4,FALSE)</f>
        <v>153</v>
      </c>
      <c r="E219" s="95">
        <f>VLOOKUP(B219,'D'!A1:C213,3,FALSE)</f>
        <v>62</v>
      </c>
      <c r="F219" t="s" s="78">
        <f>VLOOKUP(B219,'Player Data'!A1:B667,2,FALSE)</f>
        <v>204</v>
      </c>
      <c r="G219" s="11">
        <f>VLOOKUP(B219,'Player Data'!A1:D667,3,FALSE)</f>
        <v>30</v>
      </c>
      <c r="H219" s="94">
        <f>_xlfn.IFERROR(VLOOKUP(B219,'ADP'!A1:G665,7,FALSE)/1000000,VLOOKUP(B219,'ADP'!A1:G665,7,FALSE))</f>
        <v>5.8</v>
      </c>
      <c r="I219" s="74">
        <f>IF('Settings'!$E$15="POINTS",((R219*Q219)*'Settings'!$B$12)+(S219*'Settings'!$B$2)+(T219*'Settings'!$B$3)+(U219*'Settings'!$B$4)+(V219*'Settings'!$B$5)+(X219*'Settings'!$B$9)+(AA219*'Settings'!$B$6)+(W219*'Settings'!$B$8)+(AB219*'Settings'!$B$7)+(AC219*'Settings'!$B$14)+(AD219*'Settings'!$B$15)+(AE219*'Settings'!$B$16)+(AF219*'Settings'!$B$17)+(AG219*'Settings'!$B$18)+(U219*'Settings'!$B$13)+(Y219*'Settings'!$B$10)+(Z219*'Settings'!$B$11),VLOOKUP(B219,'Standard Deviations'!A1:C666,3,FALSE))</f>
        <v>263.905750722884</v>
      </c>
      <c r="J219" s="75">
        <f>IF(D219="G",I219/AJ219,I219/Q219)</f>
        <v>3.24089095815896</v>
      </c>
      <c r="K219" s="74">
        <f>VLOOKUP(B219,'D'!A1:F213,6,FALSE)</f>
        <v>-67.634457197198</v>
      </c>
      <c r="L219" s="76">
        <f>_xlfn.IFERROR(K219/H219,"N/A")</f>
        <v>-11.6611133098617</v>
      </c>
      <c r="M219" s="109">
        <f>IF('Settings'!$E$9="YAHOO",VLOOKUP(B219,'ADP'!A1:E665,2,FALSE),IF('Settings'!$E$9="ESPN",VLOOKUP(B219,'ADP'!A1:E665,3,FALSE),IF('Settings'!$E$9="FANTRAX",VLOOKUP(B219,'ADP'!A1:E665,4,FALSE),VLOOKUP(B219,'ADP'!A1:E665,5,FALSE))))</f>
        <v>0</v>
      </c>
      <c r="N219" s="79">
        <f>_xlfn.IFERROR(M219-A219,"N/A")</f>
        <v>-210</v>
      </c>
      <c r="O219" s="77"/>
      <c r="P219" t="s" s="78">
        <f>IF('Settings'!$E$27="ON",VLOOKUP(B219,'ADP'!A1:H665,8,FALSE)," ")</f>
        <v>138</v>
      </c>
      <c r="Q219" s="79">
        <f>IF('Settings'!$E$12="YES",VLOOKUP(B219,'Player Data'!A1:E667,5,FALSE),82)</f>
        <v>81.43000000000001</v>
      </c>
      <c r="R219" s="98">
        <f>VLOOKUP(B219,'Player Data'!$A1:$AE667,6,FALSE)</f>
        <v>21.511232863110</v>
      </c>
      <c r="S219" s="79">
        <f>VLOOKUP(B219,'Player Data'!$A1:$AE667,7,FALSE)*$Q219*_xlfn.IFERROR((VLOOKUP(P219,'Settings'!$E$28:$F$33,2,FALSE)+1),1)</f>
        <v>6.048441715020</v>
      </c>
      <c r="T219" s="79">
        <f>VLOOKUP(B219,'Player Data'!$A1:$AE667,8,FALSE)*$Q219*_xlfn.IFERROR((VLOOKUP(P219,'Settings'!$E$28:$F$33,2,FALSE)+1),1)</f>
        <v>20.4259071891897</v>
      </c>
      <c r="U219" s="79">
        <f>SUM(S219:T219)</f>
        <v>26.4743489042097</v>
      </c>
      <c r="V219" s="79">
        <f>VLOOKUP(B219,'Player Data'!$A1:$AE667,10,FALSE)*$Q219*_xlfn.IFERROR(((VLOOKUP(P219,'Settings'!$E$28:$F$33,2,FALSE)/2)+1),1)</f>
        <v>120.694254066427</v>
      </c>
      <c r="W219" s="79">
        <f>VLOOKUP(B219,'Player Data'!$A1:$AE667,11,FALSE)*$Q219*_xlfn.IFERROR((VLOOKUP(P219,'Settings'!$E$28:$F$33,2,FALSE)+1),1)</f>
        <v>0.0365745102844441</v>
      </c>
      <c r="X219" s="79">
        <f>VLOOKUP(B219,'Player Data'!$A1:$AE667,12,FALSE)*$Q219*_xlfn.IFERROR((VLOOKUP(P219,'Settings'!$E$28:$F$33,2,FALSE)+1),1)</f>
        <v>0.408302716732047</v>
      </c>
      <c r="Y219" s="79">
        <f>VLOOKUP(B219,'Player Data'!$A1:$AE667,13,FALSE)*$Q219</f>
        <v>0.207692227150845</v>
      </c>
      <c r="Z219" s="79">
        <f>VLOOKUP(B219,'Player Data'!$A1:$AE667,14,FALSE)*$Q219</f>
        <v>1.79790564462706</v>
      </c>
      <c r="AA219" s="79">
        <f>VLOOKUP(B219,'Player Data'!$A1:$AE667,15,FALSE)*$Q219</f>
        <v>163.332992115735</v>
      </c>
      <c r="AB219" s="79">
        <f>VLOOKUP(B219,'Player Data'!$A1:$AE667,16,FALSE)*$Q219</f>
        <v>89.4664615121726</v>
      </c>
      <c r="AC219" s="79">
        <f>VLOOKUP(B219,'Player Data'!$A1:$AE667,17,FALSE)*$Q219*_xlfn.IFERROR((VLOOKUP(P219,'Settings'!$E$28:$F$33,2,FALSE)+1),1)</f>
        <v>5.30297026661797</v>
      </c>
      <c r="AD219" s="79">
        <f>VLOOKUP(B219,'Player Data'!$A1:$AE667,18,FALSE)*$Q219</f>
        <v>17.4826726726133</v>
      </c>
      <c r="AE219" s="79">
        <f>VLOOKUP(B219,'Player Data'!$A1:$AE667,19,FALSE)*$Q219*_xlfn.IFERROR((VLOOKUP(P219,'Settings'!$E$28:$F$33,2,FALSE)+1),1)</f>
        <v>0.967259019425025</v>
      </c>
      <c r="AF219" s="79">
        <f>VLOOKUP(B219,'Player Data'!$A1:$AE667,20,FALSE)*$Q219</f>
        <v>0</v>
      </c>
      <c r="AG219" s="79">
        <f>VLOOKUP(B219,'Player Data'!$A1:$AE667,21,FALSE)*$Q219</f>
        <v>0.152811754494512</v>
      </c>
      <c r="AH219" s="81">
        <f>VLOOKUP(B219,'Player Data'!$A1:$AE667,22,FALSE)</f>
        <v>0</v>
      </c>
      <c r="AI219" s="77"/>
      <c r="AJ219" s="79"/>
      <c r="AK219" s="79"/>
      <c r="AL219" s="79"/>
      <c r="AM219" s="79"/>
      <c r="AN219" s="79"/>
      <c r="AO219" s="79"/>
      <c r="AP219" s="79"/>
      <c r="AQ219" s="82"/>
      <c r="AR219" s="83"/>
      <c r="AS219" s="84"/>
    </row>
    <row r="220" ht="21.25" customHeight="1">
      <c r="A220" s="85">
        <f>RANK(K220,K$1:K$665)</f>
        <v>211</v>
      </c>
      <c r="B220" t="s" s="16">
        <v>408</v>
      </c>
      <c r="C220" t="s" s="69">
        <v>127</v>
      </c>
      <c r="D220" t="s" s="70">
        <f>VLOOKUP(B220,'Player Data'!A1:D667,4,FALSE)</f>
        <v>153</v>
      </c>
      <c r="E220" s="95">
        <f>VLOOKUP(B220,'D'!A1:C213,3,FALSE)</f>
        <v>63</v>
      </c>
      <c r="F220" t="s" s="86">
        <f>VLOOKUP(B220,'Player Data'!A1:B667,2,FALSE)</f>
        <v>156</v>
      </c>
      <c r="G220" s="91">
        <f>VLOOKUP(B220,'Player Data'!A1:D667,3,FALSE)</f>
        <v>33</v>
      </c>
      <c r="H220" s="73">
        <f>_xlfn.IFERROR(VLOOKUP(B220,'ADP'!A1:G665,7,FALSE)/1000000,VLOOKUP(B220,'ADP'!A1:G665,7,FALSE))</f>
        <v>4.75</v>
      </c>
      <c r="I220" s="74">
        <f>IF('Settings'!$E$15="POINTS",((R220*Q220)*'Settings'!$B$12)+(S220*'Settings'!$B$2)+(T220*'Settings'!$B$3)+(U220*'Settings'!$B$4)+(V220*'Settings'!$B$5)+(X220*'Settings'!$B$9)+(AA220*'Settings'!$B$6)+(W220*'Settings'!$B$8)+(AB220*'Settings'!$B$7)+(AC220*'Settings'!$B$14)+(AD220*'Settings'!$B$15)+(AE220*'Settings'!$B$16)+(AF220*'Settings'!$B$17)+(AG220*'Settings'!$B$18)+(U220*'Settings'!$B$13)+(Y220*'Settings'!$B$10)+(Z220*'Settings'!$B$11),VLOOKUP(B220,'Standard Deviations'!A1:C666,3,FALSE))</f>
        <v>263.320699949848</v>
      </c>
      <c r="J220" s="75">
        <f>IF(D220="G",I220/AJ220,I220/Q220)</f>
        <v>3.31148111987736</v>
      </c>
      <c r="K220" s="74">
        <f>VLOOKUP(B220,'D'!A1:F213,6,FALSE)</f>
        <v>-68.21950797023401</v>
      </c>
      <c r="L220" s="76">
        <f>_xlfn.IFERROR(K220/H220,"N/A")</f>
        <v>-14.362001677944</v>
      </c>
      <c r="M220" s="109">
        <f>IF('Settings'!$E$9="YAHOO",VLOOKUP(B220,'ADP'!A1:E665,2,FALSE),IF('Settings'!$E$9="ESPN",VLOOKUP(B220,'ADP'!A1:E665,3,FALSE),IF('Settings'!$E$9="FANTRAX",VLOOKUP(B220,'ADP'!A1:E665,4,FALSE),VLOOKUP(B220,'ADP'!A1:E665,5,FALSE))))</f>
        <v>0</v>
      </c>
      <c r="N220" s="79">
        <f>_xlfn.IFERROR(M220-A220,"N/A")</f>
        <v>-211</v>
      </c>
      <c r="O220" s="77"/>
      <c r="P220" t="s" s="78">
        <f>IF('Settings'!$E$27="ON",VLOOKUP(B220,'ADP'!A1:H665,8,FALSE)," ")</f>
        <v>138</v>
      </c>
      <c r="Q220" s="79">
        <f>IF('Settings'!$E$12="YES",VLOOKUP(B220,'Player Data'!A1:E667,5,FALSE),82)</f>
        <v>79.5175</v>
      </c>
      <c r="R220" s="77">
        <f>VLOOKUP(B220,'Player Data'!$A1:$AE667,6,FALSE)</f>
        <v>19.1363042558543</v>
      </c>
      <c r="S220" s="79">
        <f>VLOOKUP(B220,'Player Data'!$A1:$AE667,7,FALSE)*$Q220*_xlfn.IFERROR((VLOOKUP(P220,'Settings'!$E$28:$F$33,2,FALSE)+1),1)</f>
        <v>4.58091092729293</v>
      </c>
      <c r="T220" s="79">
        <f>VLOOKUP(B220,'Player Data'!$A1:$AE667,8,FALSE)*$Q220*_xlfn.IFERROR((VLOOKUP(P220,'Settings'!$E$28:$F$33,2,FALSE)+1),1)</f>
        <v>13.6526513363231</v>
      </c>
      <c r="U220" s="79">
        <f>SUM(S220:T220)</f>
        <v>18.233562263616</v>
      </c>
      <c r="V220" s="79">
        <f>VLOOKUP(B220,'Player Data'!$A1:$AE667,10,FALSE)*$Q220*_xlfn.IFERROR(((VLOOKUP(P220,'Settings'!$E$28:$F$33,2,FALSE)/2)+1),1)</f>
        <v>104.181883435155</v>
      </c>
      <c r="W220" s="79">
        <f>VLOOKUP(B220,'Player Data'!$A1:$AE667,11,FALSE)*$Q220*_xlfn.IFERROR((VLOOKUP(P220,'Settings'!$E$28:$F$33,2,FALSE)+1),1)</f>
        <v>0.0424668962457697</v>
      </c>
      <c r="X220" s="79">
        <f>VLOOKUP(B220,'Player Data'!$A1:$AE667,12,FALSE)*$Q220*_xlfn.IFERROR((VLOOKUP(P220,'Settings'!$E$28:$F$33,2,FALSE)+1),1)</f>
        <v>0.118764853790728</v>
      </c>
      <c r="Y220" s="79">
        <f>VLOOKUP(B220,'Player Data'!$A1:$AE667,13,FALSE)*$Q220</f>
        <v>0.0250294351607593</v>
      </c>
      <c r="Z220" s="79">
        <f>VLOOKUP(B220,'Player Data'!$A1:$AE667,14,FALSE)*$Q220</f>
        <v>0.109794657978396</v>
      </c>
      <c r="AA220" s="79">
        <f>VLOOKUP(B220,'Player Data'!$A1:$AE667,15,FALSE)*$Q220</f>
        <v>157.344320105354</v>
      </c>
      <c r="AB220" s="79">
        <f>VLOOKUP(B220,'Player Data'!$A1:$AE667,16,FALSE)*$Q220</f>
        <v>148.964546526106</v>
      </c>
      <c r="AC220" s="79">
        <f>VLOOKUP(B220,'Player Data'!$A1:$AE667,17,FALSE)*$Q220*_xlfn.IFERROR((VLOOKUP(P220,'Settings'!$E$28:$F$33,2,FALSE)+1),1)</f>
        <v>-5.26436850732338</v>
      </c>
      <c r="AD220" s="79">
        <f>VLOOKUP(B220,'Player Data'!$A1:$AE667,18,FALSE)*$Q220</f>
        <v>48.1199386912874</v>
      </c>
      <c r="AE220" s="79">
        <f>VLOOKUP(B220,'Player Data'!$A1:$AE667,19,FALSE)*$Q220*_xlfn.IFERROR((VLOOKUP(P220,'Settings'!$E$28:$F$33,2,FALSE)+1),1)</f>
        <v>0.62915451545837</v>
      </c>
      <c r="AF220" s="79">
        <f>VLOOKUP(B220,'Player Data'!$A1:$AE667,20,FALSE)*$Q220</f>
        <v>0</v>
      </c>
      <c r="AG220" s="79">
        <f>VLOOKUP(B220,'Player Data'!$A1:$AE667,21,FALSE)*$Q220</f>
        <v>0</v>
      </c>
      <c r="AH220" s="81">
        <f>VLOOKUP(B220,'Player Data'!$A1:$AE667,22,FALSE)</f>
        <v>0</v>
      </c>
      <c r="AI220" s="77"/>
      <c r="AJ220" s="89"/>
      <c r="AK220" s="79"/>
      <c r="AL220" s="79"/>
      <c r="AM220" s="79"/>
      <c r="AN220" s="79"/>
      <c r="AO220" s="79"/>
      <c r="AP220" s="79"/>
      <c r="AQ220" s="82"/>
      <c r="AR220" s="83"/>
      <c r="AS220" s="84"/>
    </row>
    <row r="221" ht="21.25" customHeight="1">
      <c r="A221" s="85">
        <f>RANK(K221,K$1:K$665)</f>
        <v>235</v>
      </c>
      <c r="B221" t="s" s="16">
        <v>409</v>
      </c>
      <c r="C221" t="s" s="69">
        <v>127</v>
      </c>
      <c r="D221" t="s" s="70">
        <f>VLOOKUP(B221,'Player Data'!A1:D667,4,FALSE)</f>
        <v>128</v>
      </c>
      <c r="E221" s="71">
        <f>VLOOKUP(B221,'C'!A1:C206,3,FALSE)</f>
        <v>72</v>
      </c>
      <c r="F221" t="s" s="104">
        <f>VLOOKUP(B221,'Player Data'!A1:B667,2,FALSE)</f>
        <v>333</v>
      </c>
      <c r="G221" s="91">
        <f>VLOOKUP(B221,'Player Data'!A1:D667,3,FALSE)</f>
        <v>35</v>
      </c>
      <c r="H221" s="73">
        <f>_xlfn.IFERROR(VLOOKUP(B221,'ADP'!A1:G665,7,FALSE)/1000000,VLOOKUP(B221,'ADP'!A1:G665,7,FALSE))</f>
        <v>8</v>
      </c>
      <c r="I221" s="74">
        <f>IF('Settings'!$E$15="POINTS",((R221*Q221)*'Settings'!$B$12)+(S221*'Settings'!$B$2)+(T221*'Settings'!$B$3)+(U221*'Settings'!$B$4)+(V221*'Settings'!$B$5)+(X221*'Settings'!$B$9)+(AA221*'Settings'!$B$6)+(W221*'Settings'!$B$8)+(AB221*'Settings'!$B$7)+(AC221*'Settings'!$B$14)+(AD221*'Settings'!$B$15)+(AE221*'Settings'!$B$16)+(AF221*'Settings'!$B$17)+(AG221*'Settings'!$B$18)+(Y221*'Settings'!$B$10)+(Z221*'Settings'!$B$11),VLOOKUP(B221,'Standard Deviations'!A1:C666,3,FALSE))</f>
        <v>250.682372147590</v>
      </c>
      <c r="J221" s="75">
        <f>IF(D221="G",I221/AJ221,I221/Q221)</f>
        <v>3.68433821498516</v>
      </c>
      <c r="K221" s="74">
        <f>IF('Settings'!$E$18="C/LW/RW",VLOOKUP(B221,'C'!A1:F206,6,FALSE),VLOOKUP(B221,'F'!A1:F392,6,FALSE))</f>
        <v>-79.009521933588</v>
      </c>
      <c r="L221" s="76">
        <f>_xlfn.IFERROR(K221/H221,"N/A")</f>
        <v>-9.876190241698501</v>
      </c>
      <c r="M221" s="109">
        <f>IF('Settings'!$E$9="YAHOO",VLOOKUP(B221,'ADP'!A1:E665,2,FALSE),IF('Settings'!$E$9="ESPN",VLOOKUP(B221,'ADP'!A1:E665,3,FALSE),IF('Settings'!$E$9="FANTRAX",VLOOKUP(B221,'ADP'!A1:E665,4,FALSE),VLOOKUP(B221,'ADP'!A1:E665,5,FALSE))))</f>
        <v>0</v>
      </c>
      <c r="N221" s="79">
        <f>_xlfn.IFERROR(M221-A221,"N/A")</f>
        <v>-235</v>
      </c>
      <c r="O221" s="77"/>
      <c r="P221" t="s" s="78">
        <f>IF('Settings'!$E$27="ON",VLOOKUP(B221,'ADP'!A1:H665,8,FALSE)," ")</f>
        <v>138</v>
      </c>
      <c r="Q221" s="79">
        <f>IF('Settings'!$E$12="YES",VLOOKUP(B221,'Player Data'!A1:E667,5,FALSE),82)</f>
        <v>68.04000000000001</v>
      </c>
      <c r="R221" s="77">
        <f>VLOOKUP(B221,'Player Data'!$A1:$AE667,6,FALSE)</f>
        <v>18.0481944867134</v>
      </c>
      <c r="S221" s="79">
        <f>VLOOKUP(B221,'Player Data'!$A1:$AE667,7,FALSE)*$Q221*_xlfn.IFERROR((VLOOKUP(P221,'Settings'!$E$28:$F$33,2,FALSE)+1),1)</f>
        <v>18.358323015512</v>
      </c>
      <c r="T221" s="79">
        <f>VLOOKUP(B221,'Player Data'!$A1:$AE667,8,FALSE)*$Q221*_xlfn.IFERROR((VLOOKUP(P221,'Settings'!$E$28:$F$33,2,FALSE)+1),1)</f>
        <v>29.2404288894378</v>
      </c>
      <c r="U221" s="79">
        <f>SUM(S221:T221)</f>
        <v>47.5987519049498</v>
      </c>
      <c r="V221" s="79">
        <f>VLOOKUP(B221,'Player Data'!$A1:$AE667,10,FALSE)*$Q221*_xlfn.IFERROR(((VLOOKUP(P221,'Settings'!$E$28:$F$33,2,FALSE)/2)+1),1)</f>
        <v>156.633928018339</v>
      </c>
      <c r="W221" s="79">
        <f>VLOOKUP(B221,'Player Data'!$A1:$AE667,11,FALSE)*$Q221*_xlfn.IFERROR((VLOOKUP(P221,'Settings'!$E$28:$F$33,2,FALSE)+1),1)</f>
        <v>4.46055678852525</v>
      </c>
      <c r="X221" s="80">
        <f>VLOOKUP(B221,'Player Data'!$A1:$AE667,12,FALSE)*$Q221*_xlfn.IFERROR((VLOOKUP(P221,'Settings'!$E$28:$F$33,2,FALSE)+1),1)</f>
        <v>15.5081885459276</v>
      </c>
      <c r="Y221" s="79">
        <f>VLOOKUP(B221,'Player Data'!$A1:$AE667,13,FALSE)*$Q221</f>
        <v>0.454498820595382</v>
      </c>
      <c r="Z221" s="79">
        <f>VLOOKUP(B221,'Player Data'!$A1:$AE667,14,FALSE)*$Q221</f>
        <v>0.624860581857541</v>
      </c>
      <c r="AA221" s="79">
        <f>VLOOKUP(B221,'Player Data'!$A1:$AE667,15,FALSE)*$Q221</f>
        <v>49.670517315305</v>
      </c>
      <c r="AB221" s="79">
        <f>VLOOKUP(B221,'Player Data'!$A1:$AE667,16,FALSE)*$Q221</f>
        <v>91.58122641318231</v>
      </c>
      <c r="AC221" s="79">
        <f>VLOOKUP(B221,'Player Data'!$A1:$AE667,17,FALSE)*$Q221*_xlfn.IFERROR((VLOOKUP(P221,'Settings'!$E$28:$F$33,2,FALSE)+1),1)</f>
        <v>-6.57545387258487</v>
      </c>
      <c r="AD221" s="79">
        <f>VLOOKUP(B221,'Player Data'!$A1:$AE667,18,FALSE)*$Q221</f>
        <v>20.4724422147697</v>
      </c>
      <c r="AE221" s="79">
        <f>VLOOKUP(B221,'Player Data'!$A1:$AE667,19,FALSE)*$Q221*_xlfn.IFERROR((VLOOKUP(P221,'Settings'!$E$28:$F$33,2,FALSE)+1),1)</f>
        <v>1.96085477457573</v>
      </c>
      <c r="AF221" s="79">
        <f>VLOOKUP(B221,'Player Data'!$A1:$AE667,20,FALSE)*$Q221</f>
        <v>509.183148024429</v>
      </c>
      <c r="AG221" s="79">
        <f>VLOOKUP(B221,'Player Data'!$A1:$AE667,21,FALSE)*$Q221</f>
        <v>552.875782560948</v>
      </c>
      <c r="AH221" s="81">
        <f>VLOOKUP(B221,'Player Data'!$A1:$AE667,22,FALSE)</f>
        <v>0.47943022120607</v>
      </c>
      <c r="AI221" s="77"/>
      <c r="AJ221" s="89"/>
      <c r="AK221" s="79"/>
      <c r="AL221" s="79"/>
      <c r="AM221" s="79"/>
      <c r="AN221" s="79"/>
      <c r="AO221" s="79"/>
      <c r="AP221" s="79"/>
      <c r="AQ221" s="82"/>
      <c r="AR221" s="83"/>
      <c r="AS221" s="84"/>
    </row>
    <row r="222" ht="21.25" customHeight="1">
      <c r="A222" s="85">
        <f>RANK(K222,K$1:K$665)</f>
        <v>228</v>
      </c>
      <c r="B222" t="s" s="16">
        <v>410</v>
      </c>
      <c r="C222" t="s" s="69">
        <v>127</v>
      </c>
      <c r="D222" t="s" s="70">
        <f>VLOOKUP(B222,'Player Data'!A1:D667,4,FALSE)</f>
        <v>140</v>
      </c>
      <c r="E222" s="90">
        <f>VLOOKUP(B222,'RW'!A1:F136,3,FALSE)</f>
        <v>47</v>
      </c>
      <c r="F222" t="s" s="78">
        <f>VLOOKUP(B222,'Player Data'!A1:B667,2,FALSE)</f>
        <v>216</v>
      </c>
      <c r="G222" s="91">
        <f>VLOOKUP(B222,'Player Data'!A1:D667,3,FALSE)</f>
        <v>32</v>
      </c>
      <c r="H222" s="73">
        <f>_xlfn.IFERROR(VLOOKUP(B222,'ADP'!A1:G665,7,FALSE)/1000000,VLOOKUP(B222,'ADP'!A1:G665,7,FALSE))</f>
        <v>9.5</v>
      </c>
      <c r="I222" s="74">
        <f>IF('Settings'!$E$15="POINTS",((R222*Q222)*'Settings'!$B$12)+(S222*'Settings'!$B$2)+(T222*'Settings'!$B$3)+(U222*'Settings'!$B$4)+(V222*'Settings'!$B$5)+(X222*'Settings'!$B$9)+(AA222*'Settings'!$B$6)+(W222*'Settings'!$B$8)+(AB222*'Settings'!$B$7)+(AC222*'Settings'!$B$14)+(AD222*'Settings'!$B$15)+(AE222*'Settings'!$B$16)+(AF222*'Settings'!$B$17)+(AG222*'Settings'!$B$18)+(Y222*'Settings'!$B$10)+(Z222*'Settings'!$B$11),VLOOKUP(B222,'Standard Deviations'!A1:C666,3,FALSE))</f>
        <v>253.966436493610</v>
      </c>
      <c r="J222" s="75">
        <f>IF(D222="G",I222/AJ222,I222/Q222)</f>
        <v>3.75954163789068</v>
      </c>
      <c r="K222" s="74">
        <f>IF('Settings'!$E$18="C/LW/RW",VLOOKUP(B222,'RW'!A1:F136,6,FALSE),VLOOKUP(B222,'F'!A1:F392,6,FALSE))</f>
        <v>-75.725457587568</v>
      </c>
      <c r="L222" s="76">
        <f>_xlfn.IFERROR(K222/H222,"N/A")</f>
        <v>-7.97110079869137</v>
      </c>
      <c r="M222" s="77">
        <f>IF('Settings'!$E$9="YAHOO",VLOOKUP(B222,'ADP'!A1:E665,2,FALSE),IF('Settings'!$E$9="ESPN",VLOOKUP(B222,'ADP'!A1:E665,3,FALSE),IF('Settings'!$E$9="FANTRAX",VLOOKUP(B222,'ADP'!A1:E665,4,FALSE),VLOOKUP(B222,'ADP'!A1:E665,5,FALSE))))</f>
        <v>0</v>
      </c>
      <c r="N222" s="77">
        <f>_xlfn.IFERROR(M222-A222,"N/A")</f>
        <v>-228</v>
      </c>
      <c r="O222" s="77"/>
      <c r="P222" t="s" s="78">
        <f>IF('Settings'!$E$27="ON",VLOOKUP(B222,'ADP'!A1:H665,8,FALSE)," ")</f>
        <v>138</v>
      </c>
      <c r="Q222" s="79">
        <f>IF('Settings'!$E$12="YES",VLOOKUP(B222,'Player Data'!A1:E667,5,FALSE),82)</f>
        <v>67.55249999999999</v>
      </c>
      <c r="R222" s="77">
        <f>VLOOKUP(B222,'Player Data'!$A1:$AE667,6,FALSE)</f>
        <v>19.0289297477706</v>
      </c>
      <c r="S222" s="79">
        <f>VLOOKUP(B222,'Player Data'!$A1:$AE667,7,FALSE)*$Q222*_xlfn.IFERROR((VLOOKUP(P222,'Settings'!$E$28:$F$33,2,FALSE)+1),1)</f>
        <v>20.2649877639071</v>
      </c>
      <c r="T222" s="79">
        <f>VLOOKUP(B222,'Player Data'!$A1:$AE667,8,FALSE)*$Q222*_xlfn.IFERROR((VLOOKUP(P222,'Settings'!$E$28:$F$33,2,FALSE)+1),1)</f>
        <v>37.4676822818144</v>
      </c>
      <c r="U222" s="79">
        <f>SUM(S222:T222)</f>
        <v>57.7326700457215</v>
      </c>
      <c r="V222" s="79">
        <f>VLOOKUP(B222,'Player Data'!$A1:$AE667,10,FALSE)*$Q222*_xlfn.IFERROR(((VLOOKUP(P222,'Settings'!$E$28:$F$33,2,FALSE)/2)+1),1)</f>
        <v>145.436600754366</v>
      </c>
      <c r="W222" s="79">
        <f>VLOOKUP(B222,'Player Data'!$A1:$AE667,11,FALSE)*$Q222*_xlfn.IFERROR((VLOOKUP(P222,'Settings'!$E$28:$F$33,2,FALSE)+1),1)</f>
        <v>5.13994989474199</v>
      </c>
      <c r="X222" s="80">
        <f>VLOOKUP(B222,'Player Data'!$A1:$AE667,12,FALSE)*$Q222*_xlfn.IFERROR((VLOOKUP(P222,'Settings'!$E$28:$F$33,2,FALSE)+1),1)</f>
        <v>15.8526170834509</v>
      </c>
      <c r="Y222" s="79">
        <f>VLOOKUP(B222,'Player Data'!$A1:$AE667,13,FALSE)*$Q222</f>
        <v>2.1944151119554</v>
      </c>
      <c r="Z222" s="79">
        <f>VLOOKUP(B222,'Player Data'!$A1:$AE667,14,FALSE)*$Q222</f>
        <v>3.29858996374146</v>
      </c>
      <c r="AA222" s="79">
        <f>VLOOKUP(B222,'Player Data'!$A1:$AE667,15,FALSE)*$Q222</f>
        <v>44.1792261210391</v>
      </c>
      <c r="AB222" s="79">
        <f>VLOOKUP(B222,'Player Data'!$A1:$AE667,16,FALSE)*$Q222</f>
        <v>46.3461732740763</v>
      </c>
      <c r="AC222" s="79">
        <f>VLOOKUP(B222,'Player Data'!$A1:$AE667,17,FALSE)*$Q222*_xlfn.IFERROR((VLOOKUP(P222,'Settings'!$E$28:$F$33,2,FALSE)+1),1)</f>
        <v>3.05578141203242</v>
      </c>
      <c r="AD222" s="79">
        <f>VLOOKUP(B222,'Player Data'!$A1:$AE667,18,FALSE)*$Q222</f>
        <v>24.2676332275603</v>
      </c>
      <c r="AE222" s="79">
        <f>VLOOKUP(B222,'Player Data'!$A1:$AE667,19,FALSE)*$Q222*_xlfn.IFERROR((VLOOKUP(P222,'Settings'!$E$28:$F$33,2,FALSE)+1),1)</f>
        <v>3.08233075964897</v>
      </c>
      <c r="AF222" s="79">
        <f>VLOOKUP(B222,'Player Data'!$A1:$AE667,20,FALSE)*$Q222</f>
        <v>0.8003486960912189</v>
      </c>
      <c r="AG222" s="79">
        <f>VLOOKUP(B222,'Player Data'!$A1:$AE667,21,FALSE)*$Q222</f>
        <v>8.93573226215606</v>
      </c>
      <c r="AH222" s="81">
        <f>VLOOKUP(B222,'Player Data'!$A1:$AE667,22,FALSE)</f>
        <v>0.0822044002636667</v>
      </c>
      <c r="AI222" s="77"/>
      <c r="AJ222" s="89"/>
      <c r="AK222" s="79"/>
      <c r="AL222" s="79"/>
      <c r="AM222" s="79"/>
      <c r="AN222" s="79"/>
      <c r="AO222" s="79"/>
      <c r="AP222" s="79"/>
      <c r="AQ222" s="82"/>
      <c r="AR222" s="83"/>
      <c r="AS222" s="84"/>
    </row>
    <row r="223" ht="21.25" customHeight="1">
      <c r="A223" s="85">
        <f>RANK(K223,K$1:K$665)</f>
        <v>215</v>
      </c>
      <c r="B223" t="s" s="16">
        <v>411</v>
      </c>
      <c r="C223" t="s" s="69">
        <v>127</v>
      </c>
      <c r="D223" t="s" s="70">
        <f>VLOOKUP(B223,'Player Data'!A1:D667,4,FALSE)</f>
        <v>153</v>
      </c>
      <c r="E223" s="95">
        <f>VLOOKUP(B223,'D'!A1:C213,3,FALSE)</f>
        <v>64</v>
      </c>
      <c r="F223" t="s" s="103">
        <f>VLOOKUP(B223,'Player Data'!A1:B667,2,FALSE)</f>
        <v>227</v>
      </c>
      <c r="G223" s="91">
        <f>VLOOKUP(B223,'Player Data'!A1:D667,3,FALSE)</f>
        <v>39</v>
      </c>
      <c r="H223" s="94">
        <f>_xlfn.IFERROR(VLOOKUP(B223,'ADP'!A1:G665,7,FALSE)/1000000,VLOOKUP(B223,'ADP'!A1:G665,7,FALSE))</f>
        <v>5.28</v>
      </c>
      <c r="I223" s="74">
        <f>IF('Settings'!$E$15="POINTS",((R223*Q223)*'Settings'!$B$12)+(S223*'Settings'!$B$2)+(T223*'Settings'!$B$3)+(U223*'Settings'!$B$4)+(V223*'Settings'!$B$5)+(X223*'Settings'!$B$9)+(AA223*'Settings'!$B$6)+(W223*'Settings'!$B$8)+(AB223*'Settings'!$B$7)+(AC223*'Settings'!$B$14)+(AD223*'Settings'!$B$15)+(AE223*'Settings'!$B$16)+(AF223*'Settings'!$B$17)+(AG223*'Settings'!$B$18)+(U223*'Settings'!$B$13)+(Y223*'Settings'!$B$10)+(Z223*'Settings'!$B$11),VLOOKUP(B223,'Standard Deviations'!A1:C666,3,FALSE))</f>
        <v>260.491227994495</v>
      </c>
      <c r="J223" s="75">
        <f>IF(D223="G",I223/AJ223,I223/Q223)</f>
        <v>3.17556050218816</v>
      </c>
      <c r="K223" s="74">
        <f>VLOOKUP(B223,'D'!A1:F213,6,FALSE)</f>
        <v>-71.04897992558701</v>
      </c>
      <c r="L223" s="76">
        <f>_xlfn.IFERROR(K223/H223,"N/A")</f>
        <v>-13.4562461980278</v>
      </c>
      <c r="M223" s="77">
        <f>IF('Settings'!$E$9="YAHOO",VLOOKUP(B223,'ADP'!A1:E665,2,FALSE),IF('Settings'!$E$9="ESPN",VLOOKUP(B223,'ADP'!A1:E665,3,FALSE),IF('Settings'!$E$9="FANTRAX",VLOOKUP(B223,'ADP'!A1:E665,4,FALSE),VLOOKUP(B223,'ADP'!A1:E665,5,FALSE))))</f>
        <v>0</v>
      </c>
      <c r="N223" s="77">
        <f>_xlfn.IFERROR(M223-A223,"N/A")</f>
        <v>-215</v>
      </c>
      <c r="O223" s="77"/>
      <c r="P223" t="s" s="78">
        <f>IF('Settings'!$E$27="ON",VLOOKUP(B223,'ADP'!A1:H665,8,FALSE)," ")</f>
        <v>138</v>
      </c>
      <c r="Q223" s="79">
        <f>IF('Settings'!$E$12="YES",VLOOKUP(B223,'Player Data'!A1:E667,5,FALSE),82)</f>
        <v>82.03</v>
      </c>
      <c r="R223" s="77">
        <f>VLOOKUP(B223,'Player Data'!$A1:$AE667,6,FALSE)</f>
        <v>22.0162372145702</v>
      </c>
      <c r="S223" s="79">
        <f>VLOOKUP(B223,'Player Data'!$A1:$AE667,7,FALSE)*$Q223*_xlfn.IFERROR((VLOOKUP(P223,'Settings'!$E$28:$F$33,2,FALSE)+1),1)</f>
        <v>10.1493093672451</v>
      </c>
      <c r="T223" s="79">
        <f>VLOOKUP(B223,'Player Data'!$A1:$AE667,8,FALSE)*$Q223*_xlfn.IFERROR((VLOOKUP(P223,'Settings'!$E$28:$F$33,2,FALSE)+1),1)</f>
        <v>33.3414404567276</v>
      </c>
      <c r="U223" s="79">
        <f>SUM(S223:T223)</f>
        <v>43.4907498239727</v>
      </c>
      <c r="V223" s="79">
        <f>VLOOKUP(B223,'Player Data'!$A1:$AE667,10,FALSE)*$Q223*_xlfn.IFERROR(((VLOOKUP(P223,'Settings'!$E$28:$F$33,2,FALSE)/2)+1),1)</f>
        <v>190.121291246009</v>
      </c>
      <c r="W223" s="79">
        <f>VLOOKUP(B223,'Player Data'!$A1:$AE667,11,FALSE)*$Q223*_xlfn.IFERROR((VLOOKUP(P223,'Settings'!$E$28:$F$33,2,FALSE)+1),1)</f>
        <v>2.96863096993782</v>
      </c>
      <c r="X223" s="101">
        <f>VLOOKUP(B223,'Player Data'!$A1:$AE667,12,FALSE)*$Q223*_xlfn.IFERROR((VLOOKUP(P223,'Settings'!$E$28:$F$33,2,FALSE)+1),1)</f>
        <v>15.6719026655426</v>
      </c>
      <c r="Y223" s="79">
        <f>VLOOKUP(B223,'Player Data'!$A1:$AE667,13,FALSE)*$Q223</f>
        <v>0.022085819042991</v>
      </c>
      <c r="Z223" s="79">
        <f>VLOOKUP(B223,'Player Data'!$A1:$AE667,14,FALSE)*$Q223</f>
        <v>0.227056966733012</v>
      </c>
      <c r="AA223" s="79">
        <f>VLOOKUP(B223,'Player Data'!$A1:$AE667,15,FALSE)*$Q223</f>
        <v>100.899910354244</v>
      </c>
      <c r="AB223" s="79">
        <f>VLOOKUP(B223,'Player Data'!$A1:$AE667,16,FALSE)*$Q223</f>
        <v>55.3296629683629</v>
      </c>
      <c r="AC223" s="79">
        <f>VLOOKUP(B223,'Player Data'!$A1:$AE667,17,FALSE)*$Q223*_xlfn.IFERROR((VLOOKUP(P223,'Settings'!$E$28:$F$33,2,FALSE)+1),1)</f>
        <v>7.9483146318702</v>
      </c>
      <c r="AD223" s="79">
        <f>VLOOKUP(B223,'Player Data'!$A1:$AE667,18,FALSE)*$Q223</f>
        <v>33.8782250363615</v>
      </c>
      <c r="AE223" s="79">
        <f>VLOOKUP(B223,'Player Data'!$A1:$AE667,19,FALSE)*$Q223*_xlfn.IFERROR((VLOOKUP(P223,'Settings'!$E$28:$F$33,2,FALSE)+1),1)</f>
        <v>1.75872902286618</v>
      </c>
      <c r="AF223" s="79">
        <f>VLOOKUP(B223,'Player Data'!$A1:$AE667,20,FALSE)*$Q223</f>
        <v>0.0982591562289372</v>
      </c>
      <c r="AG223" s="79">
        <f>VLOOKUP(B223,'Player Data'!$A1:$AE667,21,FALSE)*$Q223</f>
        <v>0.188157966850978</v>
      </c>
      <c r="AH223" s="81">
        <f>VLOOKUP(B223,'Player Data'!$A1:$AE667,22,FALSE)</f>
        <v>0.343063135235531</v>
      </c>
      <c r="AI223" s="77"/>
      <c r="AJ223" s="79"/>
      <c r="AK223" s="79"/>
      <c r="AL223" s="79"/>
      <c r="AM223" s="79"/>
      <c r="AN223" s="79"/>
      <c r="AO223" s="79"/>
      <c r="AP223" s="79"/>
      <c r="AQ223" s="82"/>
      <c r="AR223" s="83"/>
      <c r="AS223" s="84"/>
    </row>
    <row r="224" ht="21.25" customHeight="1">
      <c r="A224" s="85">
        <f>RANK(K224,K$1:K$665)</f>
        <v>232</v>
      </c>
      <c r="B224" t="s" s="16">
        <v>412</v>
      </c>
      <c r="C224" t="s" s="69">
        <v>127</v>
      </c>
      <c r="D224" t="s" s="70">
        <f>VLOOKUP(B224,'Player Data'!A1:D667,4,FALSE)</f>
        <v>178</v>
      </c>
      <c r="E224" s="102">
        <f>VLOOKUP(B224,'LW'!A1:C152,3,FALSE)</f>
        <v>56</v>
      </c>
      <c r="F224" t="s" s="78">
        <f>VLOOKUP(B224,'Player Data'!A1:B667,2,FALSE)</f>
        <v>134</v>
      </c>
      <c r="G224" s="11">
        <f>VLOOKUP(B224,'Player Data'!A1:D667,3,FALSE)</f>
        <v>29</v>
      </c>
      <c r="H224" s="73">
        <f>_xlfn.IFERROR(VLOOKUP(B224,'ADP'!A1:G665,7,FALSE)/1000000,VLOOKUP(B224,'ADP'!A1:G665,7,FALSE))</f>
        <v>4.5</v>
      </c>
      <c r="I224" s="74">
        <f>IF('Settings'!$E$15="POINTS",((R224*Q224)*'Settings'!$B$12)+(S224*'Settings'!$B$2)+(T224*'Settings'!$B$3)+(U224*'Settings'!$B$4)+(V224*'Settings'!$B$5)+(X224*'Settings'!$B$9)+(AA224*'Settings'!$B$6)+(W224*'Settings'!$B$8)+(AB224*'Settings'!$B$7)+(AC224*'Settings'!$B$14)+(AD224*'Settings'!$B$15)+(AE224*'Settings'!$B$16)+(AF224*'Settings'!$B$17)+(AG224*'Settings'!$B$18)+(Y224*'Settings'!$B$10)+(Z224*'Settings'!$B$11),VLOOKUP(B224,'Standard Deviations'!A1:C666,3,FALSE))</f>
        <v>253.008506425512</v>
      </c>
      <c r="J224" s="75">
        <f>IF(D224="G",I224/AJ224,I224/Q224)</f>
        <v>3.50487974269108</v>
      </c>
      <c r="K224" s="74">
        <f>IF('Settings'!$E$18="C/LW/RW",VLOOKUP(B224,'LW'!A1:F152,6,FALSE),VLOOKUP(B224,'F'!A1:F392,6,FALSE))</f>
        <v>-78.7116053407</v>
      </c>
      <c r="L224" s="76">
        <f>_xlfn.IFERROR(K224/H224,"N/A")</f>
        <v>-17.4914678534889</v>
      </c>
      <c r="M224" s="77">
        <f>IF('Settings'!$E$9="YAHOO",VLOOKUP(B224,'ADP'!A1:E665,2,FALSE),IF('Settings'!$E$9="ESPN",VLOOKUP(B224,'ADP'!A1:E665,3,FALSE),IF('Settings'!$E$9="FANTRAX",VLOOKUP(B224,'ADP'!A1:E665,4,FALSE),VLOOKUP(B224,'ADP'!A1:E665,5,FALSE))))</f>
        <v>0</v>
      </c>
      <c r="N224" s="77">
        <f>_xlfn.IFERROR(M224-A224,"N/A")</f>
        <v>-232</v>
      </c>
      <c r="O224" s="77"/>
      <c r="P224" t="s" s="78">
        <f>IF('Settings'!$E$27="ON",VLOOKUP(B224,'ADP'!A1:H665,8,FALSE)," ")</f>
        <v>130</v>
      </c>
      <c r="Q224" s="79">
        <f>IF('Settings'!$E$12="YES",VLOOKUP(B224,'Player Data'!A1:E667,5,FALSE),82)</f>
        <v>72.1875</v>
      </c>
      <c r="R224" s="77">
        <f>VLOOKUP(B224,'Player Data'!$A1:$AE667,6,FALSE)</f>
        <v>18.1668501778968</v>
      </c>
      <c r="S224" s="79">
        <f>VLOOKUP(B224,'Player Data'!$A1:$AE667,7,FALSE)*$Q224*_xlfn.IFERROR((VLOOKUP(P224,'Settings'!$E$28:$F$33,2,FALSE)+1),1)</f>
        <v>22.566205956568</v>
      </c>
      <c r="T224" s="79">
        <f>VLOOKUP(B224,'Player Data'!$A1:$AE667,8,FALSE)*$Q224*_xlfn.IFERROR((VLOOKUP(P224,'Settings'!$E$28:$F$33,2,FALSE)+1),1)</f>
        <v>28.6070358966325</v>
      </c>
      <c r="U224" s="79">
        <f>SUM(S224:T224)</f>
        <v>51.1732418532005</v>
      </c>
      <c r="V224" s="79">
        <f>VLOOKUP(B224,'Player Data'!$A1:$AE667,10,FALSE)*$Q224*_xlfn.IFERROR(((VLOOKUP(P224,'Settings'!$E$28:$F$33,2,FALSE)/2)+1),1)</f>
        <v>167.656962546359</v>
      </c>
      <c r="W224" s="79">
        <f>VLOOKUP(B224,'Player Data'!$A1:$AE667,11,FALSE)*$Q224*_xlfn.IFERROR((VLOOKUP(P224,'Settings'!$E$28:$F$33,2,FALSE)+1),1)</f>
        <v>7.10637485048572</v>
      </c>
      <c r="X224" s="101">
        <f>VLOOKUP(B224,'Player Data'!$A1:$AE667,12,FALSE)*$Q224*_xlfn.IFERROR((VLOOKUP(P224,'Settings'!$E$28:$F$33,2,FALSE)+1),1)</f>
        <v>14.7597474489331</v>
      </c>
      <c r="Y224" s="79">
        <f>VLOOKUP(B224,'Player Data'!$A1:$AE667,13,FALSE)*$Q224</f>
        <v>0.700768606488388</v>
      </c>
      <c r="Z224" s="79">
        <f>VLOOKUP(B224,'Player Data'!$A1:$AE667,14,FALSE)*$Q224</f>
        <v>0.78352441730749</v>
      </c>
      <c r="AA224" s="79">
        <f>VLOOKUP(B224,'Player Data'!$A1:$AE667,15,FALSE)*$Q224</f>
        <v>36.427069140003</v>
      </c>
      <c r="AB224" s="79">
        <f>VLOOKUP(B224,'Player Data'!$A1:$AE667,16,FALSE)*$Q224</f>
        <v>83.426105966441</v>
      </c>
      <c r="AC224" s="79">
        <f>VLOOKUP(B224,'Player Data'!$A1:$AE667,17,FALSE)*$Q224*_xlfn.IFERROR((VLOOKUP(P224,'Settings'!$E$28:$F$33,2,FALSE)+1),1)</f>
        <v>4.80962707306465</v>
      </c>
      <c r="AD224" s="79">
        <f>VLOOKUP(B224,'Player Data'!$A1:$AE667,18,FALSE)*$Q224</f>
        <v>29.0179427965287</v>
      </c>
      <c r="AE224" s="79">
        <f>VLOOKUP(B224,'Player Data'!$A1:$AE667,19,FALSE)*$Q224*_xlfn.IFERROR((VLOOKUP(P224,'Settings'!$E$28:$F$33,2,FALSE)+1),1)</f>
        <v>3.37163160456249</v>
      </c>
      <c r="AF224" s="79">
        <f>VLOOKUP(B224,'Player Data'!$A1:$AE667,20,FALSE)*$Q224</f>
        <v>9.9862932745383</v>
      </c>
      <c r="AG224" s="79">
        <f>VLOOKUP(B224,'Player Data'!$A1:$AE667,21,FALSE)*$Q224</f>
        <v>33.0856128163282</v>
      </c>
      <c r="AH224" s="81">
        <f>VLOOKUP(B224,'Player Data'!$A1:$AE667,22,FALSE)</f>
        <v>0.23185166807967</v>
      </c>
      <c r="AI224" s="77"/>
      <c r="AJ224" s="79"/>
      <c r="AK224" s="79"/>
      <c r="AL224" s="79"/>
      <c r="AM224" s="79"/>
      <c r="AN224" s="79"/>
      <c r="AO224" s="79"/>
      <c r="AP224" s="79"/>
      <c r="AQ224" s="82"/>
      <c r="AR224" s="83"/>
      <c r="AS224" s="84"/>
    </row>
    <row r="225" ht="21.25" customHeight="1">
      <c r="A225" s="85">
        <f>RANK(K225,K$1:K$665)</f>
        <v>213</v>
      </c>
      <c r="B225" t="s" s="16">
        <v>413</v>
      </c>
      <c r="C225" t="s" s="69">
        <v>127</v>
      </c>
      <c r="D225" t="s" s="70">
        <f>VLOOKUP(B225,'Player Data'!A1:D667,4,FALSE)</f>
        <v>161</v>
      </c>
      <c r="E225" s="99">
        <f>VLOOKUP(B225,'G'!A1:D65,3,FALSE)</f>
        <v>35</v>
      </c>
      <c r="F225" t="s" s="86">
        <f>VLOOKUP(B225,'Player Data'!A1:B667,2,FALSE)</f>
        <v>174</v>
      </c>
      <c r="G225" s="96">
        <f>VLOOKUP(B225,'Player Data'!A1:D667,3,FALSE)</f>
        <v>26</v>
      </c>
      <c r="H225" s="94">
        <f>_xlfn.IFERROR(VLOOKUP(B225,'ADP'!A1:G665,7,FALSE)/1000000,VLOOKUP(B225,'ADP'!A1:G665,7,FALSE))</f>
        <v>2.2</v>
      </c>
      <c r="I225" s="74">
        <f>IF('Settings'!$E$15="POINTS",(AJ225*'Settings'!$B$29)+(AK225*'Settings'!$B$21)+(AL225*'Settings'!$B$22)+(AN225*'Settings'!$B$24)+(AO225*'Settings'!$B$25)+(AP225*'Settings'!$B$27)+(AM225*'Settings'!$B$23),VLOOKUP(B225,'Standard Deviations'!A1:C666,3,FALSE))</f>
        <v>198.919912906193</v>
      </c>
      <c r="J225" s="75">
        <f>IF(D225="G",I225/AJ225,I225/Q225)</f>
        <v>4.97299782265483</v>
      </c>
      <c r="K225" s="74">
        <f>VLOOKUP(B225,'G'!A1:F65,6,FALSE)</f>
        <v>-68.67110165839701</v>
      </c>
      <c r="L225" s="76">
        <f>_xlfn.IFERROR(K225/H225,"N/A")</f>
        <v>-31.2141371174532</v>
      </c>
      <c r="M225" s="109">
        <f>IF('Settings'!$E$9="YAHOO",VLOOKUP(B225,'ADP'!A1:E665,2,FALSE),IF('Settings'!$E$9="ESPN",VLOOKUP(B225,'ADP'!A1:E665,3,FALSE),IF('Settings'!$E$9="FANTRAX",VLOOKUP(B225,'ADP'!A1:E665,4,FALSE),VLOOKUP(B225,'ADP'!A1:E665,5,FALSE))))</f>
        <v>0</v>
      </c>
      <c r="N225" s="79">
        <f>_xlfn.IFERROR(M225-A225,"N/A")</f>
        <v>-213</v>
      </c>
      <c r="O225" s="77"/>
      <c r="P225" t="s" s="78">
        <f>IF('Settings'!$E$27="ON",VLOOKUP(B225,'ADP'!A1:H665,8,FALSE)," ")</f>
        <v>138</v>
      </c>
      <c r="Q225" s="79"/>
      <c r="R225" s="77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81"/>
      <c r="AI225" s="77"/>
      <c r="AJ225" s="89">
        <f>VLOOKUP(B225,'Player Data'!$A1:$AE667,24,FALSE)</f>
        <v>40</v>
      </c>
      <c r="AK225" s="79">
        <f>VLOOKUP(B225,'Player Data'!$A1:$AE667,25,FALSE)*$AJ225*_xlfn.IFERROR((VLOOKUP(P225,'Settings'!$E$28:$F$33,2,FALSE)+1),1)</f>
        <v>17.3377199958921</v>
      </c>
      <c r="AL225" s="79">
        <f>AJ225-AK225-AM225</f>
        <v>17.6622800041079</v>
      </c>
      <c r="AM225" s="79">
        <f>VLOOKUP(B225,'Player Data'!$A1:$AE667,27,FALSE)*$AJ225</f>
        <v>5</v>
      </c>
      <c r="AN225" s="79">
        <f>VLOOKUP(B225,'Player Data'!$A1:$AE667,28,FALSE)*AJ225</f>
        <v>1.30134368665378</v>
      </c>
      <c r="AO225" s="79">
        <f>VLOOKUP(B225,'Player Data'!$A1:$AE667,29,FALSE)*$AJ225*_xlfn.IFERROR((VLOOKUP(P225,'Settings'!$E$28:$F$33,2,FALSE)/4)+1,1)</f>
        <v>1104.717052585170</v>
      </c>
      <c r="AP225" s="79">
        <f>VLOOKUP(B225,'Player Data'!$A1:$AE667,31,FALSE)*$AJ225*(_xlfn.IFERROR(1-(VLOOKUP(P225,'Settings'!$E$28:$F$33,2,FALSE)/4),1))</f>
        <v>124.768389515784</v>
      </c>
      <c r="AQ225" s="82">
        <f>1-(AP225/(AO225+AP225))</f>
        <v>0.898519831757765</v>
      </c>
      <c r="AR225" s="83">
        <f>AP225/AJ225</f>
        <v>3.1192097378946</v>
      </c>
      <c r="AS225" s="84"/>
    </row>
    <row r="226" ht="21.25" customHeight="1">
      <c r="A226" s="85">
        <f>RANK(K226,K$1:K$665)</f>
        <v>222</v>
      </c>
      <c r="B226" t="s" s="16">
        <v>414</v>
      </c>
      <c r="C226" t="s" s="69">
        <v>127</v>
      </c>
      <c r="D226" t="s" s="70">
        <f>VLOOKUP(B226,'Player Data'!A1:D667,4,FALSE)</f>
        <v>153</v>
      </c>
      <c r="E226" s="95">
        <f>VLOOKUP(B226,'D'!A1:C213,3,FALSE)</f>
        <v>65</v>
      </c>
      <c r="F226" t="s" s="104">
        <f>VLOOKUP(B226,'Player Data'!A1:B667,2,FALSE)</f>
        <v>281</v>
      </c>
      <c r="G226" s="11">
        <f>VLOOKUP(B226,'Player Data'!A1:D667,3,FALSE)</f>
        <v>27</v>
      </c>
      <c r="H226" s="94">
        <f>_xlfn.IFERROR(VLOOKUP(B226,'ADP'!A1:G665,7,FALSE)/1000000,VLOOKUP(B226,'ADP'!A1:G665,7,FALSE))</f>
        <v>4.725</v>
      </c>
      <c r="I226" s="74">
        <f>IF('Settings'!$E$15="POINTS",((R226*Q226)*'Settings'!$B$12)+(S226*'Settings'!$B$2)+(T226*'Settings'!$B$3)+(U226*'Settings'!$B$4)+(V226*'Settings'!$B$5)+(X226*'Settings'!$B$9)+(AA226*'Settings'!$B$6)+(W226*'Settings'!$B$8)+(AB226*'Settings'!$B$7)+(AC226*'Settings'!$B$14)+(AD226*'Settings'!$B$15)+(AE226*'Settings'!$B$16)+(AF226*'Settings'!$B$17)+(AG226*'Settings'!$B$18)+(U226*'Settings'!$B$13)+(Y226*'Settings'!$B$10)+(Z226*'Settings'!$B$11),VLOOKUP(B226,'Standard Deviations'!A1:C666,3,FALSE))</f>
        <v>258.362586373980</v>
      </c>
      <c r="J226" s="75">
        <f>IF(D226="G",I226/AJ226,I226/Q226)</f>
        <v>3.16117198548856</v>
      </c>
      <c r="K226" s="74">
        <f>VLOOKUP(B226,'D'!A1:F213,6,FALSE)</f>
        <v>-73.177621546102</v>
      </c>
      <c r="L226" s="76">
        <f>_xlfn.IFERROR(K226/H226,"N/A")</f>
        <v>-15.4873273113443</v>
      </c>
      <c r="M226" s="109">
        <f>IF('Settings'!$E$9="YAHOO",VLOOKUP(B226,'ADP'!A1:E665,2,FALSE),IF('Settings'!$E$9="ESPN",VLOOKUP(B226,'ADP'!A1:E665,3,FALSE),IF('Settings'!$E$9="FANTRAX",VLOOKUP(B226,'ADP'!A1:E665,4,FALSE),VLOOKUP(B226,'ADP'!A1:E665,5,FALSE))))</f>
        <v>0</v>
      </c>
      <c r="N226" s="79">
        <f>_xlfn.IFERROR(M226-A226,"N/A")</f>
        <v>-222</v>
      </c>
      <c r="O226" s="77"/>
      <c r="P226" t="s" s="78">
        <f>IF('Settings'!$E$27="ON",VLOOKUP(B226,'ADP'!A1:H665,8,FALSE)," ")</f>
        <v>138</v>
      </c>
      <c r="Q226" s="79">
        <f>IF('Settings'!$E$12="YES",VLOOKUP(B226,'Player Data'!A1:E667,5,FALSE),82)</f>
        <v>81.73</v>
      </c>
      <c r="R226" s="77">
        <f>VLOOKUP(B226,'Player Data'!$A1:$AE667,6,FALSE)</f>
        <v>22.2093070841038</v>
      </c>
      <c r="S226" s="79">
        <f>VLOOKUP(B226,'Player Data'!$A1:$AE667,7,FALSE)*$Q226*_xlfn.IFERROR((VLOOKUP(P226,'Settings'!$E$28:$F$33,2,FALSE)+1),1)</f>
        <v>6.09379426931691</v>
      </c>
      <c r="T226" s="79">
        <f>VLOOKUP(B226,'Player Data'!$A1:$AE667,8,FALSE)*$Q226*_xlfn.IFERROR((VLOOKUP(P226,'Settings'!$E$28:$F$33,2,FALSE)+1),1)</f>
        <v>23.4270160325476</v>
      </c>
      <c r="U226" s="79">
        <f>SUM(S226:T226)</f>
        <v>29.5208103018645</v>
      </c>
      <c r="V226" s="79">
        <f>VLOOKUP(B226,'Player Data'!$A1:$AE667,10,FALSE)*$Q226*_xlfn.IFERROR(((VLOOKUP(P226,'Settings'!$E$28:$F$33,2,FALSE)/2)+1),1)</f>
        <v>115.401513667577</v>
      </c>
      <c r="W226" s="79">
        <f>VLOOKUP(B226,'Player Data'!$A1:$AE667,11,FALSE)*$Q226*_xlfn.IFERROR((VLOOKUP(P226,'Settings'!$E$28:$F$33,2,FALSE)+1),1)</f>
        <v>0.372982003036177</v>
      </c>
      <c r="X226" s="79">
        <f>VLOOKUP(B226,'Player Data'!$A1:$AE667,12,FALSE)*$Q226*_xlfn.IFERROR((VLOOKUP(P226,'Settings'!$E$28:$F$33,2,FALSE)+1),1)</f>
        <v>5.87937228403795</v>
      </c>
      <c r="Y226" s="79">
        <f>VLOOKUP(B226,'Player Data'!$A1:$AE667,13,FALSE)*$Q226</f>
        <v>0.0297154244421672</v>
      </c>
      <c r="Z226" s="79">
        <f>VLOOKUP(B226,'Player Data'!$A1:$AE667,14,FALSE)*$Q226</f>
        <v>1.01983873205214</v>
      </c>
      <c r="AA226" s="79">
        <f>VLOOKUP(B226,'Player Data'!$A1:$AE667,15,FALSE)*$Q226</f>
        <v>155.448528862044</v>
      </c>
      <c r="AB226" s="79">
        <f>VLOOKUP(B226,'Player Data'!$A1:$AE667,16,FALSE)*$Q226</f>
        <v>80.869843685991</v>
      </c>
      <c r="AC226" s="79">
        <f>VLOOKUP(B226,'Player Data'!$A1:$AE667,17,FALSE)*$Q226*_xlfn.IFERROR((VLOOKUP(P226,'Settings'!$E$28:$F$33,2,FALSE)+1),1)</f>
        <v>-8.47920322289615</v>
      </c>
      <c r="AD226" s="79">
        <f>VLOOKUP(B226,'Player Data'!$A1:$AE667,18,FALSE)*$Q226</f>
        <v>27.2568928062488</v>
      </c>
      <c r="AE226" s="79">
        <f>VLOOKUP(B226,'Player Data'!$A1:$AE667,19,FALSE)*$Q226*_xlfn.IFERROR((VLOOKUP(P226,'Settings'!$E$28:$F$33,2,FALSE)+1),1)</f>
        <v>0.6738782730155199</v>
      </c>
      <c r="AF226" s="79">
        <f>VLOOKUP(B226,'Player Data'!$A1:$AE667,20,FALSE)*$Q226</f>
        <v>0</v>
      </c>
      <c r="AG226" s="79">
        <f>VLOOKUP(B226,'Player Data'!$A1:$AE667,21,FALSE)*$Q226</f>
        <v>0</v>
      </c>
      <c r="AH226" s="81">
        <f>VLOOKUP(B226,'Player Data'!$A1:$AE667,22,FALSE)</f>
        <v>0</v>
      </c>
      <c r="AI226" s="77"/>
      <c r="AJ226" s="79"/>
      <c r="AK226" s="79"/>
      <c r="AL226" s="79"/>
      <c r="AM226" s="79"/>
      <c r="AN226" s="79"/>
      <c r="AO226" s="79"/>
      <c r="AP226" s="79"/>
      <c r="AQ226" s="82"/>
      <c r="AR226" s="83"/>
      <c r="AS226" s="84"/>
    </row>
    <row r="227" ht="21.25" customHeight="1">
      <c r="A227" s="85">
        <f>RANK(K227,K$1:K$665)</f>
        <v>245</v>
      </c>
      <c r="B227" t="s" s="16">
        <v>415</v>
      </c>
      <c r="C227" t="s" s="69">
        <v>127</v>
      </c>
      <c r="D227" t="s" s="70">
        <f>VLOOKUP(B227,'Player Data'!A1:D667,4,FALSE)</f>
        <v>128</v>
      </c>
      <c r="E227" s="71">
        <f>VLOOKUP(B227,'C'!A1:C206,3,FALSE)</f>
        <v>76</v>
      </c>
      <c r="F227" t="s" s="86">
        <f>VLOOKUP(B227,'Player Data'!A1:B667,2,FALSE)</f>
        <v>156</v>
      </c>
      <c r="G227" s="11">
        <f>VLOOKUP(B227,'Player Data'!A1:D667,3,FALSE)</f>
        <v>25</v>
      </c>
      <c r="H227" s="73">
        <f>_xlfn.IFERROR(VLOOKUP(B227,'ADP'!A1:G665,7,FALSE)/1000000,VLOOKUP(B227,'ADP'!A1:G665,7,FALSE))</f>
        <v>3.2</v>
      </c>
      <c r="I227" s="74">
        <f>IF('Settings'!$E$15="POINTS",((R227*Q227)*'Settings'!$B$12)+(S227*'Settings'!$B$2)+(T227*'Settings'!$B$3)+(U227*'Settings'!$B$4)+(V227*'Settings'!$B$5)+(X227*'Settings'!$B$9)+(AA227*'Settings'!$B$6)+(W227*'Settings'!$B$8)+(AB227*'Settings'!$B$7)+(AC227*'Settings'!$B$14)+(AD227*'Settings'!$B$15)+(AE227*'Settings'!$B$16)+(AF227*'Settings'!$B$17)+(AG227*'Settings'!$B$18)+(Y227*'Settings'!$B$10)+(Z227*'Settings'!$B$11),VLOOKUP(B227,'Standard Deviations'!A1:C666,3,FALSE))</f>
        <v>246.043119965554</v>
      </c>
      <c r="J227" s="75">
        <f>IF(D227="G",I227/AJ227,I227/Q227)</f>
        <v>3.19484655043732</v>
      </c>
      <c r="K227" s="74">
        <f>IF('Settings'!$E$18="C/LW/RW",VLOOKUP(B227,'C'!A1:F206,6,FALSE),VLOOKUP(B227,'F'!A1:F392,6,FALSE))</f>
        <v>-83.64877411562399</v>
      </c>
      <c r="L227" s="76">
        <f>_xlfn.IFERROR(K227/H227,"N/A")</f>
        <v>-26.1402419111325</v>
      </c>
      <c r="M227" s="109">
        <f>IF('Settings'!$E$9="YAHOO",VLOOKUP(B227,'ADP'!A1:E665,2,FALSE),IF('Settings'!$E$9="ESPN",VLOOKUP(B227,'ADP'!A1:E665,3,FALSE),IF('Settings'!$E$9="FANTRAX",VLOOKUP(B227,'ADP'!A1:E665,4,FALSE),VLOOKUP(B227,'ADP'!A1:E665,5,FALSE))))</f>
        <v>0</v>
      </c>
      <c r="N227" s="79">
        <f>_xlfn.IFERROR(M227-A227,"N/A")</f>
        <v>-245</v>
      </c>
      <c r="O227" s="77"/>
      <c r="P227" t="s" s="78">
        <f>IF('Settings'!$E$27="ON",VLOOKUP(B227,'ADP'!A1:H665,8,FALSE)," ")</f>
        <v>138</v>
      </c>
      <c r="Q227" s="79">
        <f>IF('Settings'!$E$12="YES",VLOOKUP(B227,'Player Data'!A1:E667,5,FALSE),82)</f>
        <v>77.0125</v>
      </c>
      <c r="R227" s="77">
        <f>VLOOKUP(B227,'Player Data'!$A1:$AE667,6,FALSE)</f>
        <v>15.3127882784525</v>
      </c>
      <c r="S227" s="79">
        <f>VLOOKUP(B227,'Player Data'!$A1:$AE667,7,FALSE)*$Q227*_xlfn.IFERROR((VLOOKUP(P227,'Settings'!$E$28:$F$33,2,FALSE)+1),1)</f>
        <v>14.3987854320775</v>
      </c>
      <c r="T227" s="79">
        <f>VLOOKUP(B227,'Player Data'!$A1:$AE667,8,FALSE)*$Q227*_xlfn.IFERROR((VLOOKUP(P227,'Settings'!$E$28:$F$33,2,FALSE)+1),1)</f>
        <v>21.355968865628</v>
      </c>
      <c r="U227" s="79">
        <f>SUM(S227:T227)</f>
        <v>35.7547542977055</v>
      </c>
      <c r="V227" s="79">
        <f>VLOOKUP(B227,'Player Data'!$A1:$AE667,10,FALSE)*$Q227*_xlfn.IFERROR(((VLOOKUP(P227,'Settings'!$E$28:$F$33,2,FALSE)/2)+1),1)</f>
        <v>113.432427436148</v>
      </c>
      <c r="W227" s="79">
        <f>VLOOKUP(B227,'Player Data'!$A1:$AE667,11,FALSE)*$Q227*_xlfn.IFERROR((VLOOKUP(P227,'Settings'!$E$28:$F$33,2,FALSE)+1),1)</f>
        <v>0.21720051907749</v>
      </c>
      <c r="X227" s="79">
        <f>VLOOKUP(B227,'Player Data'!$A1:$AE667,12,FALSE)*$Q227*_xlfn.IFERROR((VLOOKUP(P227,'Settings'!$E$28:$F$33,2,FALSE)+1),1)</f>
        <v>0.7231057395425901</v>
      </c>
      <c r="Y227" s="79">
        <f>VLOOKUP(B227,'Player Data'!$A1:$AE667,13,FALSE)*$Q227</f>
        <v>0.152597551834358</v>
      </c>
      <c r="Z227" s="79">
        <f>VLOOKUP(B227,'Player Data'!$A1:$AE667,14,FALSE)*$Q227</f>
        <v>1.38927964987916</v>
      </c>
      <c r="AA227" s="79">
        <f>VLOOKUP(B227,'Player Data'!$A1:$AE667,15,FALSE)*$Q227</f>
        <v>71.1763440265602</v>
      </c>
      <c r="AB227" s="79">
        <f>VLOOKUP(B227,'Player Data'!$A1:$AE667,16,FALSE)*$Q227</f>
        <v>129.402868192845</v>
      </c>
      <c r="AC227" s="79">
        <f>VLOOKUP(B227,'Player Data'!$A1:$AE667,17,FALSE)*$Q227*_xlfn.IFERROR((VLOOKUP(P227,'Settings'!$E$28:$F$33,2,FALSE)+1),1)</f>
        <v>-2.78842956211307</v>
      </c>
      <c r="AD227" s="79">
        <f>VLOOKUP(B227,'Player Data'!$A1:$AE667,18,FALSE)*$Q227</f>
        <v>47.1145412084153</v>
      </c>
      <c r="AE227" s="79">
        <f>VLOOKUP(B227,'Player Data'!$A1:$AE667,19,FALSE)*$Q227*_xlfn.IFERROR((VLOOKUP(P227,'Settings'!$E$28:$F$33,2,FALSE)+1),1)</f>
        <v>1.97756756581625</v>
      </c>
      <c r="AF227" s="79">
        <f>VLOOKUP(B227,'Player Data'!$A1:$AE667,20,FALSE)*$Q227</f>
        <v>139.465971463550</v>
      </c>
      <c r="AG227" s="79">
        <f>VLOOKUP(B227,'Player Data'!$A1:$AE667,21,FALSE)*$Q227</f>
        <v>142.038024924057</v>
      </c>
      <c r="AH227" s="81">
        <f>VLOOKUP(B227,'Player Data'!$A1:$AE667,22,FALSE)</f>
        <v>0.495431586241202</v>
      </c>
      <c r="AI227" s="77"/>
      <c r="AJ227" s="79"/>
      <c r="AK227" s="79"/>
      <c r="AL227" s="79"/>
      <c r="AM227" s="79"/>
      <c r="AN227" s="79"/>
      <c r="AO227" s="79"/>
      <c r="AP227" s="79"/>
      <c r="AQ227" s="82"/>
      <c r="AR227" s="83"/>
      <c r="AS227" s="84"/>
    </row>
    <row r="228" ht="21.25" customHeight="1">
      <c r="A228" s="85">
        <f>RANK(K228,K$1:K$665)</f>
        <v>223</v>
      </c>
      <c r="B228" t="s" s="16">
        <v>416</v>
      </c>
      <c r="C228" t="s" s="69">
        <v>127</v>
      </c>
      <c r="D228" t="s" s="70">
        <f>VLOOKUP(B228,'Player Data'!A1:D667,4,FALSE)</f>
        <v>153</v>
      </c>
      <c r="E228" s="95">
        <f>VLOOKUP(B228,'D'!A1:C213,3,FALSE)</f>
        <v>66</v>
      </c>
      <c r="F228" t="s" s="92">
        <f>VLOOKUP(B228,'Player Data'!A1:B667,2,FALSE)</f>
        <v>146</v>
      </c>
      <c r="G228" s="11">
        <f>VLOOKUP(B228,'Player Data'!A1:D667,3,FALSE)</f>
        <v>26</v>
      </c>
      <c r="H228" s="73">
        <f>_xlfn.IFERROR(VLOOKUP(B228,'ADP'!A1:G665,7,FALSE)/1000000,VLOOKUP(B228,'ADP'!A1:G665,7,FALSE))</f>
        <v>7.25</v>
      </c>
      <c r="I228" s="74">
        <f>IF('Settings'!$E$15="POINTS",((R228*Q228)*'Settings'!$B$12)+(S228*'Settings'!$B$2)+(T228*'Settings'!$B$3)+(U228*'Settings'!$B$4)+(V228*'Settings'!$B$5)+(X228*'Settings'!$B$9)+(AA228*'Settings'!$B$6)+(W228*'Settings'!$B$8)+(AB228*'Settings'!$B$7)+(AC228*'Settings'!$B$14)+(AD228*'Settings'!$B$15)+(AE228*'Settings'!$B$16)+(AF228*'Settings'!$B$17)+(AG228*'Settings'!$B$18)+(U228*'Settings'!$B$13)+(Y228*'Settings'!$B$10)+(Z228*'Settings'!$B$11),VLOOKUP(B228,'Standard Deviations'!A1:C666,3,FALSE))</f>
        <v>258.050900796659</v>
      </c>
      <c r="J228" s="75">
        <f>IF(D228="G",I228/AJ228,I228/Q228)</f>
        <v>3.26739768664061</v>
      </c>
      <c r="K228" s="74">
        <f>VLOOKUP(B228,'D'!A1:F213,6,FALSE)</f>
        <v>-73.489307123423</v>
      </c>
      <c r="L228" s="76">
        <f>_xlfn.IFERROR(K228/H228,"N/A")</f>
        <v>-10.1364561549549</v>
      </c>
      <c r="M228" s="77">
        <f>IF('Settings'!$E$9="YAHOO",VLOOKUP(B228,'ADP'!A1:E665,2,FALSE),IF('Settings'!$E$9="ESPN",VLOOKUP(B228,'ADP'!A1:E665,3,FALSE),IF('Settings'!$E$9="FANTRAX",VLOOKUP(B228,'ADP'!A1:E665,4,FALSE),VLOOKUP(B228,'ADP'!A1:E665,5,FALSE))))</f>
        <v>0</v>
      </c>
      <c r="N228" s="77">
        <f>_xlfn.IFERROR(M228-A228,"N/A")</f>
        <v>-223</v>
      </c>
      <c r="O228" s="77"/>
      <c r="P228" t="s" s="78">
        <f>IF('Settings'!$E$27="ON",VLOOKUP(B228,'ADP'!A1:H665,8,FALSE)," ")</f>
        <v>138</v>
      </c>
      <c r="Q228" s="79">
        <f>IF('Settings'!$E$12="YES",VLOOKUP(B228,'Player Data'!A1:E667,5,FALSE),82)</f>
        <v>78.97750000000001</v>
      </c>
      <c r="R228" s="77">
        <f>VLOOKUP(B228,'Player Data'!$A1:$AE667,6,FALSE)</f>
        <v>22.4880497134729</v>
      </c>
      <c r="S228" s="79">
        <f>VLOOKUP(B228,'Player Data'!$A1:$AE667,7,FALSE)*$Q228*_xlfn.IFERROR((VLOOKUP(P228,'Settings'!$E$28:$F$33,2,FALSE)+1),1)</f>
        <v>6.50688327089547</v>
      </c>
      <c r="T228" s="79">
        <f>VLOOKUP(B228,'Player Data'!$A1:$AE667,8,FALSE)*$Q228*_xlfn.IFERROR((VLOOKUP(P228,'Settings'!$E$28:$F$33,2,FALSE)+1),1)</f>
        <v>35.7387703741729</v>
      </c>
      <c r="U228" s="79">
        <f>SUM(S228:T228)</f>
        <v>42.2456536450684</v>
      </c>
      <c r="V228" s="79">
        <f>VLOOKUP(B228,'Player Data'!$A1:$AE667,10,FALSE)*$Q228*_xlfn.IFERROR(((VLOOKUP(P228,'Settings'!$E$28:$F$33,2,FALSE)/2)+1),1)</f>
        <v>141.910418190129</v>
      </c>
      <c r="W228" s="79">
        <f>VLOOKUP(B228,'Player Data'!$A1:$AE667,11,FALSE)*$Q228*_xlfn.IFERROR((VLOOKUP(P228,'Settings'!$E$28:$F$33,2,FALSE)+1),1)</f>
        <v>1.60842164048221</v>
      </c>
      <c r="X228" s="79">
        <f>VLOOKUP(B228,'Player Data'!$A1:$AE667,12,FALSE)*$Q228*_xlfn.IFERROR((VLOOKUP(P228,'Settings'!$E$28:$F$33,2,FALSE)+1),1)</f>
        <v>7.3661699134531</v>
      </c>
      <c r="Y228" s="79">
        <f>VLOOKUP(B228,'Player Data'!$A1:$AE667,13,FALSE)*$Q228</f>
        <v>0.0195494447081338</v>
      </c>
      <c r="Z228" s="79">
        <f>VLOOKUP(B228,'Player Data'!$A1:$AE667,14,FALSE)*$Q228</f>
        <v>0.0961979259958714</v>
      </c>
      <c r="AA228" s="79">
        <f>VLOOKUP(B228,'Player Data'!$A1:$AE667,15,FALSE)*$Q228</f>
        <v>91.49499028663359</v>
      </c>
      <c r="AB228" s="79">
        <f>VLOOKUP(B228,'Player Data'!$A1:$AE667,16,FALSE)*$Q228</f>
        <v>100.779546286208</v>
      </c>
      <c r="AC228" s="79">
        <f>VLOOKUP(B228,'Player Data'!$A1:$AE667,17,FALSE)*$Q228*_xlfn.IFERROR((VLOOKUP(P228,'Settings'!$E$28:$F$33,2,FALSE)+1),1)</f>
        <v>6.33411523366324</v>
      </c>
      <c r="AD228" s="79">
        <f>VLOOKUP(B228,'Player Data'!$A1:$AE667,18,FALSE)*$Q228</f>
        <v>35.8642841992639</v>
      </c>
      <c r="AE228" s="79">
        <f>VLOOKUP(B228,'Player Data'!$A1:$AE667,19,FALSE)*$Q228*_xlfn.IFERROR((VLOOKUP(P228,'Settings'!$E$28:$F$33,2,FALSE)+1),1)</f>
        <v>1.11120780744989</v>
      </c>
      <c r="AF228" s="79">
        <f>VLOOKUP(B228,'Player Data'!$A1:$AE667,20,FALSE)*$Q228</f>
        <v>0</v>
      </c>
      <c r="AG228" s="79">
        <f>VLOOKUP(B228,'Player Data'!$A1:$AE667,21,FALSE)*$Q228</f>
        <v>0</v>
      </c>
      <c r="AH228" s="81">
        <f>VLOOKUP(B228,'Player Data'!$A1:$AE667,22,FALSE)</f>
        <v>0</v>
      </c>
      <c r="AI228" s="77"/>
      <c r="AJ228" s="89"/>
      <c r="AK228" s="79"/>
      <c r="AL228" s="79"/>
      <c r="AM228" s="79"/>
      <c r="AN228" s="79"/>
      <c r="AO228" s="79"/>
      <c r="AP228" s="79"/>
      <c r="AQ228" s="82"/>
      <c r="AR228" s="83"/>
      <c r="AS228" s="84"/>
    </row>
    <row r="229" ht="21.25" customHeight="1">
      <c r="A229" s="85">
        <f>RANK(K229,K$1:K$665)</f>
        <v>224</v>
      </c>
      <c r="B229" t="s" s="16">
        <v>417</v>
      </c>
      <c r="C229" t="s" s="69">
        <v>127</v>
      </c>
      <c r="D229" t="s" s="70">
        <f>VLOOKUP(B229,'Player Data'!A1:D667,4,FALSE)</f>
        <v>153</v>
      </c>
      <c r="E229" s="95">
        <f>VLOOKUP(B229,'D'!A1:C213,3,FALSE)</f>
        <v>67</v>
      </c>
      <c r="F229" t="s" s="88">
        <f>VLOOKUP(B229,'Player Data'!A1:B667,2,FALSE)</f>
        <v>137</v>
      </c>
      <c r="G229" s="11">
        <f>VLOOKUP(B229,'Player Data'!A1:D667,3,FALSE)</f>
        <v>27</v>
      </c>
      <c r="H229" s="73">
        <f>_xlfn.IFERROR(VLOOKUP(B229,'ADP'!A1:G665,7,FALSE)/1000000,VLOOKUP(B229,'ADP'!A1:G665,7,FALSE))</f>
        <v>8</v>
      </c>
      <c r="I229" s="74">
        <f>IF('Settings'!$E$15="POINTS",((R229*Q229)*'Settings'!$B$12)+(S229*'Settings'!$B$2)+(T229*'Settings'!$B$3)+(U229*'Settings'!$B$4)+(V229*'Settings'!$B$5)+(X229*'Settings'!$B$9)+(AA229*'Settings'!$B$6)+(W229*'Settings'!$B$8)+(AB229*'Settings'!$B$7)+(AC229*'Settings'!$B$14)+(AD229*'Settings'!$B$15)+(AE229*'Settings'!$B$16)+(AF229*'Settings'!$B$17)+(AG229*'Settings'!$B$18)+(U229*'Settings'!$B$13)+(Y229*'Settings'!$B$10)+(Z229*'Settings'!$B$11),VLOOKUP(B229,'Standard Deviations'!A1:C666,3,FALSE))</f>
        <v>257.958788162704</v>
      </c>
      <c r="J229" s="75">
        <f>IF(D229="G",I229/AJ229,I229/Q229)</f>
        <v>3.56777135178872</v>
      </c>
      <c r="K229" s="74">
        <f>VLOOKUP(B229,'D'!A1:F213,6,FALSE)</f>
        <v>-73.581419757378</v>
      </c>
      <c r="L229" s="76">
        <f>_xlfn.IFERROR(K229/H229,"N/A")</f>
        <v>-9.19767746967225</v>
      </c>
      <c r="M229" s="77">
        <f>IF('Settings'!$E$9="YAHOO",VLOOKUP(B229,'ADP'!A1:E665,2,FALSE),IF('Settings'!$E$9="ESPN",VLOOKUP(B229,'ADP'!A1:E665,3,FALSE),IF('Settings'!$E$9="FANTRAX",VLOOKUP(B229,'ADP'!A1:E665,4,FALSE),VLOOKUP(B229,'ADP'!A1:E665,5,FALSE))))</f>
        <v>0</v>
      </c>
      <c r="N229" s="77">
        <f>_xlfn.IFERROR(M229-A229,"N/A")</f>
        <v>-224</v>
      </c>
      <c r="O229" s="77"/>
      <c r="P229" t="s" s="78">
        <f>IF('Settings'!$E$27="ON",VLOOKUP(B229,'ADP'!A1:H665,8,FALSE)," ")</f>
        <v>138</v>
      </c>
      <c r="Q229" s="79">
        <f>IF('Settings'!$E$12="YES",VLOOKUP(B229,'Player Data'!A1:E667,5,FALSE),82)</f>
        <v>72.30249999999999</v>
      </c>
      <c r="R229" s="77">
        <f>VLOOKUP(B229,'Player Data'!$A1:$AE667,6,FALSE)</f>
        <v>22.3940597658127</v>
      </c>
      <c r="S229" s="79">
        <f>VLOOKUP(B229,'Player Data'!$A1:$AE667,7,FALSE)*$Q229*_xlfn.IFERROR((VLOOKUP(P229,'Settings'!$E$28:$F$33,2,FALSE)+1),1)</f>
        <v>9.452911520136951</v>
      </c>
      <c r="T229" s="79">
        <f>VLOOKUP(B229,'Player Data'!$A1:$AE667,8,FALSE)*$Q229*_xlfn.IFERROR((VLOOKUP(P229,'Settings'!$E$28:$F$33,2,FALSE)+1),1)</f>
        <v>27.9329586827385</v>
      </c>
      <c r="U229" s="79">
        <f>SUM(S229:T229)</f>
        <v>37.3858702028755</v>
      </c>
      <c r="V229" s="79">
        <f>VLOOKUP(B229,'Player Data'!$A1:$AE667,10,FALSE)*$Q229*_xlfn.IFERROR(((VLOOKUP(P229,'Settings'!$E$28:$F$33,2,FALSE)/2)+1),1)</f>
        <v>158.544552295536</v>
      </c>
      <c r="W229" s="79">
        <f>VLOOKUP(B229,'Player Data'!$A1:$AE667,11,FALSE)*$Q229*_xlfn.IFERROR((VLOOKUP(P229,'Settings'!$E$28:$F$33,2,FALSE)+1),1)</f>
        <v>1.66272429833483</v>
      </c>
      <c r="X229" s="79">
        <f>VLOOKUP(B229,'Player Data'!$A1:$AE667,12,FALSE)*$Q229*_xlfn.IFERROR((VLOOKUP(P229,'Settings'!$E$28:$F$33,2,FALSE)+1),1)</f>
        <v>9.2862025210343</v>
      </c>
      <c r="Y229" s="79">
        <f>VLOOKUP(B229,'Player Data'!$A1:$AE667,13,FALSE)*$Q229</f>
        <v>0.0197997507354109</v>
      </c>
      <c r="Z229" s="79">
        <f>VLOOKUP(B229,'Player Data'!$A1:$AE667,14,FALSE)*$Q229</f>
        <v>0.0975193042416297</v>
      </c>
      <c r="AA229" s="79">
        <f>VLOOKUP(B229,'Player Data'!$A1:$AE667,15,FALSE)*$Q229</f>
        <v>120.358151290091</v>
      </c>
      <c r="AB229" s="79">
        <f>VLOOKUP(B229,'Player Data'!$A1:$AE667,16,FALSE)*$Q229</f>
        <v>70.7363899101783</v>
      </c>
      <c r="AC229" s="79">
        <f>VLOOKUP(B229,'Player Data'!$A1:$AE667,17,FALSE)*$Q229*_xlfn.IFERROR((VLOOKUP(P229,'Settings'!$E$28:$F$33,2,FALSE)+1),1)</f>
        <v>-0.623827486242377</v>
      </c>
      <c r="AD229" s="79">
        <f>VLOOKUP(B229,'Player Data'!$A1:$AE667,18,FALSE)*$Q229</f>
        <v>39.1117919152112</v>
      </c>
      <c r="AE229" s="79">
        <f>VLOOKUP(B229,'Player Data'!$A1:$AE667,19,FALSE)*$Q229*_xlfn.IFERROR((VLOOKUP(P229,'Settings'!$E$28:$F$33,2,FALSE)+1),1)</f>
        <v>1.46769911591832</v>
      </c>
      <c r="AF229" s="79">
        <f>VLOOKUP(B229,'Player Data'!$A1:$AE667,20,FALSE)*$Q229</f>
        <v>0</v>
      </c>
      <c r="AG229" s="79">
        <f>VLOOKUP(B229,'Player Data'!$A1:$AE667,21,FALSE)*$Q229</f>
        <v>0</v>
      </c>
      <c r="AH229" s="81">
        <f>VLOOKUP(B229,'Player Data'!$A1:$AE667,22,FALSE)</f>
        <v>0</v>
      </c>
      <c r="AI229" s="77"/>
      <c r="AJ229" s="89"/>
      <c r="AK229" s="79"/>
      <c r="AL229" s="79"/>
      <c r="AM229" s="79"/>
      <c r="AN229" s="79"/>
      <c r="AO229" s="79"/>
      <c r="AP229" s="79"/>
      <c r="AQ229" s="82"/>
      <c r="AR229" s="83"/>
      <c r="AS229" s="93"/>
    </row>
    <row r="230" ht="21.25" customHeight="1">
      <c r="A230" s="85">
        <f>RANK(K230,K$1:K$665)</f>
        <v>225</v>
      </c>
      <c r="B230" t="s" s="16">
        <v>418</v>
      </c>
      <c r="C230" t="s" s="69">
        <v>127</v>
      </c>
      <c r="D230" t="s" s="70">
        <f>VLOOKUP(B230,'Player Data'!A1:D667,4,FALSE)</f>
        <v>153</v>
      </c>
      <c r="E230" s="95">
        <f>VLOOKUP(B230,'D'!A1:C213,3,FALSE)</f>
        <v>68</v>
      </c>
      <c r="F230" t="s" s="86">
        <f>VLOOKUP(B230,'Player Data'!A1:B667,2,FALSE)</f>
        <v>192</v>
      </c>
      <c r="G230" s="11">
        <f>VLOOKUP(B230,'Player Data'!A1:D667,3,FALSE)</f>
        <v>26</v>
      </c>
      <c r="H230" s="94">
        <f>_xlfn.IFERROR(VLOOKUP(B230,'ADP'!A1:G665,7,FALSE)/1000000,VLOOKUP(B230,'ADP'!A1:G665,7,FALSE))</f>
        <v>4.6</v>
      </c>
      <c r="I230" s="74">
        <f>IF('Settings'!$E$15="POINTS",((R230*Q230)*'Settings'!$B$12)+(S230*'Settings'!$B$2)+(T230*'Settings'!$B$3)+(U230*'Settings'!$B$4)+(V230*'Settings'!$B$5)+(X230*'Settings'!$B$9)+(AA230*'Settings'!$B$6)+(W230*'Settings'!$B$8)+(AB230*'Settings'!$B$7)+(AC230*'Settings'!$B$14)+(AD230*'Settings'!$B$15)+(AE230*'Settings'!$B$16)+(AF230*'Settings'!$B$17)+(AG230*'Settings'!$B$18)+(U230*'Settings'!$B$13)+(Y230*'Settings'!$B$10)+(Z230*'Settings'!$B$11),VLOOKUP(B230,'Standard Deviations'!A1:C666,3,FALSE))</f>
        <v>257.509612777038</v>
      </c>
      <c r="J230" s="75">
        <f>IF(D230="G",I230/AJ230,I230/Q230)</f>
        <v>3.48669166308358</v>
      </c>
      <c r="K230" s="74">
        <f>VLOOKUP(B230,'D'!A1:F213,6,FALSE)</f>
        <v>-74.030595143044</v>
      </c>
      <c r="L230" s="76">
        <f>_xlfn.IFERROR(K230/H230,"N/A")</f>
        <v>-16.0936076397922</v>
      </c>
      <c r="M230" s="77">
        <f>IF('Settings'!$E$9="YAHOO",VLOOKUP(B230,'ADP'!A1:E665,2,FALSE),IF('Settings'!$E$9="ESPN",VLOOKUP(B230,'ADP'!A1:E665,3,FALSE),IF('Settings'!$E$9="FANTRAX",VLOOKUP(B230,'ADP'!A1:E665,4,FALSE),VLOOKUP(B230,'ADP'!A1:E665,5,FALSE))))</f>
        <v>0</v>
      </c>
      <c r="N230" s="77">
        <f>_xlfn.IFERROR(M230-A230,"N/A")</f>
        <v>-225</v>
      </c>
      <c r="O230" s="77"/>
      <c r="P230" t="s" s="78">
        <f>IF('Settings'!$E$27="ON",VLOOKUP(B230,'ADP'!A1:H665,8,FALSE)," ")</f>
        <v>138</v>
      </c>
      <c r="Q230" s="79">
        <f>IF('Settings'!$E$12="YES",VLOOKUP(B230,'Player Data'!A1:E667,5,FALSE),82)</f>
        <v>73.855</v>
      </c>
      <c r="R230" s="108">
        <f>VLOOKUP(B230,'Player Data'!$A1:$AE667,6,FALSE)</f>
        <v>20.3342006339781</v>
      </c>
      <c r="S230" s="79">
        <f>VLOOKUP(B230,'Player Data'!$A1:$AE667,7,FALSE)*$Q230*_xlfn.IFERROR((VLOOKUP(P230,'Settings'!$E$28:$F$33,2,FALSE)+1),1)</f>
        <v>10.4697691327244</v>
      </c>
      <c r="T230" s="79">
        <f>VLOOKUP(B230,'Player Data'!$A1:$AE667,8,FALSE)*$Q230*_xlfn.IFERROR((VLOOKUP(P230,'Settings'!$E$28:$F$33,2,FALSE)+1),1)</f>
        <v>25.3206658508337</v>
      </c>
      <c r="U230" s="79">
        <f>SUM(S230:T230)</f>
        <v>35.7904349835581</v>
      </c>
      <c r="V230" s="79">
        <f>VLOOKUP(B230,'Player Data'!$A1:$AE667,10,FALSE)*$Q230*_xlfn.IFERROR(((VLOOKUP(P230,'Settings'!$E$28:$F$33,2,FALSE)/2)+1),1)</f>
        <v>166.535796208242</v>
      </c>
      <c r="W230" s="79">
        <f>VLOOKUP(B230,'Player Data'!$A1:$AE667,11,FALSE)*$Q230*_xlfn.IFERROR((VLOOKUP(P230,'Settings'!$E$28:$F$33,2,FALSE)+1),1)</f>
        <v>3.90026585620081</v>
      </c>
      <c r="X230" s="79">
        <f>VLOOKUP(B230,'Player Data'!$A1:$AE667,12,FALSE)*$Q230*_xlfn.IFERROR((VLOOKUP(P230,'Settings'!$E$28:$F$33,2,FALSE)+1),1)</f>
        <v>9.268483212240881</v>
      </c>
      <c r="Y230" s="79">
        <f>VLOOKUP(B230,'Player Data'!$A1:$AE667,13,FALSE)*$Q230</f>
        <v>0.00648984456762631</v>
      </c>
      <c r="Z230" s="79">
        <f>VLOOKUP(B230,'Player Data'!$A1:$AE667,14,FALSE)*$Q230</f>
        <v>0.0319332018918627</v>
      </c>
      <c r="AA230" s="79">
        <f>VLOOKUP(B230,'Player Data'!$A1:$AE667,15,FALSE)*$Q230</f>
        <v>121.942052489153</v>
      </c>
      <c r="AB230" s="79">
        <f>VLOOKUP(B230,'Player Data'!$A1:$AE667,16,FALSE)*$Q230</f>
        <v>69.75927629702799</v>
      </c>
      <c r="AC230" s="79">
        <f>VLOOKUP(B230,'Player Data'!$A1:$AE667,17,FALSE)*$Q230*_xlfn.IFERROR((VLOOKUP(P230,'Settings'!$E$28:$F$33,2,FALSE)+1),1)</f>
        <v>-2.4693303254847</v>
      </c>
      <c r="AD230" s="79">
        <f>VLOOKUP(B230,'Player Data'!$A1:$AE667,18,FALSE)*$Q230</f>
        <v>41.8008483767943</v>
      </c>
      <c r="AE230" s="79">
        <f>VLOOKUP(B230,'Player Data'!$A1:$AE667,19,FALSE)*$Q230*_xlfn.IFERROR((VLOOKUP(P230,'Settings'!$E$28:$F$33,2,FALSE)+1),1)</f>
        <v>1.48579147884717</v>
      </c>
      <c r="AF230" s="79">
        <f>VLOOKUP(B230,'Player Data'!$A1:$AE667,20,FALSE)*$Q230</f>
        <v>0</v>
      </c>
      <c r="AG230" s="79">
        <f>VLOOKUP(B230,'Player Data'!$A1:$AE667,21,FALSE)*$Q230</f>
        <v>0</v>
      </c>
      <c r="AH230" s="81">
        <f>VLOOKUP(B230,'Player Data'!$A1:$AE667,22,FALSE)</f>
        <v>0</v>
      </c>
      <c r="AI230" s="77"/>
      <c r="AJ230" s="89"/>
      <c r="AK230" s="79"/>
      <c r="AL230" s="79"/>
      <c r="AM230" s="79"/>
      <c r="AN230" s="79"/>
      <c r="AO230" s="79"/>
      <c r="AP230" s="79"/>
      <c r="AQ230" s="82"/>
      <c r="AR230" s="83"/>
      <c r="AS230" s="84"/>
    </row>
    <row r="231" ht="21.25" customHeight="1">
      <c r="A231" s="85">
        <f>RANK(K231,K$1:K$665)</f>
        <v>236</v>
      </c>
      <c r="B231" t="s" s="16">
        <v>419</v>
      </c>
      <c r="C231" t="s" s="69">
        <v>127</v>
      </c>
      <c r="D231" t="s" s="70">
        <f>VLOOKUP(B231,'Player Data'!A1:D667,4,FALSE)</f>
        <v>145</v>
      </c>
      <c r="E231" s="87">
        <f>VLOOKUP(B231,'RW'!A1:C136,3,FALSE)</f>
        <v>48</v>
      </c>
      <c r="F231" t="s" s="78">
        <f>VLOOKUP(B231,'Player Data'!A1:B667,2,FALSE)</f>
        <v>204</v>
      </c>
      <c r="G231" s="91">
        <f>VLOOKUP(B231,'Player Data'!A1:D667,3,FALSE)</f>
        <v>32</v>
      </c>
      <c r="H231" s="73">
        <f>_xlfn.IFERROR(VLOOKUP(B231,'ADP'!A1:G665,7,FALSE)/1000000,VLOOKUP(B231,'ADP'!A1:G665,7,FALSE))</f>
        <v>9.85</v>
      </c>
      <c r="I231" s="74">
        <f>IF('Settings'!$E$15="POINTS",((R231*Q231)*'Settings'!$B$12)+(S231*'Settings'!$B$2)+(T231*'Settings'!$B$3)+(U231*'Settings'!$B$4)+(V231*'Settings'!$B$5)+(X231*'Settings'!$B$9)+(AA231*'Settings'!$B$6)+(W231*'Settings'!$B$8)+(AB231*'Settings'!$B$7)+(AC231*'Settings'!$B$14)+(AD231*'Settings'!$B$15)+(AE231*'Settings'!$B$16)+(AF231*'Settings'!$B$17)+(AG231*'Settings'!$B$18)+(Y231*'Settings'!$B$10)+(Z231*'Settings'!$B$11),VLOOKUP(B231,'Standard Deviations'!A1:C666,3,FALSE))</f>
        <v>250.212489478524</v>
      </c>
      <c r="J231" s="75">
        <f>IF(D231="G",I231/AJ231,I231/Q231)</f>
        <v>3.18255519560575</v>
      </c>
      <c r="K231" s="74">
        <f>IF('Settings'!$E$18="C/LW/RW",VLOOKUP(B231,'RW'!A1:F136,6,FALSE),VLOOKUP(B231,'F'!A1:F392,6,FALSE))</f>
        <v>-79.479404602654</v>
      </c>
      <c r="L231" s="76">
        <f>_xlfn.IFERROR(K231/H231,"N/A")</f>
        <v>-8.06897508656386</v>
      </c>
      <c r="M231" s="77">
        <f>IF('Settings'!$E$9="YAHOO",VLOOKUP(B231,'ADP'!A1:E665,2,FALSE),IF('Settings'!$E$9="ESPN",VLOOKUP(B231,'ADP'!A1:E665,3,FALSE),IF('Settings'!$E$9="FANTRAX",VLOOKUP(B231,'ADP'!A1:E665,4,FALSE),VLOOKUP(B231,'ADP'!A1:E665,5,FALSE))))</f>
        <v>0</v>
      </c>
      <c r="N231" s="77">
        <f>_xlfn.IFERROR(M231-A231,"N/A")</f>
        <v>-236</v>
      </c>
      <c r="O231" s="77"/>
      <c r="P231" t="s" s="78">
        <f>IF('Settings'!$E$27="ON",VLOOKUP(B231,'ADP'!A1:H665,8,FALSE)," ")</f>
        <v>138</v>
      </c>
      <c r="Q231" s="79">
        <f>IF('Settings'!$E$12="YES",VLOOKUP(B231,'Player Data'!A1:E667,5,FALSE),82)</f>
        <v>78.62</v>
      </c>
      <c r="R231" s="77">
        <f>VLOOKUP(B231,'Player Data'!$A1:$AE667,6,FALSE)</f>
        <v>16.7124370217708</v>
      </c>
      <c r="S231" s="79">
        <f>VLOOKUP(B231,'Player Data'!$A1:$AE667,7,FALSE)*$Q231*_xlfn.IFERROR((VLOOKUP(P231,'Settings'!$E$28:$F$33,2,FALSE)+1),1)</f>
        <v>22.4070253704722</v>
      </c>
      <c r="T231" s="79">
        <f>VLOOKUP(B231,'Player Data'!$A1:$AE667,8,FALSE)*$Q231*_xlfn.IFERROR((VLOOKUP(P231,'Settings'!$E$28:$F$33,2,FALSE)+1),1)</f>
        <v>28.0681995493462</v>
      </c>
      <c r="U231" s="79">
        <f>SUM(S231:T231)</f>
        <v>50.4752249198184</v>
      </c>
      <c r="V231" s="79">
        <f>VLOOKUP(B231,'Player Data'!$A1:$AE667,10,FALSE)*$Q231*_xlfn.IFERROR(((VLOOKUP(P231,'Settings'!$E$28:$F$33,2,FALSE)/2)+1),1)</f>
        <v>181.3849361105</v>
      </c>
      <c r="W231" s="79">
        <f>VLOOKUP(B231,'Player Data'!$A1:$AE667,11,FALSE)*$Q231*_xlfn.IFERROR((VLOOKUP(P231,'Settings'!$E$28:$F$33,2,FALSE)+1),1)</f>
        <v>3.93695117610493</v>
      </c>
      <c r="X231" s="79">
        <f>VLOOKUP(B231,'Player Data'!$A1:$AE667,12,FALSE)*$Q231*_xlfn.IFERROR((VLOOKUP(P231,'Settings'!$E$28:$F$33,2,FALSE)+1),1)</f>
        <v>9.30469349917284</v>
      </c>
      <c r="Y231" s="79">
        <f>VLOOKUP(B231,'Player Data'!$A1:$AE667,13,FALSE)*$Q231</f>
        <v>0.408903385016383</v>
      </c>
      <c r="Z231" s="79">
        <f>VLOOKUP(B231,'Player Data'!$A1:$AE667,14,FALSE)*$Q231</f>
        <v>1.30912749705548</v>
      </c>
      <c r="AA231" s="79">
        <f>VLOOKUP(B231,'Player Data'!$A1:$AE667,15,FALSE)*$Q231</f>
        <v>27.7663988856027</v>
      </c>
      <c r="AB231" s="79">
        <f>VLOOKUP(B231,'Player Data'!$A1:$AE667,16,FALSE)*$Q231</f>
        <v>76.2813587654052</v>
      </c>
      <c r="AC231" s="79">
        <f>VLOOKUP(B231,'Player Data'!$A1:$AE667,17,FALSE)*$Q231*_xlfn.IFERROR((VLOOKUP(P231,'Settings'!$E$28:$F$33,2,FALSE)+1),1)</f>
        <v>4.53904460115145</v>
      </c>
      <c r="AD231" s="79">
        <f>VLOOKUP(B231,'Player Data'!$A1:$AE667,18,FALSE)*$Q231</f>
        <v>29.1655398653864</v>
      </c>
      <c r="AE231" s="79">
        <f>VLOOKUP(B231,'Player Data'!$A1:$AE667,19,FALSE)*$Q231*_xlfn.IFERROR((VLOOKUP(P231,'Settings'!$E$28:$F$33,2,FALSE)+1),1)</f>
        <v>3.58330267682886</v>
      </c>
      <c r="AF231" s="79">
        <f>VLOOKUP(B231,'Player Data'!$A1:$AE667,20,FALSE)*$Q231</f>
        <v>416.300949562877</v>
      </c>
      <c r="AG231" s="79">
        <f>VLOOKUP(B231,'Player Data'!$A1:$AE667,21,FALSE)*$Q231</f>
        <v>331.666316252014</v>
      </c>
      <c r="AH231" s="81">
        <f>VLOOKUP(B231,'Player Data'!$A1:$AE667,22,FALSE)</f>
        <v>0.556576428661391</v>
      </c>
      <c r="AI231" s="77"/>
      <c r="AJ231" s="79"/>
      <c r="AK231" s="79"/>
      <c r="AL231" s="79"/>
      <c r="AM231" s="79"/>
      <c r="AN231" s="79"/>
      <c r="AO231" s="79"/>
      <c r="AP231" s="79"/>
      <c r="AQ231" s="82"/>
      <c r="AR231" s="83"/>
      <c r="AS231" s="84"/>
    </row>
    <row r="232" ht="21.25" customHeight="1">
      <c r="A232" s="85">
        <f>RANK(K232,K$1:K$665)</f>
        <v>250</v>
      </c>
      <c r="B232" t="s" s="16">
        <v>420</v>
      </c>
      <c r="C232" t="s" s="69">
        <v>127</v>
      </c>
      <c r="D232" t="s" s="70">
        <f>VLOOKUP(B232,'Player Data'!A1:D667,4,FALSE)</f>
        <v>128</v>
      </c>
      <c r="E232" s="71">
        <f>VLOOKUP(B232,'C'!A1:C206,3,FALSE)</f>
        <v>79</v>
      </c>
      <c r="F232" t="s" s="88">
        <f>VLOOKUP(B232,'Player Data'!A1:B667,2,FALSE)</f>
        <v>141</v>
      </c>
      <c r="G232" s="11">
        <f>VLOOKUP(B232,'Player Data'!A1:D667,3,FALSE)</f>
        <v>27</v>
      </c>
      <c r="H232" s="73">
        <f>_xlfn.IFERROR(VLOOKUP(B232,'ADP'!A1:G665,7,FALSE)/1000000,VLOOKUP(B232,'ADP'!A1:G665,7,FALSE))</f>
        <v>6.25</v>
      </c>
      <c r="I232" s="74">
        <f>IF('Settings'!$E$15="POINTS",((R232*Q232)*'Settings'!$B$12)+(S232*'Settings'!$B$2)+(T232*'Settings'!$B$3)+(U232*'Settings'!$B$4)+(V232*'Settings'!$B$5)+(X232*'Settings'!$B$9)+(AA232*'Settings'!$B$6)+(W232*'Settings'!$B$8)+(AB232*'Settings'!$B$7)+(AC232*'Settings'!$B$14)+(AD232*'Settings'!$B$15)+(AE232*'Settings'!$B$16)+(AF232*'Settings'!$B$17)+(AG232*'Settings'!$B$18)+(Y232*'Settings'!$B$10)+(Z232*'Settings'!$B$11),VLOOKUP(B232,'Standard Deviations'!A1:C666,3,FALSE))</f>
        <v>244.432766152621</v>
      </c>
      <c r="J232" s="75">
        <f>IF(D232="G",I232/AJ232,I232/Q232)</f>
        <v>3.15000826254223</v>
      </c>
      <c r="K232" s="74">
        <f>IF('Settings'!$E$18="C/LW/RW",VLOOKUP(B232,'C'!A1:F206,6,FALSE),VLOOKUP(B232,'F'!A1:F392,6,FALSE))</f>
        <v>-85.25912792855701</v>
      </c>
      <c r="L232" s="76">
        <f>_xlfn.IFERROR(K232/H232,"N/A")</f>
        <v>-13.6414604685691</v>
      </c>
      <c r="M232" s="109">
        <f>IF('Settings'!$E$9="YAHOO",VLOOKUP(B232,'ADP'!A1:E665,2,FALSE),IF('Settings'!$E$9="ESPN",VLOOKUP(B232,'ADP'!A1:E665,3,FALSE),IF('Settings'!$E$9="FANTRAX",VLOOKUP(B232,'ADP'!A1:E665,4,FALSE),VLOOKUP(B232,'ADP'!A1:E665,5,FALSE))))</f>
        <v>0</v>
      </c>
      <c r="N232" s="79">
        <f>_xlfn.IFERROR(M232-A232,"N/A")</f>
        <v>-250</v>
      </c>
      <c r="O232" s="77"/>
      <c r="P232" t="s" s="78">
        <f>IF('Settings'!$E$27="ON",VLOOKUP(B232,'ADP'!A1:H665,8,FALSE)," ")</f>
        <v>138</v>
      </c>
      <c r="Q232" s="79">
        <f>IF('Settings'!$E$12="YES",VLOOKUP(B232,'Player Data'!A1:E667,5,FALSE),82)</f>
        <v>77.5975</v>
      </c>
      <c r="R232" s="77">
        <f>VLOOKUP(B232,'Player Data'!$A1:$AE667,6,FALSE)</f>
        <v>18.5812100454341</v>
      </c>
      <c r="S232" s="79">
        <f>VLOOKUP(B232,'Player Data'!$A1:$AE667,7,FALSE)*$Q232*_xlfn.IFERROR((VLOOKUP(P232,'Settings'!$E$28:$F$33,2,FALSE)+1),1)</f>
        <v>19.0910785037584</v>
      </c>
      <c r="T232" s="79">
        <f>VLOOKUP(B232,'Player Data'!$A1:$AE667,8,FALSE)*$Q232*_xlfn.IFERROR((VLOOKUP(P232,'Settings'!$E$28:$F$33,2,FALSE)+1),1)</f>
        <v>26.8052868920133</v>
      </c>
      <c r="U232" s="79">
        <f>SUM(S232:T232)</f>
        <v>45.8963653957717</v>
      </c>
      <c r="V232" s="79">
        <f>VLOOKUP(B232,'Player Data'!$A1:$AE667,10,FALSE)*$Q232*_xlfn.IFERROR(((VLOOKUP(P232,'Settings'!$E$28:$F$33,2,FALSE)/2)+1),1)</f>
        <v>141.862055183222</v>
      </c>
      <c r="W232" s="79">
        <f>VLOOKUP(B232,'Player Data'!$A1:$AE667,11,FALSE)*$Q232*_xlfn.IFERROR((VLOOKUP(P232,'Settings'!$E$28:$F$33,2,FALSE)+1),1)</f>
        <v>3.39155924381413</v>
      </c>
      <c r="X232" s="79">
        <f>VLOOKUP(B232,'Player Data'!$A1:$AE667,12,FALSE)*$Q232*_xlfn.IFERROR((VLOOKUP(P232,'Settings'!$E$28:$F$33,2,FALSE)+1),1)</f>
        <v>7.57143980980955</v>
      </c>
      <c r="Y232" s="79">
        <f>VLOOKUP(B232,'Player Data'!$A1:$AE667,13,FALSE)*$Q232</f>
        <v>1.81997121010334</v>
      </c>
      <c r="Z232" s="79">
        <f>VLOOKUP(B232,'Player Data'!$A1:$AE667,14,FALSE)*$Q232</f>
        <v>1.92423119833877</v>
      </c>
      <c r="AA232" s="79">
        <f>VLOOKUP(B232,'Player Data'!$A1:$AE667,15,FALSE)*$Q232</f>
        <v>69.1913735200902</v>
      </c>
      <c r="AB232" s="79">
        <f>VLOOKUP(B232,'Player Data'!$A1:$AE667,16,FALSE)*$Q232</f>
        <v>61.8074789240255</v>
      </c>
      <c r="AC232" s="79">
        <f>VLOOKUP(B232,'Player Data'!$A1:$AE667,17,FALSE)*$Q232*_xlfn.IFERROR((VLOOKUP(P232,'Settings'!$E$28:$F$33,2,FALSE)+1),1)</f>
        <v>2.01466665993623</v>
      </c>
      <c r="AD232" s="79">
        <f>VLOOKUP(B232,'Player Data'!$A1:$AE667,18,FALSE)*$Q232</f>
        <v>35.8865350328527</v>
      </c>
      <c r="AE232" s="79">
        <f>VLOOKUP(B232,'Player Data'!$A1:$AE667,19,FALSE)*$Q232*_xlfn.IFERROR((VLOOKUP(P232,'Settings'!$E$28:$F$33,2,FALSE)+1),1)</f>
        <v>3.00802129440194</v>
      </c>
      <c r="AF232" s="79">
        <f>VLOOKUP(B232,'Player Data'!$A1:$AE667,20,FALSE)*$Q232</f>
        <v>472.654844173396</v>
      </c>
      <c r="AG232" s="79">
        <f>VLOOKUP(B232,'Player Data'!$A1:$AE667,21,FALSE)*$Q232</f>
        <v>490.552681140731</v>
      </c>
      <c r="AH232" s="81">
        <f>VLOOKUP(B232,'Player Data'!$A1:$AE667,22,FALSE)</f>
        <v>0.490709251902129</v>
      </c>
      <c r="AI232" s="77"/>
      <c r="AJ232" s="79"/>
      <c r="AK232" s="79"/>
      <c r="AL232" s="79"/>
      <c r="AM232" s="79"/>
      <c r="AN232" s="79"/>
      <c r="AO232" s="79"/>
      <c r="AP232" s="79"/>
      <c r="AQ232" s="82"/>
      <c r="AR232" s="83"/>
      <c r="AS232" s="84"/>
    </row>
    <row r="233" ht="21.25" customHeight="1">
      <c r="A233" s="85">
        <f>RANK(K233,K$1:K$665)</f>
        <v>226</v>
      </c>
      <c r="B233" t="s" s="16">
        <v>421</v>
      </c>
      <c r="C233" t="s" s="69">
        <v>127</v>
      </c>
      <c r="D233" t="s" s="70">
        <f>VLOOKUP(B233,'Player Data'!A1:D667,4,FALSE)</f>
        <v>153</v>
      </c>
      <c r="E233" s="95">
        <f>VLOOKUP(B233,'D'!A1:C213,3,FALSE)</f>
        <v>69</v>
      </c>
      <c r="F233" t="s" s="86">
        <f>VLOOKUP(B233,'Player Data'!A1:B667,2,FALSE)</f>
        <v>132</v>
      </c>
      <c r="G233" s="91">
        <f>VLOOKUP(B233,'Player Data'!A1:D667,3,FALSE)</f>
        <v>32</v>
      </c>
      <c r="H233" s="73">
        <f>_xlfn.IFERROR(VLOOKUP(B233,'ADP'!A1:G665,7,FALSE)/1000000,VLOOKUP(B233,'ADP'!A1:G665,7,FALSE))</f>
        <v>1.5</v>
      </c>
      <c r="I233" s="74">
        <f>IF('Settings'!$E$15="POINTS",((R233*Q233)*'Settings'!$B$12)+(S233*'Settings'!$B$2)+(T233*'Settings'!$B$3)+(U233*'Settings'!$B$4)+(V233*'Settings'!$B$5)+(X233*'Settings'!$B$9)+(AA233*'Settings'!$B$6)+(W233*'Settings'!$B$8)+(AB233*'Settings'!$B$7)+(AC233*'Settings'!$B$14)+(AD233*'Settings'!$B$15)+(AE233*'Settings'!$B$16)+(AF233*'Settings'!$B$17)+(AG233*'Settings'!$B$18)+(U233*'Settings'!$B$13)+(Y233*'Settings'!$B$10)+(Z233*'Settings'!$B$11),VLOOKUP(B233,'Standard Deviations'!A1:C666,3,FALSE))</f>
        <v>256.131014095195</v>
      </c>
      <c r="J233" s="75">
        <f>IF(D233="G",I233/AJ233,I233/Q233)</f>
        <v>3.25721388815661</v>
      </c>
      <c r="K233" s="74">
        <f>VLOOKUP(B233,'D'!A1:F213,6,FALSE)</f>
        <v>-75.409193824887</v>
      </c>
      <c r="L233" s="76">
        <f>_xlfn.IFERROR(K233/H233,"N/A")</f>
        <v>-50.272795883258</v>
      </c>
      <c r="M233" s="109">
        <f>IF('Settings'!$E$9="YAHOO",VLOOKUP(B233,'ADP'!A1:E665,2,FALSE),IF('Settings'!$E$9="ESPN",VLOOKUP(B233,'ADP'!A1:E665,3,FALSE),IF('Settings'!$E$9="FANTRAX",VLOOKUP(B233,'ADP'!A1:E665,4,FALSE),VLOOKUP(B233,'ADP'!A1:E665,5,FALSE))))</f>
        <v>0</v>
      </c>
      <c r="N233" s="79">
        <f>_xlfn.IFERROR(M233-A233,"N/A")</f>
        <v>-226</v>
      </c>
      <c r="O233" s="77"/>
      <c r="P233" t="s" s="78">
        <f>IF('Settings'!$E$27="ON",VLOOKUP(B233,'ADP'!A1:H665,8,FALSE)," ")</f>
        <v>138</v>
      </c>
      <c r="Q233" s="79">
        <f>IF('Settings'!$E$12="YES",VLOOKUP(B233,'Player Data'!A1:E667,5,FALSE),82)</f>
        <v>78.63500000000001</v>
      </c>
      <c r="R233" s="77">
        <f>VLOOKUP(B233,'Player Data'!$A1:$AE667,6,FALSE)</f>
        <v>18.261038774881</v>
      </c>
      <c r="S233" s="79">
        <f>VLOOKUP(B233,'Player Data'!$A1:$AE667,7,FALSE)*$Q233*_xlfn.IFERROR((VLOOKUP(P233,'Settings'!$E$28:$F$33,2,FALSE)+1),1)</f>
        <v>3.65401040758551</v>
      </c>
      <c r="T233" s="79">
        <f>VLOOKUP(B233,'Player Data'!$A1:$AE667,8,FALSE)*$Q233*_xlfn.IFERROR((VLOOKUP(P233,'Settings'!$E$28:$F$33,2,FALSE)+1),1)</f>
        <v>10.0423531148788</v>
      </c>
      <c r="U233" s="79">
        <f>SUM(S233:T233)</f>
        <v>13.6963635224643</v>
      </c>
      <c r="V233" s="79">
        <f>VLOOKUP(B233,'Player Data'!$A1:$AE667,10,FALSE)*$Q233*_xlfn.IFERROR(((VLOOKUP(P233,'Settings'!$E$28:$F$33,2,FALSE)/2)+1),1)</f>
        <v>71.0332919444341</v>
      </c>
      <c r="W233" s="79">
        <f>VLOOKUP(B233,'Player Data'!$A1:$AE667,11,FALSE)*$Q233*_xlfn.IFERROR((VLOOKUP(P233,'Settings'!$E$28:$F$33,2,FALSE)+1),1)</f>
        <v>0.0146433212553495</v>
      </c>
      <c r="X233" s="79">
        <f>VLOOKUP(B233,'Player Data'!$A1:$AE667,12,FALSE)*$Q233*_xlfn.IFERROR((VLOOKUP(P233,'Settings'!$E$28:$F$33,2,FALSE)+1),1)</f>
        <v>0.0957124623058835</v>
      </c>
      <c r="Y233" s="79">
        <f>VLOOKUP(B233,'Player Data'!$A1:$AE667,13,FALSE)*$Q233</f>
        <v>0.0250587287757912</v>
      </c>
      <c r="Z233" s="79">
        <f>VLOOKUP(B233,'Player Data'!$A1:$AE667,14,FALSE)*$Q233</f>
        <v>0.254362287945074</v>
      </c>
      <c r="AA233" s="79">
        <f>VLOOKUP(B233,'Player Data'!$A1:$AE667,15,FALSE)*$Q233</f>
        <v>133.474555768835</v>
      </c>
      <c r="AB233" s="79">
        <f>VLOOKUP(B233,'Player Data'!$A1:$AE667,16,FALSE)*$Q233</f>
        <v>200.437509160388</v>
      </c>
      <c r="AC233" s="79">
        <f>VLOOKUP(B233,'Player Data'!$A1:$AE667,17,FALSE)*$Q233*_xlfn.IFERROR((VLOOKUP(P233,'Settings'!$E$28:$F$33,2,FALSE)+1),1)</f>
        <v>3.23723738384394</v>
      </c>
      <c r="AD233" s="79">
        <f>VLOOKUP(B233,'Player Data'!$A1:$AE667,18,FALSE)*$Q233</f>
        <v>43.2756300398708</v>
      </c>
      <c r="AE233" s="79">
        <f>VLOOKUP(B233,'Player Data'!$A1:$AE667,19,FALSE)*$Q233*_xlfn.IFERROR((VLOOKUP(P233,'Settings'!$E$28:$F$33,2,FALSE)+1),1)</f>
        <v>0.584576164879657</v>
      </c>
      <c r="AF233" s="79">
        <f>VLOOKUP(B233,'Player Data'!$A1:$AE667,20,FALSE)*$Q233</f>
        <v>0</v>
      </c>
      <c r="AG233" s="79">
        <f>VLOOKUP(B233,'Player Data'!$A1:$AE667,21,FALSE)*$Q233</f>
        <v>0</v>
      </c>
      <c r="AH233" s="81">
        <f>VLOOKUP(B233,'Player Data'!$A1:$AE667,22,FALSE)</f>
        <v>0</v>
      </c>
      <c r="AI233" s="77"/>
      <c r="AJ233" s="79"/>
      <c r="AK233" s="79"/>
      <c r="AL233" s="79"/>
      <c r="AM233" s="79"/>
      <c r="AN233" s="79"/>
      <c r="AO233" s="79"/>
      <c r="AP233" s="79"/>
      <c r="AQ233" s="82"/>
      <c r="AR233" s="83"/>
      <c r="AS233" s="84"/>
    </row>
    <row r="234" ht="21.25" customHeight="1">
      <c r="A234" s="85">
        <f>RANK(K234,K$1:K$665)</f>
        <v>229</v>
      </c>
      <c r="B234" t="s" s="16">
        <v>422</v>
      </c>
      <c r="C234" t="s" s="69">
        <v>127</v>
      </c>
      <c r="D234" t="s" s="70">
        <f>VLOOKUP(B234,'Player Data'!A1:D667,4,FALSE)</f>
        <v>153</v>
      </c>
      <c r="E234" s="95">
        <f>VLOOKUP(B234,'D'!A1:C213,3,FALSE)</f>
        <v>70</v>
      </c>
      <c r="F234" t="s" s="78">
        <f>VLOOKUP(B234,'Player Data'!A1:B667,2,FALSE)</f>
        <v>134</v>
      </c>
      <c r="G234" s="91">
        <f>VLOOKUP(B234,'Player Data'!A1:D667,3,FALSE)</f>
        <v>32</v>
      </c>
      <c r="H234" s="73">
        <f>_xlfn.IFERROR(VLOOKUP(B234,'ADP'!A1:G665,7,FALSE)/1000000,VLOOKUP(B234,'ADP'!A1:G665,7,FALSE))</f>
        <v>4.5</v>
      </c>
      <c r="I234" s="74">
        <f>IF('Settings'!$E$15="POINTS",((R234*Q234)*'Settings'!$B$12)+(S234*'Settings'!$B$2)+(T234*'Settings'!$B$3)+(U234*'Settings'!$B$4)+(V234*'Settings'!$B$5)+(X234*'Settings'!$B$9)+(AA234*'Settings'!$B$6)+(W234*'Settings'!$B$8)+(AB234*'Settings'!$B$7)+(AC234*'Settings'!$B$14)+(AD234*'Settings'!$B$15)+(AE234*'Settings'!$B$16)+(AF234*'Settings'!$B$17)+(AG234*'Settings'!$B$18)+(U234*'Settings'!$B$13)+(Y234*'Settings'!$B$10)+(Z234*'Settings'!$B$11),VLOOKUP(B234,'Standard Deviations'!A1:C666,3,FALSE))</f>
        <v>255.490023804129</v>
      </c>
      <c r="J234" s="75">
        <f>IF(D234="G",I234/AJ234,I234/Q234)</f>
        <v>3.55328429198052</v>
      </c>
      <c r="K234" s="74">
        <f>VLOOKUP(B234,'D'!A1:F213,6,FALSE)</f>
        <v>-76.050184115953</v>
      </c>
      <c r="L234" s="76">
        <f>_xlfn.IFERROR(K234/H234,"N/A")</f>
        <v>-16.9000409146562</v>
      </c>
      <c r="M234" s="109">
        <f>IF('Settings'!$E$9="YAHOO",VLOOKUP(B234,'ADP'!A1:E665,2,FALSE),IF('Settings'!$E$9="ESPN",VLOOKUP(B234,'ADP'!A1:E665,3,FALSE),IF('Settings'!$E$9="FANTRAX",VLOOKUP(B234,'ADP'!A1:E665,4,FALSE),VLOOKUP(B234,'ADP'!A1:E665,5,FALSE))))</f>
        <v>0</v>
      </c>
      <c r="N234" s="79">
        <f>_xlfn.IFERROR(M234-A234,"N/A")</f>
        <v>-229</v>
      </c>
      <c r="O234" s="77"/>
      <c r="P234" t="s" s="78">
        <f>IF('Settings'!$E$27="ON",VLOOKUP(B234,'ADP'!A1:H665,8,FALSE)," ")</f>
        <v>138</v>
      </c>
      <c r="Q234" s="79">
        <f>IF('Settings'!$E$12="YES",VLOOKUP(B234,'Player Data'!A1:E667,5,FALSE),82)</f>
        <v>71.9025</v>
      </c>
      <c r="R234" s="77">
        <f>VLOOKUP(B234,'Player Data'!$A1:$AE667,6,FALSE)</f>
        <v>18.6244521953179</v>
      </c>
      <c r="S234" s="79">
        <f>VLOOKUP(B234,'Player Data'!$A1:$AE667,7,FALSE)*$Q234*_xlfn.IFERROR((VLOOKUP(P234,'Settings'!$E$28:$F$33,2,FALSE)+1),1)</f>
        <v>5.78498673267511</v>
      </c>
      <c r="T234" s="79">
        <f>VLOOKUP(B234,'Player Data'!$A1:$AE667,8,FALSE)*$Q234*_xlfn.IFERROR((VLOOKUP(P234,'Settings'!$E$28:$F$33,2,FALSE)+1),1)</f>
        <v>14.7496767152149</v>
      </c>
      <c r="U234" s="79">
        <f>SUM(S234:T234)</f>
        <v>20.534663447890</v>
      </c>
      <c r="V234" s="79">
        <f>VLOOKUP(B234,'Player Data'!$A1:$AE667,10,FALSE)*$Q234*_xlfn.IFERROR(((VLOOKUP(P234,'Settings'!$E$28:$F$33,2,FALSE)/2)+1),1)</f>
        <v>110.814887544951</v>
      </c>
      <c r="W234" s="79">
        <f>VLOOKUP(B234,'Player Data'!$A1:$AE667,11,FALSE)*$Q234*_xlfn.IFERROR((VLOOKUP(P234,'Settings'!$E$28:$F$33,2,FALSE)+1),1)</f>
        <v>0.0159665896722219</v>
      </c>
      <c r="X234" s="79">
        <f>VLOOKUP(B234,'Player Data'!$A1:$AE667,12,FALSE)*$Q234*_xlfn.IFERROR((VLOOKUP(P234,'Settings'!$E$28:$F$33,2,FALSE)+1),1)</f>
        <v>0.102697024472846</v>
      </c>
      <c r="Y234" s="79">
        <f>VLOOKUP(B234,'Player Data'!$A1:$AE667,13,FALSE)*$Q234</f>
        <v>0.0313285585826235</v>
      </c>
      <c r="Z234" s="79">
        <f>VLOOKUP(B234,'Player Data'!$A1:$AE667,14,FALSE)*$Q234</f>
        <v>0.574798441944264</v>
      </c>
      <c r="AA234" s="79">
        <f>VLOOKUP(B234,'Player Data'!$A1:$AE667,15,FALSE)*$Q234</f>
        <v>108.424056392917</v>
      </c>
      <c r="AB234" s="79">
        <f>VLOOKUP(B234,'Player Data'!$A1:$AE667,16,FALSE)*$Q234</f>
        <v>180.205528690746</v>
      </c>
      <c r="AC234" s="79">
        <f>VLOOKUP(B234,'Player Data'!$A1:$AE667,17,FALSE)*$Q234*_xlfn.IFERROR((VLOOKUP(P234,'Settings'!$E$28:$F$33,2,FALSE)+1),1)</f>
        <v>3.13030478007294</v>
      </c>
      <c r="AD234" s="79">
        <f>VLOOKUP(B234,'Player Data'!$A1:$AE667,18,FALSE)*$Q234</f>
        <v>68.0164126739658</v>
      </c>
      <c r="AE234" s="79">
        <f>VLOOKUP(B234,'Player Data'!$A1:$AE667,19,FALSE)*$Q234*_xlfn.IFERROR((VLOOKUP(P234,'Settings'!$E$28:$F$33,2,FALSE)+1),1)</f>
        <v>0.864338654774401</v>
      </c>
      <c r="AF234" s="79">
        <f>VLOOKUP(B234,'Player Data'!$A1:$AE667,20,FALSE)*$Q234</f>
        <v>0</v>
      </c>
      <c r="AG234" s="79">
        <f>VLOOKUP(B234,'Player Data'!$A1:$AE667,21,FALSE)*$Q234</f>
        <v>0.782375407178737</v>
      </c>
      <c r="AH234" s="81">
        <f>VLOOKUP(B234,'Player Data'!$A1:$AE667,22,FALSE)</f>
        <v>0</v>
      </c>
      <c r="AI234" s="77"/>
      <c r="AJ234" s="79"/>
      <c r="AK234" s="79"/>
      <c r="AL234" s="79"/>
      <c r="AM234" s="79"/>
      <c r="AN234" s="79"/>
      <c r="AO234" s="79"/>
      <c r="AP234" s="79"/>
      <c r="AQ234" s="82"/>
      <c r="AR234" s="83"/>
      <c r="AS234" s="84"/>
    </row>
    <row r="235" ht="21.25" customHeight="1">
      <c r="A235" s="85">
        <f>RANK(K235,K$1:K$665)</f>
        <v>230</v>
      </c>
      <c r="B235" t="s" s="16">
        <v>423</v>
      </c>
      <c r="C235" t="s" s="69">
        <v>127</v>
      </c>
      <c r="D235" t="s" s="70">
        <f>VLOOKUP(B235,'Player Data'!A1:D667,4,FALSE)</f>
        <v>153</v>
      </c>
      <c r="E235" s="95">
        <f>VLOOKUP(B235,'D'!A1:C213,3,FALSE)</f>
        <v>71</v>
      </c>
      <c r="F235" t="s" s="86">
        <f>VLOOKUP(B235,'Player Data'!A1:B667,2,FALSE)</f>
        <v>192</v>
      </c>
      <c r="G235" s="96">
        <f>VLOOKUP(B235,'Player Data'!A1:D667,3,FALSE)</f>
        <v>24</v>
      </c>
      <c r="H235" s="94">
        <f>_xlfn.IFERROR(VLOOKUP(B235,'ADP'!A1:G665,7,FALSE)/1000000,VLOOKUP(B235,'ADP'!A1:G665,7,FALSE))</f>
        <v>2.675</v>
      </c>
      <c r="I235" s="74">
        <f>IF('Settings'!$E$15="POINTS",((R235*Q235)*'Settings'!$B$12)+(S235*'Settings'!$B$2)+(T235*'Settings'!$B$3)+(U235*'Settings'!$B$4)+(V235*'Settings'!$B$5)+(X235*'Settings'!$B$9)+(AA235*'Settings'!$B$6)+(W235*'Settings'!$B$8)+(AB235*'Settings'!$B$7)+(AC235*'Settings'!$B$14)+(AD235*'Settings'!$B$15)+(AE235*'Settings'!$B$16)+(AF235*'Settings'!$B$17)+(AG235*'Settings'!$B$18)+(U235*'Settings'!$B$13)+(Y235*'Settings'!$B$10)+(Z235*'Settings'!$B$11),VLOOKUP(B235,'Standard Deviations'!A1:C666,3,FALSE))</f>
        <v>254.997663708398</v>
      </c>
      <c r="J235" s="75">
        <f>IF(D235="G",I235/AJ235,I235/Q235)</f>
        <v>3.31909360200967</v>
      </c>
      <c r="K235" s="74">
        <f>VLOOKUP(B235,'D'!A1:F213,6,FALSE)</f>
        <v>-76.542544211684</v>
      </c>
      <c r="L235" s="76">
        <f>_xlfn.IFERROR(K235/H235,"N/A")</f>
        <v>-28.6140352193211</v>
      </c>
      <c r="M235" s="109">
        <f>IF('Settings'!$E$9="YAHOO",VLOOKUP(B235,'ADP'!A1:E665,2,FALSE),IF('Settings'!$E$9="ESPN",VLOOKUP(B235,'ADP'!A1:E665,3,FALSE),IF('Settings'!$E$9="FANTRAX",VLOOKUP(B235,'ADP'!A1:E665,4,FALSE),VLOOKUP(B235,'ADP'!A1:E665,5,FALSE))))</f>
        <v>0</v>
      </c>
      <c r="N235" s="79">
        <f>_xlfn.IFERROR(M235-A235,"N/A")</f>
        <v>-230</v>
      </c>
      <c r="O235" s="77"/>
      <c r="P235" t="s" s="78">
        <f>IF('Settings'!$E$27="ON",VLOOKUP(B235,'ADP'!A1:H665,8,FALSE)," ")</f>
        <v>138</v>
      </c>
      <c r="Q235" s="79">
        <f>IF('Settings'!$E$12="YES",VLOOKUP(B235,'Player Data'!A1:E667,5,FALSE),82)</f>
        <v>76.8275</v>
      </c>
      <c r="R235" s="108">
        <f>VLOOKUP(B235,'Player Data'!$A1:$AE667,6,FALSE)</f>
        <v>18.1163442704902</v>
      </c>
      <c r="S235" s="79">
        <f>VLOOKUP(B235,'Player Data'!$A1:$AE667,7,FALSE)*$Q235*_xlfn.IFERROR((VLOOKUP(P235,'Settings'!$E$28:$F$33,2,FALSE)+1),1)</f>
        <v>4.94918715023507</v>
      </c>
      <c r="T235" s="79">
        <f>VLOOKUP(B235,'Player Data'!$A1:$AE667,8,FALSE)*$Q235*_xlfn.IFERROR((VLOOKUP(P235,'Settings'!$E$28:$F$33,2,FALSE)+1),1)</f>
        <v>12.5105626802938</v>
      </c>
      <c r="U235" s="79">
        <f>SUM(S235:T235)</f>
        <v>17.4597498305289</v>
      </c>
      <c r="V235" s="79">
        <f>VLOOKUP(B235,'Player Data'!$A1:$AE667,10,FALSE)*$Q235*_xlfn.IFERROR(((VLOOKUP(P235,'Settings'!$E$28:$F$33,2,FALSE)/2)+1),1)</f>
        <v>76.2345685011139</v>
      </c>
      <c r="W235" s="79">
        <f>VLOOKUP(B235,'Player Data'!$A1:$AE667,11,FALSE)*$Q235*_xlfn.IFERROR((VLOOKUP(P235,'Settings'!$E$28:$F$33,2,FALSE)+1),1)</f>
        <v>0.0200302968860861</v>
      </c>
      <c r="X235" s="79">
        <f>VLOOKUP(B235,'Player Data'!$A1:$AE667,12,FALSE)*$Q235*_xlfn.IFERROR((VLOOKUP(P235,'Settings'!$E$28:$F$33,2,FALSE)+1),1)</f>
        <v>0.128753794399212</v>
      </c>
      <c r="Y235" s="79">
        <f>VLOOKUP(B235,'Player Data'!$A1:$AE667,13,FALSE)*$Q235</f>
        <v>0.223133321636416</v>
      </c>
      <c r="Z235" s="79">
        <f>VLOOKUP(B235,'Player Data'!$A1:$AE667,14,FALSE)*$Q235</f>
        <v>1.08768019748419</v>
      </c>
      <c r="AA235" s="79">
        <f>VLOOKUP(B235,'Player Data'!$A1:$AE667,15,FALSE)*$Q235</f>
        <v>123.040358064871</v>
      </c>
      <c r="AB235" s="79">
        <f>VLOOKUP(B235,'Player Data'!$A1:$AE667,16,FALSE)*$Q235</f>
        <v>187.438846743023</v>
      </c>
      <c r="AC235" s="79">
        <f>VLOOKUP(B235,'Player Data'!$A1:$AE667,17,FALSE)*$Q235*_xlfn.IFERROR((VLOOKUP(P235,'Settings'!$E$28:$F$33,2,FALSE)+1),1)</f>
        <v>-3.28878142438829</v>
      </c>
      <c r="AD235" s="79">
        <f>VLOOKUP(B235,'Player Data'!$A1:$AE667,18,FALSE)*$Q235</f>
        <v>28.5304342128034</v>
      </c>
      <c r="AE235" s="79">
        <f>VLOOKUP(B235,'Player Data'!$A1:$AE667,19,FALSE)*$Q235*_xlfn.IFERROR((VLOOKUP(P235,'Settings'!$E$28:$F$33,2,FALSE)+1),1)</f>
        <v>0.702351694848281</v>
      </c>
      <c r="AF235" s="79">
        <f>VLOOKUP(B235,'Player Data'!$A1:$AE667,20,FALSE)*$Q235</f>
        <v>0</v>
      </c>
      <c r="AG235" s="79">
        <f>VLOOKUP(B235,'Player Data'!$A1:$AE667,21,FALSE)*$Q235</f>
        <v>0</v>
      </c>
      <c r="AH235" s="81">
        <f>VLOOKUP(B235,'Player Data'!$A1:$AE667,22,FALSE)</f>
        <v>0</v>
      </c>
      <c r="AI235" s="77"/>
      <c r="AJ235" s="79"/>
      <c r="AK235" s="79"/>
      <c r="AL235" s="79"/>
      <c r="AM235" s="79"/>
      <c r="AN235" s="79"/>
      <c r="AO235" s="79"/>
      <c r="AP235" s="79"/>
      <c r="AQ235" s="82"/>
      <c r="AR235" s="83"/>
      <c r="AS235" s="84"/>
    </row>
    <row r="236" ht="21.25" customHeight="1">
      <c r="A236" s="85">
        <f>RANK(K236,K$1:K$665)</f>
        <v>246</v>
      </c>
      <c r="B236" t="s" s="16">
        <v>424</v>
      </c>
      <c r="C236" t="s" s="69">
        <v>127</v>
      </c>
      <c r="D236" t="s" s="70">
        <f>VLOOKUP(B236,'Player Data'!A1:D667,4,FALSE)</f>
        <v>178</v>
      </c>
      <c r="E236" s="102">
        <f>VLOOKUP(B236,'LW'!A1:C152,3,FALSE)</f>
        <v>57</v>
      </c>
      <c r="F236" t="s" s="88">
        <f>VLOOKUP(B236,'Player Data'!A1:B667,2,FALSE)</f>
        <v>239</v>
      </c>
      <c r="G236" s="11">
        <f>VLOOKUP(B236,'Player Data'!A1:D667,3,FALSE)</f>
        <v>26</v>
      </c>
      <c r="H236" s="94">
        <f>_xlfn.IFERROR(VLOOKUP(B236,'ADP'!A1:G665,7,FALSE)/1000000,VLOOKUP(B236,'ADP'!A1:G665,7,FALSE))</f>
        <v>0.8125</v>
      </c>
      <c r="I236" s="74">
        <f>IF('Settings'!$E$15="POINTS",((R236*Q236)*'Settings'!$B$12)+(S236*'Settings'!$B$2)+(T236*'Settings'!$B$3)+(U236*'Settings'!$B$4)+(V236*'Settings'!$B$5)+(X236*'Settings'!$B$9)+(AA236*'Settings'!$B$6)+(W236*'Settings'!$B$8)+(AB236*'Settings'!$B$7)+(AC236*'Settings'!$B$14)+(AD236*'Settings'!$B$15)+(AE236*'Settings'!$B$16)+(AF236*'Settings'!$B$17)+(AG236*'Settings'!$B$18)+(Y236*'Settings'!$B$10)+(Z236*'Settings'!$B$11),VLOOKUP(B236,'Standard Deviations'!A1:C666,3,FALSE))</f>
        <v>247.613441342134</v>
      </c>
      <c r="J236" s="75">
        <f>IF(D236="G",I236/AJ236,I236/Q236)</f>
        <v>3.41112331370897</v>
      </c>
      <c r="K236" s="74">
        <f>IF('Settings'!$E$18="C/LW/RW",VLOOKUP(B236,'LW'!A1:F152,6,FALSE),VLOOKUP(B236,'F'!A1:F392,6,FALSE))</f>
        <v>-84.106670424078</v>
      </c>
      <c r="L236" s="76">
        <f>_xlfn.IFERROR(K236/H236,"N/A")</f>
        <v>-103.515902060404</v>
      </c>
      <c r="M236" s="109">
        <f>IF('Settings'!$E$9="YAHOO",VLOOKUP(B236,'ADP'!A1:E665,2,FALSE),IF('Settings'!$E$9="ESPN",VLOOKUP(B236,'ADP'!A1:E665,3,FALSE),IF('Settings'!$E$9="FANTRAX",VLOOKUP(B236,'ADP'!A1:E665,4,FALSE),VLOOKUP(B236,'ADP'!A1:E665,5,FALSE))))</f>
        <v>0</v>
      </c>
      <c r="N236" s="79">
        <f>_xlfn.IFERROR(M236-A236,"N/A")</f>
        <v>-246</v>
      </c>
      <c r="O236" s="77"/>
      <c r="P236" t="s" s="78">
        <f>IF('Settings'!$E$27="ON",VLOOKUP(B236,'ADP'!A1:H665,8,FALSE)," ")</f>
        <v>138</v>
      </c>
      <c r="Q236" s="79">
        <f>IF('Settings'!$E$12="YES",VLOOKUP(B236,'Player Data'!A1:E667,5,FALSE),82)</f>
        <v>72.59</v>
      </c>
      <c r="R236" s="98">
        <f>VLOOKUP(B236,'Player Data'!$A1:$AE667,6,FALSE)</f>
        <v>9.933400198119729</v>
      </c>
      <c r="S236" s="79">
        <f>VLOOKUP(B236,'Player Data'!$A1:$AE667,7,FALSE)*$Q236*_xlfn.IFERROR((VLOOKUP(P236,'Settings'!$E$28:$F$33,2,FALSE)+1),1)</f>
        <v>6.82128939791759</v>
      </c>
      <c r="T236" s="79">
        <f>VLOOKUP(B236,'Player Data'!$A1:$AE667,8,FALSE)*$Q236*_xlfn.IFERROR((VLOOKUP(P236,'Settings'!$E$28:$F$33,2,FALSE)+1),1)</f>
        <v>10.9520346619836</v>
      </c>
      <c r="U236" s="79">
        <f>SUM(S236:T236)</f>
        <v>17.7733240599012</v>
      </c>
      <c r="V236" s="79">
        <f>VLOOKUP(B236,'Player Data'!$A1:$AE667,10,FALSE)*$Q236*_xlfn.IFERROR(((VLOOKUP(P236,'Settings'!$E$28:$F$33,2,FALSE)/2)+1),1)</f>
        <v>73.16817175522699</v>
      </c>
      <c r="W236" s="79">
        <f>VLOOKUP(B236,'Player Data'!$A1:$AE667,11,FALSE)*$Q236*_xlfn.IFERROR((VLOOKUP(P236,'Settings'!$E$28:$F$33,2,FALSE)+1),1)</f>
        <v>0.0352603449819553</v>
      </c>
      <c r="X236" s="79">
        <f>VLOOKUP(B236,'Player Data'!$A1:$AE667,12,FALSE)*$Q236*_xlfn.IFERROR((VLOOKUP(P236,'Settings'!$E$28:$F$33,2,FALSE)+1),1)</f>
        <v>0.0982392604176929</v>
      </c>
      <c r="Y236" s="79">
        <f>VLOOKUP(B236,'Player Data'!$A1:$AE667,13,FALSE)*$Q236</f>
        <v>0.0387269632352467</v>
      </c>
      <c r="Z236" s="79">
        <f>VLOOKUP(B236,'Player Data'!$A1:$AE667,14,FALSE)*$Q236</f>
        <v>0.06586769339356249</v>
      </c>
      <c r="AA236" s="79">
        <f>VLOOKUP(B236,'Player Data'!$A1:$AE667,15,FALSE)*$Q236</f>
        <v>37.3417276836732</v>
      </c>
      <c r="AB236" s="79">
        <f>VLOOKUP(B236,'Player Data'!$A1:$AE667,16,FALSE)*$Q236</f>
        <v>286.372681216199</v>
      </c>
      <c r="AC236" s="79">
        <f>VLOOKUP(B236,'Player Data'!$A1:$AE667,17,FALSE)*$Q236*_xlfn.IFERROR((VLOOKUP(P236,'Settings'!$E$28:$F$33,2,FALSE)+1),1)</f>
        <v>-3.86012501158246</v>
      </c>
      <c r="AD236" s="79">
        <f>VLOOKUP(B236,'Player Data'!$A1:$AE667,18,FALSE)*$Q236</f>
        <v>67.00852117157039</v>
      </c>
      <c r="AE236" s="79">
        <f>VLOOKUP(B236,'Player Data'!$A1:$AE667,19,FALSE)*$Q236*_xlfn.IFERROR((VLOOKUP(P236,'Settings'!$E$28:$F$33,2,FALSE)+1),1)</f>
        <v>0.790596122433643</v>
      </c>
      <c r="AF236" s="79">
        <f>VLOOKUP(B236,'Player Data'!$A1:$AE667,20,FALSE)*$Q236</f>
        <v>9.525427820881649</v>
      </c>
      <c r="AG236" s="79">
        <f>VLOOKUP(B236,'Player Data'!$A1:$AE667,21,FALSE)*$Q236</f>
        <v>12.128715003592</v>
      </c>
      <c r="AH236" s="81">
        <f>VLOOKUP(B236,'Player Data'!$A1:$AE667,22,FALSE)</f>
        <v>0.43988939659694</v>
      </c>
      <c r="AI236" s="77"/>
      <c r="AJ236" s="79"/>
      <c r="AK236" s="79"/>
      <c r="AL236" s="79"/>
      <c r="AM236" s="79"/>
      <c r="AN236" s="79"/>
      <c r="AO236" s="79"/>
      <c r="AP236" s="79"/>
      <c r="AQ236" s="82"/>
      <c r="AR236" s="83"/>
      <c r="AS236" s="84"/>
    </row>
    <row r="237" ht="21.25" customHeight="1">
      <c r="A237" s="85">
        <f>RANK(K237,K$1:K$665)</f>
        <v>231</v>
      </c>
      <c r="B237" t="s" s="16">
        <v>425</v>
      </c>
      <c r="C237" t="s" s="69">
        <v>127</v>
      </c>
      <c r="D237" t="s" s="70">
        <f>VLOOKUP(B237,'Player Data'!A1:D667,4,FALSE)</f>
        <v>153</v>
      </c>
      <c r="E237" s="95">
        <f>VLOOKUP(B237,'D'!A1:C213,3,FALSE)</f>
        <v>72</v>
      </c>
      <c r="F237" t="s" s="78">
        <f>VLOOKUP(B237,'Player Data'!A1:B667,2,FALSE)</f>
        <v>261</v>
      </c>
      <c r="G237" s="11">
        <f>VLOOKUP(B237,'Player Data'!A1:D667,3,FALSE)</f>
        <v>25</v>
      </c>
      <c r="H237" s="73">
        <f>_xlfn.IFERROR(VLOOKUP(B237,'ADP'!A1:G665,7,FALSE)/1000000,VLOOKUP(B237,'ADP'!A1:G665,7,FALSE))</f>
        <v>6</v>
      </c>
      <c r="I237" s="74">
        <f>IF('Settings'!$E$15="POINTS",((R237*Q237)*'Settings'!$B$12)+(S237*'Settings'!$B$2)+(T237*'Settings'!$B$3)+(U237*'Settings'!$B$4)+(V237*'Settings'!$B$5)+(X237*'Settings'!$B$9)+(AA237*'Settings'!$B$6)+(W237*'Settings'!$B$8)+(AB237*'Settings'!$B$7)+(AC237*'Settings'!$B$14)+(AD237*'Settings'!$B$15)+(AE237*'Settings'!$B$16)+(AF237*'Settings'!$B$17)+(AG237*'Settings'!$B$18)+(U237*'Settings'!$B$13)+(Y237*'Settings'!$B$10)+(Z237*'Settings'!$B$11),VLOOKUP(B237,'Standard Deviations'!A1:C666,3,FALSE))</f>
        <v>254.486402030753</v>
      </c>
      <c r="J237" s="75">
        <f>IF(D237="G",I237/AJ237,I237/Q237)</f>
        <v>3.27145394049046</v>
      </c>
      <c r="K237" s="74">
        <f>VLOOKUP(B237,'D'!A1:F213,6,FALSE)</f>
        <v>-77.053805889329</v>
      </c>
      <c r="L237" s="76">
        <f>_xlfn.IFERROR(K237/H237,"N/A")</f>
        <v>-12.8423009815548</v>
      </c>
      <c r="M237" s="77">
        <f>IF('Settings'!$E$9="YAHOO",VLOOKUP(B237,'ADP'!A1:E665,2,FALSE),IF('Settings'!$E$9="ESPN",VLOOKUP(B237,'ADP'!A1:E665,3,FALSE),IF('Settings'!$E$9="FANTRAX",VLOOKUP(B237,'ADP'!A1:E665,4,FALSE),VLOOKUP(B237,'ADP'!A1:E665,5,FALSE))))</f>
        <v>0</v>
      </c>
      <c r="N237" s="77">
        <f>_xlfn.IFERROR(M237-A237,"N/A")</f>
        <v>-231</v>
      </c>
      <c r="O237" s="77"/>
      <c r="P237" t="s" s="78">
        <f>IF('Settings'!$E$27="ON",VLOOKUP(B237,'ADP'!A1:H665,8,FALSE)," ")</f>
        <v>138</v>
      </c>
      <c r="Q237" s="79">
        <f>IF('Settings'!$E$12="YES",VLOOKUP(B237,'Player Data'!A1:E667,5,FALSE),82)</f>
        <v>77.79000000000001</v>
      </c>
      <c r="R237" s="108">
        <f>VLOOKUP(B237,'Player Data'!$A1:$AE667,6,FALSE)</f>
        <v>20.1419908427147</v>
      </c>
      <c r="S237" s="79">
        <f>VLOOKUP(B237,'Player Data'!$A1:$AE667,7,FALSE)*$Q237*_xlfn.IFERROR((VLOOKUP(P237,'Settings'!$E$28:$F$33,2,FALSE)+1),1)</f>
        <v>7.42306202381998</v>
      </c>
      <c r="T237" s="79">
        <f>VLOOKUP(B237,'Player Data'!$A1:$AE667,8,FALSE)*$Q237*_xlfn.IFERROR((VLOOKUP(P237,'Settings'!$E$28:$F$33,2,FALSE)+1),1)</f>
        <v>26.8932178100419</v>
      </c>
      <c r="U237" s="79">
        <f>SUM(S237:T237)</f>
        <v>34.3162798338619</v>
      </c>
      <c r="V237" s="79">
        <f>VLOOKUP(B237,'Player Data'!$A1:$AE667,10,FALSE)*$Q237*_xlfn.IFERROR(((VLOOKUP(P237,'Settings'!$E$28:$F$33,2,FALSE)/2)+1),1)</f>
        <v>124.490649372458</v>
      </c>
      <c r="W237" s="79">
        <f>VLOOKUP(B237,'Player Data'!$A1:$AE667,11,FALSE)*$Q237*_xlfn.IFERROR((VLOOKUP(P237,'Settings'!$E$28:$F$33,2,FALSE)+1),1)</f>
        <v>1.47443495416158</v>
      </c>
      <c r="X237" s="79">
        <f>VLOOKUP(B237,'Player Data'!$A1:$AE667,12,FALSE)*$Q237*_xlfn.IFERROR((VLOOKUP(P237,'Settings'!$E$28:$F$33,2,FALSE)+1),1)</f>
        <v>10.7387466583345</v>
      </c>
      <c r="Y237" s="79">
        <f>VLOOKUP(B237,'Player Data'!$A1:$AE667,13,FALSE)*$Q237</f>
        <v>0.0196092439531825</v>
      </c>
      <c r="Z237" s="79">
        <f>VLOOKUP(B237,'Player Data'!$A1:$AE667,14,FALSE)*$Q237</f>
        <v>0.222252537345154</v>
      </c>
      <c r="AA237" s="79">
        <f>VLOOKUP(B237,'Player Data'!$A1:$AE667,15,FALSE)*$Q237</f>
        <v>145.610321295092</v>
      </c>
      <c r="AB237" s="79">
        <f>VLOOKUP(B237,'Player Data'!$A1:$AE667,16,FALSE)*$Q237</f>
        <v>62.0317813310848</v>
      </c>
      <c r="AC237" s="79">
        <f>VLOOKUP(B237,'Player Data'!$A1:$AE667,17,FALSE)*$Q237*_xlfn.IFERROR((VLOOKUP(P237,'Settings'!$E$28:$F$33,2,FALSE)+1),1)</f>
        <v>-0.543997454100781</v>
      </c>
      <c r="AD237" s="79">
        <f>VLOOKUP(B237,'Player Data'!$A1:$AE667,18,FALSE)*$Q237</f>
        <v>50.8248046099927</v>
      </c>
      <c r="AE237" s="79">
        <f>VLOOKUP(B237,'Player Data'!$A1:$AE667,19,FALSE)*$Q237*_xlfn.IFERROR((VLOOKUP(P237,'Settings'!$E$28:$F$33,2,FALSE)+1),1)</f>
        <v>1.08621215897958</v>
      </c>
      <c r="AF237" s="79">
        <f>VLOOKUP(B237,'Player Data'!$A1:$AE667,20,FALSE)*$Q237</f>
        <v>0</v>
      </c>
      <c r="AG237" s="79">
        <f>VLOOKUP(B237,'Player Data'!$A1:$AE667,21,FALSE)*$Q237</f>
        <v>0</v>
      </c>
      <c r="AH237" s="81">
        <f>VLOOKUP(B237,'Player Data'!$A1:$AE667,22,FALSE)</f>
        <v>0</v>
      </c>
      <c r="AI237" s="77"/>
      <c r="AJ237" s="79"/>
      <c r="AK237" s="79"/>
      <c r="AL237" s="79"/>
      <c r="AM237" s="79"/>
      <c r="AN237" s="79"/>
      <c r="AO237" s="79"/>
      <c r="AP237" s="79"/>
      <c r="AQ237" s="82"/>
      <c r="AR237" s="83"/>
      <c r="AS237" s="84"/>
    </row>
    <row r="238" ht="21.25" customHeight="1">
      <c r="A238" s="85">
        <f>RANK(K238,K$1:K$665)</f>
        <v>240</v>
      </c>
      <c r="B238" t="s" s="16">
        <v>426</v>
      </c>
      <c r="C238" t="s" s="69">
        <v>127</v>
      </c>
      <c r="D238" t="s" s="70">
        <f>VLOOKUP(B238,'Player Data'!A1:D667,4,FALSE)</f>
        <v>145</v>
      </c>
      <c r="E238" s="87">
        <f>VLOOKUP(B238,'RW'!A1:C136,3,FALSE)</f>
        <v>49</v>
      </c>
      <c r="F238" t="s" s="86">
        <f>VLOOKUP(B238,'Player Data'!A1:B667,2,FALSE)</f>
        <v>174</v>
      </c>
      <c r="G238" s="11">
        <f>VLOOKUP(B238,'Player Data'!A1:D667,3,FALSE)</f>
        <v>24</v>
      </c>
      <c r="H238" s="73">
        <f>_xlfn.IFERROR(VLOOKUP(B238,'ADP'!A1:G665,7,FALSE)/1000000,VLOOKUP(B238,'ADP'!A1:G665,7,FALSE))</f>
        <v>1</v>
      </c>
      <c r="I238" s="74">
        <f>IF('Settings'!$E$15="POINTS",((R238*Q238)*'Settings'!$B$12)+(S238*'Settings'!$B$2)+(T238*'Settings'!$B$3)+(U238*'Settings'!$B$4)+(V238*'Settings'!$B$5)+(X238*'Settings'!$B$9)+(AA238*'Settings'!$B$6)+(W238*'Settings'!$B$8)+(AB238*'Settings'!$B$7)+(AC238*'Settings'!$B$14)+(AD238*'Settings'!$B$15)+(AE238*'Settings'!$B$16)+(AF238*'Settings'!$B$17)+(AG238*'Settings'!$B$18)+(Y238*'Settings'!$B$10)+(Z238*'Settings'!$B$11),VLOOKUP(B238,'Standard Deviations'!A1:C666,3,FALSE))</f>
        <v>247.225567381071</v>
      </c>
      <c r="J238" s="75">
        <f>IF(D238="G",I238/AJ238,I238/Q238)</f>
        <v>3.33435251710933</v>
      </c>
      <c r="K238" s="74">
        <f>IF('Settings'!$E$18="C/LW/RW",VLOOKUP(B238,'RW'!A1:F136,6,FALSE),VLOOKUP(B238,'F'!A1:F392,6,FALSE))</f>
        <v>-82.466326700107</v>
      </c>
      <c r="L238" s="76">
        <f>_xlfn.IFERROR(K238/H238,"N/A")</f>
        <v>-82.466326700107</v>
      </c>
      <c r="M238" s="77">
        <f>IF('Settings'!$E$9="YAHOO",VLOOKUP(B238,'ADP'!A1:E665,2,FALSE),IF('Settings'!$E$9="ESPN",VLOOKUP(B238,'ADP'!A1:E665,3,FALSE),IF('Settings'!$E$9="FANTRAX",VLOOKUP(B238,'ADP'!A1:E665,4,FALSE),VLOOKUP(B238,'ADP'!A1:E665,5,FALSE))))</f>
        <v>0</v>
      </c>
      <c r="N238" s="77">
        <f>_xlfn.IFERROR(M238-A238,"N/A")</f>
        <v>-240</v>
      </c>
      <c r="O238" s="77"/>
      <c r="P238" t="s" s="78">
        <f>IF('Settings'!$E$27="ON",VLOOKUP(B238,'ADP'!A1:H665,8,FALSE)," ")</f>
        <v>138</v>
      </c>
      <c r="Q238" s="79">
        <f>IF('Settings'!$E$12="YES",VLOOKUP(B238,'Player Data'!A1:E667,5,FALSE),82)</f>
        <v>74.145</v>
      </c>
      <c r="R238" s="77">
        <f>VLOOKUP(B238,'Player Data'!$A1:$AE667,6,FALSE)</f>
        <v>12.5798189552195</v>
      </c>
      <c r="S238" s="79">
        <f>VLOOKUP(B238,'Player Data'!$A1:$AE667,7,FALSE)*$Q238*_xlfn.IFERROR((VLOOKUP(P238,'Settings'!$E$28:$F$33,2,FALSE)+1),1)</f>
        <v>9.57764156301848</v>
      </c>
      <c r="T238" s="79">
        <f>VLOOKUP(B238,'Player Data'!$A1:$AE667,8,FALSE)*$Q238*_xlfn.IFERROR((VLOOKUP(P238,'Settings'!$E$28:$F$33,2,FALSE)+1),1)</f>
        <v>16.7001292661529</v>
      </c>
      <c r="U238" s="79">
        <f>SUM(S238:T238)</f>
        <v>26.2777708291714</v>
      </c>
      <c r="V238" s="79">
        <f>VLOOKUP(B238,'Player Data'!$A1:$AE667,10,FALSE)*$Q238*_xlfn.IFERROR(((VLOOKUP(P238,'Settings'!$E$28:$F$33,2,FALSE)/2)+1),1)</f>
        <v>132.893219331916</v>
      </c>
      <c r="W238" s="79">
        <f>VLOOKUP(B238,'Player Data'!$A1:$AE667,11,FALSE)*$Q238*_xlfn.IFERROR((VLOOKUP(P238,'Settings'!$E$28:$F$33,2,FALSE)+1),1)</f>
        <v>0.239553242003687</v>
      </c>
      <c r="X238" s="79">
        <f>VLOOKUP(B238,'Player Data'!$A1:$AE667,12,FALSE)*$Q238*_xlfn.IFERROR((VLOOKUP(P238,'Settings'!$E$28:$F$33,2,FALSE)+1),1)</f>
        <v>0.550243718226868</v>
      </c>
      <c r="Y238" s="79">
        <f>VLOOKUP(B238,'Player Data'!$A1:$AE667,13,FALSE)*$Q238</f>
        <v>0.0044135407766555</v>
      </c>
      <c r="Z238" s="79">
        <f>VLOOKUP(B238,'Player Data'!$A1:$AE667,14,FALSE)*$Q238</f>
        <v>0.00742696061187535</v>
      </c>
      <c r="AA238" s="79">
        <f>VLOOKUP(B238,'Player Data'!$A1:$AE667,15,FALSE)*$Q238</f>
        <v>27.3603912135333</v>
      </c>
      <c r="AB238" s="79">
        <f>VLOOKUP(B238,'Player Data'!$A1:$AE667,16,FALSE)*$Q238</f>
        <v>232.382778452720</v>
      </c>
      <c r="AC238" s="79">
        <f>VLOOKUP(B238,'Player Data'!$A1:$AE667,17,FALSE)*$Q238*_xlfn.IFERROR((VLOOKUP(P238,'Settings'!$E$28:$F$33,2,FALSE)+1),1)</f>
        <v>-0.876822917233533</v>
      </c>
      <c r="AD238" s="79">
        <f>VLOOKUP(B238,'Player Data'!$A1:$AE667,18,FALSE)*$Q238</f>
        <v>59.9408113484144</v>
      </c>
      <c r="AE238" s="79">
        <f>VLOOKUP(B238,'Player Data'!$A1:$AE667,19,FALSE)*$Q238*_xlfn.IFERROR((VLOOKUP(P238,'Settings'!$E$28:$F$33,2,FALSE)+1),1)</f>
        <v>1.39147595392161</v>
      </c>
      <c r="AF238" s="79">
        <f>VLOOKUP(B238,'Player Data'!$A1:$AE667,20,FALSE)*$Q238</f>
        <v>26.7714993298632</v>
      </c>
      <c r="AG238" s="79">
        <f>VLOOKUP(B238,'Player Data'!$A1:$AE667,21,FALSE)*$Q238</f>
        <v>32.5913904885291</v>
      </c>
      <c r="AH238" s="81">
        <f>VLOOKUP(B238,'Player Data'!$A1:$AE667,22,FALSE)</f>
        <v>0.450980392156863</v>
      </c>
      <c r="AI238" s="77"/>
      <c r="AJ238" s="89"/>
      <c r="AK238" s="79"/>
      <c r="AL238" s="79"/>
      <c r="AM238" s="79"/>
      <c r="AN238" s="79"/>
      <c r="AO238" s="79"/>
      <c r="AP238" s="79"/>
      <c r="AQ238" s="82"/>
      <c r="AR238" s="83"/>
      <c r="AS238" s="84"/>
    </row>
    <row r="239" ht="21.25" customHeight="1">
      <c r="A239" s="85">
        <f>RANK(K239,K$1:K$665)</f>
        <v>249</v>
      </c>
      <c r="B239" t="s" s="16">
        <v>427</v>
      </c>
      <c r="C239" t="s" s="69">
        <v>127</v>
      </c>
      <c r="D239" t="s" s="70">
        <f>VLOOKUP(B239,'Player Data'!A1:D667,4,FALSE)</f>
        <v>178</v>
      </c>
      <c r="E239" s="102">
        <f>VLOOKUP(B239,'LW'!A1:C152,3,FALSE)</f>
        <v>58</v>
      </c>
      <c r="F239" t="s" s="100">
        <f>VLOOKUP(B239,'Player Data'!A1:B667,2,FALSE)</f>
        <v>172</v>
      </c>
      <c r="G239" s="11">
        <f>VLOOKUP(B239,'Player Data'!A1:D667,3,FALSE)</f>
        <v>28</v>
      </c>
      <c r="H239" s="73">
        <f>_xlfn.IFERROR(VLOOKUP(B239,'ADP'!A1:G665,7,FALSE)/1000000,VLOOKUP(B239,'ADP'!A1:G665,7,FALSE))</f>
        <v>4.5</v>
      </c>
      <c r="I239" s="74">
        <f>IF('Settings'!$E$15="POINTS",((R239*Q239)*'Settings'!$B$12)+(S239*'Settings'!$B$2)+(T239*'Settings'!$B$3)+(U239*'Settings'!$B$4)+(V239*'Settings'!$B$5)+(X239*'Settings'!$B$9)+(AA239*'Settings'!$B$6)+(W239*'Settings'!$B$8)+(AB239*'Settings'!$B$7)+(AC239*'Settings'!$B$14)+(AD239*'Settings'!$B$15)+(AE239*'Settings'!$B$16)+(AF239*'Settings'!$B$17)+(AG239*'Settings'!$B$18)+(Y239*'Settings'!$B$10)+(Z239*'Settings'!$B$11),VLOOKUP(B239,'Standard Deviations'!A1:C666,3,FALSE))</f>
        <v>247.018352061362</v>
      </c>
      <c r="J239" s="75">
        <f>IF(D239="G",I239/AJ239,I239/Q239)</f>
        <v>3.02894886191548</v>
      </c>
      <c r="K239" s="74">
        <f>IF('Settings'!$E$18="C/LW/RW",VLOOKUP(B239,'LW'!A1:F152,6,FALSE),VLOOKUP(B239,'F'!A1:F392,6,FALSE))</f>
        <v>-84.70175970485001</v>
      </c>
      <c r="L239" s="76">
        <f>_xlfn.IFERROR(K239/H239,"N/A")</f>
        <v>-18.8226132677444</v>
      </c>
      <c r="M239" s="109">
        <f>IF('Settings'!$E$9="YAHOO",VLOOKUP(B239,'ADP'!A1:E665,2,FALSE),IF('Settings'!$E$9="ESPN",VLOOKUP(B239,'ADP'!A1:E665,3,FALSE),IF('Settings'!$E$9="FANTRAX",VLOOKUP(B239,'ADP'!A1:E665,4,FALSE),VLOOKUP(B239,'ADP'!A1:E665,5,FALSE))))</f>
        <v>0</v>
      </c>
      <c r="N239" s="79">
        <f>_xlfn.IFERROR(M239-A239,"N/A")</f>
        <v>-249</v>
      </c>
      <c r="O239" s="77"/>
      <c r="P239" t="s" s="78">
        <f>IF('Settings'!$E$27="ON",VLOOKUP(B239,'ADP'!A1:H665,8,FALSE)," ")</f>
        <v>428</v>
      </c>
      <c r="Q239" s="79">
        <f>IF('Settings'!$E$12="YES",VLOOKUP(B239,'Player Data'!A1:E667,5,FALSE),82)</f>
        <v>81.55249999999999</v>
      </c>
      <c r="R239" s="98">
        <f>VLOOKUP(B239,'Player Data'!$A1:$AE667,6,FALSE)</f>
        <v>17.1898901990267</v>
      </c>
      <c r="S239" s="79">
        <f>VLOOKUP(B239,'Player Data'!$A1:$AE667,7,FALSE)*$Q239*_xlfn.IFERROR((VLOOKUP(P239,'Settings'!$E$28:$F$33,2,FALSE)+1),1)</f>
        <v>21.4646251792653</v>
      </c>
      <c r="T239" s="79">
        <f>VLOOKUP(B239,'Player Data'!$A1:$AE667,8,FALSE)*$Q239*_xlfn.IFERROR((VLOOKUP(P239,'Settings'!$E$28:$F$33,2,FALSE)+1),1)</f>
        <v>34.3396689810179</v>
      </c>
      <c r="U239" s="79">
        <f>SUM(S239:T239)</f>
        <v>55.8042941602832</v>
      </c>
      <c r="V239" s="79">
        <f>VLOOKUP(B239,'Player Data'!$A1:$AE667,10,FALSE)*$Q239*_xlfn.IFERROR(((VLOOKUP(P239,'Settings'!$E$28:$F$33,2,FALSE)/2)+1),1)</f>
        <v>183.337790027587</v>
      </c>
      <c r="W239" s="79">
        <f>VLOOKUP(B239,'Player Data'!$A1:$AE667,11,FALSE)*$Q239*_xlfn.IFERROR((VLOOKUP(P239,'Settings'!$E$28:$F$33,2,FALSE)+1),1)</f>
        <v>8.019023669275651</v>
      </c>
      <c r="X239" s="80">
        <f>VLOOKUP(B239,'Player Data'!$A1:$AE667,12,FALSE)*$Q239*_xlfn.IFERROR((VLOOKUP(P239,'Settings'!$E$28:$F$33,2,FALSE)+1),1)</f>
        <v>19.9597043402534</v>
      </c>
      <c r="Y239" s="79">
        <f>VLOOKUP(B239,'Player Data'!$A1:$AE667,13,FALSE)*$Q239</f>
        <v>0.0053865386087038</v>
      </c>
      <c r="Z239" s="79">
        <f>VLOOKUP(B239,'Player Data'!$A1:$AE667,14,FALSE)*$Q239</f>
        <v>0.00916742262398494</v>
      </c>
      <c r="AA239" s="79">
        <f>VLOOKUP(B239,'Player Data'!$A1:$AE667,15,FALSE)*$Q239</f>
        <v>23.2523360280135</v>
      </c>
      <c r="AB239" s="79">
        <f>VLOOKUP(B239,'Player Data'!$A1:$AE667,16,FALSE)*$Q239</f>
        <v>64.7607261796917</v>
      </c>
      <c r="AC239" s="79">
        <f>VLOOKUP(B239,'Player Data'!$A1:$AE667,17,FALSE)*$Q239*_xlfn.IFERROR((VLOOKUP(P239,'Settings'!$E$28:$F$33,2,FALSE)+1),1)</f>
        <v>0.748161432706083</v>
      </c>
      <c r="AD239" s="79">
        <f>VLOOKUP(B239,'Player Data'!$A1:$AE667,18,FALSE)*$Q239</f>
        <v>61.9161116389934</v>
      </c>
      <c r="AE239" s="79">
        <f>VLOOKUP(B239,'Player Data'!$A1:$AE667,19,FALSE)*$Q239*_xlfn.IFERROR((VLOOKUP(P239,'Settings'!$E$28:$F$33,2,FALSE)+1),1)</f>
        <v>3.18197833141997</v>
      </c>
      <c r="AF239" s="79">
        <f>VLOOKUP(B239,'Player Data'!$A1:$AE667,20,FALSE)*$Q239</f>
        <v>7.59964024191504</v>
      </c>
      <c r="AG239" s="79">
        <f>VLOOKUP(B239,'Player Data'!$A1:$AE667,21,FALSE)*$Q239</f>
        <v>13.4768677991344</v>
      </c>
      <c r="AH239" s="81">
        <f>VLOOKUP(B239,'Player Data'!$A1:$AE667,22,FALSE)</f>
        <v>0.360573973027871</v>
      </c>
      <c r="AI239" s="77"/>
      <c r="AJ239" s="89"/>
      <c r="AK239" s="79"/>
      <c r="AL239" s="79"/>
      <c r="AM239" s="79"/>
      <c r="AN239" s="79"/>
      <c r="AO239" s="79"/>
      <c r="AP239" s="79"/>
      <c r="AQ239" s="82"/>
      <c r="AR239" s="83"/>
      <c r="AS239" s="84"/>
    </row>
    <row r="240" ht="21.25" customHeight="1">
      <c r="A240" s="85">
        <f>RANK(K240,K$1:K$665)</f>
        <v>257</v>
      </c>
      <c r="B240" t="s" s="16">
        <v>429</v>
      </c>
      <c r="C240" t="s" s="69">
        <v>127</v>
      </c>
      <c r="D240" t="s" s="70">
        <f>VLOOKUP(B240,'Player Data'!A1:D667,4,FALSE)</f>
        <v>128</v>
      </c>
      <c r="E240" s="71">
        <f>VLOOKUP(B240,'C'!A1:C206,3,FALSE)</f>
        <v>82</v>
      </c>
      <c r="F240" t="s" s="78">
        <f>VLOOKUP(B240,'Player Data'!A1:B667,2,FALSE)</f>
        <v>134</v>
      </c>
      <c r="G240" s="11">
        <f>VLOOKUP(B240,'Player Data'!A1:D667,3,FALSE)</f>
        <v>27</v>
      </c>
      <c r="H240" s="73">
        <f>_xlfn.IFERROR(VLOOKUP(B240,'ADP'!A1:G665,7,FALSE)/1000000,VLOOKUP(B240,'ADP'!A1:G665,7,FALSE))</f>
        <v>4</v>
      </c>
      <c r="I240" s="74">
        <f>IF('Settings'!$E$15="POINTS",((R240*Q240)*'Settings'!$B$12)+(S240*'Settings'!$B$2)+(T240*'Settings'!$B$3)+(U240*'Settings'!$B$4)+(V240*'Settings'!$B$5)+(X240*'Settings'!$B$9)+(AA240*'Settings'!$B$6)+(W240*'Settings'!$B$8)+(AB240*'Settings'!$B$7)+(AC240*'Settings'!$B$14)+(AD240*'Settings'!$B$15)+(AE240*'Settings'!$B$16)+(AF240*'Settings'!$B$17)+(AG240*'Settings'!$B$18)+(Y240*'Settings'!$B$10)+(Z240*'Settings'!$B$11),VLOOKUP(B240,'Standard Deviations'!A1:C666,3,FALSE))</f>
        <v>241.793000654110</v>
      </c>
      <c r="J240" s="75">
        <f>IF(D240="G",I240/AJ240,I240/Q240)</f>
        <v>2.97637175755175</v>
      </c>
      <c r="K240" s="74">
        <f>IF('Settings'!$E$18="C/LW/RW",VLOOKUP(B240,'C'!A1:F206,6,FALSE),VLOOKUP(B240,'F'!A1:F392,6,FALSE))</f>
        <v>-87.898893427068</v>
      </c>
      <c r="L240" s="76">
        <f>_xlfn.IFERROR(K240/H240,"N/A")</f>
        <v>-21.974723356767</v>
      </c>
      <c r="M240" s="109">
        <f>IF('Settings'!$E$9="YAHOO",VLOOKUP(B240,'ADP'!A1:E665,2,FALSE),IF('Settings'!$E$9="ESPN",VLOOKUP(B240,'ADP'!A1:E665,3,FALSE),IF('Settings'!$E$9="FANTRAX",VLOOKUP(B240,'ADP'!A1:E665,4,FALSE),VLOOKUP(B240,'ADP'!A1:E665,5,FALSE))))</f>
        <v>0</v>
      </c>
      <c r="N240" s="79">
        <f>_xlfn.IFERROR(M240-A240,"N/A")</f>
        <v>-257</v>
      </c>
      <c r="O240" s="77"/>
      <c r="P240" t="s" s="78">
        <f>IF('Settings'!$E$27="ON",VLOOKUP(B240,'ADP'!A1:H665,8,FALSE)," ")</f>
        <v>138</v>
      </c>
      <c r="Q240" s="79">
        <f>IF('Settings'!$E$12="YES",VLOOKUP(B240,'Player Data'!A1:E667,5,FALSE),82)</f>
        <v>81.2375</v>
      </c>
      <c r="R240" s="77">
        <f>VLOOKUP(B240,'Player Data'!$A1:$AE667,6,FALSE)</f>
        <v>13.0156902063109</v>
      </c>
      <c r="S240" s="79">
        <f>VLOOKUP(B240,'Player Data'!$A1:$AE667,7,FALSE)*$Q240*_xlfn.IFERROR((VLOOKUP(P240,'Settings'!$E$28:$F$33,2,FALSE)+1),1)</f>
        <v>16.0284346038598</v>
      </c>
      <c r="T240" s="79">
        <f>VLOOKUP(B240,'Player Data'!$A1:$AE667,8,FALSE)*$Q240*_xlfn.IFERROR((VLOOKUP(P240,'Settings'!$E$28:$F$33,2,FALSE)+1),1)</f>
        <v>18.3138343394804</v>
      </c>
      <c r="U240" s="79">
        <f>SUM(S240:T240)</f>
        <v>34.3422689433402</v>
      </c>
      <c r="V240" s="79">
        <f>VLOOKUP(B240,'Player Data'!$A1:$AE667,10,FALSE)*$Q240*_xlfn.IFERROR(((VLOOKUP(P240,'Settings'!$E$28:$F$33,2,FALSE)/2)+1),1)</f>
        <v>142.031907326279</v>
      </c>
      <c r="W240" s="79">
        <f>VLOOKUP(B240,'Player Data'!$A1:$AE667,11,FALSE)*$Q240*_xlfn.IFERROR((VLOOKUP(P240,'Settings'!$E$28:$F$33,2,FALSE)+1),1)</f>
        <v>1.38831016666314</v>
      </c>
      <c r="X240" s="79">
        <f>VLOOKUP(B240,'Player Data'!$A1:$AE667,12,FALSE)*$Q240*_xlfn.IFERROR((VLOOKUP(P240,'Settings'!$E$28:$F$33,2,FALSE)+1),1)</f>
        <v>3.30557088540033</v>
      </c>
      <c r="Y240" s="79">
        <f>VLOOKUP(B240,'Player Data'!$A1:$AE667,13,FALSE)*$Q240</f>
        <v>0.0483626801629127</v>
      </c>
      <c r="Z240" s="79">
        <f>VLOOKUP(B240,'Player Data'!$A1:$AE667,14,FALSE)*$Q240</f>
        <v>0.0820062819181003</v>
      </c>
      <c r="AA240" s="79">
        <f>VLOOKUP(B240,'Player Data'!$A1:$AE667,15,FALSE)*$Q240</f>
        <v>41.5932775515919</v>
      </c>
      <c r="AB240" s="79">
        <f>VLOOKUP(B240,'Player Data'!$A1:$AE667,16,FALSE)*$Q240</f>
        <v>150.933994805390</v>
      </c>
      <c r="AC240" s="79">
        <f>VLOOKUP(B240,'Player Data'!$A1:$AE667,17,FALSE)*$Q240*_xlfn.IFERROR((VLOOKUP(P240,'Settings'!$E$28:$F$33,2,FALSE)+1),1)</f>
        <v>2.39265864761521</v>
      </c>
      <c r="AD240" s="79">
        <f>VLOOKUP(B240,'Player Data'!$A1:$AE667,18,FALSE)*$Q240</f>
        <v>38.2188884868625</v>
      </c>
      <c r="AE240" s="79">
        <f>VLOOKUP(B240,'Player Data'!$A1:$AE667,19,FALSE)*$Q240*_xlfn.IFERROR((VLOOKUP(P240,'Settings'!$E$28:$F$33,2,FALSE)+1),1)</f>
        <v>2.394818906911</v>
      </c>
      <c r="AF240" s="79">
        <f>VLOOKUP(B240,'Player Data'!$A1:$AE667,20,FALSE)*$Q240</f>
        <v>364.118100244678</v>
      </c>
      <c r="AG240" s="79">
        <f>VLOOKUP(B240,'Player Data'!$A1:$AE667,21,FALSE)*$Q240</f>
        <v>320.317702994073</v>
      </c>
      <c r="AH240" s="81">
        <f>VLOOKUP(B240,'Player Data'!$A1:$AE667,22,FALSE)</f>
        <v>0.5319974474182541</v>
      </c>
      <c r="AI240" s="77"/>
      <c r="AJ240" s="79"/>
      <c r="AK240" s="79"/>
      <c r="AL240" s="79"/>
      <c r="AM240" s="79"/>
      <c r="AN240" s="79"/>
      <c r="AO240" s="79"/>
      <c r="AP240" s="79"/>
      <c r="AQ240" s="82"/>
      <c r="AR240" s="83"/>
      <c r="AS240" s="84"/>
    </row>
    <row r="241" ht="21.25" customHeight="1">
      <c r="A241" s="85">
        <f>RANK(K241,K$1:K$665)</f>
        <v>241</v>
      </c>
      <c r="B241" t="s" s="16">
        <v>430</v>
      </c>
      <c r="C241" t="s" s="69">
        <v>127</v>
      </c>
      <c r="D241" t="s" s="70">
        <f>VLOOKUP(B241,'Player Data'!A1:D667,4,FALSE)</f>
        <v>140</v>
      </c>
      <c r="E241" s="90">
        <f>VLOOKUP(B241,'RW'!A1:F136,3,FALSE)</f>
        <v>50</v>
      </c>
      <c r="F241" t="s" s="106">
        <f>VLOOKUP(B241,'Player Data'!A1:B667,2,FALSE)</f>
        <v>242</v>
      </c>
      <c r="G241" s="96">
        <f>VLOOKUP(B241,'Player Data'!A1:D667,3,FALSE)</f>
        <v>19</v>
      </c>
      <c r="H241" s="73">
        <f>_xlfn.IFERROR(VLOOKUP(B241,'ADP'!A1:G665,7,FALSE)/1000000,VLOOKUP(B241,'ADP'!A1:G665,7,FALSE))</f>
        <v>0.95</v>
      </c>
      <c r="I241" s="74">
        <f>IF('Settings'!$E$15="POINTS",((R241*Q241)*'Settings'!$B$12)+(S241*'Settings'!$B$2)+(T241*'Settings'!$B$3)+(U241*'Settings'!$B$4)+(V241*'Settings'!$B$5)+(X241*'Settings'!$B$9)+(AA241*'Settings'!$B$6)+(W241*'Settings'!$B$8)+(AB241*'Settings'!$B$7)+(AC241*'Settings'!$B$14)+(AD241*'Settings'!$B$15)+(AE241*'Settings'!$B$16)+(AF241*'Settings'!$B$17)+(AG241*'Settings'!$B$18)+(Y241*'Settings'!$B$10)+(Z241*'Settings'!$B$11),VLOOKUP(B241,'Standard Deviations'!A1:C666,3,FALSE))</f>
        <v>246.883001644896</v>
      </c>
      <c r="J241" s="75">
        <f>IF(D241="G",I241/AJ241,I241/Q241)</f>
        <v>3.24846054795916</v>
      </c>
      <c r="K241" s="74">
        <f>IF('Settings'!$E$18="C/LW/RW",VLOOKUP(B241,'RW'!A1:F136,6,FALSE),VLOOKUP(B241,'F'!A1:F392,6,FALSE))</f>
        <v>-82.80889243628199</v>
      </c>
      <c r="L241" s="76">
        <f>_xlfn.IFERROR(K241/H241,"N/A")</f>
        <v>-87.1672551960863</v>
      </c>
      <c r="M241" s="77">
        <f>IF('Settings'!$E$9="YAHOO",VLOOKUP(B241,'ADP'!A1:E665,2,FALSE),IF('Settings'!$E$9="ESPN",VLOOKUP(B241,'ADP'!A1:E665,3,FALSE),IF('Settings'!$E$9="FANTRAX",VLOOKUP(B241,'ADP'!A1:E665,4,FALSE),VLOOKUP(B241,'ADP'!A1:E665,5,FALSE))))</f>
        <v>0</v>
      </c>
      <c r="N241" s="77">
        <f>_xlfn.IFERROR(M241-A241,"N/A")</f>
        <v>-241</v>
      </c>
      <c r="O241" s="77"/>
      <c r="P241" t="s" s="78">
        <f>IF('Settings'!$E$27="ON",VLOOKUP(B241,'ADP'!A1:H665,8,FALSE)," ")</f>
        <v>138</v>
      </c>
      <c r="Q241" s="79">
        <f>IF('Settings'!$E$12="YES",VLOOKUP(B241,'Player Data'!A1:E667,5,FALSE),82)</f>
        <v>76</v>
      </c>
      <c r="R241" s="77">
        <f>VLOOKUP(B241,'Player Data'!$A1:$AE667,6,FALSE)</f>
        <v>16</v>
      </c>
      <c r="S241" s="79">
        <f>VLOOKUP(B241,'Player Data'!$A1:$AE667,7,FALSE)*$Q241*_xlfn.IFERROR((VLOOKUP(P241,'Settings'!$E$28:$F$33,2,FALSE)+1),1)</f>
        <v>21.5701162261265</v>
      </c>
      <c r="T241" s="79">
        <f>VLOOKUP(B241,'Player Data'!$A1:$AE667,8,FALSE)*$Q241*_xlfn.IFERROR((VLOOKUP(P241,'Settings'!$E$28:$F$33,2,FALSE)+1),1)</f>
        <v>28.338539338567</v>
      </c>
      <c r="U241" s="79">
        <f>SUM(S241:T241)</f>
        <v>49.9086555646935</v>
      </c>
      <c r="V241" s="79">
        <f>VLOOKUP(B241,'Player Data'!$A1:$AE667,10,FALSE)*$Q241*_xlfn.IFERROR(((VLOOKUP(P241,'Settings'!$E$28:$F$33,2,FALSE)/2)+1),1)</f>
        <v>159.769790165234</v>
      </c>
      <c r="W241" s="79">
        <f>VLOOKUP(B241,'Player Data'!$A1:$AE667,11,FALSE)*$Q241*_xlfn.IFERROR((VLOOKUP(P241,'Settings'!$E$28:$F$33,2,FALSE)+1),1)</f>
        <v>5.8240698317217</v>
      </c>
      <c r="X241" s="101">
        <f>VLOOKUP(B241,'Player Data'!$A1:$AE667,12,FALSE)*$Q241*_xlfn.IFERROR((VLOOKUP(P241,'Settings'!$E$28:$F$33,2,FALSE)+1),1)</f>
        <v>13.4756573478287</v>
      </c>
      <c r="Y241" s="79">
        <f>VLOOKUP(B241,'Player Data'!$A1:$AE667,13,FALSE)*$Q241</f>
        <v>0</v>
      </c>
      <c r="Z241" s="79">
        <f>VLOOKUP(B241,'Player Data'!$A1:$AE667,14,FALSE)*$Q241</f>
        <v>0</v>
      </c>
      <c r="AA241" s="79">
        <f>VLOOKUP(B241,'Player Data'!$A1:$AE667,15,FALSE)*$Q241</f>
        <v>32.9951219512195</v>
      </c>
      <c r="AB241" s="79">
        <f>VLOOKUP(B241,'Player Data'!$A1:$AE667,16,FALSE)*$Q241</f>
        <v>89.9150226483118</v>
      </c>
      <c r="AC241" s="79">
        <f>VLOOKUP(B241,'Player Data'!$A1:$AE667,17,FALSE)*$Q241*_xlfn.IFERROR((VLOOKUP(P241,'Settings'!$E$28:$F$33,2,FALSE)+1),1)</f>
        <v>-2.34195879410199</v>
      </c>
      <c r="AD241" s="79">
        <f>VLOOKUP(B241,'Player Data'!$A1:$AE667,18,FALSE)*$Q241</f>
        <v>30.7090842771463</v>
      </c>
      <c r="AE241" s="79">
        <f>VLOOKUP(B241,'Player Data'!$A1:$AE667,19,FALSE)*$Q241*_xlfn.IFERROR((VLOOKUP(P241,'Settings'!$E$28:$F$33,2,FALSE)+1),1)</f>
        <v>3.12657814443105</v>
      </c>
      <c r="AF241" s="79">
        <f>VLOOKUP(B241,'Player Data'!$A1:$AE667,20,FALSE)*$Q241</f>
        <v>0</v>
      </c>
      <c r="AG241" s="79">
        <f>VLOOKUP(B241,'Player Data'!$A1:$AE667,21,FALSE)*$Q241</f>
        <v>0</v>
      </c>
      <c r="AH241" s="81">
        <f>VLOOKUP(B241,'Player Data'!$A1:$AE667,22,FALSE)</f>
        <v>0</v>
      </c>
      <c r="AI241" s="77"/>
      <c r="AJ241" s="89"/>
      <c r="AK241" s="79"/>
      <c r="AL241" s="79"/>
      <c r="AM241" s="79"/>
      <c r="AN241" s="79"/>
      <c r="AO241" s="79"/>
      <c r="AP241" s="79"/>
      <c r="AQ241" s="82"/>
      <c r="AR241" s="83"/>
      <c r="AS241" s="84"/>
    </row>
    <row r="242" ht="21.25" customHeight="1">
      <c r="A242" s="85">
        <f>RANK(K242,K$1:K$665)</f>
        <v>242</v>
      </c>
      <c r="B242" t="s" s="16">
        <v>431</v>
      </c>
      <c r="C242" t="s" s="69">
        <v>127</v>
      </c>
      <c r="D242" t="s" s="70">
        <f>VLOOKUP(B242,'Player Data'!A1:D667,4,FALSE)</f>
        <v>148</v>
      </c>
      <c r="E242" s="87">
        <f>VLOOKUP(B242,'RW'!A1:C136,3,FALSE)</f>
        <v>51</v>
      </c>
      <c r="F242" t="s" s="78">
        <f>VLOOKUP(B242,'Player Data'!A1:B667,2,FALSE)</f>
        <v>244</v>
      </c>
      <c r="G242" s="11">
        <f>VLOOKUP(B242,'Player Data'!A1:D667,3,FALSE)</f>
        <v>29</v>
      </c>
      <c r="H242" s="73">
        <f>_xlfn.IFERROR(VLOOKUP(B242,'ADP'!A1:G665,7,FALSE)/1000000,VLOOKUP(B242,'ADP'!A1:G665,7,FALSE))</f>
        <v>5.4</v>
      </c>
      <c r="I242" s="74">
        <f>IF('Settings'!$E$15="POINTS",((R242*Q242)*'Settings'!$B$12)+(S242*'Settings'!$B$2)+(T242*'Settings'!$B$3)+(U242*'Settings'!$B$4)+(V242*'Settings'!$B$5)+(X242*'Settings'!$B$9)+(AA242*'Settings'!$B$6)+(W242*'Settings'!$B$8)+(AB242*'Settings'!$B$7)+(AC242*'Settings'!$B$14)+(AD242*'Settings'!$B$15)+(AE242*'Settings'!$B$16)+(AF242*'Settings'!$B$17)+(AG242*'Settings'!$B$18)+(Y242*'Settings'!$B$10)+(Z242*'Settings'!$B$11),VLOOKUP(B242,'Standard Deviations'!A1:C666,3,FALSE))</f>
        <v>246.829452360016</v>
      </c>
      <c r="J242" s="75">
        <f>IF(D242="G",I242/AJ242,I242/Q242)</f>
        <v>3.14272284644787</v>
      </c>
      <c r="K242" s="74">
        <f>IF('Settings'!$E$18="C/LW/RW",VLOOKUP(B242,'RW'!A1:F136,6,FALSE),VLOOKUP(B242,'F'!A1:F392,6,FALSE))</f>
        <v>-82.862441721162</v>
      </c>
      <c r="L242" s="76">
        <f>_xlfn.IFERROR(K242/H242,"N/A")</f>
        <v>-15.344896615030</v>
      </c>
      <c r="M242" s="77">
        <f>IF('Settings'!$E$9="YAHOO",VLOOKUP(B242,'ADP'!A1:E665,2,FALSE),IF('Settings'!$E$9="ESPN",VLOOKUP(B242,'ADP'!A1:E665,3,FALSE),IF('Settings'!$E$9="FANTRAX",VLOOKUP(B242,'ADP'!A1:E665,4,FALSE),VLOOKUP(B242,'ADP'!A1:E665,5,FALSE))))</f>
        <v>0</v>
      </c>
      <c r="N242" s="77">
        <f>_xlfn.IFERROR(M242-A242,"N/A")</f>
        <v>-242</v>
      </c>
      <c r="O242" s="77"/>
      <c r="P242" t="s" s="78">
        <f>IF('Settings'!$E$27="ON",VLOOKUP(B242,'ADP'!A1:H665,8,FALSE)," ")</f>
        <v>138</v>
      </c>
      <c r="Q242" s="79">
        <f>IF('Settings'!$E$12="YES",VLOOKUP(B242,'Player Data'!A1:E667,5,FALSE),82)</f>
        <v>78.54000000000001</v>
      </c>
      <c r="R242" s="98">
        <f>VLOOKUP(B242,'Player Data'!$A1:$AE667,6,FALSE)</f>
        <v>19.0365702426685</v>
      </c>
      <c r="S242" s="79">
        <f>VLOOKUP(B242,'Player Data'!$A1:$AE667,7,FALSE)*$Q242*_xlfn.IFERROR((VLOOKUP(P242,'Settings'!$E$28:$F$33,2,FALSE)+1),1)</f>
        <v>22.7359763554724</v>
      </c>
      <c r="T242" s="79">
        <f>VLOOKUP(B242,'Player Data'!$A1:$AE667,8,FALSE)*$Q242*_xlfn.IFERROR((VLOOKUP(P242,'Settings'!$E$28:$F$33,2,FALSE)+1),1)</f>
        <v>33.8900607319766</v>
      </c>
      <c r="U242" s="79">
        <f>SUM(S242:T242)</f>
        <v>56.626037087449</v>
      </c>
      <c r="V242" s="79">
        <f>VLOOKUP(B242,'Player Data'!$A1:$AE667,10,FALSE)*$Q242*_xlfn.IFERROR(((VLOOKUP(P242,'Settings'!$E$28:$F$33,2,FALSE)/2)+1),1)</f>
        <v>183.424428175475</v>
      </c>
      <c r="W242" s="79">
        <f>VLOOKUP(B242,'Player Data'!$A1:$AE667,11,FALSE)*$Q242*_xlfn.IFERROR((VLOOKUP(P242,'Settings'!$E$28:$F$33,2,FALSE)+1),1)</f>
        <v>8.539786142357929</v>
      </c>
      <c r="X242" s="101">
        <f>VLOOKUP(B242,'Player Data'!$A1:$AE667,12,FALSE)*$Q242*_xlfn.IFERROR((VLOOKUP(P242,'Settings'!$E$28:$F$33,2,FALSE)+1),1)</f>
        <v>19.5694035269309</v>
      </c>
      <c r="Y242" s="79">
        <f>VLOOKUP(B242,'Player Data'!$A1:$AE667,13,FALSE)*$Q242</f>
        <v>1.62975540481041</v>
      </c>
      <c r="Z242" s="79">
        <f>VLOOKUP(B242,'Player Data'!$A1:$AE667,14,FALSE)*$Q242</f>
        <v>3.86943813430168</v>
      </c>
      <c r="AA242" s="79">
        <f>VLOOKUP(B242,'Player Data'!$A1:$AE667,15,FALSE)*$Q242</f>
        <v>31.5006906745416</v>
      </c>
      <c r="AB242" s="79">
        <f>VLOOKUP(B242,'Player Data'!$A1:$AE667,16,FALSE)*$Q242</f>
        <v>26.7637140674666</v>
      </c>
      <c r="AC242" s="79">
        <f>VLOOKUP(B242,'Player Data'!$A1:$AE667,17,FALSE)*$Q242*_xlfn.IFERROR((VLOOKUP(P242,'Settings'!$E$28:$F$33,2,FALSE)+1),1)</f>
        <v>5.88550284364151</v>
      </c>
      <c r="AD242" s="79">
        <f>VLOOKUP(B242,'Player Data'!$A1:$AE667,18,FALSE)*$Q242</f>
        <v>22.6050020074688</v>
      </c>
      <c r="AE242" s="79">
        <f>VLOOKUP(B242,'Player Data'!$A1:$AE667,19,FALSE)*$Q242*_xlfn.IFERROR((VLOOKUP(P242,'Settings'!$E$28:$F$33,2,FALSE)+1),1)</f>
        <v>2.93828948199546</v>
      </c>
      <c r="AF242" s="79">
        <f>VLOOKUP(B242,'Player Data'!$A1:$AE667,20,FALSE)*$Q242</f>
        <v>72.71299196323289</v>
      </c>
      <c r="AG242" s="79">
        <f>VLOOKUP(B242,'Player Data'!$A1:$AE667,21,FALSE)*$Q242</f>
        <v>62.7101070969299</v>
      </c>
      <c r="AH242" s="81">
        <f>VLOOKUP(B242,'Player Data'!$A1:$AE667,22,FALSE)</f>
        <v>0.536931974440561</v>
      </c>
      <c r="AI242" s="77"/>
      <c r="AJ242" s="89"/>
      <c r="AK242" s="79"/>
      <c r="AL242" s="79"/>
      <c r="AM242" s="79"/>
      <c r="AN242" s="79"/>
      <c r="AO242" s="79"/>
      <c r="AP242" s="79"/>
      <c r="AQ242" s="82"/>
      <c r="AR242" s="83"/>
      <c r="AS242" s="84"/>
    </row>
    <row r="243" ht="21.25" customHeight="1">
      <c r="A243" s="85">
        <f>RANK(K243,K$1:K$665)</f>
        <v>243</v>
      </c>
      <c r="B243" t="s" s="16">
        <v>432</v>
      </c>
      <c r="C243" t="s" s="69">
        <v>127</v>
      </c>
      <c r="D243" t="s" s="70">
        <f>VLOOKUP(B243,'Player Data'!A1:D667,4,FALSE)</f>
        <v>145</v>
      </c>
      <c r="E243" s="87">
        <f>VLOOKUP(B243,'RW'!A1:C136,3,FALSE)</f>
        <v>52</v>
      </c>
      <c r="F243" t="s" s="78">
        <f>VLOOKUP(B243,'Player Data'!A1:B667,2,FALSE)</f>
        <v>261</v>
      </c>
      <c r="G243" s="11">
        <f>VLOOKUP(B243,'Player Data'!A1:D667,3,FALSE)</f>
        <v>28</v>
      </c>
      <c r="H243" s="73">
        <f>_xlfn.IFERROR(VLOOKUP(B243,'ADP'!A1:G665,7,FALSE)/1000000,VLOOKUP(B243,'ADP'!A1:G665,7,FALSE))</f>
        <v>5.85</v>
      </c>
      <c r="I243" s="74">
        <f>IF('Settings'!$E$15="POINTS",((R243*Q243)*'Settings'!$B$12)+(S243*'Settings'!$B$2)+(T243*'Settings'!$B$3)+(U243*'Settings'!$B$4)+(V243*'Settings'!$B$5)+(X243*'Settings'!$B$9)+(AA243*'Settings'!$B$6)+(W243*'Settings'!$B$8)+(AB243*'Settings'!$B$7)+(AC243*'Settings'!$B$14)+(AD243*'Settings'!$B$15)+(AE243*'Settings'!$B$16)+(AF243*'Settings'!$B$17)+(AG243*'Settings'!$B$18)+(Y243*'Settings'!$B$10)+(Z243*'Settings'!$B$11),VLOOKUP(B243,'Standard Deviations'!A1:C666,3,FALSE))</f>
        <v>246.559075242969</v>
      </c>
      <c r="J243" s="75">
        <f>IF(D243="G",I243/AJ243,I243/Q243)</f>
        <v>3.20268981285925</v>
      </c>
      <c r="K243" s="74">
        <f>IF('Settings'!$E$18="C/LW/RW",VLOOKUP(B243,'RW'!A1:F136,6,FALSE),VLOOKUP(B243,'F'!A1:F392,6,FALSE))</f>
        <v>-83.132818838209</v>
      </c>
      <c r="L243" s="76">
        <f>_xlfn.IFERROR(K243/H243,"N/A")</f>
        <v>-14.2107382629417</v>
      </c>
      <c r="M243" s="109">
        <f>IF('Settings'!$E$9="YAHOO",VLOOKUP(B243,'ADP'!A1:E665,2,FALSE),IF('Settings'!$E$9="ESPN",VLOOKUP(B243,'ADP'!A1:E665,3,FALSE),IF('Settings'!$E$9="FANTRAX",VLOOKUP(B243,'ADP'!A1:E665,4,FALSE),VLOOKUP(B243,'ADP'!A1:E665,5,FALSE))))</f>
        <v>0</v>
      </c>
      <c r="N243" s="79">
        <f>_xlfn.IFERROR(M243-A243,"N/A")</f>
        <v>-243</v>
      </c>
      <c r="O243" s="77"/>
      <c r="P243" t="s" s="78">
        <f>IF('Settings'!$E$27="ON",VLOOKUP(B243,'ADP'!A1:H665,8,FALSE)," ")</f>
        <v>138</v>
      </c>
      <c r="Q243" s="79">
        <f>IF('Settings'!$E$12="YES",VLOOKUP(B243,'Player Data'!A1:E667,5,FALSE),82)</f>
        <v>76.985</v>
      </c>
      <c r="R243" s="77">
        <f>VLOOKUP(B243,'Player Data'!$A1:$AE667,6,FALSE)</f>
        <v>18.9124496780219</v>
      </c>
      <c r="S243" s="79">
        <f>VLOOKUP(B243,'Player Data'!$A1:$AE667,7,FALSE)*$Q243*_xlfn.IFERROR((VLOOKUP(P243,'Settings'!$E$28:$F$33,2,FALSE)+1),1)</f>
        <v>24.0501070481746</v>
      </c>
      <c r="T243" s="79">
        <f>VLOOKUP(B243,'Player Data'!$A1:$AE667,8,FALSE)*$Q243*_xlfn.IFERROR((VLOOKUP(P243,'Settings'!$E$28:$F$33,2,FALSE)+1),1)</f>
        <v>40.2938866316007</v>
      </c>
      <c r="U243" s="79">
        <f>SUM(S243:T243)</f>
        <v>64.34399367977529</v>
      </c>
      <c r="V243" s="79">
        <f>VLOOKUP(B243,'Player Data'!$A1:$AE667,10,FALSE)*$Q243*_xlfn.IFERROR(((VLOOKUP(P243,'Settings'!$E$28:$F$33,2,FALSE)/2)+1),1)</f>
        <v>158.115361499164</v>
      </c>
      <c r="W243" s="79">
        <f>VLOOKUP(B243,'Player Data'!$A1:$AE667,11,FALSE)*$Q243*_xlfn.IFERROR((VLOOKUP(P243,'Settings'!$E$28:$F$33,2,FALSE)+1),1)</f>
        <v>8.248748883237401</v>
      </c>
      <c r="X243" s="80">
        <f>VLOOKUP(B243,'Player Data'!$A1:$AE667,12,FALSE)*$Q243*_xlfn.IFERROR((VLOOKUP(P243,'Settings'!$E$28:$F$33,2,FALSE)+1),1)</f>
        <v>17.8332905679904</v>
      </c>
      <c r="Y243" s="79">
        <f>VLOOKUP(B243,'Player Data'!$A1:$AE667,13,FALSE)*$Q243</f>
        <v>0.358086758186342</v>
      </c>
      <c r="Z243" s="79">
        <f>VLOOKUP(B243,'Player Data'!$A1:$AE667,14,FALSE)*$Q243</f>
        <v>0.577987478785849</v>
      </c>
      <c r="AA243" s="79">
        <f>VLOOKUP(B243,'Player Data'!$A1:$AE667,15,FALSE)*$Q243</f>
        <v>37.2196291980959</v>
      </c>
      <c r="AB243" s="79">
        <f>VLOOKUP(B243,'Player Data'!$A1:$AE667,16,FALSE)*$Q243</f>
        <v>21.0129866208382</v>
      </c>
      <c r="AC243" s="79">
        <f>VLOOKUP(B243,'Player Data'!$A1:$AE667,17,FALSE)*$Q243*_xlfn.IFERROR((VLOOKUP(P243,'Settings'!$E$28:$F$33,2,FALSE)+1),1)</f>
        <v>0.489192946453383</v>
      </c>
      <c r="AD243" s="79">
        <f>VLOOKUP(B243,'Player Data'!$A1:$AE667,18,FALSE)*$Q243</f>
        <v>20.5762083734241</v>
      </c>
      <c r="AE243" s="79">
        <f>VLOOKUP(B243,'Player Data'!$A1:$AE667,19,FALSE)*$Q243*_xlfn.IFERROR((VLOOKUP(P243,'Settings'!$E$28:$F$33,2,FALSE)+1),1)</f>
        <v>3.5192375621623</v>
      </c>
      <c r="AF243" s="79">
        <f>VLOOKUP(B243,'Player Data'!$A1:$AE667,20,FALSE)*$Q243</f>
        <v>144.510950976459</v>
      </c>
      <c r="AG243" s="79">
        <f>VLOOKUP(B243,'Player Data'!$A1:$AE667,21,FALSE)*$Q243</f>
        <v>196.265079409015</v>
      </c>
      <c r="AH243" s="81">
        <f>VLOOKUP(B243,'Player Data'!$A1:$AE667,22,FALSE)</f>
        <v>0.424064306439021</v>
      </c>
      <c r="AI243" s="77"/>
      <c r="AJ243" s="89"/>
      <c r="AK243" s="79"/>
      <c r="AL243" s="79"/>
      <c r="AM243" s="79"/>
      <c r="AN243" s="79"/>
      <c r="AO243" s="79"/>
      <c r="AP243" s="79"/>
      <c r="AQ243" s="82"/>
      <c r="AR243" s="83"/>
      <c r="AS243" s="84"/>
    </row>
    <row r="244" ht="21.25" customHeight="1">
      <c r="A244" s="85">
        <f>RANK(K244,K$1:K$665)</f>
        <v>233</v>
      </c>
      <c r="B244" t="s" s="16">
        <v>433</v>
      </c>
      <c r="C244" t="s" s="69">
        <v>127</v>
      </c>
      <c r="D244" t="s" s="70">
        <f>VLOOKUP(B244,'Player Data'!A1:D667,4,FALSE)</f>
        <v>153</v>
      </c>
      <c r="E244" s="95">
        <f>VLOOKUP(B244,'D'!A1:C213,3,FALSE)</f>
        <v>73</v>
      </c>
      <c r="F244" t="s" s="78">
        <f>VLOOKUP(B244,'Player Data'!A1:B667,2,FALSE)</f>
        <v>194</v>
      </c>
      <c r="G244" s="91">
        <f>VLOOKUP(B244,'Player Data'!A1:D667,3,FALSE)</f>
        <v>33</v>
      </c>
      <c r="H244" s="73">
        <f>_xlfn.IFERROR(VLOOKUP(B244,'ADP'!A1:G665,7,FALSE)/1000000,VLOOKUP(B244,'ADP'!A1:G665,7,FALSE))</f>
        <v>4</v>
      </c>
      <c r="I244" s="74">
        <f>IF('Settings'!$E$15="POINTS",((R244*Q244)*'Settings'!$B$12)+(S244*'Settings'!$B$2)+(T244*'Settings'!$B$3)+(U244*'Settings'!$B$4)+(V244*'Settings'!$B$5)+(X244*'Settings'!$B$9)+(AA244*'Settings'!$B$6)+(W244*'Settings'!$B$8)+(AB244*'Settings'!$B$7)+(AC244*'Settings'!$B$14)+(AD244*'Settings'!$B$15)+(AE244*'Settings'!$B$16)+(AF244*'Settings'!$B$17)+(AG244*'Settings'!$B$18)+(U244*'Settings'!$B$13)+(Y244*'Settings'!$B$10)+(Z244*'Settings'!$B$11),VLOOKUP(B244,'Standard Deviations'!A1:C666,3,FALSE))</f>
        <v>252.759085697573</v>
      </c>
      <c r="J244" s="75">
        <f>IF(D244="G",I244/AJ244,I244/Q244)</f>
        <v>3.12656196552028</v>
      </c>
      <c r="K244" s="74">
        <f>VLOOKUP(B244,'D'!A1:F213,6,FALSE)</f>
        <v>-78.781122222509</v>
      </c>
      <c r="L244" s="76">
        <f>_xlfn.IFERROR(K244/H244,"N/A")</f>
        <v>-19.6952805556273</v>
      </c>
      <c r="M244" s="77">
        <f>IF('Settings'!$E$9="YAHOO",VLOOKUP(B244,'ADP'!A1:E665,2,FALSE),IF('Settings'!$E$9="ESPN",VLOOKUP(B244,'ADP'!A1:E665,3,FALSE),IF('Settings'!$E$9="FANTRAX",VLOOKUP(B244,'ADP'!A1:E665,4,FALSE),VLOOKUP(B244,'ADP'!A1:E665,5,FALSE))))</f>
        <v>0</v>
      </c>
      <c r="N244" s="77">
        <f>_xlfn.IFERROR(M244-A244,"N/A")</f>
        <v>-233</v>
      </c>
      <c r="O244" s="77"/>
      <c r="P244" t="s" s="78">
        <f>IF('Settings'!$E$27="ON",VLOOKUP(B244,'ADP'!A1:H665,8,FALSE)," ")</f>
        <v>138</v>
      </c>
      <c r="Q244" s="79">
        <f>IF('Settings'!$E$12="YES",VLOOKUP(B244,'Player Data'!A1:E667,5,FALSE),82)</f>
        <v>80.8425</v>
      </c>
      <c r="R244" s="77">
        <f>VLOOKUP(B244,'Player Data'!$A1:$AE667,6,FALSE)</f>
        <v>18.1452122990212</v>
      </c>
      <c r="S244" s="79">
        <f>VLOOKUP(B244,'Player Data'!$A1:$AE667,7,FALSE)*$Q244*_xlfn.IFERROR((VLOOKUP(P244,'Settings'!$E$28:$F$33,2,FALSE)+1),1)</f>
        <v>3.61608282835103</v>
      </c>
      <c r="T244" s="79">
        <f>VLOOKUP(B244,'Player Data'!$A1:$AE667,8,FALSE)*$Q244*_xlfn.IFERROR((VLOOKUP(P244,'Settings'!$E$28:$F$33,2,FALSE)+1),1)</f>
        <v>14.4367032282733</v>
      </c>
      <c r="U244" s="79">
        <f>SUM(S244:T244)</f>
        <v>18.0527860566243</v>
      </c>
      <c r="V244" s="79">
        <f>VLOOKUP(B244,'Player Data'!$A1:$AE667,10,FALSE)*$Q244*_xlfn.IFERROR(((VLOOKUP(P244,'Settings'!$E$28:$F$33,2,FALSE)/2)+1),1)</f>
        <v>75.5706492660597</v>
      </c>
      <c r="W244" s="79">
        <f>VLOOKUP(B244,'Player Data'!$A1:$AE667,11,FALSE)*$Q244*_xlfn.IFERROR((VLOOKUP(P244,'Settings'!$E$28:$F$33,2,FALSE)+1),1)</f>
        <v>0.018806891678558</v>
      </c>
      <c r="X244" s="79">
        <f>VLOOKUP(B244,'Player Data'!$A1:$AE667,12,FALSE)*$Q244*_xlfn.IFERROR((VLOOKUP(P244,'Settings'!$E$28:$F$33,2,FALSE)+1),1)</f>
        <v>0.127257813916934</v>
      </c>
      <c r="Y244" s="79">
        <f>VLOOKUP(B244,'Player Data'!$A1:$AE667,13,FALSE)*$Q244</f>
        <v>0.0270554564290646</v>
      </c>
      <c r="Z244" s="79">
        <f>VLOOKUP(B244,'Player Data'!$A1:$AE667,14,FALSE)*$Q244</f>
        <v>0.388992002224333</v>
      </c>
      <c r="AA244" s="79">
        <f>VLOOKUP(B244,'Player Data'!$A1:$AE667,15,FALSE)*$Q244</f>
        <v>114.472467681428</v>
      </c>
      <c r="AB244" s="79">
        <f>VLOOKUP(B244,'Player Data'!$A1:$AE667,16,FALSE)*$Q244</f>
        <v>197.949751164079</v>
      </c>
      <c r="AC244" s="79">
        <f>VLOOKUP(B244,'Player Data'!$A1:$AE667,17,FALSE)*$Q244*_xlfn.IFERROR((VLOOKUP(P244,'Settings'!$E$28:$F$33,2,FALSE)+1),1)</f>
        <v>-0.221014055416222</v>
      </c>
      <c r="AD244" s="79">
        <f>VLOOKUP(B244,'Player Data'!$A1:$AE667,18,FALSE)*$Q244</f>
        <v>64.99189738968469</v>
      </c>
      <c r="AE244" s="79">
        <f>VLOOKUP(B244,'Player Data'!$A1:$AE667,19,FALSE)*$Q244*_xlfn.IFERROR((VLOOKUP(P244,'Settings'!$E$28:$F$33,2,FALSE)+1),1)</f>
        <v>0.5455812738311761</v>
      </c>
      <c r="AF244" s="79">
        <f>VLOOKUP(B244,'Player Data'!$A1:$AE667,20,FALSE)*$Q244</f>
        <v>0</v>
      </c>
      <c r="AG244" s="79">
        <f>VLOOKUP(B244,'Player Data'!$A1:$AE667,21,FALSE)*$Q244</f>
        <v>0</v>
      </c>
      <c r="AH244" s="81">
        <f>VLOOKUP(B244,'Player Data'!$A1:$AE667,22,FALSE)</f>
        <v>0</v>
      </c>
      <c r="AI244" s="77"/>
      <c r="AJ244" s="79"/>
      <c r="AK244" s="79"/>
      <c r="AL244" s="79"/>
      <c r="AM244" s="79"/>
      <c r="AN244" s="79"/>
      <c r="AO244" s="79"/>
      <c r="AP244" s="79"/>
      <c r="AQ244" s="82"/>
      <c r="AR244" s="83"/>
      <c r="AS244" s="84"/>
    </row>
    <row r="245" ht="21.25" customHeight="1">
      <c r="A245" s="85">
        <f>RANK(K245,K$1:K$665)</f>
        <v>234</v>
      </c>
      <c r="B245" t="s" s="16">
        <v>434</v>
      </c>
      <c r="C245" t="s" s="69">
        <v>127</v>
      </c>
      <c r="D245" t="s" s="70">
        <f>VLOOKUP(B245,'Player Data'!A1:D667,4,FALSE)</f>
        <v>153</v>
      </c>
      <c r="E245" s="95">
        <f>VLOOKUP(B245,'D'!A1:C213,3,FALSE)</f>
        <v>74</v>
      </c>
      <c r="F245" t="s" s="86">
        <f>VLOOKUP(B245,'Player Data'!A1:B667,2,FALSE)</f>
        <v>156</v>
      </c>
      <c r="G245" s="91">
        <f>VLOOKUP(B245,'Player Data'!A1:D667,3,FALSE)</f>
        <v>36</v>
      </c>
      <c r="H245" s="94">
        <f>_xlfn.IFERROR(VLOOKUP(B245,'ADP'!A1:G665,7,FALSE)/1000000,VLOOKUP(B245,'ADP'!A1:G665,7,FALSE))</f>
        <v>2.34375</v>
      </c>
      <c r="I245" s="74">
        <f>IF('Settings'!$E$15="POINTS",((R245*Q245)*'Settings'!$B$12)+(S245*'Settings'!$B$2)+(T245*'Settings'!$B$3)+(U245*'Settings'!$B$4)+(V245*'Settings'!$B$5)+(X245*'Settings'!$B$9)+(AA245*'Settings'!$B$6)+(W245*'Settings'!$B$8)+(AB245*'Settings'!$B$7)+(AC245*'Settings'!$B$14)+(AD245*'Settings'!$B$15)+(AE245*'Settings'!$B$16)+(AF245*'Settings'!$B$17)+(AG245*'Settings'!$B$18)+(U245*'Settings'!$B$13)+(Y245*'Settings'!$B$10)+(Z245*'Settings'!$B$11),VLOOKUP(B245,'Standard Deviations'!A1:C666,3,FALSE))</f>
        <v>252.634033215574</v>
      </c>
      <c r="J245" s="75">
        <f>IF(D245="G",I245/AJ245,I245/Q245)</f>
        <v>3.31780199902258</v>
      </c>
      <c r="K245" s="74">
        <f>VLOOKUP(B245,'D'!A1:F213,6,FALSE)</f>
        <v>-78.906174704508</v>
      </c>
      <c r="L245" s="76">
        <f>_xlfn.IFERROR(K245/H245,"N/A")</f>
        <v>-33.6666345405901</v>
      </c>
      <c r="M245" s="109">
        <f>IF('Settings'!$E$9="YAHOO",VLOOKUP(B245,'ADP'!A1:E665,2,FALSE),IF('Settings'!$E$9="ESPN",VLOOKUP(B245,'ADP'!A1:E665,3,FALSE),IF('Settings'!$E$9="FANTRAX",VLOOKUP(B245,'ADP'!A1:E665,4,FALSE),VLOOKUP(B245,'ADP'!A1:E665,5,FALSE))))</f>
        <v>0</v>
      </c>
      <c r="N245" s="79">
        <f>_xlfn.IFERROR(M245-A245,"N/A")</f>
        <v>-234</v>
      </c>
      <c r="O245" s="77"/>
      <c r="P245" t="s" s="78">
        <f>IF('Settings'!$E$27="ON",VLOOKUP(B245,'ADP'!A1:H665,8,FALSE)," ")</f>
        <v>138</v>
      </c>
      <c r="Q245" s="79">
        <f>IF('Settings'!$E$12="YES",VLOOKUP(B245,'Player Data'!A1:E667,5,FALSE),82)</f>
        <v>76.145</v>
      </c>
      <c r="R245" s="77">
        <f>VLOOKUP(B245,'Player Data'!$A1:$AE667,6,FALSE)</f>
        <v>18.6303841584965</v>
      </c>
      <c r="S245" s="79">
        <f>VLOOKUP(B245,'Player Data'!$A1:$AE667,7,FALSE)*$Q245*_xlfn.IFERROR((VLOOKUP(P245,'Settings'!$E$28:$F$33,2,FALSE)+1),1)</f>
        <v>3.31629956240012</v>
      </c>
      <c r="T245" s="79">
        <f>VLOOKUP(B245,'Player Data'!$A1:$AE667,8,FALSE)*$Q245*_xlfn.IFERROR((VLOOKUP(P245,'Settings'!$E$28:$F$33,2,FALSE)+1),1)</f>
        <v>19.1388008796042</v>
      </c>
      <c r="U245" s="79">
        <f>SUM(S245:T245)</f>
        <v>22.4551004420043</v>
      </c>
      <c r="V245" s="79">
        <f>VLOOKUP(B245,'Player Data'!$A1:$AE667,10,FALSE)*$Q245*_xlfn.IFERROR(((VLOOKUP(P245,'Settings'!$E$28:$F$33,2,FALSE)/2)+1),1)</f>
        <v>92.225310322588</v>
      </c>
      <c r="W245" s="79">
        <f>VLOOKUP(B245,'Player Data'!$A1:$AE667,11,FALSE)*$Q245*_xlfn.IFERROR((VLOOKUP(P245,'Settings'!$E$28:$F$33,2,FALSE)+1),1)</f>
        <v>0.118110811014276</v>
      </c>
      <c r="X245" s="79">
        <f>VLOOKUP(B245,'Player Data'!$A1:$AE667,12,FALSE)*$Q245*_xlfn.IFERROR((VLOOKUP(P245,'Settings'!$E$28:$F$33,2,FALSE)+1),1)</f>
        <v>0.776867923028399</v>
      </c>
      <c r="Y245" s="79">
        <f>VLOOKUP(B245,'Player Data'!$A1:$AE667,13,FALSE)*$Q245</f>
        <v>0.0146696217754918</v>
      </c>
      <c r="Z245" s="79">
        <f>VLOOKUP(B245,'Player Data'!$A1:$AE667,14,FALSE)*$Q245</f>
        <v>0.496626189477687</v>
      </c>
      <c r="AA245" s="79">
        <f>VLOOKUP(B245,'Player Data'!$A1:$AE667,15,FALSE)*$Q245</f>
        <v>128.059900264061</v>
      </c>
      <c r="AB245" s="79">
        <f>VLOOKUP(B245,'Player Data'!$A1:$AE667,16,FALSE)*$Q245</f>
        <v>154.415189429599</v>
      </c>
      <c r="AC245" s="79">
        <f>VLOOKUP(B245,'Player Data'!$A1:$AE667,17,FALSE)*$Q245*_xlfn.IFERROR((VLOOKUP(P245,'Settings'!$E$28:$F$33,2,FALSE)+1),1)</f>
        <v>-2.33790161328937</v>
      </c>
      <c r="AD245" s="79">
        <f>VLOOKUP(B245,'Player Data'!$A1:$AE667,18,FALSE)*$Q245</f>
        <v>34.6467484160958</v>
      </c>
      <c r="AE245" s="79">
        <f>VLOOKUP(B245,'Player Data'!$A1:$AE667,19,FALSE)*$Q245*_xlfn.IFERROR((VLOOKUP(P245,'Settings'!$E$28:$F$33,2,FALSE)+1),1)</f>
        <v>0.455469420255599</v>
      </c>
      <c r="AF245" s="79">
        <f>VLOOKUP(B245,'Player Data'!$A1:$AE667,20,FALSE)*$Q245</f>
        <v>0</v>
      </c>
      <c r="AG245" s="79">
        <f>VLOOKUP(B245,'Player Data'!$A1:$AE667,21,FALSE)*$Q245</f>
        <v>0</v>
      </c>
      <c r="AH245" s="81">
        <f>VLOOKUP(B245,'Player Data'!$A1:$AE667,22,FALSE)</f>
        <v>0</v>
      </c>
      <c r="AI245" s="77"/>
      <c r="AJ245" s="79"/>
      <c r="AK245" s="79"/>
      <c r="AL245" s="79"/>
      <c r="AM245" s="79"/>
      <c r="AN245" s="79"/>
      <c r="AO245" s="79"/>
      <c r="AP245" s="79"/>
      <c r="AQ245" s="82"/>
      <c r="AR245" s="83"/>
      <c r="AS245" s="84"/>
    </row>
    <row r="246" ht="21.25" customHeight="1">
      <c r="A246" s="85">
        <f>RANK(K246,K$1:K$665)</f>
        <v>227</v>
      </c>
      <c r="B246" t="s" s="16">
        <v>435</v>
      </c>
      <c r="C246" t="s" s="69">
        <v>127</v>
      </c>
      <c r="D246" t="s" s="70">
        <f>VLOOKUP(B246,'Player Data'!A1:D667,4,FALSE)</f>
        <v>161</v>
      </c>
      <c r="E246" s="99">
        <f>VLOOKUP(B246,'G'!A1:D65,3,FALSE)</f>
        <v>36</v>
      </c>
      <c r="F246" t="s" s="107">
        <f>VLOOKUP(B246,'Player Data'!A1:B667,2,FALSE)</f>
        <v>399</v>
      </c>
      <c r="G246" s="11">
        <f>VLOOKUP(B246,'Player Data'!A1:D667,3,FALSE)</f>
        <v>31</v>
      </c>
      <c r="H246" s="73">
        <f>_xlfn.IFERROR(VLOOKUP(B246,'ADP'!A1:G665,7,FALSE)/1000000,VLOOKUP(B246,'ADP'!A1:G665,7,FALSE))</f>
        <v>3.3</v>
      </c>
      <c r="I246" s="74">
        <f>IF('Settings'!$E$15="POINTS",(AJ246*'Settings'!$B$29)+(AK246*'Settings'!$B$21)+(AL246*'Settings'!$B$22)+(AN246*'Settings'!$B$24)+(AO246*'Settings'!$B$25)+(AP246*'Settings'!$B$27)+(AM246*'Settings'!$B$23),VLOOKUP(B246,'Standard Deviations'!A1:C666,3,FALSE))</f>
        <v>192.082347864828</v>
      </c>
      <c r="J246" s="75">
        <f>IF(D246="G",I246/AJ246,I246/Q246)</f>
        <v>5.335620774023</v>
      </c>
      <c r="K246" s="74">
        <f>VLOOKUP(B246,'G'!A1:F65,6,FALSE)</f>
        <v>-75.508666699762</v>
      </c>
      <c r="L246" s="76">
        <f>_xlfn.IFERROR(K246/H246,"N/A")</f>
        <v>-22.881414151443</v>
      </c>
      <c r="M246" s="109">
        <f>IF('Settings'!$E$9="YAHOO",VLOOKUP(B246,'ADP'!A1:E665,2,FALSE),IF('Settings'!$E$9="ESPN",VLOOKUP(B246,'ADP'!A1:E665,3,FALSE),IF('Settings'!$E$9="FANTRAX",VLOOKUP(B246,'ADP'!A1:E665,4,FALSE),VLOOKUP(B246,'ADP'!A1:E665,5,FALSE))))</f>
        <v>0</v>
      </c>
      <c r="N246" s="79">
        <f>_xlfn.IFERROR(M246-A246,"N/A")</f>
        <v>-227</v>
      </c>
      <c r="O246" s="77"/>
      <c r="P246" t="s" s="78">
        <f>IF('Settings'!$E$27="ON",VLOOKUP(B246,'ADP'!A1:H665,8,FALSE)," ")</f>
        <v>235</v>
      </c>
      <c r="Q246" s="79"/>
      <c r="R246" s="77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81"/>
      <c r="AI246" s="77"/>
      <c r="AJ246" s="89">
        <f>VLOOKUP(B246,'Player Data'!$A1:$AE667,24,FALSE)</f>
        <v>36</v>
      </c>
      <c r="AK246" s="79">
        <f>VLOOKUP(B246,'Player Data'!$A1:$AE667,25,FALSE)*$AJ246*_xlfn.IFERROR((VLOOKUP(P246,'Settings'!$E$28:$F$33,2,FALSE)+1),1)</f>
        <v>14.6157327909988</v>
      </c>
      <c r="AL246" s="79">
        <f>AJ246-AK246-AM246</f>
        <v>16.8842672090012</v>
      </c>
      <c r="AM246" s="79">
        <f>VLOOKUP(B246,'Player Data'!$A1:$AE667,27,FALSE)*$AJ246</f>
        <v>4.5</v>
      </c>
      <c r="AN246" s="79">
        <f>VLOOKUP(B246,'Player Data'!$A1:$AE667,28,FALSE)*AJ246</f>
        <v>2.21949951822165</v>
      </c>
      <c r="AO246" s="79">
        <f>VLOOKUP(B246,'Player Data'!$A1:$AE667,29,FALSE)*$AJ246*_xlfn.IFERROR((VLOOKUP(P246,'Settings'!$E$28:$F$33,2,FALSE)/4)+1,1)</f>
        <v>993.346507308315</v>
      </c>
      <c r="AP246" s="79">
        <f>VLOOKUP(B246,'Player Data'!$A1:$AE667,31,FALSE)*$AJ246*(_xlfn.IFERROR(1-(VLOOKUP(P246,'Settings'!$E$28:$F$33,2,FALSE)/4),1))</f>
        <v>99.54932318423811</v>
      </c>
      <c r="AQ246" s="82">
        <f>1-(AP246/(AO246+AP246))</f>
        <v>0.908912340584763</v>
      </c>
      <c r="AR246" s="83">
        <f>AP246/AJ246</f>
        <v>2.76525897733995</v>
      </c>
      <c r="AS246" s="93"/>
    </row>
    <row r="247" ht="21.25" customHeight="1">
      <c r="A247" s="85">
        <f>RANK(K247,K$1:K$665)</f>
        <v>263</v>
      </c>
      <c r="B247" t="s" s="16">
        <v>436</v>
      </c>
      <c r="C247" t="s" s="69">
        <v>127</v>
      </c>
      <c r="D247" t="s" s="70">
        <f>VLOOKUP(B247,'Player Data'!A1:D667,4,FALSE)</f>
        <v>128</v>
      </c>
      <c r="E247" s="71">
        <f>VLOOKUP(B247,'C'!A1:C206,3,FALSE)</f>
        <v>84</v>
      </c>
      <c r="F247" t="s" s="88">
        <f>VLOOKUP(B247,'Player Data'!A1:B667,2,FALSE)</f>
        <v>137</v>
      </c>
      <c r="G247" s="96">
        <f>VLOOKUP(B247,'Player Data'!A1:D667,3,FALSE)</f>
        <v>23</v>
      </c>
      <c r="H247" s="73">
        <f>_xlfn.IFERROR(VLOOKUP(B247,'ADP'!A1:G665,7,FALSE)/1000000,VLOOKUP(B247,'ADP'!A1:G665,7,FALSE))</f>
        <v>3.75</v>
      </c>
      <c r="I247" s="74">
        <f>IF('Settings'!$E$15="POINTS",((R247*Q247)*'Settings'!$B$12)+(S247*'Settings'!$B$2)+(T247*'Settings'!$B$3)+(U247*'Settings'!$B$4)+(V247*'Settings'!$B$5)+(X247*'Settings'!$B$9)+(AA247*'Settings'!$B$6)+(W247*'Settings'!$B$8)+(AB247*'Settings'!$B$7)+(AC247*'Settings'!$B$14)+(AD247*'Settings'!$B$15)+(AE247*'Settings'!$B$16)+(AF247*'Settings'!$B$17)+(AG247*'Settings'!$B$18)+(Y247*'Settings'!$B$10)+(Z247*'Settings'!$B$11),VLOOKUP(B247,'Standard Deviations'!A1:C666,3,FALSE))</f>
        <v>240.406429093613</v>
      </c>
      <c r="J247" s="75">
        <f>IF(D247="G",I247/AJ247,I247/Q247)</f>
        <v>3.30444217165888</v>
      </c>
      <c r="K247" s="74">
        <f>IF('Settings'!$E$18="C/LW/RW",VLOOKUP(B247,'C'!A1:F206,6,FALSE),VLOOKUP(B247,'F'!A1:F392,6,FALSE))</f>
        <v>-89.28546498756501</v>
      </c>
      <c r="L247" s="76">
        <f>_xlfn.IFERROR(K247/H247,"N/A")</f>
        <v>-23.8094573300173</v>
      </c>
      <c r="M247" s="109">
        <f>IF('Settings'!$E$9="YAHOO",VLOOKUP(B247,'ADP'!A1:E665,2,FALSE),IF('Settings'!$E$9="ESPN",VLOOKUP(B247,'ADP'!A1:E665,3,FALSE),IF('Settings'!$E$9="FANTRAX",VLOOKUP(B247,'ADP'!A1:E665,4,FALSE),VLOOKUP(B247,'ADP'!A1:E665,5,FALSE))))</f>
        <v>0</v>
      </c>
      <c r="N247" s="79">
        <f>_xlfn.IFERROR(M247-A247,"N/A")</f>
        <v>-263</v>
      </c>
      <c r="O247" s="77"/>
      <c r="P247" t="s" s="78">
        <f>IF('Settings'!$E$27="ON",VLOOKUP(B247,'ADP'!A1:H665,8,FALSE)," ")</f>
        <v>138</v>
      </c>
      <c r="Q247" s="79">
        <f>IF('Settings'!$E$12="YES",VLOOKUP(B247,'Player Data'!A1:E667,5,FALSE),82)</f>
        <v>72.7525</v>
      </c>
      <c r="R247" s="77">
        <f>VLOOKUP(B247,'Player Data'!$A1:$AE667,6,FALSE)</f>
        <v>18.3752425149623</v>
      </c>
      <c r="S247" s="79">
        <f>VLOOKUP(B247,'Player Data'!$A1:$AE667,7,FALSE)*$Q247*_xlfn.IFERROR((VLOOKUP(P247,'Settings'!$E$28:$F$33,2,FALSE)+1),1)</f>
        <v>19.5586566047041</v>
      </c>
      <c r="T247" s="79">
        <f>VLOOKUP(B247,'Player Data'!$A1:$AE667,8,FALSE)*$Q247*_xlfn.IFERROR((VLOOKUP(P247,'Settings'!$E$28:$F$33,2,FALSE)+1),1)</f>
        <v>25.0299262246466</v>
      </c>
      <c r="U247" s="79">
        <f>SUM(S247:T247)</f>
        <v>44.5885828293507</v>
      </c>
      <c r="V247" s="79">
        <f>VLOOKUP(B247,'Player Data'!$A1:$AE667,10,FALSE)*$Q247*_xlfn.IFERROR(((VLOOKUP(P247,'Settings'!$E$28:$F$33,2,FALSE)/2)+1),1)</f>
        <v>184.188571283515</v>
      </c>
      <c r="W247" s="79">
        <f>VLOOKUP(B247,'Player Data'!$A1:$AE667,11,FALSE)*$Q247*_xlfn.IFERROR((VLOOKUP(P247,'Settings'!$E$28:$F$33,2,FALSE)+1),1)</f>
        <v>5.78050454576426</v>
      </c>
      <c r="X247" s="101">
        <f>VLOOKUP(B247,'Player Data'!$A1:$AE667,12,FALSE)*$Q247*_xlfn.IFERROR((VLOOKUP(P247,'Settings'!$E$28:$F$33,2,FALSE)+1),1)</f>
        <v>10.6173391939223</v>
      </c>
      <c r="Y247" s="79">
        <f>VLOOKUP(B247,'Player Data'!$A1:$AE667,13,FALSE)*$Q247</f>
        <v>0.140456631790182</v>
      </c>
      <c r="Z247" s="79">
        <f>VLOOKUP(B247,'Player Data'!$A1:$AE667,14,FALSE)*$Q247</f>
        <v>0.236990716413544</v>
      </c>
      <c r="AA247" s="79">
        <f>VLOOKUP(B247,'Player Data'!$A1:$AE667,15,FALSE)*$Q247</f>
        <v>50.4998596646625</v>
      </c>
      <c r="AB247" s="79">
        <f>VLOOKUP(B247,'Player Data'!$A1:$AE667,16,FALSE)*$Q247</f>
        <v>67.84450243047669</v>
      </c>
      <c r="AC247" s="79">
        <f>VLOOKUP(B247,'Player Data'!$A1:$AE667,17,FALSE)*$Q247*_xlfn.IFERROR((VLOOKUP(P247,'Settings'!$E$28:$F$33,2,FALSE)+1),1)</f>
        <v>-0.524681800991601</v>
      </c>
      <c r="AD247" s="79">
        <f>VLOOKUP(B247,'Player Data'!$A1:$AE667,18,FALSE)*$Q247</f>
        <v>26.833140321406</v>
      </c>
      <c r="AE247" s="79">
        <f>VLOOKUP(B247,'Player Data'!$A1:$AE667,19,FALSE)*$Q247*_xlfn.IFERROR((VLOOKUP(P247,'Settings'!$E$28:$F$33,2,FALSE)+1),1)</f>
        <v>3.03675993857799</v>
      </c>
      <c r="AF247" s="79">
        <f>VLOOKUP(B247,'Player Data'!$A1:$AE667,20,FALSE)*$Q247</f>
        <v>455.747623521505</v>
      </c>
      <c r="AG247" s="79">
        <f>VLOOKUP(B247,'Player Data'!$A1:$AE667,21,FALSE)*$Q247</f>
        <v>436.080133909973</v>
      </c>
      <c r="AH247" s="81">
        <f>VLOOKUP(B247,'Player Data'!$A1:$AE667,22,FALSE)</f>
        <v>0.511026506770867</v>
      </c>
      <c r="AI247" s="77"/>
      <c r="AJ247" s="79"/>
      <c r="AK247" s="79"/>
      <c r="AL247" s="79"/>
      <c r="AM247" s="79"/>
      <c r="AN247" s="79"/>
      <c r="AO247" s="79"/>
      <c r="AP247" s="79"/>
      <c r="AQ247" s="82"/>
      <c r="AR247" s="83"/>
      <c r="AS247" s="93"/>
    </row>
    <row r="248" ht="21.25" customHeight="1">
      <c r="A248" s="85">
        <f>RANK(K248,K$1:K$665)</f>
        <v>247</v>
      </c>
      <c r="B248" t="s" s="16">
        <v>437</v>
      </c>
      <c r="C248" t="s" s="69">
        <v>127</v>
      </c>
      <c r="D248" t="s" s="70">
        <f>VLOOKUP(B248,'Player Data'!A1:D667,4,FALSE)</f>
        <v>145</v>
      </c>
      <c r="E248" s="87">
        <f>VLOOKUP(B248,'RW'!A1:C136,3,FALSE)</f>
        <v>53</v>
      </c>
      <c r="F248" t="s" s="88">
        <f>VLOOKUP(B248,'Player Data'!A1:B667,2,FALSE)</f>
        <v>143</v>
      </c>
      <c r="G248" s="11">
        <f>VLOOKUP(B248,'Player Data'!A1:D667,3,FALSE)</f>
        <v>26</v>
      </c>
      <c r="H248" s="94">
        <f>_xlfn.IFERROR(VLOOKUP(B248,'ADP'!A1:G665,7,FALSE)/1000000,VLOOKUP(B248,'ADP'!A1:G665,7,FALSE))</f>
        <v>2.3</v>
      </c>
      <c r="I248" s="74">
        <f>IF('Settings'!$E$15="POINTS",((R248*Q248)*'Settings'!$B$12)+(S248*'Settings'!$B$2)+(T248*'Settings'!$B$3)+(U248*'Settings'!$B$4)+(V248*'Settings'!$B$5)+(X248*'Settings'!$B$9)+(AA248*'Settings'!$B$6)+(W248*'Settings'!$B$8)+(AB248*'Settings'!$B$7)+(AC248*'Settings'!$B$14)+(AD248*'Settings'!$B$15)+(AE248*'Settings'!$B$16)+(AF248*'Settings'!$B$17)+(AG248*'Settings'!$B$18)+(Y248*'Settings'!$B$10)+(Z248*'Settings'!$B$11),VLOOKUP(B248,'Standard Deviations'!A1:C666,3,FALSE))</f>
        <v>245.399218627563</v>
      </c>
      <c r="J248" s="75">
        <f>IF(D248="G",I248/AJ248,I248/Q248)</f>
        <v>3.08998921682958</v>
      </c>
      <c r="K248" s="74">
        <f>IF('Settings'!$E$18="C/LW/RW",VLOOKUP(B248,'RW'!A1:F136,6,FALSE),VLOOKUP(B248,'F'!A1:F392,6,FALSE))</f>
        <v>-84.292675453615</v>
      </c>
      <c r="L248" s="76">
        <f>_xlfn.IFERROR(K248/H248,"N/A")</f>
        <v>-36.6489893276587</v>
      </c>
      <c r="M248" s="109">
        <f>IF('Settings'!$E$9="YAHOO",VLOOKUP(B248,'ADP'!A1:E665,2,FALSE),IF('Settings'!$E$9="ESPN",VLOOKUP(B248,'ADP'!A1:E665,3,FALSE),IF('Settings'!$E$9="FANTRAX",VLOOKUP(B248,'ADP'!A1:E665,4,FALSE),VLOOKUP(B248,'ADP'!A1:E665,5,FALSE))))</f>
        <v>0</v>
      </c>
      <c r="N248" s="79">
        <f>_xlfn.IFERROR(M248-A248,"N/A")</f>
        <v>-247</v>
      </c>
      <c r="O248" s="77"/>
      <c r="P248" t="s" s="78">
        <f>IF('Settings'!$E$27="ON",VLOOKUP(B248,'ADP'!A1:H665,8,FALSE)," ")</f>
        <v>138</v>
      </c>
      <c r="Q248" s="79">
        <f>IF('Settings'!$E$12="YES",VLOOKUP(B248,'Player Data'!A1:E667,5,FALSE),82)</f>
        <v>79.4175</v>
      </c>
      <c r="R248" s="77">
        <f>VLOOKUP(B248,'Player Data'!$A1:$AE667,6,FALSE)</f>
        <v>13.5656078064678</v>
      </c>
      <c r="S248" s="79">
        <f>VLOOKUP(B248,'Player Data'!$A1:$AE667,7,FALSE)*$Q248*_xlfn.IFERROR((VLOOKUP(P248,'Settings'!$E$28:$F$33,2,FALSE)+1),1)</f>
        <v>16.3556796407185</v>
      </c>
      <c r="T248" s="79">
        <f>VLOOKUP(B248,'Player Data'!$A1:$AE667,8,FALSE)*$Q248*_xlfn.IFERROR((VLOOKUP(P248,'Settings'!$E$28:$F$33,2,FALSE)+1),1)</f>
        <v>19.1078093865677</v>
      </c>
      <c r="U248" s="79">
        <f>SUM(S248:T248)</f>
        <v>35.4634890272862</v>
      </c>
      <c r="V248" s="79">
        <f>VLOOKUP(B248,'Player Data'!$A1:$AE667,10,FALSE)*$Q248*_xlfn.IFERROR(((VLOOKUP(P248,'Settings'!$E$28:$F$33,2,FALSE)/2)+1),1)</f>
        <v>126.074001004719</v>
      </c>
      <c r="W248" s="79">
        <f>VLOOKUP(B248,'Player Data'!$A1:$AE667,11,FALSE)*$Q248*_xlfn.IFERROR((VLOOKUP(P248,'Settings'!$E$28:$F$33,2,FALSE)+1),1)</f>
        <v>0.671181991291377</v>
      </c>
      <c r="X248" s="79">
        <f>VLOOKUP(B248,'Player Data'!$A1:$AE667,12,FALSE)*$Q248*_xlfn.IFERROR((VLOOKUP(P248,'Settings'!$E$28:$F$33,2,FALSE)+1),1)</f>
        <v>1.01351617390398</v>
      </c>
      <c r="Y248" s="79">
        <f>VLOOKUP(B248,'Player Data'!$A1:$AE667,13,FALSE)*$Q248</f>
        <v>0.080110542685683</v>
      </c>
      <c r="Z248" s="79">
        <f>VLOOKUP(B248,'Player Data'!$A1:$AE667,14,FALSE)*$Q248</f>
        <v>0.33634868004557</v>
      </c>
      <c r="AA248" s="79">
        <f>VLOOKUP(B248,'Player Data'!$A1:$AE667,15,FALSE)*$Q248</f>
        <v>44.9783447538103</v>
      </c>
      <c r="AB248" s="79">
        <f>VLOOKUP(B248,'Player Data'!$A1:$AE667,16,FALSE)*$Q248</f>
        <v>163.307439128626</v>
      </c>
      <c r="AC248" s="79">
        <f>VLOOKUP(B248,'Player Data'!$A1:$AE667,17,FALSE)*$Q248*_xlfn.IFERROR((VLOOKUP(P248,'Settings'!$E$28:$F$33,2,FALSE)+1),1)</f>
        <v>3.34566051529789</v>
      </c>
      <c r="AD248" s="79">
        <f>VLOOKUP(B248,'Player Data'!$A1:$AE667,18,FALSE)*$Q248</f>
        <v>60.1348412521448</v>
      </c>
      <c r="AE248" s="79">
        <f>VLOOKUP(B248,'Player Data'!$A1:$AE667,19,FALSE)*$Q248*_xlfn.IFERROR((VLOOKUP(P248,'Settings'!$E$28:$F$33,2,FALSE)+1),1)</f>
        <v>2.54745791392683</v>
      </c>
      <c r="AF248" s="79">
        <f>VLOOKUP(B248,'Player Data'!$A1:$AE667,20,FALSE)*$Q248</f>
        <v>95.8812345249852</v>
      </c>
      <c r="AG248" s="79">
        <f>VLOOKUP(B248,'Player Data'!$A1:$AE667,21,FALSE)*$Q248</f>
        <v>142.369237617481</v>
      </c>
      <c r="AH248" s="81">
        <f>VLOOKUP(B248,'Player Data'!$A1:$AE667,22,FALSE)</f>
        <v>0.402438801748317</v>
      </c>
      <c r="AI248" s="77"/>
      <c r="AJ248" s="89"/>
      <c r="AK248" s="79"/>
      <c r="AL248" s="79"/>
      <c r="AM248" s="79"/>
      <c r="AN248" s="79"/>
      <c r="AO248" s="79"/>
      <c r="AP248" s="79"/>
      <c r="AQ248" s="82"/>
      <c r="AR248" s="83"/>
      <c r="AS248" s="84"/>
    </row>
    <row r="249" ht="21.25" customHeight="1">
      <c r="A249" s="85">
        <f>RANK(K249,K$1:K$665)</f>
        <v>267</v>
      </c>
      <c r="B249" t="s" s="16">
        <v>438</v>
      </c>
      <c r="C249" t="s" s="69">
        <v>127</v>
      </c>
      <c r="D249" t="s" s="70">
        <f>VLOOKUP(B249,'Player Data'!A1:D667,4,FALSE)</f>
        <v>128</v>
      </c>
      <c r="E249" s="71">
        <f>VLOOKUP(B249,'C'!A1:C206,3,FALSE)</f>
        <v>85</v>
      </c>
      <c r="F249" t="s" s="104">
        <f>VLOOKUP(B249,'Player Data'!A1:B667,2,FALSE)</f>
        <v>333</v>
      </c>
      <c r="G249" s="96">
        <f>VLOOKUP(B249,'Player Data'!A1:D667,3,FALSE)</f>
        <v>21</v>
      </c>
      <c r="H249" s="73">
        <f>_xlfn.IFERROR(VLOOKUP(B249,'ADP'!A1:G665,7,FALSE)/1000000,VLOOKUP(B249,'ADP'!A1:G665,7,FALSE))</f>
        <v>0.863333</v>
      </c>
      <c r="I249" s="74">
        <f>IF('Settings'!$E$15="POINTS",((R249*Q249)*'Settings'!$B$12)+(S249*'Settings'!$B$2)+(T249*'Settings'!$B$3)+(U249*'Settings'!$B$4)+(V249*'Settings'!$B$5)+(X249*'Settings'!$B$9)+(AA249*'Settings'!$B$6)+(W249*'Settings'!$B$8)+(AB249*'Settings'!$B$7)+(AC249*'Settings'!$B$14)+(AD249*'Settings'!$B$15)+(AE249*'Settings'!$B$16)+(AF249*'Settings'!$B$17)+(AG249*'Settings'!$B$18)+(Y249*'Settings'!$B$10)+(Z249*'Settings'!$B$11),VLOOKUP(B249,'Standard Deviations'!A1:C666,3,FALSE))</f>
        <v>240.204740191501</v>
      </c>
      <c r="J249" s="75">
        <f>IF(D249="G",I249/AJ249,I249/Q249)</f>
        <v>3.00819962669381</v>
      </c>
      <c r="K249" s="74">
        <f>IF('Settings'!$E$18="C/LW/RW",VLOOKUP(B249,'C'!A1:F206,6,FALSE),VLOOKUP(B249,'F'!A1:F392,6,FALSE))</f>
        <v>-89.487153889677</v>
      </c>
      <c r="L249" s="76">
        <f>_xlfn.IFERROR(K249/H249,"N/A")</f>
        <v>-103.653114023994</v>
      </c>
      <c r="M249" s="109">
        <f>IF('Settings'!$E$9="YAHOO",VLOOKUP(B249,'ADP'!A1:E665,2,FALSE),IF('Settings'!$E$9="ESPN",VLOOKUP(B249,'ADP'!A1:E665,3,FALSE),IF('Settings'!$E$9="FANTRAX",VLOOKUP(B249,'ADP'!A1:E665,4,FALSE),VLOOKUP(B249,'ADP'!A1:E665,5,FALSE))))</f>
        <v>0</v>
      </c>
      <c r="N249" s="79">
        <f>_xlfn.IFERROR(M249-A249,"N/A")</f>
        <v>-267</v>
      </c>
      <c r="O249" s="77"/>
      <c r="P249" t="s" s="78">
        <f>IF('Settings'!$E$27="ON",VLOOKUP(B249,'ADP'!A1:H665,8,FALSE)," ")</f>
        <v>138</v>
      </c>
      <c r="Q249" s="79">
        <f>IF('Settings'!$E$12="YES",VLOOKUP(B249,'Player Data'!A1:E667,5,FALSE),82)</f>
        <v>79.84999999999999</v>
      </c>
      <c r="R249" s="77">
        <f>VLOOKUP(B249,'Player Data'!$A1:$AE667,6,FALSE)</f>
        <v>17.8123139816797</v>
      </c>
      <c r="S249" s="79">
        <f>VLOOKUP(B249,'Player Data'!$A1:$AE667,7,FALSE)*$Q249*_xlfn.IFERROR((VLOOKUP(P249,'Settings'!$E$28:$F$33,2,FALSE)+1),1)</f>
        <v>20.4071905565143</v>
      </c>
      <c r="T249" s="79">
        <f>VLOOKUP(B249,'Player Data'!$A1:$AE667,8,FALSE)*$Q249*_xlfn.IFERROR((VLOOKUP(P249,'Settings'!$E$28:$F$33,2,FALSE)+1),1)</f>
        <v>32.5230050790669</v>
      </c>
      <c r="U249" s="79">
        <f>SUM(S249:T249)</f>
        <v>52.9301956355812</v>
      </c>
      <c r="V249" s="79">
        <f>VLOOKUP(B249,'Player Data'!$A1:$AE667,10,FALSE)*$Q249*_xlfn.IFERROR(((VLOOKUP(P249,'Settings'!$E$28:$F$33,2,FALSE)/2)+1),1)</f>
        <v>135.905905521888</v>
      </c>
      <c r="W249" s="79">
        <f>VLOOKUP(B249,'Player Data'!$A1:$AE667,11,FALSE)*$Q249*_xlfn.IFERROR((VLOOKUP(P249,'Settings'!$E$28:$F$33,2,FALSE)+1),1)</f>
        <v>9.14220560888238</v>
      </c>
      <c r="X249" s="80">
        <f>VLOOKUP(B249,'Player Data'!$A1:$AE667,12,FALSE)*$Q249*_xlfn.IFERROR((VLOOKUP(P249,'Settings'!$E$28:$F$33,2,FALSE)+1),1)</f>
        <v>20.753890905390</v>
      </c>
      <c r="Y249" s="79">
        <f>VLOOKUP(B249,'Player Data'!$A1:$AE667,13,FALSE)*$Q249</f>
        <v>0.0520171196331299</v>
      </c>
      <c r="Z249" s="79">
        <f>VLOOKUP(B249,'Player Data'!$A1:$AE667,14,FALSE)*$Q249</f>
        <v>0.311812728680143</v>
      </c>
      <c r="AA249" s="79">
        <f>VLOOKUP(B249,'Player Data'!$A1:$AE667,15,FALSE)*$Q249</f>
        <v>63.1408697773467</v>
      </c>
      <c r="AB249" s="79">
        <f>VLOOKUP(B249,'Player Data'!$A1:$AE667,16,FALSE)*$Q249</f>
        <v>41.9256060944535</v>
      </c>
      <c r="AC249" s="79">
        <f>VLOOKUP(B249,'Player Data'!$A1:$AE667,17,FALSE)*$Q249*_xlfn.IFERROR((VLOOKUP(P249,'Settings'!$E$28:$F$33,2,FALSE)+1),1)</f>
        <v>-11.0807544921993</v>
      </c>
      <c r="AD249" s="79">
        <f>VLOOKUP(B249,'Player Data'!$A1:$AE667,18,FALSE)*$Q249</f>
        <v>33.3663485355833</v>
      </c>
      <c r="AE249" s="79">
        <f>VLOOKUP(B249,'Player Data'!$A1:$AE667,19,FALSE)*$Q249*_xlfn.IFERROR((VLOOKUP(P249,'Settings'!$E$28:$F$33,2,FALSE)+1),1)</f>
        <v>2.17969457257105</v>
      </c>
      <c r="AF249" s="79">
        <f>VLOOKUP(B249,'Player Data'!$A1:$AE667,20,FALSE)*$Q249</f>
        <v>67.7288632199303</v>
      </c>
      <c r="AG249" s="79">
        <f>VLOOKUP(B249,'Player Data'!$A1:$AE667,21,FALSE)*$Q249</f>
        <v>145.672536894054</v>
      </c>
      <c r="AH249" s="81">
        <f>VLOOKUP(B249,'Player Data'!$A1:$AE667,22,FALSE)</f>
        <v>0.317377782825015</v>
      </c>
      <c r="AI249" s="77"/>
      <c r="AJ249" s="79"/>
      <c r="AK249" s="79"/>
      <c r="AL249" s="79"/>
      <c r="AM249" s="79"/>
      <c r="AN249" s="79"/>
      <c r="AO249" s="79"/>
      <c r="AP249" s="79"/>
      <c r="AQ249" s="82"/>
      <c r="AR249" s="83"/>
      <c r="AS249" s="84"/>
    </row>
    <row r="250" ht="21.25" customHeight="1">
      <c r="A250" s="85">
        <f>RANK(K250,K$1:K$665)</f>
        <v>248</v>
      </c>
      <c r="B250" t="s" s="16">
        <v>439</v>
      </c>
      <c r="C250" t="s" s="69">
        <v>127</v>
      </c>
      <c r="D250" t="s" s="70">
        <f>VLOOKUP(B250,'Player Data'!A1:D667,4,FALSE)</f>
        <v>145</v>
      </c>
      <c r="E250" s="87">
        <f>VLOOKUP(B250,'RW'!A1:C136,3,FALSE)</f>
        <v>54</v>
      </c>
      <c r="F250" t="s" s="100">
        <f>VLOOKUP(B250,'Player Data'!A1:B667,2,FALSE)</f>
        <v>172</v>
      </c>
      <c r="G250" s="91">
        <f>VLOOKUP(B250,'Player Data'!A1:D667,3,FALSE)</f>
        <v>31</v>
      </c>
      <c r="H250" s="73">
        <f>_xlfn.IFERROR(VLOOKUP(B250,'ADP'!A1:G665,7,FALSE)/1000000,VLOOKUP(B250,'ADP'!A1:G665,7,FALSE))</f>
        <v>5</v>
      </c>
      <c r="I250" s="74">
        <f>IF('Settings'!$E$15="POINTS",((R250*Q250)*'Settings'!$B$12)+(S250*'Settings'!$B$2)+(T250*'Settings'!$B$3)+(U250*'Settings'!$B$4)+(V250*'Settings'!$B$5)+(X250*'Settings'!$B$9)+(AA250*'Settings'!$B$6)+(W250*'Settings'!$B$8)+(AB250*'Settings'!$B$7)+(AC250*'Settings'!$B$14)+(AD250*'Settings'!$B$15)+(AE250*'Settings'!$B$16)+(AF250*'Settings'!$B$17)+(AG250*'Settings'!$B$18)+(Y250*'Settings'!$B$10)+(Z250*'Settings'!$B$11),VLOOKUP(B250,'Standard Deviations'!A1:C666,3,FALSE))</f>
        <v>245.075610720755</v>
      </c>
      <c r="J250" s="75">
        <f>IF(D250="G",I250/AJ250,I250/Q250)</f>
        <v>3.11404842084822</v>
      </c>
      <c r="K250" s="74">
        <f>IF('Settings'!$E$18="C/LW/RW",VLOOKUP(B250,'RW'!A1:F136,6,FALSE),VLOOKUP(B250,'F'!A1:F392,6,FALSE))</f>
        <v>-84.616283360423</v>
      </c>
      <c r="L250" s="76">
        <f>_xlfn.IFERROR(K250/H250,"N/A")</f>
        <v>-16.9232566720846</v>
      </c>
      <c r="M250" s="109">
        <f>IF('Settings'!$E$9="YAHOO",VLOOKUP(B250,'ADP'!A1:E665,2,FALSE),IF('Settings'!$E$9="ESPN",VLOOKUP(B250,'ADP'!A1:E665,3,FALSE),IF('Settings'!$E$9="FANTRAX",VLOOKUP(B250,'ADP'!A1:E665,4,FALSE),VLOOKUP(B250,'ADP'!A1:E665,5,FALSE))))</f>
        <v>0</v>
      </c>
      <c r="N250" s="79">
        <f>_xlfn.IFERROR(M250-A250,"N/A")</f>
        <v>-248</v>
      </c>
      <c r="O250" s="77"/>
      <c r="P250" t="s" s="78">
        <f>IF('Settings'!$E$27="ON",VLOOKUP(B250,'ADP'!A1:H665,8,FALSE)," ")</f>
        <v>138</v>
      </c>
      <c r="Q250" s="79">
        <f>IF('Settings'!$E$12="YES",VLOOKUP(B250,'Player Data'!A1:E667,5,FALSE),82)</f>
        <v>78.7</v>
      </c>
      <c r="R250" s="77">
        <f>VLOOKUP(B250,'Player Data'!$A1:$AE667,6,FALSE)</f>
        <v>15.8701999139815</v>
      </c>
      <c r="S250" s="79">
        <f>VLOOKUP(B250,'Player Data'!$A1:$AE667,7,FALSE)*$Q250*_xlfn.IFERROR((VLOOKUP(P250,'Settings'!$E$28:$F$33,2,FALSE)+1),1)</f>
        <v>17.4672416707119</v>
      </c>
      <c r="T250" s="79">
        <f>VLOOKUP(B250,'Player Data'!$A1:$AE667,8,FALSE)*$Q250*_xlfn.IFERROR((VLOOKUP(P250,'Settings'!$E$28:$F$33,2,FALSE)+1),1)</f>
        <v>23.0921464213442</v>
      </c>
      <c r="U250" s="79">
        <f>SUM(S250:T250)</f>
        <v>40.5593880920561</v>
      </c>
      <c r="V250" s="79">
        <f>VLOOKUP(B250,'Player Data'!$A1:$AE667,10,FALSE)*$Q250*_xlfn.IFERROR(((VLOOKUP(P250,'Settings'!$E$28:$F$33,2,FALSE)/2)+1),1)</f>
        <v>178.684785252572</v>
      </c>
      <c r="W250" s="79">
        <f>VLOOKUP(B250,'Player Data'!$A1:$AE667,11,FALSE)*$Q250*_xlfn.IFERROR((VLOOKUP(P250,'Settings'!$E$28:$F$33,2,FALSE)+1),1)</f>
        <v>4.78675024355155</v>
      </c>
      <c r="X250" s="79">
        <f>VLOOKUP(B250,'Player Data'!$A1:$AE667,12,FALSE)*$Q250*_xlfn.IFERROR((VLOOKUP(P250,'Settings'!$E$28:$F$33,2,FALSE)+1),1)</f>
        <v>9.102089712008871</v>
      </c>
      <c r="Y250" s="79">
        <f>VLOOKUP(B250,'Player Data'!$A1:$AE667,13,FALSE)*$Q250</f>
        <v>0.00104705758707404</v>
      </c>
      <c r="Z250" s="79">
        <f>VLOOKUP(B250,'Player Data'!$A1:$AE667,14,FALSE)*$Q250</f>
        <v>0.00178895099656781</v>
      </c>
      <c r="AA250" s="79">
        <f>VLOOKUP(B250,'Player Data'!$A1:$AE667,15,FALSE)*$Q250</f>
        <v>43.3172127220125</v>
      </c>
      <c r="AB250" s="79">
        <f>VLOOKUP(B250,'Player Data'!$A1:$AE667,16,FALSE)*$Q250</f>
        <v>112.221887105572</v>
      </c>
      <c r="AC250" s="79">
        <f>VLOOKUP(B250,'Player Data'!$A1:$AE667,17,FALSE)*$Q250*_xlfn.IFERROR((VLOOKUP(P250,'Settings'!$E$28:$F$33,2,FALSE)+1),1)</f>
        <v>1.78408749545842</v>
      </c>
      <c r="AD250" s="79">
        <f>VLOOKUP(B250,'Player Data'!$A1:$AE667,18,FALSE)*$Q250</f>
        <v>19.9161962387113</v>
      </c>
      <c r="AE250" s="79">
        <f>VLOOKUP(B250,'Player Data'!$A1:$AE667,19,FALSE)*$Q250*_xlfn.IFERROR((VLOOKUP(P250,'Settings'!$E$28:$F$33,2,FALSE)+1),1)</f>
        <v>2.58939459886639</v>
      </c>
      <c r="AF250" s="79">
        <f>VLOOKUP(B250,'Player Data'!$A1:$AE667,20,FALSE)*$Q250</f>
        <v>9.264936184694941</v>
      </c>
      <c r="AG250" s="79">
        <f>VLOOKUP(B250,'Player Data'!$A1:$AE667,21,FALSE)*$Q250</f>
        <v>15.0320840233613</v>
      </c>
      <c r="AH250" s="81">
        <f>VLOOKUP(B250,'Player Data'!$A1:$AE667,22,FALSE)</f>
        <v>0.381319853437127</v>
      </c>
      <c r="AI250" s="77"/>
      <c r="AJ250" s="89"/>
      <c r="AK250" s="79"/>
      <c r="AL250" s="79"/>
      <c r="AM250" s="79"/>
      <c r="AN250" s="79"/>
      <c r="AO250" s="79"/>
      <c r="AP250" s="79"/>
      <c r="AQ250" s="82"/>
      <c r="AR250" s="83"/>
      <c r="AS250" s="84"/>
    </row>
    <row r="251" ht="21.25" customHeight="1">
      <c r="A251" s="85">
        <f>RANK(K251,K$1:K$665)</f>
        <v>251</v>
      </c>
      <c r="B251" t="s" s="16">
        <v>440</v>
      </c>
      <c r="C251" t="s" s="69">
        <v>127</v>
      </c>
      <c r="D251" t="s" s="70">
        <f>VLOOKUP(B251,'Player Data'!A1:D667,4,FALSE)</f>
        <v>145</v>
      </c>
      <c r="E251" s="87">
        <f>VLOOKUP(B251,'RW'!A1:C136,3,FALSE)</f>
        <v>55</v>
      </c>
      <c r="F251" t="s" s="88">
        <f>VLOOKUP(B251,'Player Data'!A1:B667,2,FALSE)</f>
        <v>143</v>
      </c>
      <c r="G251" s="11">
        <f>VLOOKUP(B251,'Player Data'!A1:D667,3,FALSE)</f>
        <v>26</v>
      </c>
      <c r="H251" s="94">
        <f>_xlfn.IFERROR(VLOOKUP(B251,'ADP'!A1:G665,7,FALSE)/1000000,VLOOKUP(B251,'ADP'!A1:G665,7,FALSE))</f>
        <v>2</v>
      </c>
      <c r="I251" s="74">
        <f>IF('Settings'!$E$15="POINTS",((R251*Q251)*'Settings'!$B$12)+(S251*'Settings'!$B$2)+(T251*'Settings'!$B$3)+(U251*'Settings'!$B$4)+(V251*'Settings'!$B$5)+(X251*'Settings'!$B$9)+(AA251*'Settings'!$B$6)+(W251*'Settings'!$B$8)+(AB251*'Settings'!$B$7)+(AC251*'Settings'!$B$14)+(AD251*'Settings'!$B$15)+(AE251*'Settings'!$B$16)+(AF251*'Settings'!$B$17)+(AG251*'Settings'!$B$18)+(Y251*'Settings'!$B$10)+(Z251*'Settings'!$B$11),VLOOKUP(B251,'Standard Deviations'!A1:C666,3,FALSE))</f>
        <v>244.002992358096</v>
      </c>
      <c r="J251" s="75">
        <f>IF(D251="G",I251/AJ251,I251/Q251)</f>
        <v>3.11715361832067</v>
      </c>
      <c r="K251" s="74">
        <f>IF('Settings'!$E$18="C/LW/RW",VLOOKUP(B251,'RW'!A1:F136,6,FALSE),VLOOKUP(B251,'F'!A1:F392,6,FALSE))</f>
        <v>-85.688901723082</v>
      </c>
      <c r="L251" s="76">
        <f>_xlfn.IFERROR(K251/H251,"N/A")</f>
        <v>-42.844450861541</v>
      </c>
      <c r="M251" s="109">
        <f>IF('Settings'!$E$9="YAHOO",VLOOKUP(B251,'ADP'!A1:E665,2,FALSE),IF('Settings'!$E$9="ESPN",VLOOKUP(B251,'ADP'!A1:E665,3,FALSE),IF('Settings'!$E$9="FANTRAX",VLOOKUP(B251,'ADP'!A1:E665,4,FALSE),VLOOKUP(B251,'ADP'!A1:E665,5,FALSE))))</f>
        <v>0</v>
      </c>
      <c r="N251" s="79">
        <f>_xlfn.IFERROR(M251-A251,"N/A")</f>
        <v>-251</v>
      </c>
      <c r="O251" s="77"/>
      <c r="P251" t="s" s="78">
        <f>IF('Settings'!$E$27="ON",VLOOKUP(B251,'ADP'!A1:H665,8,FALSE)," ")</f>
        <v>138</v>
      </c>
      <c r="Q251" s="79">
        <f>IF('Settings'!$E$12="YES",VLOOKUP(B251,'Player Data'!A1:E667,5,FALSE),82)</f>
        <v>78.2775</v>
      </c>
      <c r="R251" s="77">
        <f>VLOOKUP(B251,'Player Data'!$A1:$AE667,6,FALSE)</f>
        <v>15.4105303646322</v>
      </c>
      <c r="S251" s="79">
        <f>VLOOKUP(B251,'Player Data'!$A1:$AE667,7,FALSE)*$Q251*_xlfn.IFERROR((VLOOKUP(P251,'Settings'!$E$28:$F$33,2,FALSE)+1),1)</f>
        <v>16.9048238466953</v>
      </c>
      <c r="T251" s="79">
        <f>VLOOKUP(B251,'Player Data'!$A1:$AE667,8,FALSE)*$Q251*_xlfn.IFERROR((VLOOKUP(P251,'Settings'!$E$28:$F$33,2,FALSE)+1),1)</f>
        <v>26.275532178909</v>
      </c>
      <c r="U251" s="79">
        <f>SUM(S251:T251)</f>
        <v>43.1803560256043</v>
      </c>
      <c r="V251" s="79">
        <f>VLOOKUP(B251,'Player Data'!$A1:$AE667,10,FALSE)*$Q251*_xlfn.IFERROR(((VLOOKUP(P251,'Settings'!$E$28:$F$33,2,FALSE)/2)+1),1)</f>
        <v>136.344628891983</v>
      </c>
      <c r="W251" s="79">
        <f>VLOOKUP(B251,'Player Data'!$A1:$AE667,11,FALSE)*$Q251*_xlfn.IFERROR((VLOOKUP(P251,'Settings'!$E$28:$F$33,2,FALSE)+1),1)</f>
        <v>3.70328589723287</v>
      </c>
      <c r="X251" s="79">
        <f>VLOOKUP(B251,'Player Data'!$A1:$AE667,12,FALSE)*$Q251*_xlfn.IFERROR((VLOOKUP(P251,'Settings'!$E$28:$F$33,2,FALSE)+1),1)</f>
        <v>10.2888407591277</v>
      </c>
      <c r="Y251" s="79">
        <f>VLOOKUP(B251,'Player Data'!$A1:$AE667,13,FALSE)*$Q251</f>
        <v>0.0113777877145624</v>
      </c>
      <c r="Z251" s="79">
        <f>VLOOKUP(B251,'Player Data'!$A1:$AE667,14,FALSE)*$Q251</f>
        <v>0.0192445234254151</v>
      </c>
      <c r="AA251" s="79">
        <f>VLOOKUP(B251,'Player Data'!$A1:$AE667,15,FALSE)*$Q251</f>
        <v>46.3077742750255</v>
      </c>
      <c r="AB251" s="79">
        <f>VLOOKUP(B251,'Player Data'!$A1:$AE667,16,FALSE)*$Q251</f>
        <v>117.939077232077</v>
      </c>
      <c r="AC251" s="79">
        <f>VLOOKUP(B251,'Player Data'!$A1:$AE667,17,FALSE)*$Q251*_xlfn.IFERROR((VLOOKUP(P251,'Settings'!$E$28:$F$33,2,FALSE)+1),1)</f>
        <v>2.34316717112867</v>
      </c>
      <c r="AD251" s="79">
        <f>VLOOKUP(B251,'Player Data'!$A1:$AE667,18,FALSE)*$Q251</f>
        <v>31.4268733312436</v>
      </c>
      <c r="AE251" s="79">
        <f>VLOOKUP(B251,'Player Data'!$A1:$AE667,19,FALSE)*$Q251*_xlfn.IFERROR((VLOOKUP(P251,'Settings'!$E$28:$F$33,2,FALSE)+1),1)</f>
        <v>2.63298916570802</v>
      </c>
      <c r="AF251" s="79">
        <f>VLOOKUP(B251,'Player Data'!$A1:$AE667,20,FALSE)*$Q251</f>
        <v>349.382862745944</v>
      </c>
      <c r="AG251" s="79">
        <f>VLOOKUP(B251,'Player Data'!$A1:$AE667,21,FALSE)*$Q251</f>
        <v>387.856814248548</v>
      </c>
      <c r="AH251" s="81">
        <f>VLOOKUP(B251,'Player Data'!$A1:$AE667,22,FALSE)</f>
        <v>0.473906754680207</v>
      </c>
      <c r="AI251" s="77"/>
      <c r="AJ251" s="89"/>
      <c r="AK251" s="79"/>
      <c r="AL251" s="79"/>
      <c r="AM251" s="79"/>
      <c r="AN251" s="79"/>
      <c r="AO251" s="79"/>
      <c r="AP251" s="79"/>
      <c r="AQ251" s="82"/>
      <c r="AR251" s="83"/>
      <c r="AS251" s="84"/>
    </row>
    <row r="252" ht="21.25" customHeight="1">
      <c r="A252" s="85">
        <f>RANK(K252,K$1:K$665)</f>
        <v>238</v>
      </c>
      <c r="B252" t="s" s="16">
        <v>441</v>
      </c>
      <c r="C252" t="s" s="69">
        <v>127</v>
      </c>
      <c r="D252" t="s" s="70">
        <f>VLOOKUP(B252,'Player Data'!A1:D667,4,FALSE)</f>
        <v>153</v>
      </c>
      <c r="E252" s="95">
        <f>VLOOKUP(B252,'D'!A1:C213,3,FALSE)</f>
        <v>75</v>
      </c>
      <c r="F252" t="s" s="106">
        <f>VLOOKUP(B252,'Player Data'!A1:B667,2,FALSE)</f>
        <v>242</v>
      </c>
      <c r="G252" s="96">
        <f>VLOOKUP(B252,'Player Data'!A1:D667,3,FALSE)</f>
        <v>23</v>
      </c>
      <c r="H252" s="94">
        <f>_xlfn.IFERROR(VLOOKUP(B252,'ADP'!A1:G665,7,FALSE)/1000000,VLOOKUP(B252,'ADP'!A1:G665,7,FALSE))</f>
        <v>1.6</v>
      </c>
      <c r="I252" s="74">
        <f>IF('Settings'!$E$15="POINTS",((R252*Q252)*'Settings'!$B$12)+(S252*'Settings'!$B$2)+(T252*'Settings'!$B$3)+(U252*'Settings'!$B$4)+(V252*'Settings'!$B$5)+(X252*'Settings'!$B$9)+(AA252*'Settings'!$B$6)+(W252*'Settings'!$B$8)+(AB252*'Settings'!$B$7)+(AC252*'Settings'!$B$14)+(AD252*'Settings'!$B$15)+(AE252*'Settings'!$B$16)+(AF252*'Settings'!$B$17)+(AG252*'Settings'!$B$18)+(U252*'Settings'!$B$13)+(Y252*'Settings'!$B$10)+(Z252*'Settings'!$B$11),VLOOKUP(B252,'Standard Deviations'!A1:C666,3,FALSE))</f>
        <v>250.269342428550</v>
      </c>
      <c r="J252" s="75">
        <f>IF(D252="G",I252/AJ252,I252/Q252)</f>
        <v>3.4292866871547</v>
      </c>
      <c r="K252" s="74">
        <f>VLOOKUP(B252,'D'!A1:F213,6,FALSE)</f>
        <v>-81.27086549153201</v>
      </c>
      <c r="L252" s="76">
        <f>_xlfn.IFERROR(K252/H252,"N/A")</f>
        <v>-50.7942909322075</v>
      </c>
      <c r="M252" s="109">
        <f>IF('Settings'!$E$9="YAHOO",VLOOKUP(B252,'ADP'!A1:E665,2,FALSE),IF('Settings'!$E$9="ESPN",VLOOKUP(B252,'ADP'!A1:E665,3,FALSE),IF('Settings'!$E$9="FANTRAX",VLOOKUP(B252,'ADP'!A1:E665,4,FALSE),VLOOKUP(B252,'ADP'!A1:E665,5,FALSE))))</f>
        <v>0</v>
      </c>
      <c r="N252" s="79">
        <f>_xlfn.IFERROR(M252-A252,"N/A")</f>
        <v>-238</v>
      </c>
      <c r="O252" s="77"/>
      <c r="P252" t="s" s="78">
        <f>IF('Settings'!$E$27="ON",VLOOKUP(B252,'ADP'!A1:H665,8,FALSE)," ")</f>
        <v>138</v>
      </c>
      <c r="Q252" s="79">
        <f>IF('Settings'!$E$12="YES",VLOOKUP(B252,'Player Data'!A1:E667,5,FALSE),82)</f>
        <v>72.98</v>
      </c>
      <c r="R252" s="77">
        <f>VLOOKUP(B252,'Player Data'!$A1:$AE667,6,FALSE)</f>
        <v>22.6236839206502</v>
      </c>
      <c r="S252" s="79">
        <f>VLOOKUP(B252,'Player Data'!$A1:$AE667,7,FALSE)*$Q252*_xlfn.IFERROR((VLOOKUP(P252,'Settings'!$E$28:$F$33,2,FALSE)+1),1)</f>
        <v>7.31688597288759</v>
      </c>
      <c r="T252" s="79">
        <f>VLOOKUP(B252,'Player Data'!$A1:$AE667,8,FALSE)*$Q252*_xlfn.IFERROR((VLOOKUP(P252,'Settings'!$E$28:$F$33,2,FALSE)+1),1)</f>
        <v>22.3874186347728</v>
      </c>
      <c r="U252" s="79">
        <f>SUM(S252:T252)</f>
        <v>29.7043046076604</v>
      </c>
      <c r="V252" s="79">
        <f>VLOOKUP(B252,'Player Data'!$A1:$AE667,10,FALSE)*$Q252*_xlfn.IFERROR(((VLOOKUP(P252,'Settings'!$E$28:$F$33,2,FALSE)/2)+1),1)</f>
        <v>108.999773131249</v>
      </c>
      <c r="W252" s="79">
        <f>VLOOKUP(B252,'Player Data'!$A1:$AE667,11,FALSE)*$Q252*_xlfn.IFERROR((VLOOKUP(P252,'Settings'!$E$28:$F$33,2,FALSE)+1),1)</f>
        <v>0.480330339224072</v>
      </c>
      <c r="X252" s="79">
        <f>VLOOKUP(B252,'Player Data'!$A1:$AE667,12,FALSE)*$Q252*_xlfn.IFERROR((VLOOKUP(P252,'Settings'!$E$28:$F$33,2,FALSE)+1),1)</f>
        <v>6.59934226582777</v>
      </c>
      <c r="Y252" s="79">
        <f>VLOOKUP(B252,'Player Data'!$A1:$AE667,13,FALSE)*$Q252</f>
        <v>0.0398709184251184</v>
      </c>
      <c r="Z252" s="79">
        <f>VLOOKUP(B252,'Player Data'!$A1:$AE667,14,FALSE)*$Q252</f>
        <v>1.83250728223789</v>
      </c>
      <c r="AA252" s="79">
        <f>VLOOKUP(B252,'Player Data'!$A1:$AE667,15,FALSE)*$Q252</f>
        <v>144.217634608856</v>
      </c>
      <c r="AB252" s="79">
        <f>VLOOKUP(B252,'Player Data'!$A1:$AE667,16,FALSE)*$Q252</f>
        <v>75.6927873629471</v>
      </c>
      <c r="AC252" s="79">
        <f>VLOOKUP(B252,'Player Data'!$A1:$AE667,17,FALSE)*$Q252*_xlfn.IFERROR((VLOOKUP(P252,'Settings'!$E$28:$F$33,2,FALSE)+1),1)</f>
        <v>-3.29909666244328</v>
      </c>
      <c r="AD252" s="79">
        <f>VLOOKUP(B252,'Player Data'!$A1:$AE667,18,FALSE)*$Q252</f>
        <v>35.2834442373236</v>
      </c>
      <c r="AE252" s="79">
        <f>VLOOKUP(B252,'Player Data'!$A1:$AE667,19,FALSE)*$Q252*_xlfn.IFERROR((VLOOKUP(P252,'Settings'!$E$28:$F$33,2,FALSE)+1),1)</f>
        <v>1.06057916092335</v>
      </c>
      <c r="AF252" s="79">
        <f>VLOOKUP(B252,'Player Data'!$A1:$AE667,20,FALSE)*$Q252</f>
        <v>0</v>
      </c>
      <c r="AG252" s="79">
        <f>VLOOKUP(B252,'Player Data'!$A1:$AE667,21,FALSE)*$Q252</f>
        <v>0</v>
      </c>
      <c r="AH252" s="81">
        <f>VLOOKUP(B252,'Player Data'!$A1:$AE667,22,FALSE)</f>
        <v>0</v>
      </c>
      <c r="AI252" s="77"/>
      <c r="AJ252" s="79"/>
      <c r="AK252" s="79"/>
      <c r="AL252" s="79"/>
      <c r="AM252" s="79"/>
      <c r="AN252" s="79"/>
      <c r="AO252" s="79"/>
      <c r="AP252" s="79"/>
      <c r="AQ252" s="82"/>
      <c r="AR252" s="83"/>
      <c r="AS252" s="84"/>
    </row>
    <row r="253" ht="21.25" customHeight="1">
      <c r="A253" s="85">
        <f>RANK(K253,K$1:K$665)</f>
        <v>261</v>
      </c>
      <c r="B253" t="s" s="16">
        <v>442</v>
      </c>
      <c r="C253" t="s" s="69">
        <v>127</v>
      </c>
      <c r="D253" t="s" s="70">
        <f>VLOOKUP(B253,'Player Data'!A1:D667,4,FALSE)</f>
        <v>178</v>
      </c>
      <c r="E253" s="102">
        <f>VLOOKUP(B253,'LW'!A1:C152,3,FALSE)</f>
        <v>60</v>
      </c>
      <c r="F253" t="s" s="103">
        <f>VLOOKUP(B253,'Player Data'!A1:B667,2,FALSE)</f>
        <v>190</v>
      </c>
      <c r="G253" s="91">
        <f>VLOOKUP(B253,'Player Data'!A1:D667,3,FALSE)</f>
        <v>34</v>
      </c>
      <c r="H253" s="73">
        <f>_xlfn.IFERROR(VLOOKUP(B253,'ADP'!A1:G665,7,FALSE)/1000000,VLOOKUP(B253,'ADP'!A1:G665,7,FALSE))</f>
        <v>7</v>
      </c>
      <c r="I253" s="74">
        <f>IF('Settings'!$E$15="POINTS",((R253*Q253)*'Settings'!$B$12)+(S253*'Settings'!$B$2)+(T253*'Settings'!$B$3)+(U253*'Settings'!$B$4)+(V253*'Settings'!$B$5)+(X253*'Settings'!$B$9)+(AA253*'Settings'!$B$6)+(W253*'Settings'!$B$8)+(AB253*'Settings'!$B$7)+(AC253*'Settings'!$B$14)+(AD253*'Settings'!$B$15)+(AE253*'Settings'!$B$16)+(AF253*'Settings'!$B$17)+(AG253*'Settings'!$B$18)+(Y253*'Settings'!$B$10)+(Z253*'Settings'!$B$11),VLOOKUP(B253,'Standard Deviations'!A1:C666,3,FALSE))</f>
        <v>243.329892672432</v>
      </c>
      <c r="J253" s="75">
        <f>IF(D253="G",I253/AJ253,I253/Q253)</f>
        <v>2.99473730251293</v>
      </c>
      <c r="K253" s="74">
        <f>IF('Settings'!$E$18="C/LW/RW",VLOOKUP(B253,'LW'!A1:F152,6,FALSE),VLOOKUP(B253,'F'!A1:F392,6,FALSE))</f>
        <v>-88.390219093780</v>
      </c>
      <c r="L253" s="76">
        <f>_xlfn.IFERROR(K253/H253,"N/A")</f>
        <v>-12.6271741562543</v>
      </c>
      <c r="M253" s="109">
        <f>IF('Settings'!$E$9="YAHOO",VLOOKUP(B253,'ADP'!A1:E665,2,FALSE),IF('Settings'!$E$9="ESPN",VLOOKUP(B253,'ADP'!A1:E665,3,FALSE),IF('Settings'!$E$9="FANTRAX",VLOOKUP(B253,'ADP'!A1:E665,4,FALSE),VLOOKUP(B253,'ADP'!A1:E665,5,FALSE))))</f>
        <v>0</v>
      </c>
      <c r="N253" s="79">
        <f>_xlfn.IFERROR(M253-A253,"N/A")</f>
        <v>-261</v>
      </c>
      <c r="O253" s="77"/>
      <c r="P253" t="s" s="78">
        <f>IF('Settings'!$E$27="ON",VLOOKUP(B253,'ADP'!A1:H665,8,FALSE)," ")</f>
        <v>138</v>
      </c>
      <c r="Q253" s="79">
        <f>IF('Settings'!$E$12="YES",VLOOKUP(B253,'Player Data'!A1:E667,5,FALSE),82)</f>
        <v>81.2525</v>
      </c>
      <c r="R253" s="108">
        <f>VLOOKUP(B253,'Player Data'!$A1:$AE667,6,FALSE)</f>
        <v>14.432751726882</v>
      </c>
      <c r="S253" s="79">
        <f>VLOOKUP(B253,'Player Data'!$A1:$AE667,7,FALSE)*$Q253*_xlfn.IFERROR((VLOOKUP(P253,'Settings'!$E$28:$F$33,2,FALSE)+1),1)</f>
        <v>18.2404003798451</v>
      </c>
      <c r="T253" s="79">
        <f>VLOOKUP(B253,'Player Data'!$A1:$AE667,8,FALSE)*$Q253*_xlfn.IFERROR((VLOOKUP(P253,'Settings'!$E$28:$F$33,2,FALSE)+1),1)</f>
        <v>15.9094667629334</v>
      </c>
      <c r="U253" s="79">
        <f>SUM(S253:T253)</f>
        <v>34.1498671427785</v>
      </c>
      <c r="V253" s="79">
        <f>VLOOKUP(B253,'Player Data'!$A1:$AE667,10,FALSE)*$Q253*_xlfn.IFERROR(((VLOOKUP(P253,'Settings'!$E$28:$F$33,2,FALSE)/2)+1),1)</f>
        <v>164.201314875122</v>
      </c>
      <c r="W253" s="79">
        <f>VLOOKUP(B253,'Player Data'!$A1:$AE667,11,FALSE)*$Q253*_xlfn.IFERROR((VLOOKUP(P253,'Settings'!$E$28:$F$33,2,FALSE)+1),1)</f>
        <v>3.52526394776005</v>
      </c>
      <c r="X253" s="79">
        <f>VLOOKUP(B253,'Player Data'!$A1:$AE667,12,FALSE)*$Q253*_xlfn.IFERROR((VLOOKUP(P253,'Settings'!$E$28:$F$33,2,FALSE)+1),1)</f>
        <v>5.60186749860936</v>
      </c>
      <c r="Y253" s="79">
        <f>VLOOKUP(B253,'Player Data'!$A1:$AE667,13,FALSE)*$Q253</f>
        <v>0.00417409291078547</v>
      </c>
      <c r="Z253" s="79">
        <f>VLOOKUP(B253,'Player Data'!$A1:$AE667,14,FALSE)*$Q253</f>
        <v>0.007011456827559</v>
      </c>
      <c r="AA253" s="79">
        <f>VLOOKUP(B253,'Player Data'!$A1:$AE667,15,FALSE)*$Q253</f>
        <v>47.8813288425865</v>
      </c>
      <c r="AB253" s="79">
        <f>VLOOKUP(B253,'Player Data'!$A1:$AE667,16,FALSE)*$Q253</f>
        <v>136.195181789052</v>
      </c>
      <c r="AC253" s="79">
        <f>VLOOKUP(B253,'Player Data'!$A1:$AE667,17,FALSE)*$Q253*_xlfn.IFERROR((VLOOKUP(P253,'Settings'!$E$28:$F$33,2,FALSE)+1),1)</f>
        <v>4.37241103066174</v>
      </c>
      <c r="AD253" s="79">
        <f>VLOOKUP(B253,'Player Data'!$A1:$AE667,18,FALSE)*$Q253</f>
        <v>43.933443525380</v>
      </c>
      <c r="AE253" s="79">
        <f>VLOOKUP(B253,'Player Data'!$A1:$AE667,19,FALSE)*$Q253*_xlfn.IFERROR((VLOOKUP(P253,'Settings'!$E$28:$F$33,2,FALSE)+1),1)</f>
        <v>2.86664195703716</v>
      </c>
      <c r="AF253" s="79">
        <f>VLOOKUP(B253,'Player Data'!$A1:$AE667,20,FALSE)*$Q253</f>
        <v>25.6614706049939</v>
      </c>
      <c r="AG253" s="79">
        <f>VLOOKUP(B253,'Player Data'!$A1:$AE667,21,FALSE)*$Q253</f>
        <v>27.3374180162092</v>
      </c>
      <c r="AH253" s="81">
        <f>VLOOKUP(B253,'Player Data'!$A1:$AE667,22,FALSE)</f>
        <v>0.484188843815257</v>
      </c>
      <c r="AI253" s="77"/>
      <c r="AJ253" s="79"/>
      <c r="AK253" s="79"/>
      <c r="AL253" s="79"/>
      <c r="AM253" s="79"/>
      <c r="AN253" s="79"/>
      <c r="AO253" s="79"/>
      <c r="AP253" s="79"/>
      <c r="AQ253" s="82"/>
      <c r="AR253" s="83"/>
      <c r="AS253" s="84"/>
    </row>
    <row r="254" ht="21.25" customHeight="1">
      <c r="A254" s="85">
        <f>RANK(K254,K$1:K$665)</f>
        <v>254</v>
      </c>
      <c r="B254" t="s" s="16">
        <v>443</v>
      </c>
      <c r="C254" t="s" s="69">
        <v>127</v>
      </c>
      <c r="D254" t="s" s="70">
        <f>VLOOKUP(B254,'Player Data'!A1:D667,4,FALSE)</f>
        <v>145</v>
      </c>
      <c r="E254" s="87">
        <f>VLOOKUP(B254,'RW'!A1:C136,3,FALSE)</f>
        <v>56</v>
      </c>
      <c r="F254" t="s" s="106">
        <f>VLOOKUP(B254,'Player Data'!A1:B667,2,FALSE)</f>
        <v>242</v>
      </c>
      <c r="G254" s="96">
        <f>VLOOKUP(B254,'Player Data'!A1:D667,3,FALSE)</f>
        <v>22</v>
      </c>
      <c r="H254" s="94">
        <f>_xlfn.IFERROR(VLOOKUP(B254,'ADP'!A1:G665,7,FALSE)/1000000,VLOOKUP(B254,'ADP'!A1:G665,7,FALSE))</f>
        <v>0.863333</v>
      </c>
      <c r="I254" s="74">
        <f>IF('Settings'!$E$15="POINTS",((R254*Q254)*'Settings'!$B$12)+(S254*'Settings'!$B$2)+(T254*'Settings'!$B$3)+(U254*'Settings'!$B$4)+(V254*'Settings'!$B$5)+(X254*'Settings'!$B$9)+(AA254*'Settings'!$B$6)+(W254*'Settings'!$B$8)+(AB254*'Settings'!$B$7)+(AC254*'Settings'!$B$14)+(AD254*'Settings'!$B$15)+(AE254*'Settings'!$B$16)+(AF254*'Settings'!$B$17)+(AG254*'Settings'!$B$18)+(Y254*'Settings'!$B$10)+(Z254*'Settings'!$B$11),VLOOKUP(B254,'Standard Deviations'!A1:C666,3,FALSE))</f>
        <v>243.218604292631</v>
      </c>
      <c r="J254" s="75">
        <f>IF(D254="G",I254/AJ254,I254/Q254)</f>
        <v>3.09418744726965</v>
      </c>
      <c r="K254" s="74">
        <f>IF('Settings'!$E$18="C/LW/RW",VLOOKUP(B254,'RW'!A1:F136,6,FALSE),VLOOKUP(B254,'F'!A1:F392,6,FALSE))</f>
        <v>-86.47328978854701</v>
      </c>
      <c r="L254" s="76">
        <f>_xlfn.IFERROR(K254/H254,"N/A")</f>
        <v>-100.162150396831</v>
      </c>
      <c r="M254" s="109">
        <f>IF('Settings'!$E$9="YAHOO",VLOOKUP(B254,'ADP'!A1:E665,2,FALSE),IF('Settings'!$E$9="ESPN",VLOOKUP(B254,'ADP'!A1:E665,3,FALSE),IF('Settings'!$E$9="FANTRAX",VLOOKUP(B254,'ADP'!A1:E665,4,FALSE),VLOOKUP(B254,'ADP'!A1:E665,5,FALSE))))</f>
        <v>0</v>
      </c>
      <c r="N254" s="79">
        <f>_xlfn.IFERROR(M254-A254,"N/A")</f>
        <v>-254</v>
      </c>
      <c r="O254" s="77"/>
      <c r="P254" t="s" s="78">
        <f>IF('Settings'!$E$27="ON",VLOOKUP(B254,'ADP'!A1:H665,8,FALSE)," ")</f>
        <v>138</v>
      </c>
      <c r="Q254" s="79">
        <f>IF('Settings'!$E$12="YES",VLOOKUP(B254,'Player Data'!A1:E667,5,FALSE),82)</f>
        <v>78.605</v>
      </c>
      <c r="R254" s="77">
        <f>VLOOKUP(B254,'Player Data'!$A1:$AE667,6,FALSE)</f>
        <v>16.7339209675889</v>
      </c>
      <c r="S254" s="79">
        <f>VLOOKUP(B254,'Player Data'!$A1:$AE667,7,FALSE)*$Q254*_xlfn.IFERROR((VLOOKUP(P254,'Settings'!$E$28:$F$33,2,FALSE)+1),1)</f>
        <v>22.0272825905179</v>
      </c>
      <c r="T254" s="79">
        <f>VLOOKUP(B254,'Player Data'!$A1:$AE667,8,FALSE)*$Q254*_xlfn.IFERROR((VLOOKUP(P254,'Settings'!$E$28:$F$33,2,FALSE)+1),1)</f>
        <v>19.986308708433</v>
      </c>
      <c r="U254" s="79">
        <f>SUM(S254:T254)</f>
        <v>42.0135912989509</v>
      </c>
      <c r="V254" s="79">
        <f>VLOOKUP(B254,'Player Data'!$A1:$AE667,10,FALSE)*$Q254*_xlfn.IFERROR(((VLOOKUP(P254,'Settings'!$E$28:$F$33,2,FALSE)/2)+1),1)</f>
        <v>164.625828972177</v>
      </c>
      <c r="W254" s="79">
        <f>VLOOKUP(B254,'Player Data'!$A1:$AE667,11,FALSE)*$Q254*_xlfn.IFERROR((VLOOKUP(P254,'Settings'!$E$28:$F$33,2,FALSE)+1),1)</f>
        <v>2.17737412886589</v>
      </c>
      <c r="X254" s="79">
        <f>VLOOKUP(B254,'Player Data'!$A1:$AE667,12,FALSE)*$Q254*_xlfn.IFERROR((VLOOKUP(P254,'Settings'!$E$28:$F$33,2,FALSE)+1),1)</f>
        <v>6.52375179445024</v>
      </c>
      <c r="Y254" s="79">
        <f>VLOOKUP(B254,'Player Data'!$A1:$AE667,13,FALSE)*$Q254</f>
        <v>0.0616476657729319</v>
      </c>
      <c r="Z254" s="79">
        <f>VLOOKUP(B254,'Player Data'!$A1:$AE667,14,FALSE)*$Q254</f>
        <v>0.07045717195639201</v>
      </c>
      <c r="AA254" s="79">
        <f>VLOOKUP(B254,'Player Data'!$A1:$AE667,15,FALSE)*$Q254</f>
        <v>49.5957036601282</v>
      </c>
      <c r="AB254" s="79">
        <f>VLOOKUP(B254,'Player Data'!$A1:$AE667,16,FALSE)*$Q254</f>
        <v>95.02868944868681</v>
      </c>
      <c r="AC254" s="79">
        <f>VLOOKUP(B254,'Player Data'!$A1:$AE667,17,FALSE)*$Q254*_xlfn.IFERROR((VLOOKUP(P254,'Settings'!$E$28:$F$33,2,FALSE)+1),1)</f>
        <v>-0.765372857172665</v>
      </c>
      <c r="AD254" s="79">
        <f>VLOOKUP(B254,'Player Data'!$A1:$AE667,18,FALSE)*$Q254</f>
        <v>34.9166167510329</v>
      </c>
      <c r="AE254" s="79">
        <f>VLOOKUP(B254,'Player Data'!$A1:$AE667,19,FALSE)*$Q254*_xlfn.IFERROR((VLOOKUP(P254,'Settings'!$E$28:$F$33,2,FALSE)+1),1)</f>
        <v>3.19284419271241</v>
      </c>
      <c r="AF254" s="79">
        <f>VLOOKUP(B254,'Player Data'!$A1:$AE667,20,FALSE)*$Q254</f>
        <v>0.895507208729621</v>
      </c>
      <c r="AG254" s="79">
        <f>VLOOKUP(B254,'Player Data'!$A1:$AE667,21,FALSE)*$Q254</f>
        <v>2.01292010152997</v>
      </c>
      <c r="AH254" s="81">
        <f>VLOOKUP(B254,'Player Data'!$A1:$AE667,22,FALSE)</f>
        <v>0.307900838907229</v>
      </c>
      <c r="AI254" s="77"/>
      <c r="AJ254" s="89"/>
      <c r="AK254" s="79"/>
      <c r="AL254" s="79"/>
      <c r="AM254" s="79"/>
      <c r="AN254" s="79"/>
      <c r="AO254" s="79"/>
      <c r="AP254" s="79"/>
      <c r="AQ254" s="82"/>
      <c r="AR254" s="83"/>
      <c r="AS254" s="84"/>
    </row>
    <row r="255" ht="21.25" customHeight="1">
      <c r="A255" s="85">
        <f>RANK(K255,K$1:K$665)</f>
        <v>239</v>
      </c>
      <c r="B255" t="s" s="16">
        <v>444</v>
      </c>
      <c r="C255" t="s" s="69">
        <v>127</v>
      </c>
      <c r="D255" t="s" s="70">
        <f>VLOOKUP(B255,'Player Data'!A1:D667,4,FALSE)</f>
        <v>153</v>
      </c>
      <c r="E255" s="95">
        <f>VLOOKUP(B255,'D'!A1:C213,3,FALSE)</f>
        <v>76</v>
      </c>
      <c r="F255" t="s" s="88">
        <f>VLOOKUP(B255,'Player Data'!A1:B667,2,FALSE)</f>
        <v>304</v>
      </c>
      <c r="G255" s="91">
        <f>VLOOKUP(B255,'Player Data'!A1:D667,3,FALSE)</f>
        <v>31</v>
      </c>
      <c r="H255" s="73">
        <f>_xlfn.IFERROR(VLOOKUP(B255,'ADP'!A1:G665,7,FALSE)/1000000,VLOOKUP(B255,'ADP'!A1:G665,7,FALSE))</f>
        <v>4.6</v>
      </c>
      <c r="I255" s="74">
        <f>IF('Settings'!$E$15="POINTS",((R255*Q255)*'Settings'!$B$12)+(S255*'Settings'!$B$2)+(T255*'Settings'!$B$3)+(U255*'Settings'!$B$4)+(V255*'Settings'!$B$5)+(X255*'Settings'!$B$9)+(AA255*'Settings'!$B$6)+(W255*'Settings'!$B$8)+(AB255*'Settings'!$B$7)+(AC255*'Settings'!$B$14)+(AD255*'Settings'!$B$15)+(AE255*'Settings'!$B$16)+(AF255*'Settings'!$B$17)+(AG255*'Settings'!$B$18)+(U255*'Settings'!$B$13)+(Y255*'Settings'!$B$10)+(Z255*'Settings'!$B$11),VLOOKUP(B255,'Standard Deviations'!A1:C666,3,FALSE))</f>
        <v>249.874524933005</v>
      </c>
      <c r="J255" s="75">
        <f>IF(D255="G",I255/AJ255,I255/Q255)</f>
        <v>3.12079838802267</v>
      </c>
      <c r="K255" s="74">
        <f>VLOOKUP(B255,'D'!A1:F213,6,FALSE)</f>
        <v>-81.66568298707701</v>
      </c>
      <c r="L255" s="76">
        <f>_xlfn.IFERROR(K255/H255,"N/A")</f>
        <v>-17.7534093450167</v>
      </c>
      <c r="M255" s="109">
        <f>IF('Settings'!$E$9="YAHOO",VLOOKUP(B255,'ADP'!A1:E665,2,FALSE),IF('Settings'!$E$9="ESPN",VLOOKUP(B255,'ADP'!A1:E665,3,FALSE),IF('Settings'!$E$9="FANTRAX",VLOOKUP(B255,'ADP'!A1:E665,4,FALSE),VLOOKUP(B255,'ADP'!A1:E665,5,FALSE))))</f>
        <v>0</v>
      </c>
      <c r="N255" s="79">
        <f>_xlfn.IFERROR(M255-A255,"N/A")</f>
        <v>-239</v>
      </c>
      <c r="O255" s="77"/>
      <c r="P255" t="s" s="78">
        <f>IF('Settings'!$E$27="ON",VLOOKUP(B255,'ADP'!A1:H665,8,FALSE)," ")</f>
        <v>138</v>
      </c>
      <c r="Q255" s="79">
        <f>IF('Settings'!$E$12="YES",VLOOKUP(B255,'Player Data'!A1:E667,5,FALSE),82)</f>
        <v>80.0675</v>
      </c>
      <c r="R255" s="77">
        <f>VLOOKUP(B255,'Player Data'!$A1:$AE667,6,FALSE)</f>
        <v>19.844814404698</v>
      </c>
      <c r="S255" s="79">
        <f>VLOOKUP(B255,'Player Data'!$A1:$AE667,7,FALSE)*$Q255*_xlfn.IFERROR((VLOOKUP(P255,'Settings'!$E$28:$F$33,2,FALSE)+1),1)</f>
        <v>3.92179581181857</v>
      </c>
      <c r="T255" s="79">
        <f>VLOOKUP(B255,'Player Data'!$A1:$AE667,8,FALSE)*$Q255*_xlfn.IFERROR((VLOOKUP(P255,'Settings'!$E$28:$F$33,2,FALSE)+1),1)</f>
        <v>14.8518544602702</v>
      </c>
      <c r="U255" s="79">
        <f>SUM(S255:T255)</f>
        <v>18.7736502720888</v>
      </c>
      <c r="V255" s="79">
        <f>VLOOKUP(B255,'Player Data'!$A1:$AE667,10,FALSE)*$Q255*_xlfn.IFERROR(((VLOOKUP(P255,'Settings'!$E$28:$F$33,2,FALSE)/2)+1),1)</f>
        <v>95.88311069389459</v>
      </c>
      <c r="W255" s="79">
        <f>VLOOKUP(B255,'Player Data'!$A1:$AE667,11,FALSE)*$Q255*_xlfn.IFERROR((VLOOKUP(P255,'Settings'!$E$28:$F$33,2,FALSE)+1),1)</f>
        <v>0.0102900196663169</v>
      </c>
      <c r="X255" s="79">
        <f>VLOOKUP(B255,'Player Data'!$A1:$AE667,12,FALSE)*$Q255*_xlfn.IFERROR((VLOOKUP(P255,'Settings'!$E$28:$F$33,2,FALSE)+1),1)</f>
        <v>0.0682715945256632</v>
      </c>
      <c r="Y255" s="79">
        <f>VLOOKUP(B255,'Player Data'!$A1:$AE667,13,FALSE)*$Q255</f>
        <v>0.0294564401318415</v>
      </c>
      <c r="Z255" s="79">
        <f>VLOOKUP(B255,'Player Data'!$A1:$AE667,14,FALSE)*$Q255</f>
        <v>0.80132574536611</v>
      </c>
      <c r="AA255" s="79">
        <f>VLOOKUP(B255,'Player Data'!$A1:$AE667,15,FALSE)*$Q255</f>
        <v>157.571411830770</v>
      </c>
      <c r="AB255" s="79">
        <f>VLOOKUP(B255,'Player Data'!$A1:$AE667,16,FALSE)*$Q255</f>
        <v>122.981692648590</v>
      </c>
      <c r="AC255" s="79">
        <f>VLOOKUP(B255,'Player Data'!$A1:$AE667,17,FALSE)*$Q255*_xlfn.IFERROR((VLOOKUP(P255,'Settings'!$E$28:$F$33,2,FALSE)+1),1)</f>
        <v>-1.22726258340399</v>
      </c>
      <c r="AD255" s="79">
        <f>VLOOKUP(B255,'Player Data'!$A1:$AE667,18,FALSE)*$Q255</f>
        <v>48.0680178894673</v>
      </c>
      <c r="AE255" s="79">
        <f>VLOOKUP(B255,'Player Data'!$A1:$AE667,19,FALSE)*$Q255*_xlfn.IFERROR((VLOOKUP(P255,'Settings'!$E$28:$F$33,2,FALSE)+1),1)</f>
        <v>0.595515559579718</v>
      </c>
      <c r="AF255" s="79">
        <f>VLOOKUP(B255,'Player Data'!$A1:$AE667,20,FALSE)*$Q255</f>
        <v>0</v>
      </c>
      <c r="AG255" s="79">
        <f>VLOOKUP(B255,'Player Data'!$A1:$AE667,21,FALSE)*$Q255</f>
        <v>0</v>
      </c>
      <c r="AH255" s="81">
        <f>VLOOKUP(B255,'Player Data'!$A1:$AE667,22,FALSE)</f>
        <v>0</v>
      </c>
      <c r="AI255" s="77"/>
      <c r="AJ255" s="89"/>
      <c r="AK255" s="79"/>
      <c r="AL255" s="79"/>
      <c r="AM255" s="79"/>
      <c r="AN255" s="79"/>
      <c r="AO255" s="79"/>
      <c r="AP255" s="79"/>
      <c r="AQ255" s="82"/>
      <c r="AR255" s="83"/>
      <c r="AS255" s="84"/>
    </row>
    <row r="256" ht="21.25" customHeight="1">
      <c r="A256" s="85">
        <f>RANK(K256,K$1:K$665)</f>
        <v>255</v>
      </c>
      <c r="B256" t="s" s="16">
        <v>445</v>
      </c>
      <c r="C256" t="s" s="69">
        <v>127</v>
      </c>
      <c r="D256" t="s" s="70">
        <f>VLOOKUP(B256,'Player Data'!A1:D667,4,FALSE)</f>
        <v>140</v>
      </c>
      <c r="E256" s="90">
        <f>VLOOKUP(B256,'RW'!A1:F136,3,FALSE)</f>
        <v>57</v>
      </c>
      <c r="F256" t="s" s="103">
        <f>VLOOKUP(B256,'Player Data'!A1:B667,2,FALSE)</f>
        <v>190</v>
      </c>
      <c r="G256" s="91">
        <f>VLOOKUP(B256,'Player Data'!A1:D667,3,FALSE)</f>
        <v>33</v>
      </c>
      <c r="H256" s="94">
        <f>_xlfn.IFERROR(VLOOKUP(B256,'ADP'!A1:G665,7,FALSE)/1000000,VLOOKUP(B256,'ADP'!A1:G665,7,FALSE))</f>
        <v>5</v>
      </c>
      <c r="I256" s="74">
        <f>IF('Settings'!$E$15="POINTS",((R256*Q256)*'Settings'!$B$12)+(S256*'Settings'!$B$2)+(T256*'Settings'!$B$3)+(U256*'Settings'!$B$4)+(V256*'Settings'!$B$5)+(X256*'Settings'!$B$9)+(AA256*'Settings'!$B$6)+(W256*'Settings'!$B$8)+(AB256*'Settings'!$B$7)+(AC256*'Settings'!$B$14)+(AD256*'Settings'!$B$15)+(AE256*'Settings'!$B$16)+(AF256*'Settings'!$B$17)+(AG256*'Settings'!$B$18)+(Y256*'Settings'!$B$10)+(Z256*'Settings'!$B$11),VLOOKUP(B256,'Standard Deviations'!A1:C666,3,FALSE))</f>
        <v>242.787611286096</v>
      </c>
      <c r="J256" s="75">
        <f>IF(D256="G",I256/AJ256,I256/Q256)</f>
        <v>3.15236941326447</v>
      </c>
      <c r="K256" s="74">
        <f>IF('Settings'!$E$18="C/LW/RW",VLOOKUP(B256,'RW'!A1:F136,6,FALSE),VLOOKUP(B256,'F'!A1:F392,6,FALSE))</f>
        <v>-86.904282795082</v>
      </c>
      <c r="L256" s="76">
        <f>_xlfn.IFERROR(K256/H256,"N/A")</f>
        <v>-17.3808565590164</v>
      </c>
      <c r="M256" s="109">
        <f>IF('Settings'!$E$9="YAHOO",VLOOKUP(B256,'ADP'!A1:E665,2,FALSE),IF('Settings'!$E$9="ESPN",VLOOKUP(B256,'ADP'!A1:E665,3,FALSE),IF('Settings'!$E$9="FANTRAX",VLOOKUP(B256,'ADP'!A1:E665,4,FALSE),VLOOKUP(B256,'ADP'!A1:E665,5,FALSE))))</f>
        <v>0</v>
      </c>
      <c r="N256" s="79">
        <f>_xlfn.IFERROR(M256-A256,"N/A")</f>
        <v>-255</v>
      </c>
      <c r="O256" s="77"/>
      <c r="P256" t="s" s="78">
        <f>IF('Settings'!$E$27="ON",VLOOKUP(B256,'ADP'!A1:H665,8,FALSE)," ")</f>
        <v>138</v>
      </c>
      <c r="Q256" s="79">
        <f>IF('Settings'!$E$12="YES",VLOOKUP(B256,'Player Data'!A1:E667,5,FALSE),82)</f>
        <v>77.0175</v>
      </c>
      <c r="R256" s="77">
        <f>VLOOKUP(B256,'Player Data'!$A1:$AE667,6,FALSE)</f>
        <v>17.0680207219104</v>
      </c>
      <c r="S256" s="79">
        <f>VLOOKUP(B256,'Player Data'!$A1:$AE667,7,FALSE)*$Q256*_xlfn.IFERROR((VLOOKUP(P256,'Settings'!$E$28:$F$33,2,FALSE)+1),1)</f>
        <v>22.4303057349279</v>
      </c>
      <c r="T256" s="79">
        <f>VLOOKUP(B256,'Player Data'!$A1:$AE667,8,FALSE)*$Q256*_xlfn.IFERROR((VLOOKUP(P256,'Settings'!$E$28:$F$33,2,FALSE)+1),1)</f>
        <v>21.8674714608387</v>
      </c>
      <c r="U256" s="79">
        <f>SUM(S256:T256)</f>
        <v>44.2977771957666</v>
      </c>
      <c r="V256" s="79">
        <f>VLOOKUP(B256,'Player Data'!$A1:$AE667,10,FALSE)*$Q256*_xlfn.IFERROR(((VLOOKUP(P256,'Settings'!$E$28:$F$33,2,FALSE)/2)+1),1)</f>
        <v>191.494004205880</v>
      </c>
      <c r="W256" s="79">
        <f>VLOOKUP(B256,'Player Data'!$A1:$AE667,11,FALSE)*$Q256*_xlfn.IFERROR((VLOOKUP(P256,'Settings'!$E$28:$F$33,2,FALSE)+1),1)</f>
        <v>6.16997899508645</v>
      </c>
      <c r="X256" s="101">
        <f>VLOOKUP(B256,'Player Data'!$A1:$AE667,12,FALSE)*$Q256*_xlfn.IFERROR((VLOOKUP(P256,'Settings'!$E$28:$F$33,2,FALSE)+1),1)</f>
        <v>12.8135276073319</v>
      </c>
      <c r="Y256" s="79">
        <f>VLOOKUP(B256,'Player Data'!$A1:$AE667,13,FALSE)*$Q256</f>
        <v>0.117368163795189</v>
      </c>
      <c r="Z256" s="79">
        <f>VLOOKUP(B256,'Player Data'!$A1:$AE667,14,FALSE)*$Q256</f>
        <v>0.198064901537593</v>
      </c>
      <c r="AA256" s="79">
        <f>VLOOKUP(B256,'Player Data'!$A1:$AE667,15,FALSE)*$Q256</f>
        <v>36.3294635961887</v>
      </c>
      <c r="AB256" s="79">
        <f>VLOOKUP(B256,'Player Data'!$A1:$AE667,16,FALSE)*$Q256</f>
        <v>85.3340128305932</v>
      </c>
      <c r="AC256" s="79">
        <f>VLOOKUP(B256,'Player Data'!$A1:$AE667,17,FALSE)*$Q256*_xlfn.IFERROR((VLOOKUP(P256,'Settings'!$E$28:$F$33,2,FALSE)+1),1)</f>
        <v>3.50346949210034</v>
      </c>
      <c r="AD256" s="79">
        <f>VLOOKUP(B256,'Player Data'!$A1:$AE667,18,FALSE)*$Q256</f>
        <v>35.1029498849524</v>
      </c>
      <c r="AE256" s="79">
        <f>VLOOKUP(B256,'Player Data'!$A1:$AE667,19,FALSE)*$Q256*_xlfn.IFERROR((VLOOKUP(P256,'Settings'!$E$28:$F$33,2,FALSE)+1),1)</f>
        <v>3.52512303402968</v>
      </c>
      <c r="AF256" s="79">
        <f>VLOOKUP(B256,'Player Data'!$A1:$AE667,20,FALSE)*$Q256</f>
        <v>12.8270650621165</v>
      </c>
      <c r="AG256" s="79">
        <f>VLOOKUP(B256,'Player Data'!$A1:$AE667,21,FALSE)*$Q256</f>
        <v>22.7525878307915</v>
      </c>
      <c r="AH256" s="81">
        <f>VLOOKUP(B256,'Player Data'!$A1:$AE667,22,FALSE)</f>
        <v>0.360516869029752</v>
      </c>
      <c r="AI256" s="77"/>
      <c r="AJ256" s="89"/>
      <c r="AK256" s="79"/>
      <c r="AL256" s="79"/>
      <c r="AM256" s="79"/>
      <c r="AN256" s="79"/>
      <c r="AO256" s="79"/>
      <c r="AP256" s="79"/>
      <c r="AQ256" s="82"/>
      <c r="AR256" s="83"/>
      <c r="AS256" s="93"/>
    </row>
    <row r="257" ht="21.25" customHeight="1">
      <c r="A257" s="85">
        <f>RANK(K257,K$1:K$665)</f>
        <v>256</v>
      </c>
      <c r="B257" t="s" s="16">
        <v>446</v>
      </c>
      <c r="C257" t="s" s="69">
        <v>127</v>
      </c>
      <c r="D257" t="s" s="70">
        <f>VLOOKUP(B257,'Player Data'!A1:D667,4,FALSE)</f>
        <v>140</v>
      </c>
      <c r="E257" s="90">
        <f>VLOOKUP(B257,'RW'!A1:F136,3,FALSE)</f>
        <v>58</v>
      </c>
      <c r="F257" t="s" s="86">
        <f>VLOOKUP(B257,'Player Data'!A1:B667,2,FALSE)</f>
        <v>156</v>
      </c>
      <c r="G257" s="91">
        <f>VLOOKUP(B257,'Player Data'!A1:D667,3,FALSE)</f>
        <v>35</v>
      </c>
      <c r="H257" s="94">
        <f>_xlfn.IFERROR(VLOOKUP(B257,'ADP'!A1:G665,7,FALSE)/1000000,VLOOKUP(B257,'ADP'!A1:G665,7,FALSE))</f>
        <v>4</v>
      </c>
      <c r="I257" s="74">
        <f>IF('Settings'!$E$15="POINTS",((R257*Q257)*'Settings'!$B$12)+(S257*'Settings'!$B$2)+(T257*'Settings'!$B$3)+(U257*'Settings'!$B$4)+(V257*'Settings'!$B$5)+(X257*'Settings'!$B$9)+(AA257*'Settings'!$B$6)+(W257*'Settings'!$B$8)+(AB257*'Settings'!$B$7)+(AC257*'Settings'!$B$14)+(AD257*'Settings'!$B$15)+(AE257*'Settings'!$B$16)+(AF257*'Settings'!$B$17)+(AG257*'Settings'!$B$18)+(Y257*'Settings'!$B$10)+(Z257*'Settings'!$B$11),VLOOKUP(B257,'Standard Deviations'!A1:C666,3,FALSE))</f>
        <v>241.867105108624</v>
      </c>
      <c r="J257" s="75">
        <f>IF(D257="G",I257/AJ257,I257/Q257)</f>
        <v>3.23730440165466</v>
      </c>
      <c r="K257" s="74">
        <f>IF('Settings'!$E$18="C/LW/RW",VLOOKUP(B257,'RW'!A1:F136,6,FALSE),VLOOKUP(B257,'F'!A1:F392,6,FALSE))</f>
        <v>-87.824788972554</v>
      </c>
      <c r="L257" s="76">
        <f>_xlfn.IFERROR(K257/H257,"N/A")</f>
        <v>-21.9561972431385</v>
      </c>
      <c r="M257" s="77">
        <f>IF('Settings'!$E$9="YAHOO",VLOOKUP(B257,'ADP'!A1:E665,2,FALSE),IF('Settings'!$E$9="ESPN",VLOOKUP(B257,'ADP'!A1:E665,3,FALSE),IF('Settings'!$E$9="FANTRAX",VLOOKUP(B257,'ADP'!A1:E665,4,FALSE),VLOOKUP(B257,'ADP'!A1:E665,5,FALSE))))</f>
        <v>0</v>
      </c>
      <c r="N257" s="77">
        <f>_xlfn.IFERROR(M257-A257,"N/A")</f>
        <v>-256</v>
      </c>
      <c r="O257" s="77"/>
      <c r="P257" t="s" s="78">
        <f>IF('Settings'!$E$27="ON",VLOOKUP(B257,'ADP'!A1:H665,8,FALSE)," ")</f>
        <v>138</v>
      </c>
      <c r="Q257" s="79">
        <f>IF('Settings'!$E$12="YES",VLOOKUP(B257,'Player Data'!A1:E667,5,FALSE),82)</f>
        <v>74.71250000000001</v>
      </c>
      <c r="R257" s="77">
        <f>VLOOKUP(B257,'Player Data'!$A1:$AE667,6,FALSE)</f>
        <v>18.3820174836543</v>
      </c>
      <c r="S257" s="79">
        <f>VLOOKUP(B257,'Player Data'!$A1:$AE667,7,FALSE)*$Q257*_xlfn.IFERROR((VLOOKUP(P257,'Settings'!$E$28:$F$33,2,FALSE)+1),1)</f>
        <v>22.4042218307428</v>
      </c>
      <c r="T257" s="79">
        <f>VLOOKUP(B257,'Player Data'!$A1:$AE667,8,FALSE)*$Q257*_xlfn.IFERROR((VLOOKUP(P257,'Settings'!$E$28:$F$33,2,FALSE)+1),1)</f>
        <v>37.3967915532485</v>
      </c>
      <c r="U257" s="79">
        <f>SUM(S257:T257)</f>
        <v>59.8010133839913</v>
      </c>
      <c r="V257" s="79">
        <f>VLOOKUP(B257,'Player Data'!$A1:$AE667,10,FALSE)*$Q257*_xlfn.IFERROR(((VLOOKUP(P257,'Settings'!$E$28:$F$33,2,FALSE)/2)+1),1)</f>
        <v>218.656308224723</v>
      </c>
      <c r="W257" s="79">
        <f>VLOOKUP(B257,'Player Data'!$A1:$AE667,11,FALSE)*$Q257*_xlfn.IFERROR((VLOOKUP(P257,'Settings'!$E$28:$F$33,2,FALSE)+1),1)</f>
        <v>4.29224026516203</v>
      </c>
      <c r="X257" s="80">
        <f>VLOOKUP(B257,'Player Data'!$A1:$AE667,12,FALSE)*$Q257*_xlfn.IFERROR((VLOOKUP(P257,'Settings'!$E$28:$F$33,2,FALSE)+1),1)</f>
        <v>19.2107985416038</v>
      </c>
      <c r="Y257" s="79">
        <f>VLOOKUP(B257,'Player Data'!$A1:$AE667,13,FALSE)*$Q257</f>
        <v>0.00335865315288023</v>
      </c>
      <c r="Z257" s="79">
        <f>VLOOKUP(B257,'Player Data'!$A1:$AE667,14,FALSE)*$Q257</f>
        <v>0.00579534277449206</v>
      </c>
      <c r="AA257" s="79">
        <f>VLOOKUP(B257,'Player Data'!$A1:$AE667,15,FALSE)*$Q257</f>
        <v>21.6878188442373</v>
      </c>
      <c r="AB257" s="79">
        <f>VLOOKUP(B257,'Player Data'!$A1:$AE667,16,FALSE)*$Q257</f>
        <v>23.7567514808948</v>
      </c>
      <c r="AC257" s="79">
        <f>VLOOKUP(B257,'Player Data'!$A1:$AE667,17,FALSE)*$Q257*_xlfn.IFERROR((VLOOKUP(P257,'Settings'!$E$28:$F$33,2,FALSE)+1),1)</f>
        <v>-2.38087935158157</v>
      </c>
      <c r="AD257" s="79">
        <f>VLOOKUP(B257,'Player Data'!$A1:$AE667,18,FALSE)*$Q257</f>
        <v>21.4241908540169</v>
      </c>
      <c r="AE257" s="79">
        <f>VLOOKUP(B257,'Player Data'!$A1:$AE667,19,FALSE)*$Q257*_xlfn.IFERROR((VLOOKUP(P257,'Settings'!$E$28:$F$33,2,FALSE)+1),1)</f>
        <v>3.07705553630414</v>
      </c>
      <c r="AF257" s="79">
        <f>VLOOKUP(B257,'Player Data'!$A1:$AE667,20,FALSE)*$Q257</f>
        <v>0.637064165212508</v>
      </c>
      <c r="AG257" s="79">
        <f>VLOOKUP(B257,'Player Data'!$A1:$AE667,21,FALSE)*$Q257</f>
        <v>1.1763412179969</v>
      </c>
      <c r="AH257" s="81">
        <f>VLOOKUP(B257,'Player Data'!$A1:$AE667,22,FALSE)</f>
        <v>0.351308191268859</v>
      </c>
      <c r="AI257" s="77"/>
      <c r="AJ257" s="79"/>
      <c r="AK257" s="79"/>
      <c r="AL257" s="79"/>
      <c r="AM257" s="79"/>
      <c r="AN257" s="79"/>
      <c r="AO257" s="79"/>
      <c r="AP257" s="79"/>
      <c r="AQ257" s="82"/>
      <c r="AR257" s="83"/>
      <c r="AS257" s="93"/>
    </row>
    <row r="258" ht="21.25" customHeight="1">
      <c r="A258" s="85">
        <f>RANK(K258,K$1:K$665)</f>
        <v>258</v>
      </c>
      <c r="B258" t="s" s="16">
        <v>447</v>
      </c>
      <c r="C258" t="s" s="69">
        <v>127</v>
      </c>
      <c r="D258" t="s" s="70">
        <f>VLOOKUP(B258,'Player Data'!A1:D667,4,FALSE)</f>
        <v>145</v>
      </c>
      <c r="E258" s="87">
        <f>VLOOKUP(B258,'RW'!A1:C136,3,FALSE)</f>
        <v>59</v>
      </c>
      <c r="F258" t="s" s="78">
        <f>VLOOKUP(B258,'Player Data'!A1:B667,2,FALSE)</f>
        <v>204</v>
      </c>
      <c r="G258" s="91">
        <f>VLOOKUP(B258,'Player Data'!A1:D667,3,FALSE)</f>
        <v>33</v>
      </c>
      <c r="H258" s="94">
        <f>_xlfn.IFERROR(VLOOKUP(B258,'ADP'!A1:G665,7,FALSE)/1000000,VLOOKUP(B258,'ADP'!A1:G665,7,FALSE))</f>
        <v>3</v>
      </c>
      <c r="I258" s="74">
        <f>IF('Settings'!$E$15="POINTS",((R258*Q258)*'Settings'!$B$12)+(S258*'Settings'!$B$2)+(T258*'Settings'!$B$3)+(U258*'Settings'!$B$4)+(V258*'Settings'!$B$5)+(X258*'Settings'!$B$9)+(AA258*'Settings'!$B$6)+(W258*'Settings'!$B$8)+(AB258*'Settings'!$B$7)+(AC258*'Settings'!$B$14)+(AD258*'Settings'!$B$15)+(AE258*'Settings'!$B$16)+(AF258*'Settings'!$B$17)+(AG258*'Settings'!$B$18)+(Y258*'Settings'!$B$10)+(Z258*'Settings'!$B$11),VLOOKUP(B258,'Standard Deviations'!A1:C666,3,FALSE))</f>
        <v>241.700695791079</v>
      </c>
      <c r="J258" s="75">
        <f>IF(D258="G",I258/AJ258,I258/Q258)</f>
        <v>3.03025476622572</v>
      </c>
      <c r="K258" s="74">
        <f>IF('Settings'!$E$18="C/LW/RW",VLOOKUP(B258,'RW'!A1:F136,6,FALSE),VLOOKUP(B258,'F'!A1:F392,6,FALSE))</f>
        <v>-87.99119829009901</v>
      </c>
      <c r="L258" s="76">
        <f>_xlfn.IFERROR(K258/H258,"N/A")</f>
        <v>-29.330399430033</v>
      </c>
      <c r="M258" s="77">
        <f>IF('Settings'!$E$9="YAHOO",VLOOKUP(B258,'ADP'!A1:E665,2,FALSE),IF('Settings'!$E$9="ESPN",VLOOKUP(B258,'ADP'!A1:E665,3,FALSE),IF('Settings'!$E$9="FANTRAX",VLOOKUP(B258,'ADP'!A1:E665,4,FALSE),VLOOKUP(B258,'ADP'!A1:E665,5,FALSE))))</f>
        <v>0</v>
      </c>
      <c r="N258" s="77">
        <f>_xlfn.IFERROR(M258-A258,"N/A")</f>
        <v>-258</v>
      </c>
      <c r="O258" s="77"/>
      <c r="P258" t="s" s="78">
        <f>IF('Settings'!$E$27="ON",VLOOKUP(B258,'ADP'!A1:H665,8,FALSE)," ")</f>
        <v>138</v>
      </c>
      <c r="Q258" s="79">
        <f>IF('Settings'!$E$12="YES",VLOOKUP(B258,'Player Data'!A1:E667,5,FALSE),82)</f>
        <v>79.7625</v>
      </c>
      <c r="R258" s="77">
        <f>VLOOKUP(B258,'Player Data'!$A1:$AE667,6,FALSE)</f>
        <v>16.2386835614281</v>
      </c>
      <c r="S258" s="79">
        <f>VLOOKUP(B258,'Player Data'!$A1:$AE667,7,FALSE)*$Q258*_xlfn.IFERROR((VLOOKUP(P258,'Settings'!$E$28:$F$33,2,FALSE)+1),1)</f>
        <v>22.5551596423312</v>
      </c>
      <c r="T258" s="79">
        <f>VLOOKUP(B258,'Player Data'!$A1:$AE667,8,FALSE)*$Q258*_xlfn.IFERROR((VLOOKUP(P258,'Settings'!$E$28:$F$33,2,FALSE)+1),1)</f>
        <v>33.5138776426252</v>
      </c>
      <c r="U258" s="79">
        <f>SUM(S258:T258)</f>
        <v>56.0690372849564</v>
      </c>
      <c r="V258" s="79">
        <f>VLOOKUP(B258,'Player Data'!$A1:$AE667,10,FALSE)*$Q258*_xlfn.IFERROR(((VLOOKUP(P258,'Settings'!$E$28:$F$33,2,FALSE)/2)+1),1)</f>
        <v>167.505993238515</v>
      </c>
      <c r="W258" s="79">
        <f>VLOOKUP(B258,'Player Data'!$A1:$AE667,11,FALSE)*$Q258*_xlfn.IFERROR((VLOOKUP(P258,'Settings'!$E$28:$F$33,2,FALSE)+1),1)</f>
        <v>5.10820394452643</v>
      </c>
      <c r="X258" s="79">
        <f>VLOOKUP(B258,'Player Data'!$A1:$AE667,12,FALSE)*$Q258*_xlfn.IFERROR((VLOOKUP(P258,'Settings'!$E$28:$F$33,2,FALSE)+1),1)</f>
        <v>12.2834432578094</v>
      </c>
      <c r="Y258" s="79">
        <f>VLOOKUP(B258,'Player Data'!$A1:$AE667,13,FALSE)*$Q258</f>
        <v>0.0656322797472057</v>
      </c>
      <c r="Z258" s="79">
        <f>VLOOKUP(B258,'Player Data'!$A1:$AE667,14,FALSE)*$Q258</f>
        <v>0.112410713293519</v>
      </c>
      <c r="AA258" s="79">
        <f>VLOOKUP(B258,'Player Data'!$A1:$AE667,15,FALSE)*$Q258</f>
        <v>41.433183838206</v>
      </c>
      <c r="AB258" s="79">
        <f>VLOOKUP(B258,'Player Data'!$A1:$AE667,16,FALSE)*$Q258</f>
        <v>34.9623291375617</v>
      </c>
      <c r="AC258" s="79">
        <f>VLOOKUP(B258,'Player Data'!$A1:$AE667,17,FALSE)*$Q258*_xlfn.IFERROR((VLOOKUP(P258,'Settings'!$E$28:$F$33,2,FALSE)+1),1)</f>
        <v>5.8565767293294</v>
      </c>
      <c r="AD258" s="79">
        <f>VLOOKUP(B258,'Player Data'!$A1:$AE667,18,FALSE)*$Q258</f>
        <v>25.809993659485</v>
      </c>
      <c r="AE258" s="79">
        <f>VLOOKUP(B258,'Player Data'!$A1:$AE667,19,FALSE)*$Q258*_xlfn.IFERROR((VLOOKUP(P258,'Settings'!$E$28:$F$33,2,FALSE)+1),1)</f>
        <v>3.60699211905094</v>
      </c>
      <c r="AF258" s="79">
        <f>VLOOKUP(B258,'Player Data'!$A1:$AE667,20,FALSE)*$Q258</f>
        <v>272.234219946197</v>
      </c>
      <c r="AG258" s="79">
        <f>VLOOKUP(B258,'Player Data'!$A1:$AE667,21,FALSE)*$Q258</f>
        <v>225.563744796339</v>
      </c>
      <c r="AH258" s="81">
        <f>VLOOKUP(B258,'Player Data'!$A1:$AE667,22,FALSE)</f>
        <v>0.546876924430572</v>
      </c>
      <c r="AI258" s="77"/>
      <c r="AJ258" s="79"/>
      <c r="AK258" s="79"/>
      <c r="AL258" s="79"/>
      <c r="AM258" s="79"/>
      <c r="AN258" s="79"/>
      <c r="AO258" s="79"/>
      <c r="AP258" s="79"/>
      <c r="AQ258" s="82"/>
      <c r="AR258" s="83"/>
      <c r="AS258" s="84"/>
    </row>
    <row r="259" ht="21.25" customHeight="1">
      <c r="A259" s="85">
        <f>RANK(K259,K$1:K$665)</f>
        <v>268</v>
      </c>
      <c r="B259" t="s" s="16">
        <v>448</v>
      </c>
      <c r="C259" t="s" s="69">
        <v>127</v>
      </c>
      <c r="D259" t="s" s="70">
        <f>VLOOKUP(B259,'Player Data'!A1:D667,4,FALSE)</f>
        <v>178</v>
      </c>
      <c r="E259" s="102">
        <f>VLOOKUP(B259,'LW'!A1:C152,3,FALSE)</f>
        <v>61</v>
      </c>
      <c r="F259" t="s" s="88">
        <f>VLOOKUP(B259,'Player Data'!A1:B667,2,FALSE)</f>
        <v>239</v>
      </c>
      <c r="G259" s="11">
        <f>VLOOKUP(B259,'Player Data'!A1:D667,3,FALSE)</f>
        <v>26</v>
      </c>
      <c r="H259" s="73">
        <f>_xlfn.IFERROR(VLOOKUP(B259,'ADP'!A1:G665,7,FALSE)/1000000,VLOOKUP(B259,'ADP'!A1:G665,7,FALSE))</f>
        <v>8.699999999999999</v>
      </c>
      <c r="I259" s="74">
        <f>IF('Settings'!$E$15="POINTS",((R259*Q259)*'Settings'!$B$12)+(S259*'Settings'!$B$2)+(T259*'Settings'!$B$3)+(U259*'Settings'!$B$4)+(V259*'Settings'!$B$5)+(X259*'Settings'!$B$9)+(AA259*'Settings'!$B$6)+(W259*'Settings'!$B$8)+(AB259*'Settings'!$B$7)+(AC259*'Settings'!$B$14)+(AD259*'Settings'!$B$15)+(AE259*'Settings'!$B$16)+(AF259*'Settings'!$B$17)+(AG259*'Settings'!$B$18)+(Y259*'Settings'!$B$10)+(Z259*'Settings'!$B$11),VLOOKUP(B259,'Standard Deviations'!A1:C666,3,FALSE))</f>
        <v>241.612340422803</v>
      </c>
      <c r="J259" s="75">
        <f>IF(D259="G",I259/AJ259,I259/Q259)</f>
        <v>3.75422196982175</v>
      </c>
      <c r="K259" s="74">
        <f>IF('Settings'!$E$18="C/LW/RW",VLOOKUP(B259,'LW'!A1:F152,6,FALSE),VLOOKUP(B259,'F'!A1:F392,6,FALSE))</f>
        <v>-90.107771343409</v>
      </c>
      <c r="L259" s="76">
        <f>_xlfn.IFERROR(K259/H259,"N/A")</f>
        <v>-10.3572150969436</v>
      </c>
      <c r="M259" s="77">
        <f>IF('Settings'!$E$9="YAHOO",VLOOKUP(B259,'ADP'!A1:E665,2,FALSE),IF('Settings'!$E$9="ESPN",VLOOKUP(B259,'ADP'!A1:E665,3,FALSE),IF('Settings'!$E$9="FANTRAX",VLOOKUP(B259,'ADP'!A1:E665,4,FALSE),VLOOKUP(B259,'ADP'!A1:E665,5,FALSE))))</f>
        <v>0</v>
      </c>
      <c r="N259" s="77">
        <f>_xlfn.IFERROR(M259-A259,"N/A")</f>
        <v>-268</v>
      </c>
      <c r="O259" s="77"/>
      <c r="P259" t="s" s="78">
        <f>IF('Settings'!$E$27="ON",VLOOKUP(B259,'ADP'!A1:H665,8,FALSE)," ")</f>
        <v>130</v>
      </c>
      <c r="Q259" s="79">
        <f>IF('Settings'!$E$12="YES",VLOOKUP(B259,'Player Data'!A1:E667,5,FALSE),82)</f>
        <v>64.3575</v>
      </c>
      <c r="R259" s="98">
        <f>VLOOKUP(B259,'Player Data'!$A1:$AE667,6,FALSE)</f>
        <v>17.7656710718722</v>
      </c>
      <c r="S259" s="79">
        <f>VLOOKUP(B259,'Player Data'!$A1:$AE667,7,FALSE)*$Q259*_xlfn.IFERROR((VLOOKUP(P259,'Settings'!$E$28:$F$33,2,FALSE)+1),1)</f>
        <v>25.5650263848262</v>
      </c>
      <c r="T259" s="79">
        <f>VLOOKUP(B259,'Player Data'!$A1:$AE667,8,FALSE)*$Q259*_xlfn.IFERROR((VLOOKUP(P259,'Settings'!$E$28:$F$33,2,FALSE)+1),1)</f>
        <v>30.5672211869959</v>
      </c>
      <c r="U259" s="79">
        <f>SUM(S259:T259)</f>
        <v>56.1322475718221</v>
      </c>
      <c r="V259" s="79">
        <f>VLOOKUP(B259,'Player Data'!$A1:$AE667,10,FALSE)*$Q259*_xlfn.IFERROR(((VLOOKUP(P259,'Settings'!$E$28:$F$33,2,FALSE)/2)+1),1)</f>
        <v>185.558984949959</v>
      </c>
      <c r="W259" s="79">
        <f>VLOOKUP(B259,'Player Data'!$A1:$AE667,11,FALSE)*$Q259*_xlfn.IFERROR((VLOOKUP(P259,'Settings'!$E$28:$F$33,2,FALSE)+1),1)</f>
        <v>7.46403986252668</v>
      </c>
      <c r="X259" s="80">
        <f>VLOOKUP(B259,'Player Data'!$A1:$AE667,12,FALSE)*$Q259*_xlfn.IFERROR((VLOOKUP(P259,'Settings'!$E$28:$F$33,2,FALSE)+1),1)</f>
        <v>16.8283055581385</v>
      </c>
      <c r="Y259" s="79">
        <f>VLOOKUP(B259,'Player Data'!$A1:$AE667,13,FALSE)*$Q259</f>
        <v>0.00710067762486357</v>
      </c>
      <c r="Z259" s="79">
        <f>VLOOKUP(B259,'Player Data'!$A1:$AE667,14,FALSE)*$Q259</f>
        <v>0.0119909346060188</v>
      </c>
      <c r="AA259" s="79">
        <f>VLOOKUP(B259,'Player Data'!$A1:$AE667,15,FALSE)*$Q259</f>
        <v>35.6750017995017</v>
      </c>
      <c r="AB259" s="79">
        <f>VLOOKUP(B259,'Player Data'!$A1:$AE667,16,FALSE)*$Q259</f>
        <v>36.7912010837265</v>
      </c>
      <c r="AC259" s="79">
        <f>VLOOKUP(B259,'Player Data'!$A1:$AE667,17,FALSE)*$Q259*_xlfn.IFERROR((VLOOKUP(P259,'Settings'!$E$28:$F$33,2,FALSE)+1),1)</f>
        <v>-6.10914185704098</v>
      </c>
      <c r="AD259" s="79">
        <f>VLOOKUP(B259,'Player Data'!$A1:$AE667,18,FALSE)*$Q259</f>
        <v>21.088670325646</v>
      </c>
      <c r="AE259" s="79">
        <f>VLOOKUP(B259,'Player Data'!$A1:$AE667,19,FALSE)*$Q259*_xlfn.IFERROR((VLOOKUP(P259,'Settings'!$E$28:$F$33,2,FALSE)+1),1)</f>
        <v>2.96301909371089</v>
      </c>
      <c r="AF259" s="79">
        <f>VLOOKUP(B259,'Player Data'!$A1:$AE667,20,FALSE)*$Q259</f>
        <v>60.267391888570</v>
      </c>
      <c r="AG259" s="79">
        <f>VLOOKUP(B259,'Player Data'!$A1:$AE667,21,FALSE)*$Q259</f>
        <v>106.640800350438</v>
      </c>
      <c r="AH259" s="81">
        <f>VLOOKUP(B259,'Player Data'!$A1:$AE667,22,FALSE)</f>
        <v>0.361081089430701</v>
      </c>
      <c r="AI259" s="77"/>
      <c r="AJ259" s="89"/>
      <c r="AK259" s="79"/>
      <c r="AL259" s="79"/>
      <c r="AM259" s="79"/>
      <c r="AN259" s="79"/>
      <c r="AO259" s="79"/>
      <c r="AP259" s="79"/>
      <c r="AQ259" s="82"/>
      <c r="AR259" s="83"/>
      <c r="AS259" s="84"/>
    </row>
    <row r="260" ht="21.25" customHeight="1">
      <c r="A260" s="85">
        <f>RANK(K260,K$1:K$665)</f>
        <v>281</v>
      </c>
      <c r="B260" t="s" s="16">
        <v>449</v>
      </c>
      <c r="C260" t="s" s="69">
        <v>127</v>
      </c>
      <c r="D260" t="s" s="70">
        <f>VLOOKUP(B260,'Player Data'!A1:D667,4,FALSE)</f>
        <v>128</v>
      </c>
      <c r="E260" s="71">
        <f>VLOOKUP(B260,'C'!A1:C206,3,FALSE)</f>
        <v>86</v>
      </c>
      <c r="F260" t="s" s="88">
        <f>VLOOKUP(B260,'Player Data'!A1:B667,2,FALSE)</f>
        <v>304</v>
      </c>
      <c r="G260" s="91">
        <f>VLOOKUP(B260,'Player Data'!A1:D667,3,FALSE)</f>
        <v>32</v>
      </c>
      <c r="H260" s="94">
        <f>_xlfn.IFERROR(VLOOKUP(B260,'ADP'!A1:G665,7,FALSE)/1000000,VLOOKUP(B260,'ADP'!A1:G665,7,FALSE))</f>
        <v>5.1666</v>
      </c>
      <c r="I260" s="74">
        <f>IF('Settings'!$E$15="POINTS",((R260*Q260)*'Settings'!$B$12)+(S260*'Settings'!$B$2)+(T260*'Settings'!$B$3)+(U260*'Settings'!$B$4)+(V260*'Settings'!$B$5)+(X260*'Settings'!$B$9)+(AA260*'Settings'!$B$6)+(W260*'Settings'!$B$8)+(AB260*'Settings'!$B$7)+(AC260*'Settings'!$B$14)+(AD260*'Settings'!$B$15)+(AE260*'Settings'!$B$16)+(AF260*'Settings'!$B$17)+(AG260*'Settings'!$B$18)+(Y260*'Settings'!$B$10)+(Z260*'Settings'!$B$11),VLOOKUP(B260,'Standard Deviations'!A1:C666,3,FALSE))</f>
        <v>236.268452259899</v>
      </c>
      <c r="J260" s="75">
        <f>IF(D260="G",I260/AJ260,I260/Q260)</f>
        <v>2.92637810509242</v>
      </c>
      <c r="K260" s="74">
        <f>IF('Settings'!$E$18="C/LW/RW",VLOOKUP(B260,'C'!A1:F206,6,FALSE),VLOOKUP(B260,'F'!A1:F392,6,FALSE))</f>
        <v>-93.423441821279</v>
      </c>
      <c r="L260" s="76">
        <f>_xlfn.IFERROR(K260/H260,"N/A")</f>
        <v>-18.0821898001159</v>
      </c>
      <c r="M260" s="109">
        <f>IF('Settings'!$E$9="YAHOO",VLOOKUP(B260,'ADP'!A1:E665,2,FALSE),IF('Settings'!$E$9="ESPN",VLOOKUP(B260,'ADP'!A1:E665,3,FALSE),IF('Settings'!$E$9="FANTRAX",VLOOKUP(B260,'ADP'!A1:E665,4,FALSE),VLOOKUP(B260,'ADP'!A1:E665,5,FALSE))))</f>
        <v>0</v>
      </c>
      <c r="N260" s="79">
        <f>_xlfn.IFERROR(M260-A260,"N/A")</f>
        <v>-281</v>
      </c>
      <c r="O260" s="77"/>
      <c r="P260" t="s" s="78">
        <f>IF('Settings'!$E$27="ON",VLOOKUP(B260,'ADP'!A1:H665,8,FALSE)," ")</f>
        <v>138</v>
      </c>
      <c r="Q260" s="79">
        <f>IF('Settings'!$E$12="YES",VLOOKUP(B260,'Player Data'!A1:E667,5,FALSE),82)</f>
        <v>80.7375</v>
      </c>
      <c r="R260" s="77">
        <f>VLOOKUP(B260,'Player Data'!$A1:$AE667,6,FALSE)</f>
        <v>16.8043610374326</v>
      </c>
      <c r="S260" s="79">
        <f>VLOOKUP(B260,'Player Data'!$A1:$AE667,7,FALSE)*$Q260*_xlfn.IFERROR((VLOOKUP(P260,'Settings'!$E$28:$F$33,2,FALSE)+1),1)</f>
        <v>11.3911358796468</v>
      </c>
      <c r="T260" s="79">
        <f>VLOOKUP(B260,'Player Data'!$A1:$AE667,8,FALSE)*$Q260*_xlfn.IFERROR((VLOOKUP(P260,'Settings'!$E$28:$F$33,2,FALSE)+1),1)</f>
        <v>24.0105182790994</v>
      </c>
      <c r="U260" s="79">
        <f>SUM(S260:T260)</f>
        <v>35.4016541587462</v>
      </c>
      <c r="V260" s="79">
        <f>VLOOKUP(B260,'Player Data'!$A1:$AE667,10,FALSE)*$Q260*_xlfn.IFERROR(((VLOOKUP(P260,'Settings'!$E$28:$F$33,2,FALSE)/2)+1),1)</f>
        <v>141.362947244915</v>
      </c>
      <c r="W260" s="79">
        <f>VLOOKUP(B260,'Player Data'!$A1:$AE667,11,FALSE)*$Q260*_xlfn.IFERROR((VLOOKUP(P260,'Settings'!$E$28:$F$33,2,FALSE)+1),1)</f>
        <v>0.504842465409611</v>
      </c>
      <c r="X260" s="79">
        <f>VLOOKUP(B260,'Player Data'!$A1:$AE667,12,FALSE)*$Q260*_xlfn.IFERROR((VLOOKUP(P260,'Settings'!$E$28:$F$33,2,FALSE)+1),1)</f>
        <v>1.35188797492285</v>
      </c>
      <c r="Y260" s="79">
        <f>VLOOKUP(B260,'Player Data'!$A1:$AE667,13,FALSE)*$Q260</f>
        <v>0.9561898079679449</v>
      </c>
      <c r="Z260" s="79">
        <f>VLOOKUP(B260,'Player Data'!$A1:$AE667,14,FALSE)*$Q260</f>
        <v>2.06488996688789</v>
      </c>
      <c r="AA260" s="79">
        <f>VLOOKUP(B260,'Player Data'!$A1:$AE667,15,FALSE)*$Q260</f>
        <v>50.7309951432732</v>
      </c>
      <c r="AB260" s="79">
        <f>VLOOKUP(B260,'Player Data'!$A1:$AE667,16,FALSE)*$Q260</f>
        <v>128.627473761048</v>
      </c>
      <c r="AC260" s="79">
        <f>VLOOKUP(B260,'Player Data'!$A1:$AE667,17,FALSE)*$Q260*_xlfn.IFERROR((VLOOKUP(P260,'Settings'!$E$28:$F$33,2,FALSE)+1),1)</f>
        <v>-1.14890112219296</v>
      </c>
      <c r="AD260" s="79">
        <f>VLOOKUP(B260,'Player Data'!$A1:$AE667,18,FALSE)*$Q260</f>
        <v>50.439396515605</v>
      </c>
      <c r="AE260" s="79">
        <f>VLOOKUP(B260,'Player Data'!$A1:$AE667,19,FALSE)*$Q260*_xlfn.IFERROR((VLOOKUP(P260,'Settings'!$E$28:$F$33,2,FALSE)+1),1)</f>
        <v>1.72971745167703</v>
      </c>
      <c r="AF260" s="79">
        <f>VLOOKUP(B260,'Player Data'!$A1:$AE667,20,FALSE)*$Q260</f>
        <v>496.181941047541</v>
      </c>
      <c r="AG260" s="79">
        <f>VLOOKUP(B260,'Player Data'!$A1:$AE667,21,FALSE)*$Q260</f>
        <v>519.466586072703</v>
      </c>
      <c r="AH260" s="81">
        <f>VLOOKUP(B260,'Player Data'!$A1:$AE667,22,FALSE)</f>
        <v>0.48853705568245</v>
      </c>
      <c r="AI260" s="77"/>
      <c r="AJ260" s="89"/>
      <c r="AK260" s="79"/>
      <c r="AL260" s="79"/>
      <c r="AM260" s="79"/>
      <c r="AN260" s="79"/>
      <c r="AO260" s="79"/>
      <c r="AP260" s="79"/>
      <c r="AQ260" s="82"/>
      <c r="AR260" s="83"/>
      <c r="AS260" s="84"/>
    </row>
    <row r="261" ht="21.25" customHeight="1">
      <c r="A261" s="85">
        <f>RANK(K261,K$1:K$665)</f>
        <v>237</v>
      </c>
      <c r="B261" t="s" s="16">
        <v>450</v>
      </c>
      <c r="C261" t="s" s="69">
        <v>127</v>
      </c>
      <c r="D261" t="s" s="70">
        <f>VLOOKUP(B261,'Player Data'!A1:D667,4,FALSE)</f>
        <v>161</v>
      </c>
      <c r="E261" s="99">
        <f>VLOOKUP(B261,'G'!A1:D65,3,FALSE)</f>
        <v>37</v>
      </c>
      <c r="F261" t="s" s="107">
        <f>VLOOKUP(B261,'Player Data'!A1:B667,2,FALSE)</f>
        <v>279</v>
      </c>
      <c r="G261" s="96">
        <f>VLOOKUP(B261,'Player Data'!A1:D667,3,FALSE)</f>
        <v>24</v>
      </c>
      <c r="H261" s="94">
        <f>_xlfn.IFERROR(VLOOKUP(B261,'ADP'!A1:G665,7,FALSE)/1000000,VLOOKUP(B261,'ADP'!A1:G665,7,FALSE))</f>
        <v>0.8125</v>
      </c>
      <c r="I261" s="74">
        <f>IF('Settings'!$E$15="POINTS",(AJ261*'Settings'!$B$29)+(AK261*'Settings'!$B$21)+(AL261*'Settings'!$B$22)+(AN261*'Settings'!$B$24)+(AO261*'Settings'!$B$25)+(AP261*'Settings'!$B$27)+(AM261*'Settings'!$B$23),VLOOKUP(B261,'Standard Deviations'!A1:C666,3,FALSE))</f>
        <v>187.772202724291</v>
      </c>
      <c r="J261" s="75">
        <f>IF(D261="G",I261/AJ261,I261/Q261)</f>
        <v>5.21589452011919</v>
      </c>
      <c r="K261" s="74">
        <f>VLOOKUP(B261,'G'!A1:F65,6,FALSE)</f>
        <v>-79.81881184029901</v>
      </c>
      <c r="L261" s="76">
        <f>_xlfn.IFERROR(K261/H261,"N/A")</f>
        <v>-98.2385376495988</v>
      </c>
      <c r="M261" s="109">
        <f>IF('Settings'!$E$9="YAHOO",VLOOKUP(B261,'ADP'!A1:E665,2,FALSE),IF('Settings'!$E$9="ESPN",VLOOKUP(B261,'ADP'!A1:E665,3,FALSE),IF('Settings'!$E$9="FANTRAX",VLOOKUP(B261,'ADP'!A1:E665,4,FALSE),VLOOKUP(B261,'ADP'!A1:E665,5,FALSE))))</f>
        <v>0</v>
      </c>
      <c r="N261" s="79">
        <f>_xlfn.IFERROR(M261-A261,"N/A")</f>
        <v>-237</v>
      </c>
      <c r="O261" s="77"/>
      <c r="P261" t="s" s="78">
        <f>IF('Settings'!$E$27="ON",VLOOKUP(B261,'ADP'!A1:H665,8,FALSE)," ")</f>
        <v>138</v>
      </c>
      <c r="Q261" s="79"/>
      <c r="R261" s="105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81"/>
      <c r="AI261" s="77"/>
      <c r="AJ261" s="89">
        <f>VLOOKUP(B261,'Player Data'!$A1:$AE667,24,FALSE)</f>
        <v>36</v>
      </c>
      <c r="AK261" s="79">
        <f>VLOOKUP(B261,'Player Data'!$A1:$AE667,25,FALSE)*$AJ261*_xlfn.IFERROR((VLOOKUP(P261,'Settings'!$E$28:$F$33,2,FALSE)+1),1)</f>
        <v>13.9767098911549</v>
      </c>
      <c r="AL261" s="79">
        <f>AJ261-AK261-AM261</f>
        <v>17.5232901088451</v>
      </c>
      <c r="AM261" s="79">
        <f>VLOOKUP(B261,'Player Data'!$A1:$AE667,27,FALSE)*$AJ261</f>
        <v>4.5</v>
      </c>
      <c r="AN261" s="79">
        <f>VLOOKUP(B261,'Player Data'!$A1:$AE667,28,FALSE)*AJ261</f>
        <v>1.30547165780382</v>
      </c>
      <c r="AO261" s="79">
        <f>VLOOKUP(B261,'Player Data'!$A1:$AE667,29,FALSE)*$AJ261*_xlfn.IFERROR((VLOOKUP(P261,'Settings'!$E$28:$F$33,2,FALSE)/4)+1,1)</f>
        <v>1039.447035071890</v>
      </c>
      <c r="AP261" s="79">
        <f>VLOOKUP(B261,'Player Data'!$A1:$AE667,31,FALSE)*$AJ261*(_xlfn.IFERROR(1-(VLOOKUP(P261,'Settings'!$E$28:$F$33,2,FALSE)/4),1))</f>
        <v>110.720919239755</v>
      </c>
      <c r="AQ261" s="82">
        <f>1-(AP261/(AO261+AP261))</f>
        <v>0.903734999028016</v>
      </c>
      <c r="AR261" s="83">
        <f>AP261/AJ261</f>
        <v>3.07558108999319</v>
      </c>
      <c r="AS261" s="84"/>
    </row>
    <row r="262" ht="21.25" customHeight="1">
      <c r="A262" s="85">
        <f>RANK(K262,K$1:K$665)</f>
        <v>287</v>
      </c>
      <c r="B262" t="s" s="16">
        <v>451</v>
      </c>
      <c r="C262" t="s" s="69">
        <v>127</v>
      </c>
      <c r="D262" t="s" s="70">
        <f>VLOOKUP(B262,'Player Data'!A1:D667,4,FALSE)</f>
        <v>128</v>
      </c>
      <c r="E262" s="71">
        <f>VLOOKUP(B262,'C'!A1:C206,3,FALSE)</f>
        <v>88</v>
      </c>
      <c r="F262" t="s" s="107">
        <f>VLOOKUP(B262,'Player Data'!A1:B667,2,FALSE)</f>
        <v>279</v>
      </c>
      <c r="G262" s="96">
        <f>VLOOKUP(B262,'Player Data'!A1:D667,3,FALSE)</f>
        <v>23</v>
      </c>
      <c r="H262" s="73">
        <f>_xlfn.IFERROR(VLOOKUP(B262,'ADP'!A1:G665,7,FALSE)/1000000,VLOOKUP(B262,'ADP'!A1:G665,7,FALSE))</f>
        <v>5.75</v>
      </c>
      <c r="I262" s="74">
        <f>IF('Settings'!$E$15="POINTS",((R262*Q262)*'Settings'!$B$12)+(S262*'Settings'!$B$2)+(T262*'Settings'!$B$3)+(U262*'Settings'!$B$4)+(V262*'Settings'!$B$5)+(X262*'Settings'!$B$9)+(AA262*'Settings'!$B$6)+(W262*'Settings'!$B$8)+(AB262*'Settings'!$B$7)+(AC262*'Settings'!$B$14)+(AD262*'Settings'!$B$15)+(AE262*'Settings'!$B$16)+(AF262*'Settings'!$B$17)+(AG262*'Settings'!$B$18)+(Y262*'Settings'!$B$10)+(Z262*'Settings'!$B$11),VLOOKUP(B262,'Standard Deviations'!A1:C666,3,FALSE))</f>
        <v>234.718952480169</v>
      </c>
      <c r="J262" s="75">
        <f>IF(D262="G",I262/AJ262,I262/Q262)</f>
        <v>3.25365889215649</v>
      </c>
      <c r="K262" s="74">
        <f>IF('Settings'!$E$18="C/LW/RW",VLOOKUP(B262,'C'!A1:F206,6,FALSE),VLOOKUP(B262,'F'!A1:F392,6,FALSE))</f>
        <v>-94.972941601009</v>
      </c>
      <c r="L262" s="76">
        <f>_xlfn.IFERROR(K262/H262,"N/A")</f>
        <v>-16.5170333219146</v>
      </c>
      <c r="M262" s="109">
        <f>IF('Settings'!$E$9="YAHOO",VLOOKUP(B262,'ADP'!A1:E665,2,FALSE),IF('Settings'!$E$9="ESPN",VLOOKUP(B262,'ADP'!A1:E665,3,FALSE),IF('Settings'!$E$9="FANTRAX",VLOOKUP(B262,'ADP'!A1:E665,4,FALSE),VLOOKUP(B262,'ADP'!A1:E665,5,FALSE))))</f>
        <v>0</v>
      </c>
      <c r="N262" s="79">
        <f>_xlfn.IFERROR(M262-A262,"N/A")</f>
        <v>-287</v>
      </c>
      <c r="O262" s="77"/>
      <c r="P262" t="s" s="78">
        <f>IF('Settings'!$E$27="ON",VLOOKUP(B262,'ADP'!A1:H665,8,FALSE)," ")</f>
        <v>130</v>
      </c>
      <c r="Q262" s="79">
        <f>IF('Settings'!$E$12="YES",VLOOKUP(B262,'Player Data'!A1:E667,5,FALSE),82)</f>
        <v>72.14</v>
      </c>
      <c r="R262" s="77">
        <f>VLOOKUP(B262,'Player Data'!$A1:$AE667,6,FALSE)</f>
        <v>17.6842796920641</v>
      </c>
      <c r="S262" s="79">
        <f>VLOOKUP(B262,'Player Data'!$A1:$AE667,7,FALSE)*$Q262*_xlfn.IFERROR((VLOOKUP(P262,'Settings'!$E$28:$F$33,2,FALSE)+1),1)</f>
        <v>21.543136325382</v>
      </c>
      <c r="T262" s="79">
        <f>VLOOKUP(B262,'Player Data'!$A1:$AE667,8,FALSE)*$Q262*_xlfn.IFERROR((VLOOKUP(P262,'Settings'!$E$28:$F$33,2,FALSE)+1),1)</f>
        <v>34.821102401421</v>
      </c>
      <c r="U262" s="79">
        <f>SUM(S262:T262)</f>
        <v>56.364238726803</v>
      </c>
      <c r="V262" s="79">
        <f>VLOOKUP(B262,'Player Data'!$A1:$AE667,10,FALSE)*$Q262*_xlfn.IFERROR(((VLOOKUP(P262,'Settings'!$E$28:$F$33,2,FALSE)/2)+1),1)</f>
        <v>175.127295232341</v>
      </c>
      <c r="W262" s="79">
        <f>VLOOKUP(B262,'Player Data'!$A1:$AE667,11,FALSE)*$Q262*_xlfn.IFERROR((VLOOKUP(P262,'Settings'!$E$28:$F$33,2,FALSE)+1),1)</f>
        <v>5.78039994038167</v>
      </c>
      <c r="X262" s="80">
        <f>VLOOKUP(B262,'Player Data'!$A1:$AE667,12,FALSE)*$Q262*_xlfn.IFERROR((VLOOKUP(P262,'Settings'!$E$28:$F$33,2,FALSE)+1),1)</f>
        <v>15.3136480914386</v>
      </c>
      <c r="Y262" s="79">
        <f>VLOOKUP(B262,'Player Data'!$A1:$AE667,13,FALSE)*$Q262</f>
        <v>0.00664299208304277</v>
      </c>
      <c r="Z262" s="79">
        <f>VLOOKUP(B262,'Player Data'!$A1:$AE667,14,FALSE)*$Q262</f>
        <v>0.0111368613529439</v>
      </c>
      <c r="AA262" s="79">
        <f>VLOOKUP(B262,'Player Data'!$A1:$AE667,15,FALSE)*$Q262</f>
        <v>29.8626371764214</v>
      </c>
      <c r="AB262" s="79">
        <f>VLOOKUP(B262,'Player Data'!$A1:$AE667,16,FALSE)*$Q262</f>
        <v>45.4549852858029</v>
      </c>
      <c r="AC262" s="79">
        <f>VLOOKUP(B262,'Player Data'!$A1:$AE667,17,FALSE)*$Q262*_xlfn.IFERROR((VLOOKUP(P262,'Settings'!$E$28:$F$33,2,FALSE)+1),1)</f>
        <v>-6.17491456870328</v>
      </c>
      <c r="AD262" s="79">
        <f>VLOOKUP(B262,'Player Data'!$A1:$AE667,18,FALSE)*$Q262</f>
        <v>42.636083928555</v>
      </c>
      <c r="AE262" s="79">
        <f>VLOOKUP(B262,'Player Data'!$A1:$AE667,19,FALSE)*$Q262*_xlfn.IFERROR((VLOOKUP(P262,'Settings'!$E$28:$F$33,2,FALSE)+1),1)</f>
        <v>2.51105826124377</v>
      </c>
      <c r="AF262" s="79">
        <f>VLOOKUP(B262,'Player Data'!$A1:$AE667,20,FALSE)*$Q262</f>
        <v>169.410982261725</v>
      </c>
      <c r="AG262" s="79">
        <f>VLOOKUP(B262,'Player Data'!$A1:$AE667,21,FALSE)*$Q262</f>
        <v>250.970754385374</v>
      </c>
      <c r="AH262" s="81">
        <f>VLOOKUP(B262,'Player Data'!$A1:$AE667,22,FALSE)</f>
        <v>0.402993202352036</v>
      </c>
      <c r="AI262" s="77"/>
      <c r="AJ262" s="79"/>
      <c r="AK262" s="79"/>
      <c r="AL262" s="79"/>
      <c r="AM262" s="79"/>
      <c r="AN262" s="79"/>
      <c r="AO262" s="79"/>
      <c r="AP262" s="79"/>
      <c r="AQ262" s="82"/>
      <c r="AR262" s="83"/>
      <c r="AS262" s="84"/>
    </row>
    <row r="263" ht="21.25" customHeight="1">
      <c r="A263" s="85">
        <f>RANK(K263,K$1:K$665)</f>
        <v>276</v>
      </c>
      <c r="B263" t="s" s="16">
        <v>452</v>
      </c>
      <c r="C263" t="s" s="69">
        <v>127</v>
      </c>
      <c r="D263" t="s" s="70">
        <f>VLOOKUP(B263,'Player Data'!A1:D667,4,FALSE)</f>
        <v>178</v>
      </c>
      <c r="E263" s="102">
        <f>VLOOKUP(B263,'LW'!A1:C152,3,FALSE)</f>
        <v>62</v>
      </c>
      <c r="F263" t="s" s="86">
        <f>VLOOKUP(B263,'Player Data'!A1:B667,2,FALSE)</f>
        <v>129</v>
      </c>
      <c r="G263" s="91">
        <f>VLOOKUP(B263,'Player Data'!A1:D667,3,FALSE)</f>
        <v>33</v>
      </c>
      <c r="H263" s="73">
        <f>_xlfn.IFERROR(VLOOKUP(B263,'ADP'!A1:G665,7,FALSE)/1000000,VLOOKUP(B263,'ADP'!A1:G665,7,FALSE))</f>
        <v>5.125</v>
      </c>
      <c r="I263" s="74">
        <f>IF('Settings'!$E$15="POINTS",((R263*Q263)*'Settings'!$B$12)+(S263*'Settings'!$B$2)+(T263*'Settings'!$B$3)+(U263*'Settings'!$B$4)+(V263*'Settings'!$B$5)+(X263*'Settings'!$B$9)+(AA263*'Settings'!$B$6)+(W263*'Settings'!$B$8)+(AB263*'Settings'!$B$7)+(AC263*'Settings'!$B$14)+(AD263*'Settings'!$B$15)+(AE263*'Settings'!$B$16)+(AF263*'Settings'!$B$17)+(AG263*'Settings'!$B$18)+(Y263*'Settings'!$B$10)+(Z263*'Settings'!$B$11),VLOOKUP(B263,'Standard Deviations'!A1:C666,3,FALSE))</f>
        <v>239.773159021325</v>
      </c>
      <c r="J263" s="75">
        <f>IF(D263="G",I263/AJ263,I263/Q263)</f>
        <v>3.34855329964842</v>
      </c>
      <c r="K263" s="74">
        <f>IF('Settings'!$E$18="C/LW/RW",VLOOKUP(B263,'LW'!A1:F152,6,FALSE),VLOOKUP(B263,'F'!A1:F392,6,FALSE))</f>
        <v>-91.946952744887</v>
      </c>
      <c r="L263" s="76">
        <f>_xlfn.IFERROR(K263/H263,"N/A")</f>
        <v>-17.9408688282706</v>
      </c>
      <c r="M263" s="77">
        <f>IF('Settings'!$E$9="YAHOO",VLOOKUP(B263,'ADP'!A1:E665,2,FALSE),IF('Settings'!$E$9="ESPN",VLOOKUP(B263,'ADP'!A1:E665,3,FALSE),IF('Settings'!$E$9="FANTRAX",VLOOKUP(B263,'ADP'!A1:E665,4,FALSE),VLOOKUP(B263,'ADP'!A1:E665,5,FALSE))))</f>
        <v>0</v>
      </c>
      <c r="N263" s="77">
        <f>_xlfn.IFERROR(M263-A263,"N/A")</f>
        <v>-276</v>
      </c>
      <c r="O263" s="77"/>
      <c r="P263" t="s" s="78">
        <f>IF('Settings'!$E$27="ON",VLOOKUP(B263,'ADP'!A1:H665,8,FALSE)," ")</f>
        <v>138</v>
      </c>
      <c r="Q263" s="79">
        <f>IF('Settings'!$E$12="YES",VLOOKUP(B263,'Player Data'!A1:E667,5,FALSE),82)</f>
        <v>71.605</v>
      </c>
      <c r="R263" s="108">
        <f>VLOOKUP(B263,'Player Data'!$A1:$AE667,6,FALSE)</f>
        <v>13.6707234687014</v>
      </c>
      <c r="S263" s="79">
        <f>VLOOKUP(B263,'Player Data'!$A1:$AE667,7,FALSE)*$Q263*_xlfn.IFERROR((VLOOKUP(P263,'Settings'!$E$28:$F$33,2,FALSE)+1),1)</f>
        <v>17.3678724681383</v>
      </c>
      <c r="T263" s="79">
        <f>VLOOKUP(B263,'Player Data'!$A1:$AE667,8,FALSE)*$Q263*_xlfn.IFERROR((VLOOKUP(P263,'Settings'!$E$28:$F$33,2,FALSE)+1),1)</f>
        <v>14.0368991336827</v>
      </c>
      <c r="U263" s="79">
        <f>SUM(S263:T263)</f>
        <v>31.404771601821</v>
      </c>
      <c r="V263" s="79">
        <f>VLOOKUP(B263,'Player Data'!$A1:$AE667,10,FALSE)*$Q263*_xlfn.IFERROR(((VLOOKUP(P263,'Settings'!$E$28:$F$33,2,FALSE)/2)+1),1)</f>
        <v>163.447513058488</v>
      </c>
      <c r="W263" s="79">
        <f>VLOOKUP(B263,'Player Data'!$A1:$AE667,11,FALSE)*$Q263*_xlfn.IFERROR((VLOOKUP(P263,'Settings'!$E$28:$F$33,2,FALSE)+1),1)</f>
        <v>0.838758352870385</v>
      </c>
      <c r="X263" s="79">
        <f>VLOOKUP(B263,'Player Data'!$A1:$AE667,12,FALSE)*$Q263*_xlfn.IFERROR((VLOOKUP(P263,'Settings'!$E$28:$F$33,2,FALSE)+1),1)</f>
        <v>2.3112788721699</v>
      </c>
      <c r="Y263" s="79">
        <f>VLOOKUP(B263,'Player Data'!$A1:$AE667,13,FALSE)*$Q263</f>
        <v>0.196762724215807</v>
      </c>
      <c r="Z263" s="79">
        <f>VLOOKUP(B263,'Player Data'!$A1:$AE667,14,FALSE)*$Q263</f>
        <v>0.425545191133912</v>
      </c>
      <c r="AA263" s="79">
        <f>VLOOKUP(B263,'Player Data'!$A1:$AE667,15,FALSE)*$Q263</f>
        <v>23.4503607576702</v>
      </c>
      <c r="AB263" s="79">
        <f>VLOOKUP(B263,'Player Data'!$A1:$AE667,16,FALSE)*$Q263</f>
        <v>173.564037541749</v>
      </c>
      <c r="AC263" s="79">
        <f>VLOOKUP(B263,'Player Data'!$A1:$AE667,17,FALSE)*$Q263*_xlfn.IFERROR((VLOOKUP(P263,'Settings'!$E$28:$F$33,2,FALSE)+1),1)</f>
        <v>4.56554492216263</v>
      </c>
      <c r="AD263" s="79">
        <f>VLOOKUP(B263,'Player Data'!$A1:$AE667,18,FALSE)*$Q263</f>
        <v>52.5784657944176</v>
      </c>
      <c r="AE263" s="79">
        <f>VLOOKUP(B263,'Player Data'!$A1:$AE667,19,FALSE)*$Q263*_xlfn.IFERROR((VLOOKUP(P263,'Settings'!$E$28:$F$33,2,FALSE)+1),1)</f>
        <v>2.80447994241103</v>
      </c>
      <c r="AF263" s="79">
        <f>VLOOKUP(B263,'Player Data'!$A1:$AE667,20,FALSE)*$Q263</f>
        <v>22.3491085112988</v>
      </c>
      <c r="AG263" s="79">
        <f>VLOOKUP(B263,'Player Data'!$A1:$AE667,21,FALSE)*$Q263</f>
        <v>28.4199100578638</v>
      </c>
      <c r="AH263" s="81">
        <f>VLOOKUP(B263,'Player Data'!$A1:$AE667,22,FALSE)</f>
        <v>0.440211553052824</v>
      </c>
      <c r="AI263" s="77"/>
      <c r="AJ263" s="79"/>
      <c r="AK263" s="79"/>
      <c r="AL263" s="79"/>
      <c r="AM263" s="79"/>
      <c r="AN263" s="79"/>
      <c r="AO263" s="79"/>
      <c r="AP263" s="79"/>
      <c r="AQ263" s="82"/>
      <c r="AR263" s="83"/>
      <c r="AS263" s="84"/>
    </row>
    <row r="264" ht="21.25" customHeight="1">
      <c r="A264" s="85">
        <f>RANK(K264,K$1:K$665)</f>
        <v>288</v>
      </c>
      <c r="B264" t="s" s="16">
        <v>453</v>
      </c>
      <c r="C264" t="s" s="69">
        <v>127</v>
      </c>
      <c r="D264" t="s" s="70">
        <f>VLOOKUP(B264,'Player Data'!A1:D667,4,FALSE)</f>
        <v>128</v>
      </c>
      <c r="E264" s="71">
        <f>VLOOKUP(B264,'C'!A1:C206,3,FALSE)</f>
        <v>89</v>
      </c>
      <c r="F264" t="s" s="78">
        <f>VLOOKUP(B264,'Player Data'!A1:B667,2,FALSE)</f>
        <v>194</v>
      </c>
      <c r="G264" s="96">
        <f>VLOOKUP(B264,'Player Data'!A1:D667,3,FALSE)</f>
        <v>22</v>
      </c>
      <c r="H264" t="s" s="86">
        <f>_xlfn.IFERROR(VLOOKUP(B264,'ADP'!A1:G665,7,FALSE)/1000000,VLOOKUP(B264,'ADP'!A1:G665,7,FALSE))</f>
        <v>157</v>
      </c>
      <c r="I264" s="74">
        <f>IF('Settings'!$E$15="POINTS",((R264*Q264)*'Settings'!$B$12)+(S264*'Settings'!$B$2)+(T264*'Settings'!$B$3)+(U264*'Settings'!$B$4)+(V264*'Settings'!$B$5)+(X264*'Settings'!$B$9)+(AA264*'Settings'!$B$6)+(W264*'Settings'!$B$8)+(AB264*'Settings'!$B$7)+(AC264*'Settings'!$B$14)+(AD264*'Settings'!$B$15)+(AE264*'Settings'!$B$16)+(AF264*'Settings'!$B$17)+(AG264*'Settings'!$B$18)+(Y264*'Settings'!$B$10)+(Z264*'Settings'!$B$11),VLOOKUP(B264,'Standard Deviations'!A1:C666,3,FALSE))</f>
        <v>234.659227557442</v>
      </c>
      <c r="J264" s="75">
        <f>IF(D264="G",I264/AJ264,I264/Q264)</f>
        <v>2.86065131729175</v>
      </c>
      <c r="K264" s="74">
        <f>IF('Settings'!$E$18="C/LW/RW",VLOOKUP(B264,'C'!A1:F206,6,FALSE),VLOOKUP(B264,'F'!A1:F392,6,FALSE))</f>
        <v>-95.032666523736</v>
      </c>
      <c r="L264" t="s" s="97">
        <f>_xlfn.IFERROR(K264/H264,"N/A")</f>
        <v>158</v>
      </c>
      <c r="M264" s="77">
        <f>IF('Settings'!$E$9="YAHOO",VLOOKUP(B264,'ADP'!A1:E665,2,FALSE),IF('Settings'!$E$9="ESPN",VLOOKUP(B264,'ADP'!A1:E665,3,FALSE),IF('Settings'!$E$9="FANTRAX",VLOOKUP(B264,'ADP'!A1:E665,4,FALSE),VLOOKUP(B264,'ADP'!A1:E665,5,FALSE))))</f>
        <v>0</v>
      </c>
      <c r="N264" s="77">
        <f>_xlfn.IFERROR(M264-A264,"N/A")</f>
        <v>-288</v>
      </c>
      <c r="O264" s="77"/>
      <c r="P264" t="s" s="78">
        <f>IF('Settings'!$E$27="ON",VLOOKUP(B264,'ADP'!A1:H665,8,FALSE)," ")</f>
        <v>130</v>
      </c>
      <c r="Q264" s="79">
        <f>IF('Settings'!$E$12="YES",VLOOKUP(B264,'Player Data'!A1:E667,5,FALSE),82)</f>
        <v>82.03</v>
      </c>
      <c r="R264" s="77">
        <f>VLOOKUP(B264,'Player Data'!$A1:$AE667,6,FALSE)</f>
        <v>17.4988918971526</v>
      </c>
      <c r="S264" s="79">
        <f>VLOOKUP(B264,'Player Data'!$A1:$AE667,7,FALSE)*$Q264*_xlfn.IFERROR((VLOOKUP(P264,'Settings'!$E$28:$F$33,2,FALSE)+1),1)</f>
        <v>25.9682659683637</v>
      </c>
      <c r="T264" s="79">
        <f>VLOOKUP(B264,'Player Data'!$A1:$AE667,8,FALSE)*$Q264*_xlfn.IFERROR((VLOOKUP(P264,'Settings'!$E$28:$F$33,2,FALSE)+1),1)</f>
        <v>25.4794728464146</v>
      </c>
      <c r="U264" s="79">
        <f>SUM(S264:T264)</f>
        <v>51.4477388147783</v>
      </c>
      <c r="V264" s="79">
        <f>VLOOKUP(B264,'Player Data'!$A1:$AE667,10,FALSE)*$Q264*_xlfn.IFERROR(((VLOOKUP(P264,'Settings'!$E$28:$F$33,2,FALSE)/2)+1),1)</f>
        <v>152.767458780014</v>
      </c>
      <c r="W264" s="79">
        <f>VLOOKUP(B264,'Player Data'!$A1:$AE667,11,FALSE)*$Q264*_xlfn.IFERROR((VLOOKUP(P264,'Settings'!$E$28:$F$33,2,FALSE)+1),1)</f>
        <v>3.68629614448337</v>
      </c>
      <c r="X264" s="79">
        <f>VLOOKUP(B264,'Player Data'!$A1:$AE667,12,FALSE)*$Q264*_xlfn.IFERROR((VLOOKUP(P264,'Settings'!$E$28:$F$33,2,FALSE)+1),1)</f>
        <v>8.240070665424451</v>
      </c>
      <c r="Y264" s="79">
        <f>VLOOKUP(B264,'Player Data'!$A1:$AE667,13,FALSE)*$Q264</f>
        <v>0.841224933576744</v>
      </c>
      <c r="Z264" s="79">
        <f>VLOOKUP(B264,'Player Data'!$A1:$AE667,14,FALSE)*$Q264</f>
        <v>1.4217005521257</v>
      </c>
      <c r="AA264" s="79">
        <f>VLOOKUP(B264,'Player Data'!$A1:$AE667,15,FALSE)*$Q264</f>
        <v>49.7516212235963</v>
      </c>
      <c r="AB264" s="79">
        <f>VLOOKUP(B264,'Player Data'!$A1:$AE667,16,FALSE)*$Q264</f>
        <v>36.0561504546433</v>
      </c>
      <c r="AC264" s="79">
        <f>VLOOKUP(B264,'Player Data'!$A1:$AE667,17,FALSE)*$Q264*_xlfn.IFERROR((VLOOKUP(P264,'Settings'!$E$28:$F$33,2,FALSE)+1),1)</f>
        <v>1.76269499251098</v>
      </c>
      <c r="AD264" s="79">
        <f>VLOOKUP(B264,'Player Data'!$A1:$AE667,18,FALSE)*$Q264</f>
        <v>23.613090785565</v>
      </c>
      <c r="AE264" s="79">
        <f>VLOOKUP(B264,'Player Data'!$A1:$AE667,19,FALSE)*$Q264*_xlfn.IFERROR((VLOOKUP(P264,'Settings'!$E$28:$F$33,2,FALSE)+1),1)</f>
        <v>3.91799643391113</v>
      </c>
      <c r="AF264" s="79">
        <f>VLOOKUP(B264,'Player Data'!$A1:$AE667,20,FALSE)*$Q264</f>
        <v>128.011165805810</v>
      </c>
      <c r="AG264" s="79">
        <f>VLOOKUP(B264,'Player Data'!$A1:$AE667,21,FALSE)*$Q264</f>
        <v>178.234911205959</v>
      </c>
      <c r="AH264" s="81">
        <f>VLOOKUP(B264,'Player Data'!$A1:$AE667,22,FALSE)</f>
        <v>0.418000997938957</v>
      </c>
      <c r="AI264" s="77"/>
      <c r="AJ264" s="79"/>
      <c r="AK264" s="79"/>
      <c r="AL264" s="79"/>
      <c r="AM264" s="79"/>
      <c r="AN264" s="79"/>
      <c r="AO264" s="79"/>
      <c r="AP264" s="79"/>
      <c r="AQ264" s="82"/>
      <c r="AR264" s="83"/>
      <c r="AS264" s="84"/>
    </row>
    <row r="265" ht="21.25" customHeight="1">
      <c r="A265" s="85">
        <f>RANK(K265,K$1:K$665)</f>
        <v>252</v>
      </c>
      <c r="B265" t="s" s="16">
        <v>454</v>
      </c>
      <c r="C265" t="s" s="69">
        <v>127</v>
      </c>
      <c r="D265" t="s" s="70">
        <f>VLOOKUP(B265,'Player Data'!A1:D667,4,FALSE)</f>
        <v>153</v>
      </c>
      <c r="E265" s="95">
        <f>VLOOKUP(B265,'D'!A1:C213,3,FALSE)</f>
        <v>77</v>
      </c>
      <c r="F265" t="s" s="86">
        <f>VLOOKUP(B265,'Player Data'!A1:B667,2,FALSE)</f>
        <v>132</v>
      </c>
      <c r="G265" s="91">
        <f>VLOOKUP(B265,'Player Data'!A1:D667,3,FALSE)</f>
        <v>34</v>
      </c>
      <c r="H265" s="73">
        <f>_xlfn.IFERROR(VLOOKUP(B265,'ADP'!A1:G665,7,FALSE)/1000000,VLOOKUP(B265,'ADP'!A1:G665,7,FALSE))</f>
        <v>4.5</v>
      </c>
      <c r="I265" s="74">
        <f>IF('Settings'!$E$15="POINTS",((R265*Q265)*'Settings'!$B$12)+(S265*'Settings'!$B$2)+(T265*'Settings'!$B$3)+(U265*'Settings'!$B$4)+(V265*'Settings'!$B$5)+(X265*'Settings'!$B$9)+(AA265*'Settings'!$B$6)+(W265*'Settings'!$B$8)+(AB265*'Settings'!$B$7)+(AC265*'Settings'!$B$14)+(AD265*'Settings'!$B$15)+(AE265*'Settings'!$B$16)+(AF265*'Settings'!$B$17)+(AG265*'Settings'!$B$18)+(U265*'Settings'!$B$13)+(Y265*'Settings'!$B$10)+(Z265*'Settings'!$B$11),VLOOKUP(B265,'Standard Deviations'!A1:C666,3,FALSE))</f>
        <v>245.442115053443</v>
      </c>
      <c r="J265" s="75">
        <f>IF(D265="G",I265/AJ265,I265/Q265)</f>
        <v>3.12864391400182</v>
      </c>
      <c r="K265" s="74">
        <f>VLOOKUP(B265,'D'!A1:F213,6,FALSE)</f>
        <v>-86.09809286663901</v>
      </c>
      <c r="L265" s="76">
        <f>_xlfn.IFERROR(K265/H265,"N/A")</f>
        <v>-19.1329095259198</v>
      </c>
      <c r="M265" s="109">
        <f>IF('Settings'!$E$9="YAHOO",VLOOKUP(B265,'ADP'!A1:E665,2,FALSE),IF('Settings'!$E$9="ESPN",VLOOKUP(B265,'ADP'!A1:E665,3,FALSE),IF('Settings'!$E$9="FANTRAX",VLOOKUP(B265,'ADP'!A1:E665,4,FALSE),VLOOKUP(B265,'ADP'!A1:E665,5,FALSE))))</f>
        <v>0</v>
      </c>
      <c r="N265" s="79">
        <f>_xlfn.IFERROR(M265-A265,"N/A")</f>
        <v>-252</v>
      </c>
      <c r="O265" s="77"/>
      <c r="P265" t="s" s="78">
        <f>IF('Settings'!$E$27="ON",VLOOKUP(B265,'ADP'!A1:H665,8,FALSE)," ")</f>
        <v>138</v>
      </c>
      <c r="Q265" s="79">
        <f>IF('Settings'!$E$12="YES",VLOOKUP(B265,'Player Data'!A1:E667,5,FALSE),82)</f>
        <v>78.45</v>
      </c>
      <c r="R265" s="98">
        <f>VLOOKUP(B265,'Player Data'!$A1:$AE667,6,FALSE)</f>
        <v>21.4660344503513</v>
      </c>
      <c r="S265" s="79">
        <f>VLOOKUP(B265,'Player Data'!$A1:$AE667,7,FALSE)*$Q265*_xlfn.IFERROR((VLOOKUP(P265,'Settings'!$E$28:$F$33,2,FALSE)+1),1)</f>
        <v>3.29302736203799</v>
      </c>
      <c r="T265" s="79">
        <f>VLOOKUP(B265,'Player Data'!$A1:$AE667,8,FALSE)*$Q265*_xlfn.IFERROR((VLOOKUP(P265,'Settings'!$E$28:$F$33,2,FALSE)+1),1)</f>
        <v>19.9388004211361</v>
      </c>
      <c r="U265" s="79">
        <f>SUM(S265:T265)</f>
        <v>23.2318277831741</v>
      </c>
      <c r="V265" s="79">
        <f>VLOOKUP(B265,'Player Data'!$A1:$AE667,10,FALSE)*$Q265*_xlfn.IFERROR(((VLOOKUP(P265,'Settings'!$E$28:$F$33,2,FALSE)/2)+1),1)</f>
        <v>76.335371169512</v>
      </c>
      <c r="W265" s="79">
        <f>VLOOKUP(B265,'Player Data'!$A1:$AE667,11,FALSE)*$Q265*_xlfn.IFERROR((VLOOKUP(P265,'Settings'!$E$28:$F$33,2,FALSE)+1),1)</f>
        <v>0.0160740597810273</v>
      </c>
      <c r="X265" s="79">
        <f>VLOOKUP(B265,'Player Data'!$A1:$AE667,12,FALSE)*$Q265*_xlfn.IFERROR((VLOOKUP(P265,'Settings'!$E$28:$F$33,2,FALSE)+1),1)</f>
        <v>0.153159561136103</v>
      </c>
      <c r="Y265" s="79">
        <f>VLOOKUP(B265,'Player Data'!$A1:$AE667,13,FALSE)*$Q265</f>
        <v>0.0225265396060811</v>
      </c>
      <c r="Z265" s="79">
        <f>VLOOKUP(B265,'Player Data'!$A1:$AE667,14,FALSE)*$Q265</f>
        <v>0.108419875745404</v>
      </c>
      <c r="AA265" s="79">
        <f>VLOOKUP(B265,'Player Data'!$A1:$AE667,15,FALSE)*$Q265</f>
        <v>193.477231608169</v>
      </c>
      <c r="AB265" s="79">
        <f>VLOOKUP(B265,'Player Data'!$A1:$AE667,16,FALSE)*$Q265</f>
        <v>64.5373170855304</v>
      </c>
      <c r="AC265" s="79">
        <f>VLOOKUP(B265,'Player Data'!$A1:$AE667,17,FALSE)*$Q265*_xlfn.IFERROR((VLOOKUP(P265,'Settings'!$E$28:$F$33,2,FALSE)+1),1)</f>
        <v>1.32839167581767</v>
      </c>
      <c r="AD265" s="79">
        <f>VLOOKUP(B265,'Player Data'!$A1:$AE667,18,FALSE)*$Q265</f>
        <v>30.1294815097957</v>
      </c>
      <c r="AE265" s="79">
        <f>VLOOKUP(B265,'Player Data'!$A1:$AE667,19,FALSE)*$Q265*_xlfn.IFERROR((VLOOKUP(P265,'Settings'!$E$28:$F$33,2,FALSE)+1),1)</f>
        <v>0.526825348430235</v>
      </c>
      <c r="AF265" s="79">
        <f>VLOOKUP(B265,'Player Data'!$A1:$AE667,20,FALSE)*$Q265</f>
        <v>0</v>
      </c>
      <c r="AG265" s="79">
        <f>VLOOKUP(B265,'Player Data'!$A1:$AE667,21,FALSE)*$Q265</f>
        <v>0</v>
      </c>
      <c r="AH265" s="81">
        <f>VLOOKUP(B265,'Player Data'!$A1:$AE667,22,FALSE)</f>
        <v>0</v>
      </c>
      <c r="AI265" s="77"/>
      <c r="AJ265" s="79"/>
      <c r="AK265" s="79"/>
      <c r="AL265" s="79"/>
      <c r="AM265" s="79"/>
      <c r="AN265" s="79"/>
      <c r="AO265" s="79"/>
      <c r="AP265" s="79"/>
      <c r="AQ265" s="82"/>
      <c r="AR265" s="83"/>
      <c r="AS265" s="84"/>
    </row>
    <row r="266" ht="21.25" customHeight="1">
      <c r="A266" s="85">
        <f>RANK(K266,K$1:K$665)</f>
        <v>275</v>
      </c>
      <c r="B266" t="s" s="16">
        <v>455</v>
      </c>
      <c r="C266" t="s" s="69">
        <v>127</v>
      </c>
      <c r="D266" t="s" s="70">
        <f>VLOOKUP(B266,'Player Data'!A1:D667,4,FALSE)</f>
        <v>148</v>
      </c>
      <c r="E266" s="87">
        <f>VLOOKUP(B266,'RW'!A1:C136,3,FALSE)</f>
        <v>60</v>
      </c>
      <c r="F266" t="s" s="86">
        <f>VLOOKUP(B266,'Player Data'!A1:B667,2,FALSE)</f>
        <v>156</v>
      </c>
      <c r="G266" s="91">
        <f>VLOOKUP(B266,'Player Data'!A1:D667,3,FALSE)</f>
        <v>32</v>
      </c>
      <c r="H266" s="73">
        <f>_xlfn.IFERROR(VLOOKUP(B266,'ADP'!A1:G665,7,FALSE)/1000000,VLOOKUP(B266,'ADP'!A1:G665,7,FALSE))</f>
        <v>4.75</v>
      </c>
      <c r="I266" s="74">
        <f>IF('Settings'!$E$15="POINTS",((R266*Q266)*'Settings'!$B$12)+(S266*'Settings'!$B$2)+(T266*'Settings'!$B$3)+(U266*'Settings'!$B$4)+(V266*'Settings'!$B$5)+(X266*'Settings'!$B$9)+(AA266*'Settings'!$B$6)+(W266*'Settings'!$B$8)+(AB266*'Settings'!$B$7)+(AC266*'Settings'!$B$14)+(AD266*'Settings'!$B$15)+(AE266*'Settings'!$B$16)+(AF266*'Settings'!$B$17)+(AG266*'Settings'!$B$18)+(Y266*'Settings'!$B$10)+(Z266*'Settings'!$B$11),VLOOKUP(B266,'Standard Deviations'!A1:C666,3,FALSE))</f>
        <v>238.017073986969</v>
      </c>
      <c r="J266" s="75">
        <f>IF(D266="G",I266/AJ266,I266/Q266)</f>
        <v>3.03293394905507</v>
      </c>
      <c r="K266" s="74">
        <f>IF('Settings'!$E$18="C/LW/RW",VLOOKUP(B266,'RW'!A1:F136,6,FALSE),VLOOKUP(B266,'F'!A1:F392,6,FALSE))</f>
        <v>-91.674820094209</v>
      </c>
      <c r="L266" s="76">
        <f>_xlfn.IFERROR(K266/H266,"N/A")</f>
        <v>-19.2999621250966</v>
      </c>
      <c r="M266" s="77">
        <f>IF('Settings'!$E$9="YAHOO",VLOOKUP(B266,'ADP'!A1:E665,2,FALSE),IF('Settings'!$E$9="ESPN",VLOOKUP(B266,'ADP'!A1:E665,3,FALSE),IF('Settings'!$E$9="FANTRAX",VLOOKUP(B266,'ADP'!A1:E665,4,FALSE),VLOOKUP(B266,'ADP'!A1:E665,5,FALSE))))</f>
        <v>0</v>
      </c>
      <c r="N266" s="77">
        <f>_xlfn.IFERROR(M266-A266,"N/A")</f>
        <v>-275</v>
      </c>
      <c r="O266" s="77"/>
      <c r="P266" t="s" s="78">
        <f>IF('Settings'!$E$27="ON",VLOOKUP(B266,'ADP'!A1:H665,8,FALSE)," ")</f>
        <v>138</v>
      </c>
      <c r="Q266" s="79">
        <f>IF('Settings'!$E$12="YES",VLOOKUP(B266,'Player Data'!A1:E667,5,FALSE),82)</f>
        <v>78.47750000000001</v>
      </c>
      <c r="R266" s="77">
        <f>VLOOKUP(B266,'Player Data'!$A1:$AE667,6,FALSE)</f>
        <v>14.8372563780273</v>
      </c>
      <c r="S266" s="79">
        <f>VLOOKUP(B266,'Player Data'!$A1:$AE667,7,FALSE)*$Q266*_xlfn.IFERROR((VLOOKUP(P266,'Settings'!$E$28:$F$33,2,FALSE)+1),1)</f>
        <v>18.8727148388101</v>
      </c>
      <c r="T266" s="79">
        <f>VLOOKUP(B266,'Player Data'!$A1:$AE667,8,FALSE)*$Q266*_xlfn.IFERROR((VLOOKUP(P266,'Settings'!$E$28:$F$33,2,FALSE)+1),1)</f>
        <v>29.0251343106242</v>
      </c>
      <c r="U266" s="79">
        <f>SUM(S266:T266)</f>
        <v>47.8978491494343</v>
      </c>
      <c r="V266" s="79">
        <f>VLOOKUP(B266,'Player Data'!$A1:$AE667,10,FALSE)*$Q266*_xlfn.IFERROR(((VLOOKUP(P266,'Settings'!$E$28:$F$33,2,FALSE)/2)+1),1)</f>
        <v>159.499667986138</v>
      </c>
      <c r="W266" s="79">
        <f>VLOOKUP(B266,'Player Data'!$A1:$AE667,11,FALSE)*$Q266*_xlfn.IFERROR((VLOOKUP(P266,'Settings'!$E$28:$F$33,2,FALSE)+1),1)</f>
        <v>2.759128275134</v>
      </c>
      <c r="X266" s="79">
        <f>VLOOKUP(B266,'Player Data'!$A1:$AE667,12,FALSE)*$Q266*_xlfn.IFERROR((VLOOKUP(P266,'Settings'!$E$28:$F$33,2,FALSE)+1),1)</f>
        <v>9.879758171052959</v>
      </c>
      <c r="Y266" s="79">
        <f>VLOOKUP(B266,'Player Data'!$A1:$AE667,13,FALSE)*$Q266</f>
        <v>0.00347968084655178</v>
      </c>
      <c r="Z266" s="79">
        <f>VLOOKUP(B266,'Player Data'!$A1:$AE667,14,FALSE)*$Q266</f>
        <v>0.00596947337645733</v>
      </c>
      <c r="AA266" s="79">
        <f>VLOOKUP(B266,'Player Data'!$A1:$AE667,15,FALSE)*$Q266</f>
        <v>37.8610640916715</v>
      </c>
      <c r="AB266" s="79">
        <f>VLOOKUP(B266,'Player Data'!$A1:$AE667,16,FALSE)*$Q266</f>
        <v>82.34790980398461</v>
      </c>
      <c r="AC266" s="79">
        <f>VLOOKUP(B266,'Player Data'!$A1:$AE667,17,FALSE)*$Q266*_xlfn.IFERROR((VLOOKUP(P266,'Settings'!$E$28:$F$33,2,FALSE)+1),1)</f>
        <v>0.378710860226259</v>
      </c>
      <c r="AD266" s="79">
        <f>VLOOKUP(B266,'Player Data'!$A1:$AE667,18,FALSE)*$Q266</f>
        <v>17.0990657675171</v>
      </c>
      <c r="AE266" s="79">
        <f>VLOOKUP(B266,'Player Data'!$A1:$AE667,19,FALSE)*$Q266*_xlfn.IFERROR((VLOOKUP(P266,'Settings'!$E$28:$F$33,2,FALSE)+1),1)</f>
        <v>2.59202895412165</v>
      </c>
      <c r="AF266" s="79">
        <f>VLOOKUP(B266,'Player Data'!$A1:$AE667,20,FALSE)*$Q266</f>
        <v>2.1855280120251</v>
      </c>
      <c r="AG266" s="79">
        <f>VLOOKUP(B266,'Player Data'!$A1:$AE667,21,FALSE)*$Q266</f>
        <v>4.45929251562428</v>
      </c>
      <c r="AH266" s="81">
        <f>VLOOKUP(B266,'Player Data'!$A1:$AE667,22,FALSE)</f>
        <v>0.328907004023814</v>
      </c>
      <c r="AI266" s="77"/>
      <c r="AJ266" s="79"/>
      <c r="AK266" s="79"/>
      <c r="AL266" s="79"/>
      <c r="AM266" s="79"/>
      <c r="AN266" s="79"/>
      <c r="AO266" s="79"/>
      <c r="AP266" s="79"/>
      <c r="AQ266" s="82"/>
      <c r="AR266" s="83"/>
      <c r="AS266" s="84"/>
    </row>
    <row r="267" ht="21.25" customHeight="1">
      <c r="A267" s="85">
        <f>RANK(K267,K$1:K$665)</f>
        <v>244</v>
      </c>
      <c r="B267" t="s" s="16">
        <v>456</v>
      </c>
      <c r="C267" s="110"/>
      <c r="D267" t="s" s="70">
        <f>VLOOKUP(B267,'Player Data'!A1:D667,4,FALSE)</f>
        <v>161</v>
      </c>
      <c r="E267" s="99">
        <f>VLOOKUP(B267,'G'!A1:D65,3,FALSE)</f>
        <v>38</v>
      </c>
      <c r="F267" t="s" s="86">
        <f>VLOOKUP(B267,'Player Data'!A1:B667,2,FALSE)</f>
        <v>192</v>
      </c>
      <c r="G267" s="96">
        <f>VLOOKUP(B267,'Player Data'!A1:D667,3,FALSE)</f>
        <v>27</v>
      </c>
      <c r="H267" s="94">
        <f>_xlfn.IFERROR(VLOOKUP(B267,'ADP'!A1:G665,7,FALSE)/1000000,VLOOKUP(B267,'ADP'!A1:G665,7,FALSE))</f>
        <v>0.7665999999999999</v>
      </c>
      <c r="I267" s="74">
        <f>IF('Settings'!$E$15="POINTS",(AJ267*'Settings'!$B$29)+(AK267*'Settings'!$B$21)+(AL267*'Settings'!$B$22)+(AN267*'Settings'!$B$24)+(AO267*'Settings'!$B$25)+(AP267*'Settings'!$B$27)+(AM267*'Settings'!$B$23),VLOOKUP(B267,'Standard Deviations'!A1:C666,3,FALSE))</f>
        <v>184.406156669026</v>
      </c>
      <c r="J267" s="75">
        <f>IF(D267="G",I267/AJ267,I267/Q267)</f>
        <v>5.26874733340074</v>
      </c>
      <c r="K267" s="74">
        <f>VLOOKUP(B267,'G'!A1:F65,6,FALSE)</f>
        <v>-83.18485789556399</v>
      </c>
      <c r="L267" s="76">
        <f>_xlfn.IFERROR(K267/H267,"N/A")</f>
        <v>-108.511424335460</v>
      </c>
      <c r="M267" s="77">
        <f>IF('Settings'!$E$9="YAHOO",VLOOKUP(B267,'ADP'!A1:E665,2,FALSE),IF('Settings'!$E$9="ESPN",VLOOKUP(B267,'ADP'!A1:E665,3,FALSE),IF('Settings'!$E$9="FANTRAX",VLOOKUP(B267,'ADP'!A1:E665,4,FALSE),VLOOKUP(B267,'ADP'!A1:E665,5,FALSE))))</f>
        <v>0</v>
      </c>
      <c r="N267" s="77">
        <f>_xlfn.IFERROR(M267-A267,"N/A")</f>
        <v>-244</v>
      </c>
      <c r="O267" s="77"/>
      <c r="P267" t="s" s="78">
        <f>IF('Settings'!$E$27="ON",VLOOKUP(B267,'ADP'!A1:H665,8,FALSE)," ")</f>
        <v>138</v>
      </c>
      <c r="Q267" s="79"/>
      <c r="R267" s="77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81"/>
      <c r="AI267" s="77"/>
      <c r="AJ267" s="89">
        <f>VLOOKUP(B267,'Player Data'!$A1:$AE667,24,FALSE)</f>
        <v>35</v>
      </c>
      <c r="AK267" s="79">
        <f>VLOOKUP(B267,'Player Data'!$A1:$AE667,25,FALSE)*$AJ267*_xlfn.IFERROR((VLOOKUP(P267,'Settings'!$E$28:$F$33,2,FALSE)+1),1)</f>
        <v>16.4860189523848</v>
      </c>
      <c r="AL267" s="79">
        <f>AJ267-AK267-AM267</f>
        <v>14.1389810476152</v>
      </c>
      <c r="AM267" s="79">
        <f>VLOOKUP(B267,'Player Data'!$A1:$AE667,27,FALSE)*$AJ267</f>
        <v>4.375</v>
      </c>
      <c r="AN267" s="79">
        <f>VLOOKUP(B267,'Player Data'!$A1:$AE667,28,FALSE)*AJ267</f>
        <v>1.62834142734704</v>
      </c>
      <c r="AO267" s="79">
        <f>VLOOKUP(B267,'Player Data'!$A1:$AE667,29,FALSE)*$AJ267*_xlfn.IFERROR((VLOOKUP(P267,'Settings'!$E$28:$F$33,2,FALSE)/4)+1,1)</f>
        <v>965.1896574487999</v>
      </c>
      <c r="AP267" s="79">
        <f>VLOOKUP(B267,'Player Data'!$A1:$AE667,31,FALSE)*$AJ267*(_xlfn.IFERROR(1-(VLOOKUP(P267,'Settings'!$E$28:$F$33,2,FALSE)/4),1))</f>
        <v>102.498016720225</v>
      </c>
      <c r="AQ267" s="82">
        <f>1-(AP267/(AO267+AP267))</f>
        <v>0.904000000000001</v>
      </c>
      <c r="AR267" s="83">
        <f>AP267/AJ267</f>
        <v>2.928514763435</v>
      </c>
      <c r="AS267" s="84"/>
    </row>
    <row r="268" ht="21.25" customHeight="1">
      <c r="A268" s="85">
        <f>RANK(K268,K$1:K$665)</f>
        <v>286</v>
      </c>
      <c r="B268" t="s" s="16">
        <v>457</v>
      </c>
      <c r="C268" t="s" s="69">
        <v>127</v>
      </c>
      <c r="D268" t="s" s="70">
        <f>VLOOKUP(B268,'Player Data'!A1:D667,4,FALSE)</f>
        <v>178</v>
      </c>
      <c r="E268" s="102">
        <f>VLOOKUP(B268,'LW'!A1:C152,3,FALSE)</f>
        <v>64</v>
      </c>
      <c r="F268" t="s" s="78">
        <f>VLOOKUP(B268,'Player Data'!A1:B667,2,FALSE)</f>
        <v>204</v>
      </c>
      <c r="G268" s="11">
        <f>VLOOKUP(B268,'Player Data'!A1:D667,3,FALSE)</f>
        <v>29</v>
      </c>
      <c r="H268" s="73">
        <f>_xlfn.IFERROR(VLOOKUP(B268,'ADP'!A1:G665,7,FALSE)/1000000,VLOOKUP(B268,'ADP'!A1:G665,7,FALSE))</f>
        <v>4.5</v>
      </c>
      <c r="I268" s="74">
        <f>IF('Settings'!$E$15="POINTS",((R268*Q268)*'Settings'!$B$12)+(S268*'Settings'!$B$2)+(T268*'Settings'!$B$3)+(U268*'Settings'!$B$4)+(V268*'Settings'!$B$5)+(X268*'Settings'!$B$9)+(AA268*'Settings'!$B$6)+(W268*'Settings'!$B$8)+(AB268*'Settings'!$B$7)+(AC268*'Settings'!$B$14)+(AD268*'Settings'!$B$15)+(AE268*'Settings'!$B$16)+(AF268*'Settings'!$B$17)+(AG268*'Settings'!$B$18)+(Y268*'Settings'!$B$10)+(Z268*'Settings'!$B$11),VLOOKUP(B268,'Standard Deviations'!A1:C666,3,FALSE))</f>
        <v>236.865788871942</v>
      </c>
      <c r="J268" s="75">
        <f>IF(D268="G",I268/AJ268,I268/Q268)</f>
        <v>3.0710938234993</v>
      </c>
      <c r="K268" s="74">
        <f>IF('Settings'!$E$18="C/LW/RW",VLOOKUP(B268,'LW'!A1:F152,6,FALSE),VLOOKUP(B268,'F'!A1:F392,6,FALSE))</f>
        <v>-94.854322894270</v>
      </c>
      <c r="L268" s="76">
        <f>_xlfn.IFERROR(K268/H268,"N/A")</f>
        <v>-21.0787384209489</v>
      </c>
      <c r="M268" s="77">
        <f>IF('Settings'!$E$9="YAHOO",VLOOKUP(B268,'ADP'!A1:E665,2,FALSE),IF('Settings'!$E$9="ESPN",VLOOKUP(B268,'ADP'!A1:E665,3,FALSE),IF('Settings'!$E$9="FANTRAX",VLOOKUP(B268,'ADP'!A1:E665,4,FALSE),VLOOKUP(B268,'ADP'!A1:E665,5,FALSE))))</f>
        <v>0</v>
      </c>
      <c r="N268" s="77">
        <f>_xlfn.IFERROR(M268-A268,"N/A")</f>
        <v>-286</v>
      </c>
      <c r="O268" s="77"/>
      <c r="P268" t="s" s="78">
        <f>IF('Settings'!$E$27="ON",VLOOKUP(B268,'ADP'!A1:H665,8,FALSE)," ")</f>
        <v>138</v>
      </c>
      <c r="Q268" s="79">
        <f>IF('Settings'!$E$12="YES",VLOOKUP(B268,'Player Data'!A1:E667,5,FALSE),82)</f>
        <v>77.1275</v>
      </c>
      <c r="R268" s="77">
        <f>VLOOKUP(B268,'Player Data'!$A1:$AE667,6,FALSE)</f>
        <v>15.0985417022267</v>
      </c>
      <c r="S268" s="79">
        <f>VLOOKUP(B268,'Player Data'!$A1:$AE667,7,FALSE)*$Q268*_xlfn.IFERROR((VLOOKUP(P268,'Settings'!$E$28:$F$33,2,FALSE)+1),1)</f>
        <v>18.5069998248895</v>
      </c>
      <c r="T268" s="79">
        <f>VLOOKUP(B268,'Player Data'!$A1:$AE667,8,FALSE)*$Q268*_xlfn.IFERROR((VLOOKUP(P268,'Settings'!$E$28:$F$33,2,FALSE)+1),1)</f>
        <v>27.8436319480848</v>
      </c>
      <c r="U268" s="79">
        <f>SUM(S268:T268)</f>
        <v>46.3506317729743</v>
      </c>
      <c r="V268" s="79">
        <f>VLOOKUP(B268,'Player Data'!$A1:$AE667,10,FALSE)*$Q268*_xlfn.IFERROR(((VLOOKUP(P268,'Settings'!$E$28:$F$33,2,FALSE)/2)+1),1)</f>
        <v>150.401883971294</v>
      </c>
      <c r="W268" s="79">
        <f>VLOOKUP(B268,'Player Data'!$A1:$AE667,11,FALSE)*$Q268*_xlfn.IFERROR((VLOOKUP(P268,'Settings'!$E$28:$F$33,2,FALSE)+1),1)</f>
        <v>3.815586104381</v>
      </c>
      <c r="X268" s="79">
        <f>VLOOKUP(B268,'Player Data'!$A1:$AE667,12,FALSE)*$Q268*_xlfn.IFERROR((VLOOKUP(P268,'Settings'!$E$28:$F$33,2,FALSE)+1),1)</f>
        <v>7.89604985580207</v>
      </c>
      <c r="Y268" s="79">
        <f>VLOOKUP(B268,'Player Data'!$A1:$AE667,13,FALSE)*$Q268</f>
        <v>0.0100360177310477</v>
      </c>
      <c r="Z268" s="79">
        <f>VLOOKUP(B268,'Player Data'!$A1:$AE667,14,FALSE)*$Q268</f>
        <v>0.0170938495123704</v>
      </c>
      <c r="AA268" s="79">
        <f>VLOOKUP(B268,'Player Data'!$A1:$AE667,15,FALSE)*$Q268</f>
        <v>34.2292857353379</v>
      </c>
      <c r="AB268" s="79">
        <f>VLOOKUP(B268,'Player Data'!$A1:$AE667,16,FALSE)*$Q268</f>
        <v>96.5531218542978</v>
      </c>
      <c r="AC268" s="79">
        <f>VLOOKUP(B268,'Player Data'!$A1:$AE667,17,FALSE)*$Q268*_xlfn.IFERROR((VLOOKUP(P268,'Settings'!$E$28:$F$33,2,FALSE)+1),1)</f>
        <v>5.58054120351869</v>
      </c>
      <c r="AD268" s="79">
        <f>VLOOKUP(B268,'Player Data'!$A1:$AE667,18,FALSE)*$Q268</f>
        <v>52.5642262737043</v>
      </c>
      <c r="AE268" s="79">
        <f>VLOOKUP(B268,'Player Data'!$A1:$AE667,19,FALSE)*$Q268*_xlfn.IFERROR((VLOOKUP(P268,'Settings'!$E$28:$F$33,2,FALSE)+1),1)</f>
        <v>2.95961560787933</v>
      </c>
      <c r="AF268" s="79">
        <f>VLOOKUP(B268,'Player Data'!$A1:$AE667,20,FALSE)*$Q268</f>
        <v>6.518473712507</v>
      </c>
      <c r="AG268" s="79">
        <f>VLOOKUP(B268,'Player Data'!$A1:$AE667,21,FALSE)*$Q268</f>
        <v>9.807201379440439</v>
      </c>
      <c r="AH268" s="81">
        <f>VLOOKUP(B268,'Player Data'!$A1:$AE667,22,FALSE)</f>
        <v>0.399277437275609</v>
      </c>
      <c r="AI268" s="77"/>
      <c r="AJ268" s="79"/>
      <c r="AK268" s="79"/>
      <c r="AL268" s="79"/>
      <c r="AM268" s="79"/>
      <c r="AN268" s="79"/>
      <c r="AO268" s="79"/>
      <c r="AP268" s="79"/>
      <c r="AQ268" s="82"/>
      <c r="AR268" s="83"/>
      <c r="AS268" s="84"/>
    </row>
    <row r="269" ht="21.25" customHeight="1">
      <c r="A269" s="85">
        <f>RANK(K269,K$1:K$665)</f>
        <v>259</v>
      </c>
      <c r="B269" t="s" s="16">
        <v>458</v>
      </c>
      <c r="C269" t="s" s="69">
        <v>127</v>
      </c>
      <c r="D269" t="s" s="70">
        <f>VLOOKUP(B269,'Player Data'!A1:D667,4,FALSE)</f>
        <v>153</v>
      </c>
      <c r="E269" s="95">
        <f>VLOOKUP(B269,'D'!A1:C213,3,FALSE)</f>
        <v>78</v>
      </c>
      <c r="F269" t="s" s="107">
        <f>VLOOKUP(B269,'Player Data'!A1:B667,2,FALSE)</f>
        <v>279</v>
      </c>
      <c r="G269" s="96">
        <f>VLOOKUP(B269,'Player Data'!A1:D667,3,FALSE)</f>
        <v>20</v>
      </c>
      <c r="H269" s="73">
        <f>_xlfn.IFERROR(VLOOKUP(B269,'ADP'!A1:G665,7,FALSE)/1000000,VLOOKUP(B269,'ADP'!A1:G665,7,FALSE))</f>
        <v>0.918333</v>
      </c>
      <c r="I269" s="74">
        <f>IF('Settings'!$E$15="POINTS",((R269*Q269)*'Settings'!$B$12)+(S269*'Settings'!$B$2)+(T269*'Settings'!$B$3)+(U269*'Settings'!$B$4)+(V269*'Settings'!$B$5)+(X269*'Settings'!$B$9)+(AA269*'Settings'!$B$6)+(W269*'Settings'!$B$8)+(AB269*'Settings'!$B$7)+(AC269*'Settings'!$B$14)+(AD269*'Settings'!$B$15)+(AE269*'Settings'!$B$16)+(AF269*'Settings'!$B$17)+(AG269*'Settings'!$B$18)+(U269*'Settings'!$B$13)+(Y269*'Settings'!$B$10)+(Z269*'Settings'!$B$11),VLOOKUP(B269,'Standard Deviations'!A1:C666,3,FALSE))</f>
        <v>243.519671845809</v>
      </c>
      <c r="J269" s="75">
        <f>IF(D269="G",I269/AJ269,I269/Q269)</f>
        <v>3.28437078489189</v>
      </c>
      <c r="K269" s="74">
        <f>VLOOKUP(B269,'D'!A1:F213,6,FALSE)</f>
        <v>-88.020536074273</v>
      </c>
      <c r="L269" s="76">
        <f>_xlfn.IFERROR(K269/H269,"N/A")</f>
        <v>-95.8481684468194</v>
      </c>
      <c r="M269" s="77">
        <f>IF('Settings'!$E$9="YAHOO",VLOOKUP(B269,'ADP'!A1:E665,2,FALSE),IF('Settings'!$E$9="ESPN",VLOOKUP(B269,'ADP'!A1:E665,3,FALSE),IF('Settings'!$E$9="FANTRAX",VLOOKUP(B269,'ADP'!A1:E665,4,FALSE),VLOOKUP(B269,'ADP'!A1:E665,5,FALSE))))</f>
        <v>0</v>
      </c>
      <c r="N269" s="77">
        <f>_xlfn.IFERROR(M269-A269,"N/A")</f>
        <v>-259</v>
      </c>
      <c r="O269" s="77"/>
      <c r="P269" t="s" s="78">
        <f>IF('Settings'!$E$27="ON",VLOOKUP(B269,'ADP'!A1:H665,8,FALSE)," ")</f>
        <v>138</v>
      </c>
      <c r="Q269" s="79">
        <f>IF('Settings'!$E$12="YES",VLOOKUP(B269,'Player Data'!A1:E667,5,FALSE),82)</f>
        <v>74.145</v>
      </c>
      <c r="R269" s="98">
        <f>VLOOKUP(B269,'Player Data'!$A1:$AE667,6,FALSE)</f>
        <v>20.0660360824665</v>
      </c>
      <c r="S269" s="79">
        <f>VLOOKUP(B269,'Player Data'!$A1:$AE667,7,FALSE)*$Q269*_xlfn.IFERROR((VLOOKUP(P269,'Settings'!$E$28:$F$33,2,FALSE)+1),1)</f>
        <v>5.60756024757988</v>
      </c>
      <c r="T269" s="79">
        <f>VLOOKUP(B269,'Player Data'!$A1:$AE667,8,FALSE)*$Q269*_xlfn.IFERROR((VLOOKUP(P269,'Settings'!$E$28:$F$33,2,FALSE)+1),1)</f>
        <v>31.3875468171992</v>
      </c>
      <c r="U269" s="79">
        <f>SUM(S269:T269)</f>
        <v>36.9951070647791</v>
      </c>
      <c r="V269" s="79">
        <f>VLOOKUP(B269,'Player Data'!$A1:$AE667,10,FALSE)*$Q269*_xlfn.IFERROR(((VLOOKUP(P269,'Settings'!$E$28:$F$33,2,FALSE)/2)+1),1)</f>
        <v>112.162962120825</v>
      </c>
      <c r="W269" s="79">
        <f>VLOOKUP(B269,'Player Data'!$A1:$AE667,11,FALSE)*$Q269*_xlfn.IFERROR((VLOOKUP(P269,'Settings'!$E$28:$F$33,2,FALSE)+1),1)</f>
        <v>0.563941254344654</v>
      </c>
      <c r="X269" s="101">
        <f>VLOOKUP(B269,'Player Data'!$A1:$AE667,12,FALSE)*$Q269*_xlfn.IFERROR((VLOOKUP(P269,'Settings'!$E$28:$F$33,2,FALSE)+1),1)</f>
        <v>12.1098159004765</v>
      </c>
      <c r="Y269" s="79">
        <f>VLOOKUP(B269,'Player Data'!$A1:$AE667,13,FALSE)*$Q269</f>
        <v>0.0272419886152719</v>
      </c>
      <c r="Z269" s="79">
        <f>VLOOKUP(B269,'Player Data'!$A1:$AE667,14,FALSE)*$Q269</f>
        <v>0.624028790126362</v>
      </c>
      <c r="AA269" s="79">
        <f>VLOOKUP(B269,'Player Data'!$A1:$AE667,15,FALSE)*$Q269</f>
        <v>91.407923718414</v>
      </c>
      <c r="AB269" s="79">
        <f>VLOOKUP(B269,'Player Data'!$A1:$AE667,16,FALSE)*$Q269</f>
        <v>105.730043042861</v>
      </c>
      <c r="AC269" s="79">
        <f>VLOOKUP(B269,'Player Data'!$A1:$AE667,17,FALSE)*$Q269*_xlfn.IFERROR((VLOOKUP(P269,'Settings'!$E$28:$F$33,2,FALSE)+1),1)</f>
        <v>-7.82304607423144</v>
      </c>
      <c r="AD269" s="79">
        <f>VLOOKUP(B269,'Player Data'!$A1:$AE667,18,FALSE)*$Q269</f>
        <v>32.7754386899766</v>
      </c>
      <c r="AE269" s="79">
        <f>VLOOKUP(B269,'Player Data'!$A1:$AE667,19,FALSE)*$Q269*_xlfn.IFERROR((VLOOKUP(P269,'Settings'!$E$28:$F$33,2,FALSE)+1),1)</f>
        <v>0.653614695299383</v>
      </c>
      <c r="AF269" s="79">
        <f>VLOOKUP(B269,'Player Data'!$A1:$AE667,20,FALSE)*$Q269</f>
        <v>0</v>
      </c>
      <c r="AG269" s="79">
        <f>VLOOKUP(B269,'Player Data'!$A1:$AE667,21,FALSE)*$Q269</f>
        <v>0</v>
      </c>
      <c r="AH269" s="81">
        <f>VLOOKUP(B269,'Player Data'!$A1:$AE667,22,FALSE)</f>
        <v>0</v>
      </c>
      <c r="AI269" s="77"/>
      <c r="AJ269" s="89"/>
      <c r="AK269" s="79"/>
      <c r="AL269" s="79"/>
      <c r="AM269" s="79"/>
      <c r="AN269" s="79"/>
      <c r="AO269" s="79"/>
      <c r="AP269" s="79"/>
      <c r="AQ269" s="82"/>
      <c r="AR269" s="83"/>
      <c r="AS269" s="84"/>
    </row>
    <row r="270" ht="21.25" customHeight="1">
      <c r="A270" s="85">
        <f>RANK(K270,K$1:K$665)</f>
        <v>260</v>
      </c>
      <c r="B270" t="s" s="16">
        <v>459</v>
      </c>
      <c r="C270" t="s" s="69">
        <v>127</v>
      </c>
      <c r="D270" t="s" s="70">
        <f>VLOOKUP(B270,'Player Data'!A1:D667,4,FALSE)</f>
        <v>153</v>
      </c>
      <c r="E270" s="95">
        <f>VLOOKUP(B270,'D'!A1:C213,3,FALSE)</f>
        <v>79</v>
      </c>
      <c r="F270" t="s" s="78">
        <f>VLOOKUP(B270,'Player Data'!A1:B667,2,FALSE)</f>
        <v>204</v>
      </c>
      <c r="G270" s="11">
        <f>VLOOKUP(B270,'Player Data'!A1:D667,3,FALSE)</f>
        <v>30</v>
      </c>
      <c r="H270" s="73">
        <f>_xlfn.IFERROR(VLOOKUP(B270,'ADP'!A1:G665,7,FALSE)/1000000,VLOOKUP(B270,'ADP'!A1:G665,7,FALSE))</f>
        <v>3.25</v>
      </c>
      <c r="I270" s="74">
        <f>IF('Settings'!$E$15="POINTS",((R270*Q270)*'Settings'!$B$12)+(S270*'Settings'!$B$2)+(T270*'Settings'!$B$3)+(U270*'Settings'!$B$4)+(V270*'Settings'!$B$5)+(X270*'Settings'!$B$9)+(AA270*'Settings'!$B$6)+(W270*'Settings'!$B$8)+(AB270*'Settings'!$B$7)+(AC270*'Settings'!$B$14)+(AD270*'Settings'!$B$15)+(AE270*'Settings'!$B$16)+(AF270*'Settings'!$B$17)+(AG270*'Settings'!$B$18)+(U270*'Settings'!$B$13)+(Y270*'Settings'!$B$10)+(Z270*'Settings'!$B$11),VLOOKUP(B270,'Standard Deviations'!A1:C666,3,FALSE))</f>
        <v>243.415562744266</v>
      </c>
      <c r="J270" s="75">
        <f>IF(D270="G",I270/AJ270,I270/Q270)</f>
        <v>3.11332816709428</v>
      </c>
      <c r="K270" s="74">
        <f>VLOOKUP(B270,'D'!A1:F213,6,FALSE)</f>
        <v>-88.124645175816</v>
      </c>
      <c r="L270" s="76">
        <f>_xlfn.IFERROR(K270/H270,"N/A")</f>
        <v>-27.1152754387126</v>
      </c>
      <c r="M270" s="109">
        <f>IF('Settings'!$E$9="YAHOO",VLOOKUP(B270,'ADP'!A1:E665,2,FALSE),IF('Settings'!$E$9="ESPN",VLOOKUP(B270,'ADP'!A1:E665,3,FALSE),IF('Settings'!$E$9="FANTRAX",VLOOKUP(B270,'ADP'!A1:E665,4,FALSE),VLOOKUP(B270,'ADP'!A1:E665,5,FALSE))))</f>
        <v>0</v>
      </c>
      <c r="N270" s="79">
        <f>_xlfn.IFERROR(M270-A270,"N/A")</f>
        <v>-260</v>
      </c>
      <c r="O270" s="77"/>
      <c r="P270" t="s" s="78">
        <f>IF('Settings'!$E$27="ON",VLOOKUP(B270,'ADP'!A1:H665,8,FALSE)," ")</f>
        <v>138</v>
      </c>
      <c r="Q270" s="79">
        <f>IF('Settings'!$E$12="YES",VLOOKUP(B270,'Player Data'!A1:E667,5,FALSE),82)</f>
        <v>78.185</v>
      </c>
      <c r="R270" s="77">
        <f>VLOOKUP(B270,'Player Data'!$A1:$AE667,6,FALSE)</f>
        <v>17.6083911249273</v>
      </c>
      <c r="S270" s="79">
        <f>VLOOKUP(B270,'Player Data'!$A1:$AE667,7,FALSE)*$Q270*_xlfn.IFERROR((VLOOKUP(P270,'Settings'!$E$28:$F$33,2,FALSE)+1),1)</f>
        <v>1.5358481190397</v>
      </c>
      <c r="T270" s="79">
        <f>VLOOKUP(B270,'Player Data'!$A1:$AE667,8,FALSE)*$Q270*_xlfn.IFERROR((VLOOKUP(P270,'Settings'!$E$28:$F$33,2,FALSE)+1),1)</f>
        <v>12.3527341292841</v>
      </c>
      <c r="U270" s="79">
        <f>SUM(S270:T270)</f>
        <v>13.8885822483238</v>
      </c>
      <c r="V270" s="79">
        <f>VLOOKUP(B270,'Player Data'!$A1:$AE667,10,FALSE)*$Q270*_xlfn.IFERROR(((VLOOKUP(P270,'Settings'!$E$28:$F$33,2,FALSE)/2)+1),1)</f>
        <v>54.064628189266</v>
      </c>
      <c r="W270" s="79">
        <f>VLOOKUP(B270,'Player Data'!$A1:$AE667,11,FALSE)*$Q270*_xlfn.IFERROR((VLOOKUP(P270,'Settings'!$E$28:$F$33,2,FALSE)+1),1)</f>
        <v>0.0110098547208033</v>
      </c>
      <c r="X270" s="79">
        <f>VLOOKUP(B270,'Player Data'!$A1:$AE667,12,FALSE)*$Q270*_xlfn.IFERROR((VLOOKUP(P270,'Settings'!$E$28:$F$33,2,FALSE)+1),1)</f>
        <v>0.078699000471862</v>
      </c>
      <c r="Y270" s="79">
        <f>VLOOKUP(B270,'Player Data'!$A1:$AE667,13,FALSE)*$Q270</f>
        <v>0.212453300751457</v>
      </c>
      <c r="Z270" s="79">
        <f>VLOOKUP(B270,'Player Data'!$A1:$AE667,14,FALSE)*$Q270</f>
        <v>0.67419770264905</v>
      </c>
      <c r="AA270" s="79">
        <f>VLOOKUP(B270,'Player Data'!$A1:$AE667,15,FALSE)*$Q270</f>
        <v>149.840088282272</v>
      </c>
      <c r="AB270" s="79">
        <f>VLOOKUP(B270,'Player Data'!$A1:$AE667,16,FALSE)*$Q270</f>
        <v>164.393778963290</v>
      </c>
      <c r="AC270" s="79">
        <f>VLOOKUP(B270,'Player Data'!$A1:$AE667,17,FALSE)*$Q270*_xlfn.IFERROR((VLOOKUP(P270,'Settings'!$E$28:$F$33,2,FALSE)+1),1)</f>
        <v>-1.08329849853172</v>
      </c>
      <c r="AD270" s="79">
        <f>VLOOKUP(B270,'Player Data'!$A1:$AE667,18,FALSE)*$Q270</f>
        <v>47.4565299319945</v>
      </c>
      <c r="AE270" s="79">
        <f>VLOOKUP(B270,'Player Data'!$A1:$AE667,19,FALSE)*$Q270*_xlfn.IFERROR((VLOOKUP(P270,'Settings'!$E$28:$F$33,2,FALSE)+1),1)</f>
        <v>0.245610855754636</v>
      </c>
      <c r="AF270" s="79">
        <f>VLOOKUP(B270,'Player Data'!$A1:$AE667,20,FALSE)*$Q270</f>
        <v>0</v>
      </c>
      <c r="AG270" s="79">
        <f>VLOOKUP(B270,'Player Data'!$A1:$AE667,21,FALSE)*$Q270</f>
        <v>0</v>
      </c>
      <c r="AH270" s="81">
        <f>VLOOKUP(B270,'Player Data'!$A1:$AE667,22,FALSE)</f>
        <v>0</v>
      </c>
      <c r="AI270" s="77"/>
      <c r="AJ270" s="89"/>
      <c r="AK270" s="79"/>
      <c r="AL270" s="79"/>
      <c r="AM270" s="79"/>
      <c r="AN270" s="79"/>
      <c r="AO270" s="79"/>
      <c r="AP270" s="79"/>
      <c r="AQ270" s="82"/>
      <c r="AR270" s="83"/>
      <c r="AS270" s="84"/>
    </row>
    <row r="271" ht="21.25" customHeight="1">
      <c r="A271" s="85">
        <f>RANK(K271,K$1:K$665)</f>
        <v>279</v>
      </c>
      <c r="B271" t="s" s="16">
        <v>460</v>
      </c>
      <c r="C271" t="s" s="69">
        <v>127</v>
      </c>
      <c r="D271" t="s" s="70">
        <f>VLOOKUP(B271,'Player Data'!A1:D667,4,FALSE)</f>
        <v>140</v>
      </c>
      <c r="E271" s="90">
        <f>VLOOKUP(B271,'RW'!A1:F136,3,FALSE)</f>
        <v>61</v>
      </c>
      <c r="F271" t="s" s="78">
        <f>VLOOKUP(B271,'Player Data'!A1:B667,2,FALSE)</f>
        <v>216</v>
      </c>
      <c r="G271" s="11">
        <f>VLOOKUP(B271,'Player Data'!A1:D667,3,FALSE)</f>
        <v>27</v>
      </c>
      <c r="H271" s="94">
        <f>_xlfn.IFERROR(VLOOKUP(B271,'ADP'!A1:G665,7,FALSE)/1000000,VLOOKUP(B271,'ADP'!A1:G665,7,FALSE))</f>
        <v>1.4</v>
      </c>
      <c r="I271" s="74">
        <f>IF('Settings'!$E$15="POINTS",((R271*Q271)*'Settings'!$B$12)+(S271*'Settings'!$B$2)+(T271*'Settings'!$B$3)+(U271*'Settings'!$B$4)+(V271*'Settings'!$B$5)+(X271*'Settings'!$B$9)+(AA271*'Settings'!$B$6)+(W271*'Settings'!$B$8)+(AB271*'Settings'!$B$7)+(AC271*'Settings'!$B$14)+(AD271*'Settings'!$B$15)+(AE271*'Settings'!$B$16)+(AF271*'Settings'!$B$17)+(AG271*'Settings'!$B$18)+(Y271*'Settings'!$B$10)+(Z271*'Settings'!$B$11),VLOOKUP(B271,'Standard Deviations'!A1:C666,3,FALSE))</f>
        <v>236.385271256422</v>
      </c>
      <c r="J271" s="75">
        <f>IF(D271="G",I271/AJ271,I271/Q271)</f>
        <v>2.95860660541847</v>
      </c>
      <c r="K271" s="74">
        <f>IF('Settings'!$E$18="C/LW/RW",VLOOKUP(B271,'RW'!A1:F136,6,FALSE),VLOOKUP(B271,'F'!A1:F392,6,FALSE))</f>
        <v>-93.306622824756</v>
      </c>
      <c r="L271" s="76">
        <f>_xlfn.IFERROR(K271/H271,"N/A")</f>
        <v>-66.6475877319686</v>
      </c>
      <c r="M271" s="109">
        <f>IF('Settings'!$E$9="YAHOO",VLOOKUP(B271,'ADP'!A1:E665,2,FALSE),IF('Settings'!$E$9="ESPN",VLOOKUP(B271,'ADP'!A1:E665,3,FALSE),IF('Settings'!$E$9="FANTRAX",VLOOKUP(B271,'ADP'!A1:E665,4,FALSE),VLOOKUP(B271,'ADP'!A1:E665,5,FALSE))))</f>
        <v>0</v>
      </c>
      <c r="N271" s="79">
        <f>_xlfn.IFERROR(M271-A271,"N/A")</f>
        <v>-279</v>
      </c>
      <c r="O271" s="77"/>
      <c r="P271" t="s" s="78">
        <f>IF('Settings'!$E$27="ON",VLOOKUP(B271,'ADP'!A1:H665,8,FALSE)," ")</f>
        <v>138</v>
      </c>
      <c r="Q271" s="79">
        <f>IF('Settings'!$E$12="YES",VLOOKUP(B271,'Player Data'!A1:E667,5,FALSE),82)</f>
        <v>79.89749999999999</v>
      </c>
      <c r="R271" s="77">
        <f>VLOOKUP(B271,'Player Data'!$A1:$AE667,6,FALSE)</f>
        <v>10.8888751413998</v>
      </c>
      <c r="S271" s="79">
        <f>VLOOKUP(B271,'Player Data'!$A1:$AE667,7,FALSE)*$Q271*_xlfn.IFERROR((VLOOKUP(P271,'Settings'!$E$28:$F$33,2,FALSE)+1),1)</f>
        <v>7.74789956925613</v>
      </c>
      <c r="T271" s="79">
        <f>VLOOKUP(B271,'Player Data'!$A1:$AE667,8,FALSE)*$Q271*_xlfn.IFERROR((VLOOKUP(P271,'Settings'!$E$28:$F$33,2,FALSE)+1),1)</f>
        <v>11.5175858910898</v>
      </c>
      <c r="U271" s="79">
        <f>SUM(S271:T271)</f>
        <v>19.2654854603459</v>
      </c>
      <c r="V271" s="79">
        <f>VLOOKUP(B271,'Player Data'!$A1:$AE667,10,FALSE)*$Q271*_xlfn.IFERROR(((VLOOKUP(P271,'Settings'!$E$28:$F$33,2,FALSE)/2)+1),1)</f>
        <v>75.1247663320962</v>
      </c>
      <c r="W271" s="79">
        <f>VLOOKUP(B271,'Player Data'!$A1:$AE667,11,FALSE)*$Q271*_xlfn.IFERROR((VLOOKUP(P271,'Settings'!$E$28:$F$33,2,FALSE)+1),1)</f>
        <v>0.06612008606324481</v>
      </c>
      <c r="X271" s="79">
        <f>VLOOKUP(B271,'Player Data'!$A1:$AE667,12,FALSE)*$Q271*_xlfn.IFERROR((VLOOKUP(P271,'Settings'!$E$28:$F$33,2,FALSE)+1),1)</f>
        <v>0.135406571876781</v>
      </c>
      <c r="Y271" s="79">
        <f>VLOOKUP(B271,'Player Data'!$A1:$AE667,13,FALSE)*$Q271</f>
        <v>0.633175355273911</v>
      </c>
      <c r="Z271" s="79">
        <f>VLOOKUP(B271,'Player Data'!$A1:$AE667,14,FALSE)*$Q271</f>
        <v>1.11856111985891</v>
      </c>
      <c r="AA271" s="79">
        <f>VLOOKUP(B271,'Player Data'!$A1:$AE667,15,FALSE)*$Q271</f>
        <v>38.3036807636719</v>
      </c>
      <c r="AB271" s="79">
        <f>VLOOKUP(B271,'Player Data'!$A1:$AE667,16,FALSE)*$Q271</f>
        <v>251.055478330422</v>
      </c>
      <c r="AC271" s="79">
        <f>VLOOKUP(B271,'Player Data'!$A1:$AE667,17,FALSE)*$Q271*_xlfn.IFERROR((VLOOKUP(P271,'Settings'!$E$28:$F$33,2,FALSE)+1),1)</f>
        <v>0.826108510802479</v>
      </c>
      <c r="AD271" s="79">
        <f>VLOOKUP(B271,'Player Data'!$A1:$AE667,18,FALSE)*$Q271</f>
        <v>47.5869743326551</v>
      </c>
      <c r="AE271" s="79">
        <f>VLOOKUP(B271,'Player Data'!$A1:$AE667,19,FALSE)*$Q271*_xlfn.IFERROR((VLOOKUP(P271,'Settings'!$E$28:$F$33,2,FALSE)+1),1)</f>
        <v>1.17846551121651</v>
      </c>
      <c r="AF271" s="79">
        <f>VLOOKUP(B271,'Player Data'!$A1:$AE667,20,FALSE)*$Q271</f>
        <v>15.5284265777818</v>
      </c>
      <c r="AG271" s="79">
        <f>VLOOKUP(B271,'Player Data'!$A1:$AE667,21,FALSE)*$Q271</f>
        <v>26.5416574476797</v>
      </c>
      <c r="AH271" s="81">
        <f>VLOOKUP(B271,'Player Data'!$A1:$AE667,22,FALSE)</f>
        <v>0.369108523015636</v>
      </c>
      <c r="AI271" s="77"/>
      <c r="AJ271" s="79"/>
      <c r="AK271" s="79"/>
      <c r="AL271" s="79"/>
      <c r="AM271" s="79"/>
      <c r="AN271" s="79"/>
      <c r="AO271" s="79"/>
      <c r="AP271" s="79"/>
      <c r="AQ271" s="82"/>
      <c r="AR271" s="83"/>
      <c r="AS271" s="84"/>
    </row>
    <row r="272" ht="21.25" customHeight="1">
      <c r="A272" s="85">
        <f>RANK(K272,K$1:K$665)</f>
        <v>280</v>
      </c>
      <c r="B272" t="s" s="16">
        <v>461</v>
      </c>
      <c r="C272" t="s" s="69">
        <v>127</v>
      </c>
      <c r="D272" t="s" s="70">
        <f>VLOOKUP(B272,'Player Data'!A1:D667,4,FALSE)</f>
        <v>148</v>
      </c>
      <c r="E272" s="87">
        <f>VLOOKUP(B272,'RW'!A1:C136,3,FALSE)</f>
        <v>62</v>
      </c>
      <c r="F272" t="s" s="78">
        <f>VLOOKUP(B272,'Player Data'!A1:B667,2,FALSE)</f>
        <v>168</v>
      </c>
      <c r="G272" s="91">
        <f>VLOOKUP(B272,'Player Data'!A1:D667,3,FALSE)</f>
        <v>31</v>
      </c>
      <c r="H272" s="73">
        <f>_xlfn.IFERROR(VLOOKUP(B272,'ADP'!A1:G665,7,FALSE)/1000000,VLOOKUP(B272,'ADP'!A1:G665,7,FALSE))</f>
        <v>4</v>
      </c>
      <c r="I272" s="74">
        <f>IF('Settings'!$E$15="POINTS",((R272*Q272)*'Settings'!$B$12)+(S272*'Settings'!$B$2)+(T272*'Settings'!$B$3)+(U272*'Settings'!$B$4)+(V272*'Settings'!$B$5)+(X272*'Settings'!$B$9)+(AA272*'Settings'!$B$6)+(W272*'Settings'!$B$8)+(AB272*'Settings'!$B$7)+(AC272*'Settings'!$B$14)+(AD272*'Settings'!$B$15)+(AE272*'Settings'!$B$16)+(AF272*'Settings'!$B$17)+(AG272*'Settings'!$B$18)+(Y272*'Settings'!$B$10)+(Z272*'Settings'!$B$11),VLOOKUP(B272,'Standard Deviations'!A1:C666,3,FALSE))</f>
        <v>236.373778403871</v>
      </c>
      <c r="J272" s="75">
        <f>IF(D272="G",I272/AJ272,I272/Q272)</f>
        <v>2.95864791318173</v>
      </c>
      <c r="K272" s="74">
        <f>IF('Settings'!$E$18="C/LW/RW",VLOOKUP(B272,'RW'!A1:F136,6,FALSE),VLOOKUP(B272,'F'!A1:F392,6,FALSE))</f>
        <v>-93.31811567730701</v>
      </c>
      <c r="L272" s="76">
        <f>_xlfn.IFERROR(K272/H272,"N/A")</f>
        <v>-23.3295289193268</v>
      </c>
      <c r="M272" s="109">
        <f>IF('Settings'!$E$9="YAHOO",VLOOKUP(B272,'ADP'!A1:E665,2,FALSE),IF('Settings'!$E$9="ESPN",VLOOKUP(B272,'ADP'!A1:E665,3,FALSE),IF('Settings'!$E$9="FANTRAX",VLOOKUP(B272,'ADP'!A1:E665,4,FALSE),VLOOKUP(B272,'ADP'!A1:E665,5,FALSE))))</f>
        <v>0</v>
      </c>
      <c r="N272" s="79">
        <f>_xlfn.IFERROR(M272-A272,"N/A")</f>
        <v>-280</v>
      </c>
      <c r="O272" s="77"/>
      <c r="P272" t="s" s="78">
        <f>IF('Settings'!$E$27="ON",VLOOKUP(B272,'ADP'!A1:H665,8,FALSE)," ")</f>
        <v>138</v>
      </c>
      <c r="Q272" s="79">
        <f>IF('Settings'!$E$12="YES",VLOOKUP(B272,'Player Data'!A1:E667,5,FALSE),82)</f>
        <v>79.8925</v>
      </c>
      <c r="R272" s="77">
        <f>VLOOKUP(B272,'Player Data'!$A1:$AE667,6,FALSE)</f>
        <v>14.9112795157056</v>
      </c>
      <c r="S272" s="79">
        <f>VLOOKUP(B272,'Player Data'!$A1:$AE667,7,FALSE)*$Q272*_xlfn.IFERROR((VLOOKUP(P272,'Settings'!$E$28:$F$33,2,FALSE)+1),1)</f>
        <v>19.034246113888</v>
      </c>
      <c r="T272" s="79">
        <f>VLOOKUP(B272,'Player Data'!$A1:$AE667,8,FALSE)*$Q272*_xlfn.IFERROR((VLOOKUP(P272,'Settings'!$E$28:$F$33,2,FALSE)+1),1)</f>
        <v>17.0489727785465</v>
      </c>
      <c r="U272" s="79">
        <f>SUM(S272:T272)</f>
        <v>36.0832188924345</v>
      </c>
      <c r="V272" s="79">
        <f>VLOOKUP(B272,'Player Data'!$A1:$AE667,10,FALSE)*$Q272*_xlfn.IFERROR(((VLOOKUP(P272,'Settings'!$E$28:$F$33,2,FALSE)/2)+1),1)</f>
        <v>168.036107248599</v>
      </c>
      <c r="W272" s="79">
        <f>VLOOKUP(B272,'Player Data'!$A1:$AE667,11,FALSE)*$Q272*_xlfn.IFERROR((VLOOKUP(P272,'Settings'!$E$28:$F$33,2,FALSE)+1),1)</f>
        <v>2.82866964638808</v>
      </c>
      <c r="X272" s="79">
        <f>VLOOKUP(B272,'Player Data'!$A1:$AE667,12,FALSE)*$Q272*_xlfn.IFERROR((VLOOKUP(P272,'Settings'!$E$28:$F$33,2,FALSE)+1),1)</f>
        <v>4.83615910371407</v>
      </c>
      <c r="Y272" s="79">
        <f>VLOOKUP(B272,'Player Data'!$A1:$AE667,13,FALSE)*$Q272</f>
        <v>0.00671838778309202</v>
      </c>
      <c r="Z272" s="79">
        <f>VLOOKUP(B272,'Player Data'!$A1:$AE667,14,FALSE)*$Q272</f>
        <v>0.0113249755110393</v>
      </c>
      <c r="AA272" s="79">
        <f>VLOOKUP(B272,'Player Data'!$A1:$AE667,15,FALSE)*$Q272</f>
        <v>38.5826159785104</v>
      </c>
      <c r="AB272" s="79">
        <f>VLOOKUP(B272,'Player Data'!$A1:$AE667,16,FALSE)*$Q272</f>
        <v>124.369576406909</v>
      </c>
      <c r="AC272" s="79">
        <f>VLOOKUP(B272,'Player Data'!$A1:$AE667,17,FALSE)*$Q272*_xlfn.IFERROR((VLOOKUP(P272,'Settings'!$E$28:$F$33,2,FALSE)+1),1)</f>
        <v>4.89614189814409</v>
      </c>
      <c r="AD272" s="79">
        <f>VLOOKUP(B272,'Player Data'!$A1:$AE667,18,FALSE)*$Q272</f>
        <v>28.7750873257769</v>
      </c>
      <c r="AE272" s="79">
        <f>VLOOKUP(B272,'Player Data'!$A1:$AE667,19,FALSE)*$Q272*_xlfn.IFERROR((VLOOKUP(P272,'Settings'!$E$28:$F$33,2,FALSE)+1),1)</f>
        <v>3.16399721304532</v>
      </c>
      <c r="AF272" s="79">
        <f>VLOOKUP(B272,'Player Data'!$A1:$AE667,20,FALSE)*$Q272</f>
        <v>25.6216508093271</v>
      </c>
      <c r="AG272" s="79">
        <f>VLOOKUP(B272,'Player Data'!$A1:$AE667,21,FALSE)*$Q272</f>
        <v>23.4715447274118</v>
      </c>
      <c r="AH272" s="81">
        <f>VLOOKUP(B272,'Player Data'!$A1:$AE667,22,FALSE)</f>
        <v>0.5218982086866421</v>
      </c>
      <c r="AI272" s="77"/>
      <c r="AJ272" s="89"/>
      <c r="AK272" s="79"/>
      <c r="AL272" s="79"/>
      <c r="AM272" s="79"/>
      <c r="AN272" s="79"/>
      <c r="AO272" s="79"/>
      <c r="AP272" s="79"/>
      <c r="AQ272" s="82"/>
      <c r="AR272" s="83"/>
      <c r="AS272" s="93"/>
    </row>
    <row r="273" ht="21.25" customHeight="1">
      <c r="A273" s="85">
        <f>RANK(K273,K$1:K$665)</f>
        <v>290</v>
      </c>
      <c r="B273" t="s" s="16">
        <v>462</v>
      </c>
      <c r="C273" t="s" s="69">
        <v>127</v>
      </c>
      <c r="D273" t="s" s="70">
        <f>VLOOKUP(B273,'Player Data'!A1:D667,4,FALSE)</f>
        <v>178</v>
      </c>
      <c r="E273" s="102">
        <f>VLOOKUP(B273,'LW'!A1:C152,3,FALSE)</f>
        <v>66</v>
      </c>
      <c r="F273" t="s" s="86">
        <f>VLOOKUP(B273,'Player Data'!A1:B667,2,FALSE)</f>
        <v>154</v>
      </c>
      <c r="G273" s="11">
        <f>VLOOKUP(B273,'Player Data'!A1:D667,3,FALSE)</f>
        <v>26</v>
      </c>
      <c r="H273" s="73">
        <f>_xlfn.IFERROR(VLOOKUP(B273,'ADP'!A1:G665,7,FALSE)/1000000,VLOOKUP(B273,'ADP'!A1:G665,7,FALSE))</f>
        <v>1.35</v>
      </c>
      <c r="I273" s="74">
        <f>IF('Settings'!$E$15="POINTS",((R273*Q273)*'Settings'!$B$12)+(S273*'Settings'!$B$2)+(T273*'Settings'!$B$3)+(U273*'Settings'!$B$4)+(V273*'Settings'!$B$5)+(X273*'Settings'!$B$9)+(AA273*'Settings'!$B$6)+(W273*'Settings'!$B$8)+(AB273*'Settings'!$B$7)+(AC273*'Settings'!$B$14)+(AD273*'Settings'!$B$15)+(AE273*'Settings'!$B$16)+(AF273*'Settings'!$B$17)+(AG273*'Settings'!$B$18)+(Y273*'Settings'!$B$10)+(Z273*'Settings'!$B$11),VLOOKUP(B273,'Standard Deviations'!A1:C666,3,FALSE))</f>
        <v>235.967285891279</v>
      </c>
      <c r="J273" s="75">
        <f>IF(D273="G",I273/AJ273,I273/Q273)</f>
        <v>3.02706501897026</v>
      </c>
      <c r="K273" s="74">
        <f>IF('Settings'!$E$18="C/LW/RW",VLOOKUP(B273,'LW'!A1:F152,6,FALSE),VLOOKUP(B273,'F'!A1:F392,6,FALSE))</f>
        <v>-95.752825874933</v>
      </c>
      <c r="L273" s="76">
        <f>_xlfn.IFERROR(K273/H273,"N/A")</f>
        <v>-70.92801916661701</v>
      </c>
      <c r="M273" s="109">
        <f>IF('Settings'!$E$9="YAHOO",VLOOKUP(B273,'ADP'!A1:E665,2,FALSE),IF('Settings'!$E$9="ESPN",VLOOKUP(B273,'ADP'!A1:E665,3,FALSE),IF('Settings'!$E$9="FANTRAX",VLOOKUP(B273,'ADP'!A1:E665,4,FALSE),VLOOKUP(B273,'ADP'!A1:E665,5,FALSE))))</f>
        <v>0</v>
      </c>
      <c r="N273" s="79">
        <f>_xlfn.IFERROR(M273-A273,"N/A")</f>
        <v>-290</v>
      </c>
      <c r="O273" s="77"/>
      <c r="P273" t="s" s="78">
        <f>IF('Settings'!$E$27="ON",VLOOKUP(B273,'ADP'!A1:H665,8,FALSE)," ")</f>
        <v>138</v>
      </c>
      <c r="Q273" s="79">
        <f>IF('Settings'!$E$12="YES",VLOOKUP(B273,'Player Data'!A1:E667,5,FALSE),82)</f>
        <v>77.9525</v>
      </c>
      <c r="R273" s="77">
        <f>VLOOKUP(B273,'Player Data'!$A1:$AE667,6,FALSE)</f>
        <v>13.4610500479827</v>
      </c>
      <c r="S273" s="79">
        <f>VLOOKUP(B273,'Player Data'!$A1:$AE667,7,FALSE)*$Q273*_xlfn.IFERROR((VLOOKUP(P273,'Settings'!$E$28:$F$33,2,FALSE)+1),1)</f>
        <v>6.41723175037845</v>
      </c>
      <c r="T273" s="79">
        <f>VLOOKUP(B273,'Player Data'!$A1:$AE667,8,FALSE)*$Q273*_xlfn.IFERROR((VLOOKUP(P273,'Settings'!$E$28:$F$33,2,FALSE)+1),1)</f>
        <v>12.624086679717</v>
      </c>
      <c r="U273" s="79">
        <f>SUM(S273:T273)</f>
        <v>19.0413184300955</v>
      </c>
      <c r="V273" s="79">
        <f>VLOOKUP(B273,'Player Data'!$A1:$AE667,10,FALSE)*$Q273*_xlfn.IFERROR(((VLOOKUP(P273,'Settings'!$E$28:$F$33,2,FALSE)/2)+1),1)</f>
        <v>89.70225201830119</v>
      </c>
      <c r="W273" s="79">
        <f>VLOOKUP(B273,'Player Data'!$A1:$AE667,11,FALSE)*$Q273*_xlfn.IFERROR((VLOOKUP(P273,'Settings'!$E$28:$F$33,2,FALSE)+1),1)</f>
        <v>0.0379329415747375</v>
      </c>
      <c r="X273" s="79">
        <f>VLOOKUP(B273,'Player Data'!$A1:$AE667,12,FALSE)*$Q273*_xlfn.IFERROR((VLOOKUP(P273,'Settings'!$E$28:$F$33,2,FALSE)+1),1)</f>
        <v>0.0887140988145302</v>
      </c>
      <c r="Y273" s="79">
        <f>VLOOKUP(B273,'Player Data'!$A1:$AE667,13,FALSE)*$Q273</f>
        <v>0.121413812779</v>
      </c>
      <c r="Z273" s="79">
        <f>VLOOKUP(B273,'Player Data'!$A1:$AE667,14,FALSE)*$Q273</f>
        <v>0.977803141727698</v>
      </c>
      <c r="AA273" s="79">
        <f>VLOOKUP(B273,'Player Data'!$A1:$AE667,15,FALSE)*$Q273</f>
        <v>77.1916496009443</v>
      </c>
      <c r="AB273" s="79">
        <f>VLOOKUP(B273,'Player Data'!$A1:$AE667,16,FALSE)*$Q273</f>
        <v>197.270312423995</v>
      </c>
      <c r="AC273" s="79">
        <f>VLOOKUP(B273,'Player Data'!$A1:$AE667,17,FALSE)*$Q273*_xlfn.IFERROR((VLOOKUP(P273,'Settings'!$E$28:$F$33,2,FALSE)+1),1)</f>
        <v>-2.85133915611591</v>
      </c>
      <c r="AD273" s="79">
        <f>VLOOKUP(B273,'Player Data'!$A1:$AE667,18,FALSE)*$Q273</f>
        <v>26.6608432382211</v>
      </c>
      <c r="AE273" s="79">
        <f>VLOOKUP(B273,'Player Data'!$A1:$AE667,19,FALSE)*$Q273*_xlfn.IFERROR((VLOOKUP(P273,'Settings'!$E$28:$F$33,2,FALSE)+1),1)</f>
        <v>0.907752314346756</v>
      </c>
      <c r="AF273" s="79">
        <f>VLOOKUP(B273,'Player Data'!$A1:$AE667,20,FALSE)*$Q273</f>
        <v>21.6085646834557</v>
      </c>
      <c r="AG273" s="79">
        <f>VLOOKUP(B273,'Player Data'!$A1:$AE667,21,FALSE)*$Q273</f>
        <v>24.6419445052243</v>
      </c>
      <c r="AH273" s="81">
        <f>VLOOKUP(B273,'Player Data'!$A1:$AE667,22,FALSE)</f>
        <v>0.467207065662846</v>
      </c>
      <c r="AI273" s="77"/>
      <c r="AJ273" s="79"/>
      <c r="AK273" s="79"/>
      <c r="AL273" s="79"/>
      <c r="AM273" s="79"/>
      <c r="AN273" s="79"/>
      <c r="AO273" s="79"/>
      <c r="AP273" s="79"/>
      <c r="AQ273" s="82"/>
      <c r="AR273" s="83"/>
      <c r="AS273" s="84"/>
    </row>
    <row r="274" ht="21.25" customHeight="1">
      <c r="A274" s="85">
        <f>RANK(K274,K$1:K$665)</f>
        <v>301</v>
      </c>
      <c r="B274" t="s" s="16">
        <v>463</v>
      </c>
      <c r="C274" t="s" s="69">
        <v>127</v>
      </c>
      <c r="D274" t="s" s="70">
        <f>VLOOKUP(B274,'Player Data'!A1:D667,4,FALSE)</f>
        <v>128</v>
      </c>
      <c r="E274" s="71">
        <f>VLOOKUP(B274,'C'!A1:C206,3,FALSE)</f>
        <v>91</v>
      </c>
      <c r="F274" t="s" s="88">
        <f>VLOOKUP(B274,'Player Data'!A1:B667,2,FALSE)</f>
        <v>304</v>
      </c>
      <c r="G274" s="91">
        <f>VLOOKUP(B274,'Player Data'!A1:D667,3,FALSE)</f>
        <v>30</v>
      </c>
      <c r="H274" s="73">
        <f>_xlfn.IFERROR(VLOOKUP(B274,'ADP'!A1:G665,7,FALSE)/1000000,VLOOKUP(B274,'ADP'!A1:G665,7,FALSE))</f>
        <v>6.25</v>
      </c>
      <c r="I274" s="74">
        <f>IF('Settings'!$E$15="POINTS",((R274*Q274)*'Settings'!$B$12)+(S274*'Settings'!$B$2)+(T274*'Settings'!$B$3)+(U274*'Settings'!$B$4)+(V274*'Settings'!$B$5)+(X274*'Settings'!$B$9)+(AA274*'Settings'!$B$6)+(W274*'Settings'!$B$8)+(AB274*'Settings'!$B$7)+(AC274*'Settings'!$B$14)+(AD274*'Settings'!$B$15)+(AE274*'Settings'!$B$16)+(AF274*'Settings'!$B$17)+(AG274*'Settings'!$B$18)+(Y274*'Settings'!$B$10)+(Z274*'Settings'!$B$11),VLOOKUP(B274,'Standard Deviations'!A1:C666,3,FALSE))</f>
        <v>230.653257024291</v>
      </c>
      <c r="J274" s="75">
        <f>IF(D274="G",I274/AJ274,I274/Q274)</f>
        <v>2.87060680801856</v>
      </c>
      <c r="K274" s="74">
        <f>IF('Settings'!$E$18="C/LW/RW",VLOOKUP(B274,'C'!A1:F206,6,FALSE),VLOOKUP(B274,'F'!A1:F392,6,FALSE))</f>
        <v>-99.038637056887</v>
      </c>
      <c r="L274" s="76">
        <f>_xlfn.IFERROR(K274/H274,"N/A")</f>
        <v>-15.8461819291019</v>
      </c>
      <c r="M274" s="109">
        <f>IF('Settings'!$E$9="YAHOO",VLOOKUP(B274,'ADP'!A1:E665,2,FALSE),IF('Settings'!$E$9="ESPN",VLOOKUP(B274,'ADP'!A1:E665,3,FALSE),IF('Settings'!$E$9="FANTRAX",VLOOKUP(B274,'ADP'!A1:E665,4,FALSE),VLOOKUP(B274,'ADP'!A1:E665,5,FALSE))))</f>
        <v>0</v>
      </c>
      <c r="N274" s="79">
        <f>_xlfn.IFERROR(M274-A274,"N/A")</f>
        <v>-301</v>
      </c>
      <c r="O274" s="77"/>
      <c r="P274" t="s" s="78">
        <f>IF('Settings'!$E$27="ON",VLOOKUP(B274,'ADP'!A1:H665,8,FALSE)," ")</f>
        <v>138</v>
      </c>
      <c r="Q274" s="79">
        <f>IF('Settings'!$E$12="YES",VLOOKUP(B274,'Player Data'!A1:E667,5,FALSE),82)</f>
        <v>80.34999999999999</v>
      </c>
      <c r="R274" s="77">
        <f>VLOOKUP(B274,'Player Data'!$A1:$AE667,6,FALSE)</f>
        <v>17.6537657218503</v>
      </c>
      <c r="S274" s="79">
        <f>VLOOKUP(B274,'Player Data'!$A1:$AE667,7,FALSE)*$Q274*_xlfn.IFERROR((VLOOKUP(P274,'Settings'!$E$28:$F$33,2,FALSE)+1),1)</f>
        <v>14.8352829784138</v>
      </c>
      <c r="T274" s="79">
        <f>VLOOKUP(B274,'Player Data'!$A1:$AE667,8,FALSE)*$Q274*_xlfn.IFERROR((VLOOKUP(P274,'Settings'!$E$28:$F$33,2,FALSE)+1),1)</f>
        <v>34.8864306739938</v>
      </c>
      <c r="U274" s="79">
        <f>SUM(S274:T274)</f>
        <v>49.7217136524076</v>
      </c>
      <c r="V274" s="79">
        <f>VLOOKUP(B274,'Player Data'!$A1:$AE667,10,FALSE)*$Q274*_xlfn.IFERROR(((VLOOKUP(P274,'Settings'!$E$28:$F$33,2,FALSE)/2)+1),1)</f>
        <v>107.134499140619</v>
      </c>
      <c r="W274" s="79">
        <f>VLOOKUP(B274,'Player Data'!$A1:$AE667,11,FALSE)*$Q274*_xlfn.IFERROR((VLOOKUP(P274,'Settings'!$E$28:$F$33,2,FALSE)+1),1)</f>
        <v>2.85337372490181</v>
      </c>
      <c r="X274" s="79">
        <f>VLOOKUP(B274,'Player Data'!$A1:$AE667,12,FALSE)*$Q274*_xlfn.IFERROR((VLOOKUP(P274,'Settings'!$E$28:$F$33,2,FALSE)+1),1)</f>
        <v>9.00981751480175</v>
      </c>
      <c r="Y274" s="79">
        <f>VLOOKUP(B274,'Player Data'!$A1:$AE667,13,FALSE)*$Q274</f>
        <v>1.50664069229548</v>
      </c>
      <c r="Z274" s="79">
        <f>VLOOKUP(B274,'Player Data'!$A1:$AE667,14,FALSE)*$Q274</f>
        <v>2.9043416900689</v>
      </c>
      <c r="AA274" s="79">
        <f>VLOOKUP(B274,'Player Data'!$A1:$AE667,15,FALSE)*$Q274</f>
        <v>45.5708343023038</v>
      </c>
      <c r="AB274" s="79">
        <f>VLOOKUP(B274,'Player Data'!$A1:$AE667,16,FALSE)*$Q274</f>
        <v>57.0882799476529</v>
      </c>
      <c r="AC274" s="79">
        <f>VLOOKUP(B274,'Player Data'!$A1:$AE667,17,FALSE)*$Q274*_xlfn.IFERROR((VLOOKUP(P274,'Settings'!$E$28:$F$33,2,FALSE)+1),1)</f>
        <v>-0.455414671668324</v>
      </c>
      <c r="AD274" s="79">
        <f>VLOOKUP(B274,'Player Data'!$A1:$AE667,18,FALSE)*$Q274</f>
        <v>20.8524987918145</v>
      </c>
      <c r="AE274" s="79">
        <f>VLOOKUP(B274,'Player Data'!$A1:$AE667,19,FALSE)*$Q274*_xlfn.IFERROR((VLOOKUP(P274,'Settings'!$E$28:$F$33,2,FALSE)+1),1)</f>
        <v>2.25270316669466</v>
      </c>
      <c r="AF274" s="79">
        <f>VLOOKUP(B274,'Player Data'!$A1:$AE667,20,FALSE)*$Q274</f>
        <v>592.086978120760</v>
      </c>
      <c r="AG274" s="79">
        <f>VLOOKUP(B274,'Player Data'!$A1:$AE667,21,FALSE)*$Q274</f>
        <v>496.015296522290</v>
      </c>
      <c r="AH274" s="81">
        <f>VLOOKUP(B274,'Player Data'!$A1:$AE667,22,FALSE)</f>
        <v>0.544146439097366</v>
      </c>
      <c r="AI274" s="77"/>
      <c r="AJ274" s="79"/>
      <c r="AK274" s="79"/>
      <c r="AL274" s="79"/>
      <c r="AM274" s="79"/>
      <c r="AN274" s="79"/>
      <c r="AO274" s="79"/>
      <c r="AP274" s="79"/>
      <c r="AQ274" s="82"/>
      <c r="AR274" s="83"/>
      <c r="AS274" s="84"/>
    </row>
    <row r="275" ht="21.25" customHeight="1">
      <c r="A275" s="85">
        <f>RANK(K275,K$1:K$665)</f>
        <v>262</v>
      </c>
      <c r="B275" t="s" s="16">
        <v>464</v>
      </c>
      <c r="C275" t="s" s="69">
        <v>127</v>
      </c>
      <c r="D275" t="s" s="70">
        <f>VLOOKUP(B275,'Player Data'!A1:D667,4,FALSE)</f>
        <v>153</v>
      </c>
      <c r="E275" s="95">
        <f>VLOOKUP(B275,'D'!A1:C213,3,FALSE)</f>
        <v>80</v>
      </c>
      <c r="F275" t="s" s="103">
        <f>VLOOKUP(B275,'Player Data'!A1:B667,2,FALSE)</f>
        <v>182</v>
      </c>
      <c r="G275" s="11">
        <f>VLOOKUP(B275,'Player Data'!A1:D667,3,FALSE)</f>
        <v>28</v>
      </c>
      <c r="H275" s="73">
        <f>_xlfn.IFERROR(VLOOKUP(B275,'ADP'!A1:G665,7,FALSE)/1000000,VLOOKUP(B275,'ADP'!A1:G665,7,FALSE))</f>
        <v>2.45</v>
      </c>
      <c r="I275" s="74">
        <f>IF('Settings'!$E$15="POINTS",((R275*Q275)*'Settings'!$B$12)+(S275*'Settings'!$B$2)+(T275*'Settings'!$B$3)+(U275*'Settings'!$B$4)+(V275*'Settings'!$B$5)+(X275*'Settings'!$B$9)+(AA275*'Settings'!$B$6)+(W275*'Settings'!$B$8)+(AB275*'Settings'!$B$7)+(AC275*'Settings'!$B$14)+(AD275*'Settings'!$B$15)+(AE275*'Settings'!$B$16)+(AF275*'Settings'!$B$17)+(AG275*'Settings'!$B$18)+(U275*'Settings'!$B$13)+(Y275*'Settings'!$B$10)+(Z275*'Settings'!$B$11),VLOOKUP(B275,'Standard Deviations'!A1:C666,3,FALSE))</f>
        <v>242.341479467420</v>
      </c>
      <c r="J275" s="75">
        <f>IF(D275="G",I275/AJ275,I275/Q275)</f>
        <v>3.04210236268533</v>
      </c>
      <c r="K275" s="74">
        <f>VLOOKUP(B275,'D'!A1:F213,6,FALSE)</f>
        <v>-89.198728452662</v>
      </c>
      <c r="L275" s="76">
        <f>_xlfn.IFERROR(K275/H275,"N/A")</f>
        <v>-36.4076442663927</v>
      </c>
      <c r="M275" s="109">
        <f>IF('Settings'!$E$9="YAHOO",VLOOKUP(B275,'ADP'!A1:E665,2,FALSE),IF('Settings'!$E$9="ESPN",VLOOKUP(B275,'ADP'!A1:E665,3,FALSE),IF('Settings'!$E$9="FANTRAX",VLOOKUP(B275,'ADP'!A1:E665,4,FALSE),VLOOKUP(B275,'ADP'!A1:E665,5,FALSE))))</f>
        <v>0</v>
      </c>
      <c r="N275" s="79">
        <f>_xlfn.IFERROR(M275-A275,"N/A")</f>
        <v>-262</v>
      </c>
      <c r="O275" s="77"/>
      <c r="P275" t="s" s="78">
        <f>IF('Settings'!$E$27="ON",VLOOKUP(B275,'ADP'!A1:H665,8,FALSE)," ")</f>
        <v>138</v>
      </c>
      <c r="Q275" s="79">
        <f>IF('Settings'!$E$12="YES",VLOOKUP(B275,'Player Data'!A1:E667,5,FALSE),82)</f>
        <v>79.66249999999999</v>
      </c>
      <c r="R275" s="108">
        <f>VLOOKUP(B275,'Player Data'!$A1:$AE667,6,FALSE)</f>
        <v>18.7273956429891</v>
      </c>
      <c r="S275" s="79">
        <f>VLOOKUP(B275,'Player Data'!$A1:$AE667,7,FALSE)*$Q275*_xlfn.IFERROR((VLOOKUP(P275,'Settings'!$E$28:$F$33,2,FALSE)+1),1)</f>
        <v>4.5962743763831</v>
      </c>
      <c r="T275" s="79">
        <f>VLOOKUP(B275,'Player Data'!$A1:$AE667,8,FALSE)*$Q275*_xlfn.IFERROR((VLOOKUP(P275,'Settings'!$E$28:$F$33,2,FALSE)+1),1)</f>
        <v>13.994493936493</v>
      </c>
      <c r="U275" s="79">
        <f>SUM(S275:T275)</f>
        <v>18.5907683128761</v>
      </c>
      <c r="V275" s="79">
        <f>VLOOKUP(B275,'Player Data'!$A1:$AE667,10,FALSE)*$Q275*_xlfn.IFERROR(((VLOOKUP(P275,'Settings'!$E$28:$F$33,2,FALSE)/2)+1),1)</f>
        <v>80.10640979648061</v>
      </c>
      <c r="W275" s="79">
        <f>VLOOKUP(B275,'Player Data'!$A1:$AE667,11,FALSE)*$Q275*_xlfn.IFERROR((VLOOKUP(P275,'Settings'!$E$28:$F$33,2,FALSE)+1),1)</f>
        <v>0.0136700531866317</v>
      </c>
      <c r="X275" s="79">
        <f>VLOOKUP(B275,'Player Data'!$A1:$AE667,12,FALSE)*$Q275*_xlfn.IFERROR((VLOOKUP(P275,'Settings'!$E$28:$F$33,2,FALSE)+1),1)</f>
        <v>0.10944546997638</v>
      </c>
      <c r="Y275" s="79">
        <f>VLOOKUP(B275,'Player Data'!$A1:$AE667,13,FALSE)*$Q275</f>
        <v>0.0260831669722151</v>
      </c>
      <c r="Z275" s="79">
        <f>VLOOKUP(B275,'Player Data'!$A1:$AE667,14,FALSE)*$Q275</f>
        <v>0.934835565328922</v>
      </c>
      <c r="AA275" s="79">
        <f>VLOOKUP(B275,'Player Data'!$A1:$AE667,15,FALSE)*$Q275</f>
        <v>147.379378174183</v>
      </c>
      <c r="AB275" s="79">
        <f>VLOOKUP(B275,'Player Data'!$A1:$AE667,16,FALSE)*$Q275</f>
        <v>128.327796538366</v>
      </c>
      <c r="AC275" s="79">
        <f>VLOOKUP(B275,'Player Data'!$A1:$AE667,17,FALSE)*$Q275*_xlfn.IFERROR((VLOOKUP(P275,'Settings'!$E$28:$F$33,2,FALSE)+1),1)</f>
        <v>-1.75726611098508</v>
      </c>
      <c r="AD275" s="79">
        <f>VLOOKUP(B275,'Player Data'!$A1:$AE667,18,FALSE)*$Q275</f>
        <v>64.6948482279377</v>
      </c>
      <c r="AE275" s="79">
        <f>VLOOKUP(B275,'Player Data'!$A1:$AE667,19,FALSE)*$Q275*_xlfn.IFERROR((VLOOKUP(P275,'Settings'!$E$28:$F$33,2,FALSE)+1),1)</f>
        <v>0.758748961720917</v>
      </c>
      <c r="AF275" s="79">
        <f>VLOOKUP(B275,'Player Data'!$A1:$AE667,20,FALSE)*$Q275</f>
        <v>0</v>
      </c>
      <c r="AG275" s="79">
        <f>VLOOKUP(B275,'Player Data'!$A1:$AE667,21,FALSE)*$Q275</f>
        <v>0</v>
      </c>
      <c r="AH275" s="81">
        <f>VLOOKUP(B275,'Player Data'!$A1:$AE667,22,FALSE)</f>
        <v>0</v>
      </c>
      <c r="AI275" s="77"/>
      <c r="AJ275" s="79"/>
      <c r="AK275" s="79"/>
      <c r="AL275" s="79"/>
      <c r="AM275" s="79"/>
      <c r="AN275" s="79"/>
      <c r="AO275" s="79"/>
      <c r="AP275" s="79"/>
      <c r="AQ275" s="82"/>
      <c r="AR275" s="83"/>
      <c r="AS275" s="84"/>
    </row>
    <row r="276" ht="21.25" customHeight="1">
      <c r="A276" s="85">
        <f>RANK(K276,K$1:K$665)</f>
        <v>264</v>
      </c>
      <c r="B276" t="s" s="16">
        <v>465</v>
      </c>
      <c r="C276" t="s" s="69">
        <v>127</v>
      </c>
      <c r="D276" t="s" s="70">
        <f>VLOOKUP(B276,'Player Data'!A1:D667,4,FALSE)</f>
        <v>153</v>
      </c>
      <c r="E276" s="95">
        <f>VLOOKUP(B276,'D'!A1:C213,3,FALSE)</f>
        <v>81</v>
      </c>
      <c r="F276" t="s" s="103">
        <f>VLOOKUP(B276,'Player Data'!A1:B667,2,FALSE)</f>
        <v>227</v>
      </c>
      <c r="G276" s="11">
        <f>VLOOKUP(B276,'Player Data'!A1:D667,3,FALSE)</f>
        <v>29</v>
      </c>
      <c r="H276" s="73">
        <f>_xlfn.IFERROR(VLOOKUP(B276,'ADP'!A1:G665,7,FALSE)/1000000,VLOOKUP(B276,'ADP'!A1:G665,7,FALSE))</f>
        <v>3.6</v>
      </c>
      <c r="I276" s="74">
        <f>IF('Settings'!$E$15="POINTS",((R276*Q276)*'Settings'!$B$12)+(S276*'Settings'!$B$2)+(T276*'Settings'!$B$3)+(U276*'Settings'!$B$4)+(V276*'Settings'!$B$5)+(X276*'Settings'!$B$9)+(AA276*'Settings'!$B$6)+(W276*'Settings'!$B$8)+(AB276*'Settings'!$B$7)+(AC276*'Settings'!$B$14)+(AD276*'Settings'!$B$15)+(AE276*'Settings'!$B$16)+(AF276*'Settings'!$B$17)+(AG276*'Settings'!$B$18)+(U276*'Settings'!$B$13)+(Y276*'Settings'!$B$10)+(Z276*'Settings'!$B$11),VLOOKUP(B276,'Standard Deviations'!A1:C666,3,FALSE))</f>
        <v>242.185616704812</v>
      </c>
      <c r="J276" s="75">
        <f>IF(D276="G",I276/AJ276,I276/Q276)</f>
        <v>3.20765029906045</v>
      </c>
      <c r="K276" s="74">
        <f>VLOOKUP(B276,'D'!A1:F213,6,FALSE)</f>
        <v>-89.35459121527001</v>
      </c>
      <c r="L276" s="76">
        <f>_xlfn.IFERROR(K276/H276,"N/A")</f>
        <v>-24.8207197820194</v>
      </c>
      <c r="M276" s="77">
        <f>IF('Settings'!$E$9="YAHOO",VLOOKUP(B276,'ADP'!A1:E665,2,FALSE),IF('Settings'!$E$9="ESPN",VLOOKUP(B276,'ADP'!A1:E665,3,FALSE),IF('Settings'!$E$9="FANTRAX",VLOOKUP(B276,'ADP'!A1:E665,4,FALSE),VLOOKUP(B276,'ADP'!A1:E665,5,FALSE))))</f>
        <v>0</v>
      </c>
      <c r="N276" s="77">
        <f>_xlfn.IFERROR(M276-A276,"N/A")</f>
        <v>-264</v>
      </c>
      <c r="O276" s="77"/>
      <c r="P276" t="s" s="78">
        <f>IF('Settings'!$E$27="ON",VLOOKUP(B276,'ADP'!A1:H665,8,FALSE)," ")</f>
        <v>130</v>
      </c>
      <c r="Q276" s="79">
        <f>IF('Settings'!$E$12="YES",VLOOKUP(B276,'Player Data'!A1:E667,5,FALSE),82)</f>
        <v>75.5025</v>
      </c>
      <c r="R276" s="77">
        <f>VLOOKUP(B276,'Player Data'!$A1:$AE667,6,FALSE)</f>
        <v>18.9480444415257</v>
      </c>
      <c r="S276" s="79">
        <f>VLOOKUP(B276,'Player Data'!$A1:$AE667,7,FALSE)*$Q276*_xlfn.IFERROR((VLOOKUP(P276,'Settings'!$E$28:$F$33,2,FALSE)+1),1)</f>
        <v>6.63413037275505</v>
      </c>
      <c r="T276" s="79">
        <f>VLOOKUP(B276,'Player Data'!$A1:$AE667,8,FALSE)*$Q276*_xlfn.IFERROR((VLOOKUP(P276,'Settings'!$E$28:$F$33,2,FALSE)+1),1)</f>
        <v>16.3683443321166</v>
      </c>
      <c r="U276" s="79">
        <f>SUM(S276:T276)</f>
        <v>23.0024747048717</v>
      </c>
      <c r="V276" s="79">
        <f>VLOOKUP(B276,'Player Data'!$A1:$AE667,10,FALSE)*$Q276*_xlfn.IFERROR(((VLOOKUP(P276,'Settings'!$E$28:$F$33,2,FALSE)/2)+1),1)</f>
        <v>131.188541202508</v>
      </c>
      <c r="W276" s="79">
        <f>VLOOKUP(B276,'Player Data'!$A1:$AE667,11,FALSE)*$Q276*_xlfn.IFERROR((VLOOKUP(P276,'Settings'!$E$28:$F$33,2,FALSE)+1),1)</f>
        <v>0.0951500806252276</v>
      </c>
      <c r="X276" s="79">
        <f>VLOOKUP(B276,'Player Data'!$A1:$AE667,12,FALSE)*$Q276*_xlfn.IFERROR((VLOOKUP(P276,'Settings'!$E$28:$F$33,2,FALSE)+1),1)</f>
        <v>1.24115421416204</v>
      </c>
      <c r="Y276" s="79">
        <f>VLOOKUP(B276,'Player Data'!$A1:$AE667,13,FALSE)*$Q276</f>
        <v>1.04115678406508</v>
      </c>
      <c r="Z276" s="79">
        <f>VLOOKUP(B276,'Player Data'!$A1:$AE667,14,FALSE)*$Q276</f>
        <v>1.69029141221059</v>
      </c>
      <c r="AA276" s="79">
        <f>VLOOKUP(B276,'Player Data'!$A1:$AE667,15,FALSE)*$Q276</f>
        <v>122.697160894356</v>
      </c>
      <c r="AB276" s="79">
        <f>VLOOKUP(B276,'Player Data'!$A1:$AE667,16,FALSE)*$Q276</f>
        <v>110.247859835505</v>
      </c>
      <c r="AC276" s="79">
        <f>VLOOKUP(B276,'Player Data'!$A1:$AE667,17,FALSE)*$Q276*_xlfn.IFERROR((VLOOKUP(P276,'Settings'!$E$28:$F$33,2,FALSE)+1),1)</f>
        <v>0.921651881215873</v>
      </c>
      <c r="AD276" s="79">
        <f>VLOOKUP(B276,'Player Data'!$A1:$AE667,18,FALSE)*$Q276</f>
        <v>44.1664271059629</v>
      </c>
      <c r="AE276" s="79">
        <f>VLOOKUP(B276,'Player Data'!$A1:$AE667,19,FALSE)*$Q276*_xlfn.IFERROR((VLOOKUP(P276,'Settings'!$E$28:$F$33,2,FALSE)+1),1)</f>
        <v>1.14959917033343</v>
      </c>
      <c r="AF276" s="79">
        <f>VLOOKUP(B276,'Player Data'!$A1:$AE667,20,FALSE)*$Q276</f>
        <v>0</v>
      </c>
      <c r="AG276" s="79">
        <f>VLOOKUP(B276,'Player Data'!$A1:$AE667,21,FALSE)*$Q276</f>
        <v>0</v>
      </c>
      <c r="AH276" s="81">
        <f>VLOOKUP(B276,'Player Data'!$A1:$AE667,22,FALSE)</f>
        <v>0</v>
      </c>
      <c r="AI276" s="77"/>
      <c r="AJ276" s="79"/>
      <c r="AK276" s="79"/>
      <c r="AL276" s="79"/>
      <c r="AM276" s="79"/>
      <c r="AN276" s="79"/>
      <c r="AO276" s="79"/>
      <c r="AP276" s="79"/>
      <c r="AQ276" s="82"/>
      <c r="AR276" s="83"/>
      <c r="AS276" s="84"/>
    </row>
    <row r="277" ht="21.25" customHeight="1">
      <c r="A277" s="85">
        <f>RANK(K277,K$1:K$665)</f>
        <v>265</v>
      </c>
      <c r="B277" t="s" s="16">
        <v>466</v>
      </c>
      <c r="C277" t="s" s="69">
        <v>127</v>
      </c>
      <c r="D277" t="s" s="70">
        <f>VLOOKUP(B277,'Player Data'!A1:D667,4,FALSE)</f>
        <v>153</v>
      </c>
      <c r="E277" s="95">
        <f>VLOOKUP(B277,'D'!A1:C213,3,FALSE)</f>
        <v>82</v>
      </c>
      <c r="F277" t="s" s="86">
        <f>VLOOKUP(B277,'Player Data'!A1:B667,2,FALSE)</f>
        <v>165</v>
      </c>
      <c r="G277" s="91">
        <f>VLOOKUP(B277,'Player Data'!A1:D667,3,FALSE)</f>
        <v>34</v>
      </c>
      <c r="H277" s="73">
        <f>_xlfn.IFERROR(VLOOKUP(B277,'ADP'!A1:G665,7,FALSE)/1000000,VLOOKUP(B277,'ADP'!A1:G665,7,FALSE))</f>
        <v>2.75</v>
      </c>
      <c r="I277" s="74">
        <f>IF('Settings'!$E$15="POINTS",((R277*Q277)*'Settings'!$B$12)+(S277*'Settings'!$B$2)+(T277*'Settings'!$B$3)+(U277*'Settings'!$B$4)+(V277*'Settings'!$B$5)+(X277*'Settings'!$B$9)+(AA277*'Settings'!$B$6)+(W277*'Settings'!$B$8)+(AB277*'Settings'!$B$7)+(AC277*'Settings'!$B$14)+(AD277*'Settings'!$B$15)+(AE277*'Settings'!$B$16)+(AF277*'Settings'!$B$17)+(AG277*'Settings'!$B$18)+(U277*'Settings'!$B$13)+(Y277*'Settings'!$B$10)+(Z277*'Settings'!$B$11),VLOOKUP(B277,'Standard Deviations'!A1:C666,3,FALSE))</f>
        <v>242.162304401946</v>
      </c>
      <c r="J277" s="75">
        <f>IF(D277="G",I277/AJ277,I277/Q277)</f>
        <v>3.21138221532269</v>
      </c>
      <c r="K277" s="74">
        <f>VLOOKUP(B277,'D'!A1:F213,6,FALSE)</f>
        <v>-89.37790351813599</v>
      </c>
      <c r="L277" s="76">
        <f>_xlfn.IFERROR(K277/H277,"N/A")</f>
        <v>-32.5010558247767</v>
      </c>
      <c r="M277" s="109">
        <f>IF('Settings'!$E$9="YAHOO",VLOOKUP(B277,'ADP'!A1:E665,2,FALSE),IF('Settings'!$E$9="ESPN",VLOOKUP(B277,'ADP'!A1:E665,3,FALSE),IF('Settings'!$E$9="FANTRAX",VLOOKUP(B277,'ADP'!A1:E665,4,FALSE),VLOOKUP(B277,'ADP'!A1:E665,5,FALSE))))</f>
        <v>0</v>
      </c>
      <c r="N277" s="79">
        <f>_xlfn.IFERROR(M277-A277,"N/A")</f>
        <v>-265</v>
      </c>
      <c r="O277" s="77"/>
      <c r="P277" t="s" s="78">
        <f>IF('Settings'!$E$27="ON",VLOOKUP(B277,'ADP'!A1:H665,8,FALSE)," ")</f>
        <v>138</v>
      </c>
      <c r="Q277" s="79">
        <f>IF('Settings'!$E$12="YES",VLOOKUP(B277,'Player Data'!A1:E667,5,FALSE),82)</f>
        <v>75.4075</v>
      </c>
      <c r="R277" s="77">
        <f>VLOOKUP(B277,'Player Data'!$A1:$AE667,6,FALSE)</f>
        <v>15.2662014830355</v>
      </c>
      <c r="S277" s="79">
        <f>VLOOKUP(B277,'Player Data'!$A1:$AE667,7,FALSE)*$Q277*_xlfn.IFERROR((VLOOKUP(P277,'Settings'!$E$28:$F$33,2,FALSE)+1),1)</f>
        <v>2.77116377802196</v>
      </c>
      <c r="T277" s="79">
        <f>VLOOKUP(B277,'Player Data'!$A1:$AE667,8,FALSE)*$Q277*_xlfn.IFERROR((VLOOKUP(P277,'Settings'!$E$28:$F$33,2,FALSE)+1),1)</f>
        <v>11.4061555057581</v>
      </c>
      <c r="U277" s="79">
        <f>SUM(S277:T277)</f>
        <v>14.1773192837801</v>
      </c>
      <c r="V277" s="79">
        <f>VLOOKUP(B277,'Player Data'!$A1:$AE667,10,FALSE)*$Q277*_xlfn.IFERROR(((VLOOKUP(P277,'Settings'!$E$28:$F$33,2,FALSE)/2)+1),1)</f>
        <v>83.3513635375996</v>
      </c>
      <c r="W277" s="79">
        <f>VLOOKUP(B277,'Player Data'!$A1:$AE667,11,FALSE)*$Q277*_xlfn.IFERROR((VLOOKUP(P277,'Settings'!$E$28:$F$33,2,FALSE)+1),1)</f>
        <v>0.0122005359719959</v>
      </c>
      <c r="X277" s="79">
        <f>VLOOKUP(B277,'Player Data'!$A1:$AE667,12,FALSE)*$Q277*_xlfn.IFERROR((VLOOKUP(P277,'Settings'!$E$28:$F$33,2,FALSE)+1),1)</f>
        <v>0.0836343012507352</v>
      </c>
      <c r="Y277" s="79">
        <f>VLOOKUP(B277,'Player Data'!$A1:$AE667,13,FALSE)*$Q277</f>
        <v>0.0279236911751349</v>
      </c>
      <c r="Z277" s="79">
        <f>VLOOKUP(B277,'Player Data'!$A1:$AE667,14,FALSE)*$Q277</f>
        <v>0.130329985421089</v>
      </c>
      <c r="AA277" s="79">
        <f>VLOOKUP(B277,'Player Data'!$A1:$AE667,15,FALSE)*$Q277</f>
        <v>95.119983937165</v>
      </c>
      <c r="AB277" s="79">
        <f>VLOOKUP(B277,'Player Data'!$A1:$AE667,16,FALSE)*$Q277</f>
        <v>218.384776648045</v>
      </c>
      <c r="AC277" s="79">
        <f>VLOOKUP(B277,'Player Data'!$A1:$AE667,17,FALSE)*$Q277*_xlfn.IFERROR((VLOOKUP(P277,'Settings'!$E$28:$F$33,2,FALSE)+1),1)</f>
        <v>1.0260936927892</v>
      </c>
      <c r="AD277" s="79">
        <f>VLOOKUP(B277,'Player Data'!$A1:$AE667,18,FALSE)*$Q277</f>
        <v>56.3165861041364</v>
      </c>
      <c r="AE277" s="79">
        <f>VLOOKUP(B277,'Player Data'!$A1:$AE667,19,FALSE)*$Q277*_xlfn.IFERROR((VLOOKUP(P277,'Settings'!$E$28:$F$33,2,FALSE)+1),1)</f>
        <v>0.392376894076657</v>
      </c>
      <c r="AF277" s="79">
        <f>VLOOKUP(B277,'Player Data'!$A1:$AE667,20,FALSE)*$Q277</f>
        <v>0</v>
      </c>
      <c r="AG277" s="79">
        <f>VLOOKUP(B277,'Player Data'!$A1:$AE667,21,FALSE)*$Q277</f>
        <v>0</v>
      </c>
      <c r="AH277" s="81">
        <f>VLOOKUP(B277,'Player Data'!$A1:$AE667,22,FALSE)</f>
        <v>0</v>
      </c>
      <c r="AI277" s="77"/>
      <c r="AJ277" s="89"/>
      <c r="AK277" s="79"/>
      <c r="AL277" s="79"/>
      <c r="AM277" s="79"/>
      <c r="AN277" s="79"/>
      <c r="AO277" s="79"/>
      <c r="AP277" s="79"/>
      <c r="AQ277" s="82"/>
      <c r="AR277" s="83"/>
      <c r="AS277" s="84"/>
    </row>
    <row r="278" ht="21.25" customHeight="1">
      <c r="A278" s="85">
        <f>RANK(K278,K$1:K$665)</f>
        <v>266</v>
      </c>
      <c r="B278" t="s" s="16">
        <v>467</v>
      </c>
      <c r="C278" t="s" s="69">
        <v>127</v>
      </c>
      <c r="D278" t="s" s="70">
        <f>VLOOKUP(B278,'Player Data'!A1:D667,4,FALSE)</f>
        <v>153</v>
      </c>
      <c r="E278" s="95">
        <f>VLOOKUP(B278,'D'!A1:C213,3,FALSE)</f>
        <v>83</v>
      </c>
      <c r="F278" t="s" s="88">
        <f>VLOOKUP(B278,'Player Data'!A1:B667,2,FALSE)</f>
        <v>137</v>
      </c>
      <c r="G278" s="11">
        <f>VLOOKUP(B278,'Player Data'!A1:D667,3,FALSE)</f>
        <v>28</v>
      </c>
      <c r="H278" s="73">
        <f>_xlfn.IFERROR(VLOOKUP(B278,'ADP'!A1:G665,7,FALSE)/1000000,VLOOKUP(B278,'ADP'!A1:G665,7,FALSE))</f>
        <v>4.6</v>
      </c>
      <c r="I278" s="74">
        <f>IF('Settings'!$E$15="POINTS",((R278*Q278)*'Settings'!$B$12)+(S278*'Settings'!$B$2)+(T278*'Settings'!$B$3)+(U278*'Settings'!$B$4)+(V278*'Settings'!$B$5)+(X278*'Settings'!$B$9)+(AA278*'Settings'!$B$6)+(W278*'Settings'!$B$8)+(AB278*'Settings'!$B$7)+(AC278*'Settings'!$B$14)+(AD278*'Settings'!$B$15)+(AE278*'Settings'!$B$16)+(AF278*'Settings'!$B$17)+(AG278*'Settings'!$B$18)+(U278*'Settings'!$B$13)+(Y278*'Settings'!$B$10)+(Z278*'Settings'!$B$11),VLOOKUP(B278,'Standard Deviations'!A1:C666,3,FALSE))</f>
        <v>242.161880214513</v>
      </c>
      <c r="J278" s="75">
        <f>IF(D278="G",I278/AJ278,I278/Q278)</f>
        <v>3.20171719725673</v>
      </c>
      <c r="K278" s="74">
        <f>VLOOKUP(B278,'D'!A1:F213,6,FALSE)</f>
        <v>-89.37832770556901</v>
      </c>
      <c r="L278" s="76">
        <f>_xlfn.IFERROR(K278/H278,"N/A")</f>
        <v>-19.4300712403411</v>
      </c>
      <c r="M278" s="109">
        <f>IF('Settings'!$E$9="YAHOO",VLOOKUP(B278,'ADP'!A1:E665,2,FALSE),IF('Settings'!$E$9="ESPN",VLOOKUP(B278,'ADP'!A1:E665,3,FALSE),IF('Settings'!$E$9="FANTRAX",VLOOKUP(B278,'ADP'!A1:E665,4,FALSE),VLOOKUP(B278,'ADP'!A1:E665,5,FALSE))))</f>
        <v>0</v>
      </c>
      <c r="N278" s="79">
        <f>_xlfn.IFERROR(M278-A278,"N/A")</f>
        <v>-266</v>
      </c>
      <c r="O278" s="77"/>
      <c r="P278" t="s" s="78">
        <f>IF('Settings'!$E$27="ON",VLOOKUP(B278,'ADP'!A1:H665,8,FALSE)," ")</f>
        <v>138</v>
      </c>
      <c r="Q278" s="79">
        <f>IF('Settings'!$E$12="YES",VLOOKUP(B278,'Player Data'!A1:E667,5,FALSE),82)</f>
        <v>75.63500000000001</v>
      </c>
      <c r="R278" s="77">
        <f>VLOOKUP(B278,'Player Data'!$A1:$AE667,6,FALSE)</f>
        <v>20.7529396361009</v>
      </c>
      <c r="S278" s="79">
        <f>VLOOKUP(B278,'Player Data'!$A1:$AE667,7,FALSE)*$Q278*_xlfn.IFERROR((VLOOKUP(P278,'Settings'!$E$28:$F$33,2,FALSE)+1),1)</f>
        <v>4.97488890637555</v>
      </c>
      <c r="T278" s="79">
        <f>VLOOKUP(B278,'Player Data'!$A1:$AE667,8,FALSE)*$Q278*_xlfn.IFERROR((VLOOKUP(P278,'Settings'!$E$28:$F$33,2,FALSE)+1),1)</f>
        <v>16.4158200954318</v>
      </c>
      <c r="U278" s="79">
        <f>SUM(S278:T278)</f>
        <v>21.3907090018074</v>
      </c>
      <c r="V278" s="79">
        <f>VLOOKUP(B278,'Player Data'!$A1:$AE667,10,FALSE)*$Q278*_xlfn.IFERROR(((VLOOKUP(P278,'Settings'!$E$28:$F$33,2,FALSE)/2)+1),1)</f>
        <v>85.5293206847371</v>
      </c>
      <c r="W278" s="79">
        <f>VLOOKUP(B278,'Player Data'!$A1:$AE667,11,FALSE)*$Q278*_xlfn.IFERROR((VLOOKUP(P278,'Settings'!$E$28:$F$33,2,FALSE)+1),1)</f>
        <v>0.0349206100874646</v>
      </c>
      <c r="X278" s="79">
        <f>VLOOKUP(B278,'Player Data'!$A1:$AE667,12,FALSE)*$Q278*_xlfn.IFERROR((VLOOKUP(P278,'Settings'!$E$28:$F$33,2,FALSE)+1),1)</f>
        <v>0.225447944926896</v>
      </c>
      <c r="Y278" s="79">
        <f>VLOOKUP(B278,'Player Data'!$A1:$AE667,13,FALSE)*$Q278</f>
        <v>0.0325496957170395</v>
      </c>
      <c r="Z278" s="79">
        <f>VLOOKUP(B278,'Player Data'!$A1:$AE667,14,FALSE)*$Q278</f>
        <v>0.140636005676963</v>
      </c>
      <c r="AA278" s="79">
        <f>VLOOKUP(B278,'Player Data'!$A1:$AE667,15,FALSE)*$Q278</f>
        <v>127.200368172591</v>
      </c>
      <c r="AB278" s="79">
        <f>VLOOKUP(B278,'Player Data'!$A1:$AE667,16,FALSE)*$Q278</f>
        <v>143.501881060550</v>
      </c>
      <c r="AC278" s="79">
        <f>VLOOKUP(B278,'Player Data'!$A1:$AE667,17,FALSE)*$Q278*_xlfn.IFERROR((VLOOKUP(P278,'Settings'!$E$28:$F$33,2,FALSE)+1),1)</f>
        <v>-0.157605397556797</v>
      </c>
      <c r="AD278" s="79">
        <f>VLOOKUP(B278,'Player Data'!$A1:$AE667,18,FALSE)*$Q278</f>
        <v>44.8306981491148</v>
      </c>
      <c r="AE278" s="79">
        <f>VLOOKUP(B278,'Player Data'!$A1:$AE667,19,FALSE)*$Q278*_xlfn.IFERROR((VLOOKUP(P278,'Settings'!$E$28:$F$33,2,FALSE)+1),1)</f>
        <v>0.772422341426237</v>
      </c>
      <c r="AF278" s="79">
        <f>VLOOKUP(B278,'Player Data'!$A1:$AE667,20,FALSE)*$Q278</f>
        <v>0</v>
      </c>
      <c r="AG278" s="79">
        <f>VLOOKUP(B278,'Player Data'!$A1:$AE667,21,FALSE)*$Q278</f>
        <v>0</v>
      </c>
      <c r="AH278" s="81">
        <f>VLOOKUP(B278,'Player Data'!$A1:$AE667,22,FALSE)</f>
        <v>0</v>
      </c>
      <c r="AI278" s="77"/>
      <c r="AJ278" s="79"/>
      <c r="AK278" s="79"/>
      <c r="AL278" s="79"/>
      <c r="AM278" s="79"/>
      <c r="AN278" s="79"/>
      <c r="AO278" s="79"/>
      <c r="AP278" s="79"/>
      <c r="AQ278" s="82"/>
      <c r="AR278" s="83"/>
      <c r="AS278" s="84"/>
    </row>
    <row r="279" ht="21.25" customHeight="1">
      <c r="A279" s="85">
        <f>RANK(K279,K$1:K$665)</f>
        <v>293</v>
      </c>
      <c r="B279" t="s" s="16">
        <v>468</v>
      </c>
      <c r="C279" t="s" s="69">
        <v>127</v>
      </c>
      <c r="D279" t="s" s="70">
        <f>VLOOKUP(B279,'Player Data'!A1:D667,4,FALSE)</f>
        <v>136</v>
      </c>
      <c r="E279" s="87">
        <f>VLOOKUP(B279,'LW'!A1:C152,3,FALSE)</f>
        <v>67</v>
      </c>
      <c r="F279" t="s" s="106">
        <f>VLOOKUP(B279,'Player Data'!A1:B667,2,FALSE)</f>
        <v>242</v>
      </c>
      <c r="G279" s="91">
        <f>VLOOKUP(B279,'Player Data'!A1:D667,3,FALSE)</f>
        <v>30</v>
      </c>
      <c r="H279" s="73">
        <f>_xlfn.IFERROR(VLOOKUP(B279,'ADP'!A1:G665,7,FALSE)/1000000,VLOOKUP(B279,'ADP'!A1:G665,7,FALSE))</f>
        <v>3</v>
      </c>
      <c r="I279" s="74">
        <f>IF('Settings'!$E$15="POINTS",((R279*Q279)*'Settings'!$B$12)+(S279*'Settings'!$B$2)+(T279*'Settings'!$B$3)+(U279*'Settings'!$B$4)+(V279*'Settings'!$B$5)+(X279*'Settings'!$B$9)+(AA279*'Settings'!$B$6)+(W279*'Settings'!$B$8)+(AB279*'Settings'!$B$7)+(AC279*'Settings'!$B$14)+(AD279*'Settings'!$B$15)+(AE279*'Settings'!$B$16)+(AF279*'Settings'!$B$17)+(AG279*'Settings'!$B$18)+(Y279*'Settings'!$B$10)+(Z279*'Settings'!$B$11),VLOOKUP(B279,'Standard Deviations'!A1:C666,3,FALSE))</f>
        <v>235.156306873962</v>
      </c>
      <c r="J279" s="75">
        <f>IF(D279="G",I279/AJ279,I279/Q279)</f>
        <v>2.94018888314531</v>
      </c>
      <c r="K279" s="74">
        <f>IF('Settings'!$E$18="C/LW/RW",VLOOKUP(B279,'LW'!A1:F152,6,FALSE),VLOOKUP(B279,'F'!A1:F392,6,FALSE))</f>
        <v>-96.563804892250</v>
      </c>
      <c r="L279" s="76">
        <f>_xlfn.IFERROR(K279/H279,"N/A")</f>
        <v>-32.1879349640833</v>
      </c>
      <c r="M279" s="109">
        <f>IF('Settings'!$E$9="YAHOO",VLOOKUP(B279,'ADP'!A1:E665,2,FALSE),IF('Settings'!$E$9="ESPN",VLOOKUP(B279,'ADP'!A1:E665,3,FALSE),IF('Settings'!$E$9="FANTRAX",VLOOKUP(B279,'ADP'!A1:E665,4,FALSE),VLOOKUP(B279,'ADP'!A1:E665,5,FALSE))))</f>
        <v>0</v>
      </c>
      <c r="N279" s="79">
        <f>_xlfn.IFERROR(M279-A279,"N/A")</f>
        <v>-293</v>
      </c>
      <c r="O279" s="77"/>
      <c r="P279" t="s" s="78">
        <f>IF('Settings'!$E$27="ON",VLOOKUP(B279,'ADP'!A1:H665,8,FALSE)," ")</f>
        <v>138</v>
      </c>
      <c r="Q279" s="79">
        <f>IF('Settings'!$E$12="YES",VLOOKUP(B279,'Player Data'!A1:E667,5,FALSE),82)</f>
        <v>79.98</v>
      </c>
      <c r="R279" s="108">
        <f>VLOOKUP(B279,'Player Data'!$A1:$AE667,6,FALSE)</f>
        <v>13.9705251039804</v>
      </c>
      <c r="S279" s="79">
        <f>VLOOKUP(B279,'Player Data'!$A1:$AE667,7,FALSE)*$Q279*_xlfn.IFERROR((VLOOKUP(P279,'Settings'!$E$28:$F$33,2,FALSE)+1),1)</f>
        <v>10.9477552432529</v>
      </c>
      <c r="T279" s="79">
        <f>VLOOKUP(B279,'Player Data'!$A1:$AE667,8,FALSE)*$Q279*_xlfn.IFERROR((VLOOKUP(P279,'Settings'!$E$28:$F$33,2,FALSE)+1),1)</f>
        <v>19.8774354607051</v>
      </c>
      <c r="U279" s="79">
        <f>SUM(S279:T279)</f>
        <v>30.825190703958</v>
      </c>
      <c r="V279" s="79">
        <f>VLOOKUP(B279,'Player Data'!$A1:$AE667,10,FALSE)*$Q279*_xlfn.IFERROR(((VLOOKUP(P279,'Settings'!$E$28:$F$33,2,FALSE)/2)+1),1)</f>
        <v>131.922476901088</v>
      </c>
      <c r="W279" s="79">
        <f>VLOOKUP(B279,'Player Data'!$A1:$AE667,11,FALSE)*$Q279*_xlfn.IFERROR((VLOOKUP(P279,'Settings'!$E$28:$F$33,2,FALSE)+1),1)</f>
        <v>0.708847205613111</v>
      </c>
      <c r="X279" s="79">
        <f>VLOOKUP(B279,'Player Data'!$A1:$AE667,12,FALSE)*$Q279*_xlfn.IFERROR((VLOOKUP(P279,'Settings'!$E$28:$F$33,2,FALSE)+1),1)</f>
        <v>1.54823098926345</v>
      </c>
      <c r="Y279" s="79">
        <f>VLOOKUP(B279,'Player Data'!$A1:$AE667,13,FALSE)*$Q279</f>
        <v>1.90011332367022</v>
      </c>
      <c r="Z279" s="79">
        <f>VLOOKUP(B279,'Player Data'!$A1:$AE667,14,FALSE)*$Q279</f>
        <v>5.54007261122289</v>
      </c>
      <c r="AA279" s="79">
        <f>VLOOKUP(B279,'Player Data'!$A1:$AE667,15,FALSE)*$Q279</f>
        <v>49.315458398497</v>
      </c>
      <c r="AB279" s="79">
        <f>VLOOKUP(B279,'Player Data'!$A1:$AE667,16,FALSE)*$Q279</f>
        <v>132.913198014192</v>
      </c>
      <c r="AC279" s="79">
        <f>VLOOKUP(B279,'Player Data'!$A1:$AE667,17,FALSE)*$Q279*_xlfn.IFERROR((VLOOKUP(P279,'Settings'!$E$28:$F$33,2,FALSE)+1),1)</f>
        <v>-4.81133766519233</v>
      </c>
      <c r="AD279" s="79">
        <f>VLOOKUP(B279,'Player Data'!$A1:$AE667,18,FALSE)*$Q279</f>
        <v>38.8619941336545</v>
      </c>
      <c r="AE279" s="79">
        <f>VLOOKUP(B279,'Player Data'!$A1:$AE667,19,FALSE)*$Q279*_xlfn.IFERROR((VLOOKUP(P279,'Settings'!$E$28:$F$33,2,FALSE)+1),1)</f>
        <v>1.58687194428167</v>
      </c>
      <c r="AF279" s="79">
        <f>VLOOKUP(B279,'Player Data'!$A1:$AE667,20,FALSE)*$Q279</f>
        <v>410.042886621827</v>
      </c>
      <c r="AG279" s="79">
        <f>VLOOKUP(B279,'Player Data'!$A1:$AE667,21,FALSE)*$Q279</f>
        <v>431.076845650331</v>
      </c>
      <c r="AH279" s="81">
        <f>VLOOKUP(B279,'Player Data'!$A1:$AE667,22,FALSE)</f>
        <v>0.487496453702445</v>
      </c>
      <c r="AI279" s="77"/>
      <c r="AJ279" s="79"/>
      <c r="AK279" s="79"/>
      <c r="AL279" s="79"/>
      <c r="AM279" s="79"/>
      <c r="AN279" s="79"/>
      <c r="AO279" s="79"/>
      <c r="AP279" s="79"/>
      <c r="AQ279" s="82"/>
      <c r="AR279" s="83"/>
      <c r="AS279" s="84"/>
    </row>
    <row r="280" ht="21.25" customHeight="1">
      <c r="A280" s="85">
        <f>RANK(K280,K$1:K$665)</f>
        <v>302</v>
      </c>
      <c r="B280" t="s" s="16">
        <v>469</v>
      </c>
      <c r="C280" t="s" s="69">
        <v>127</v>
      </c>
      <c r="D280" t="s" s="70">
        <f>VLOOKUP(B280,'Player Data'!A1:D667,4,FALSE)</f>
        <v>128</v>
      </c>
      <c r="E280" s="71">
        <f>VLOOKUP(B280,'C'!A1:C206,3,FALSE)</f>
        <v>92</v>
      </c>
      <c r="F280" t="s" s="106">
        <f>VLOOKUP(B280,'Player Data'!A1:B667,2,FALSE)</f>
        <v>242</v>
      </c>
      <c r="G280" s="11">
        <f>VLOOKUP(B280,'Player Data'!A1:D667,3,FALSE)</f>
        <v>25</v>
      </c>
      <c r="H280" s="94">
        <f>_xlfn.IFERROR(VLOOKUP(B280,'ADP'!A1:G665,7,FALSE)/1000000,VLOOKUP(B280,'ADP'!A1:G665,7,FALSE))</f>
        <v>2.1</v>
      </c>
      <c r="I280" s="74">
        <f>IF('Settings'!$E$15="POINTS",((R280*Q280)*'Settings'!$B$12)+(S280*'Settings'!$B$2)+(T280*'Settings'!$B$3)+(U280*'Settings'!$B$4)+(V280*'Settings'!$B$5)+(X280*'Settings'!$B$9)+(AA280*'Settings'!$B$6)+(W280*'Settings'!$B$8)+(AB280*'Settings'!$B$7)+(AC280*'Settings'!$B$14)+(AD280*'Settings'!$B$15)+(AE280*'Settings'!$B$16)+(AF280*'Settings'!$B$17)+(AG280*'Settings'!$B$18)+(Y280*'Settings'!$B$10)+(Z280*'Settings'!$B$11),VLOOKUP(B280,'Standard Deviations'!A1:C666,3,FALSE))</f>
        <v>229.943633645577</v>
      </c>
      <c r="J280" s="75">
        <f>IF(D280="G",I280/AJ280,I280/Q280)</f>
        <v>2.97700198919701</v>
      </c>
      <c r="K280" s="74">
        <f>IF('Settings'!$E$18="C/LW/RW",VLOOKUP(B280,'C'!A1:F206,6,FALSE),VLOOKUP(B280,'F'!A1:F392,6,FALSE))</f>
        <v>-99.748260435601</v>
      </c>
      <c r="L280" s="76">
        <f>_xlfn.IFERROR(K280/H280,"N/A")</f>
        <v>-47.4991716360005</v>
      </c>
      <c r="M280" s="109">
        <f>IF('Settings'!$E$9="YAHOO",VLOOKUP(B280,'ADP'!A1:E665,2,FALSE),IF('Settings'!$E$9="ESPN",VLOOKUP(B280,'ADP'!A1:E665,3,FALSE),IF('Settings'!$E$9="FANTRAX",VLOOKUP(B280,'ADP'!A1:E665,4,FALSE),VLOOKUP(B280,'ADP'!A1:E665,5,FALSE))))</f>
        <v>0</v>
      </c>
      <c r="N280" s="79">
        <f>_xlfn.IFERROR(M280-A280,"N/A")</f>
        <v>-302</v>
      </c>
      <c r="O280" s="77"/>
      <c r="P280" t="s" s="78">
        <f>IF('Settings'!$E$27="ON",VLOOKUP(B280,'ADP'!A1:H665,8,FALSE)," ")</f>
        <v>138</v>
      </c>
      <c r="Q280" s="79">
        <f>IF('Settings'!$E$12="YES",VLOOKUP(B280,'Player Data'!A1:E667,5,FALSE),82)</f>
        <v>77.23999999999999</v>
      </c>
      <c r="R280" s="77">
        <f>VLOOKUP(B280,'Player Data'!$A1:$AE667,6,FALSE)</f>
        <v>16.2378372136084</v>
      </c>
      <c r="S280" s="79">
        <f>VLOOKUP(B280,'Player Data'!$A1:$AE667,7,FALSE)*$Q280*_xlfn.IFERROR((VLOOKUP(P280,'Settings'!$E$28:$F$33,2,FALSE)+1),1)</f>
        <v>16.5810604329078</v>
      </c>
      <c r="T280" s="79">
        <f>VLOOKUP(B280,'Player Data'!$A1:$AE667,8,FALSE)*$Q280*_xlfn.IFERROR((VLOOKUP(P280,'Settings'!$E$28:$F$33,2,FALSE)+1),1)</f>
        <v>28.5452494648311</v>
      </c>
      <c r="U280" s="79">
        <f>SUM(S280:T280)</f>
        <v>45.1263098977389</v>
      </c>
      <c r="V280" s="79">
        <f>VLOOKUP(B280,'Player Data'!$A1:$AE667,10,FALSE)*$Q280*_xlfn.IFERROR(((VLOOKUP(P280,'Settings'!$E$28:$F$33,2,FALSE)/2)+1),1)</f>
        <v>149.524279796376</v>
      </c>
      <c r="W280" s="79">
        <f>VLOOKUP(B280,'Player Data'!$A1:$AE667,11,FALSE)*$Q280*_xlfn.IFERROR((VLOOKUP(P280,'Settings'!$E$28:$F$33,2,FALSE)+1),1)</f>
        <v>2.73516431580168</v>
      </c>
      <c r="X280" s="101">
        <f>VLOOKUP(B280,'Player Data'!$A1:$AE667,12,FALSE)*$Q280*_xlfn.IFERROR((VLOOKUP(P280,'Settings'!$E$28:$F$33,2,FALSE)+1),1)</f>
        <v>9.29242309029336</v>
      </c>
      <c r="Y280" s="79">
        <f>VLOOKUP(B280,'Player Data'!$A1:$AE667,13,FALSE)*$Q280</f>
        <v>0.0120230662685993</v>
      </c>
      <c r="Z280" s="79">
        <f>VLOOKUP(B280,'Player Data'!$A1:$AE667,14,FALSE)*$Q280</f>
        <v>0.0202649264245981</v>
      </c>
      <c r="AA280" s="79">
        <f>VLOOKUP(B280,'Player Data'!$A1:$AE667,15,FALSE)*$Q280</f>
        <v>54.2724893686983</v>
      </c>
      <c r="AB280" s="79">
        <f>VLOOKUP(B280,'Player Data'!$A1:$AE667,16,FALSE)*$Q280</f>
        <v>69.63362320099699</v>
      </c>
      <c r="AC280" s="79">
        <f>VLOOKUP(B280,'Player Data'!$A1:$AE667,17,FALSE)*$Q280*_xlfn.IFERROR((VLOOKUP(P280,'Settings'!$E$28:$F$33,2,FALSE)+1),1)</f>
        <v>-1.20162414779916</v>
      </c>
      <c r="AD280" s="79">
        <f>VLOOKUP(B280,'Player Data'!$A1:$AE667,18,FALSE)*$Q280</f>
        <v>25.8085916364742</v>
      </c>
      <c r="AE280" s="79">
        <f>VLOOKUP(B280,'Player Data'!$A1:$AE667,19,FALSE)*$Q280*_xlfn.IFERROR((VLOOKUP(P280,'Settings'!$E$28:$F$33,2,FALSE)+1),1)</f>
        <v>2.40341686699986</v>
      </c>
      <c r="AF280" s="79">
        <f>VLOOKUP(B280,'Player Data'!$A1:$AE667,20,FALSE)*$Q280</f>
        <v>430.208319885169</v>
      </c>
      <c r="AG280" s="79">
        <f>VLOOKUP(B280,'Player Data'!$A1:$AE667,21,FALSE)*$Q280</f>
        <v>469.953040751354</v>
      </c>
      <c r="AH280" s="81">
        <f>VLOOKUP(B280,'Player Data'!$A1:$AE667,22,FALSE)</f>
        <v>0.477923557595229</v>
      </c>
      <c r="AI280" s="77"/>
      <c r="AJ280" s="89"/>
      <c r="AK280" s="79"/>
      <c r="AL280" s="79"/>
      <c r="AM280" s="79"/>
      <c r="AN280" s="79"/>
      <c r="AO280" s="79"/>
      <c r="AP280" s="79"/>
      <c r="AQ280" s="82"/>
      <c r="AR280" s="83"/>
      <c r="AS280" s="84"/>
    </row>
    <row r="281" ht="21.25" customHeight="1">
      <c r="A281" s="85">
        <f>RANK(K281,K$1:K$665)</f>
        <v>284</v>
      </c>
      <c r="B281" t="s" s="16">
        <v>470</v>
      </c>
      <c r="C281" t="s" s="69">
        <v>127</v>
      </c>
      <c r="D281" t="s" s="70">
        <f>VLOOKUP(B281,'Player Data'!A1:D667,4,FALSE)</f>
        <v>148</v>
      </c>
      <c r="E281" s="87">
        <f>VLOOKUP(B281,'RW'!A1:C136,3,FALSE)</f>
        <v>63</v>
      </c>
      <c r="F281" t="s" s="103">
        <f>VLOOKUP(B281,'Player Data'!A1:B667,2,FALSE)</f>
        <v>182</v>
      </c>
      <c r="G281" s="91">
        <f>VLOOKUP(B281,'Player Data'!A1:D667,3,FALSE)</f>
        <v>33</v>
      </c>
      <c r="H281" s="73">
        <f>_xlfn.IFERROR(VLOOKUP(B281,'ADP'!A1:G665,7,FALSE)/1000000,VLOOKUP(B281,'ADP'!A1:G665,7,FALSE))</f>
        <v>4</v>
      </c>
      <c r="I281" s="74">
        <f>IF('Settings'!$E$15="POINTS",((R281*Q281)*'Settings'!$B$12)+(S281*'Settings'!$B$2)+(T281*'Settings'!$B$3)+(U281*'Settings'!$B$4)+(V281*'Settings'!$B$5)+(X281*'Settings'!$B$9)+(AA281*'Settings'!$B$6)+(W281*'Settings'!$B$8)+(AB281*'Settings'!$B$7)+(AC281*'Settings'!$B$14)+(AD281*'Settings'!$B$15)+(AE281*'Settings'!$B$16)+(AF281*'Settings'!$B$17)+(AG281*'Settings'!$B$18)+(Y281*'Settings'!$B$10)+(Z281*'Settings'!$B$11),VLOOKUP(B281,'Standard Deviations'!A1:C666,3,FALSE))</f>
        <v>234.960015154735</v>
      </c>
      <c r="J281" s="75">
        <f>IF(D281="G",I281/AJ281,I281/Q281)</f>
        <v>3.17085040694649</v>
      </c>
      <c r="K281" s="74">
        <f>IF('Settings'!$E$18="C/LW/RW",VLOOKUP(B281,'RW'!A1:F136,6,FALSE),VLOOKUP(B281,'F'!A1:F392,6,FALSE))</f>
        <v>-94.731878926443</v>
      </c>
      <c r="L281" s="76">
        <f>_xlfn.IFERROR(K281/H281,"N/A")</f>
        <v>-23.6829697316108</v>
      </c>
      <c r="M281" s="109">
        <f>IF('Settings'!$E$9="YAHOO",VLOOKUP(B281,'ADP'!A1:E665,2,FALSE),IF('Settings'!$E$9="ESPN",VLOOKUP(B281,'ADP'!A1:E665,3,FALSE),IF('Settings'!$E$9="FANTRAX",VLOOKUP(B281,'ADP'!A1:E665,4,FALSE),VLOOKUP(B281,'ADP'!A1:E665,5,FALSE))))</f>
        <v>0</v>
      </c>
      <c r="N281" s="79">
        <f>_xlfn.IFERROR(M281-A281,"N/A")</f>
        <v>-284</v>
      </c>
      <c r="O281" s="77"/>
      <c r="P281" t="s" s="78">
        <f>IF('Settings'!$E$27="ON",VLOOKUP(B281,'ADP'!A1:H665,8,FALSE)," ")</f>
        <v>138</v>
      </c>
      <c r="Q281" s="79">
        <f>IF('Settings'!$E$12="YES",VLOOKUP(B281,'Player Data'!A1:E667,5,FALSE),82)</f>
        <v>74.09999999999999</v>
      </c>
      <c r="R281" s="77">
        <f>VLOOKUP(B281,'Player Data'!$A1:$AE667,6,FALSE)</f>
        <v>14.0367789246464</v>
      </c>
      <c r="S281" s="79">
        <f>VLOOKUP(B281,'Player Data'!$A1:$AE667,7,FALSE)*$Q281*_xlfn.IFERROR((VLOOKUP(P281,'Settings'!$E$28:$F$33,2,FALSE)+1),1)</f>
        <v>9.97184469809423</v>
      </c>
      <c r="T281" s="79">
        <f>VLOOKUP(B281,'Player Data'!$A1:$AE667,8,FALSE)*$Q281*_xlfn.IFERROR((VLOOKUP(P281,'Settings'!$E$28:$F$33,2,FALSE)+1),1)</f>
        <v>13.267669892541</v>
      </c>
      <c r="U281" s="79">
        <f>SUM(S281:T281)</f>
        <v>23.2395145906352</v>
      </c>
      <c r="V281" s="79">
        <f>VLOOKUP(B281,'Player Data'!$A1:$AE667,10,FALSE)*$Q281*_xlfn.IFERROR(((VLOOKUP(P281,'Settings'!$E$28:$F$33,2,FALSE)/2)+1),1)</f>
        <v>78.7413396385831</v>
      </c>
      <c r="W281" s="79">
        <f>VLOOKUP(B281,'Player Data'!$A1:$AE667,11,FALSE)*$Q281*_xlfn.IFERROR((VLOOKUP(P281,'Settings'!$E$28:$F$33,2,FALSE)+1),1)</f>
        <v>0.356529849956767</v>
      </c>
      <c r="X281" s="79">
        <f>VLOOKUP(B281,'Player Data'!$A1:$AE667,12,FALSE)*$Q281*_xlfn.IFERROR((VLOOKUP(P281,'Settings'!$E$28:$F$33,2,FALSE)+1),1)</f>
        <v>0.861310385101927</v>
      </c>
      <c r="Y281" s="79">
        <f>VLOOKUP(B281,'Player Data'!$A1:$AE667,13,FALSE)*$Q281</f>
        <v>0.137117883311441</v>
      </c>
      <c r="Z281" s="79">
        <f>VLOOKUP(B281,'Player Data'!$A1:$AE667,14,FALSE)*$Q281</f>
        <v>0.76695364601723</v>
      </c>
      <c r="AA281" s="79">
        <f>VLOOKUP(B281,'Player Data'!$A1:$AE667,15,FALSE)*$Q281</f>
        <v>47.8267989092343</v>
      </c>
      <c r="AB281" s="79">
        <f>VLOOKUP(B281,'Player Data'!$A1:$AE667,16,FALSE)*$Q281</f>
        <v>215.448266671324</v>
      </c>
      <c r="AC281" s="79">
        <f>VLOOKUP(B281,'Player Data'!$A1:$AE667,17,FALSE)*$Q281*_xlfn.IFERROR((VLOOKUP(P281,'Settings'!$E$28:$F$33,2,FALSE)+1),1)</f>
        <v>0.484412531010209</v>
      </c>
      <c r="AD281" s="79">
        <f>VLOOKUP(B281,'Player Data'!$A1:$AE667,18,FALSE)*$Q281</f>
        <v>64.5745129897154</v>
      </c>
      <c r="AE281" s="79">
        <f>VLOOKUP(B281,'Player Data'!$A1:$AE667,19,FALSE)*$Q281*_xlfn.IFERROR((VLOOKUP(P281,'Settings'!$E$28:$F$33,2,FALSE)+1),1)</f>
        <v>1.6461434178077</v>
      </c>
      <c r="AF281" s="79">
        <f>VLOOKUP(B281,'Player Data'!$A1:$AE667,20,FALSE)*$Q281</f>
        <v>10.2716725187776</v>
      </c>
      <c r="AG281" s="79">
        <f>VLOOKUP(B281,'Player Data'!$A1:$AE667,21,FALSE)*$Q281</f>
        <v>10.5788148661706</v>
      </c>
      <c r="AH281" s="81">
        <f>VLOOKUP(B281,'Player Data'!$A1:$AE667,22,FALSE)</f>
        <v>0.49263464825252</v>
      </c>
      <c r="AI281" s="77"/>
      <c r="AJ281" s="79"/>
      <c r="AK281" s="79"/>
      <c r="AL281" s="79"/>
      <c r="AM281" s="79"/>
      <c r="AN281" s="79"/>
      <c r="AO281" s="79"/>
      <c r="AP281" s="79"/>
      <c r="AQ281" s="82"/>
      <c r="AR281" s="83"/>
      <c r="AS281" s="84"/>
    </row>
    <row r="282" ht="21.25" customHeight="1">
      <c r="A282" s="85">
        <f>RANK(K282,K$1:K$665)</f>
        <v>294</v>
      </c>
      <c r="B282" t="s" s="16">
        <v>471</v>
      </c>
      <c r="C282" t="s" s="69">
        <v>127</v>
      </c>
      <c r="D282" t="s" s="70">
        <f>VLOOKUP(B282,'Player Data'!A1:D667,4,FALSE)</f>
        <v>178</v>
      </c>
      <c r="E282" s="102">
        <f>VLOOKUP(B282,'LW'!A1:C152,3,FALSE)</f>
        <v>69</v>
      </c>
      <c r="F282" t="s" s="86">
        <f>VLOOKUP(B282,'Player Data'!A1:B667,2,FALSE)</f>
        <v>192</v>
      </c>
      <c r="G282" s="11">
        <f>VLOOKUP(B282,'Player Data'!A1:D667,3,FALSE)</f>
        <v>28</v>
      </c>
      <c r="H282" s="94">
        <f>_xlfn.IFERROR(VLOOKUP(B282,'ADP'!A1:G665,7,FALSE)/1000000,VLOOKUP(B282,'ADP'!A1:G665,7,FALSE))</f>
        <v>5.8</v>
      </c>
      <c r="I282" s="74">
        <f>IF('Settings'!$E$15="POINTS",((R282*Q282)*'Settings'!$B$12)+(S282*'Settings'!$B$2)+(T282*'Settings'!$B$3)+(U282*'Settings'!$B$4)+(V282*'Settings'!$B$5)+(X282*'Settings'!$B$9)+(AA282*'Settings'!$B$6)+(W282*'Settings'!$B$8)+(AB282*'Settings'!$B$7)+(AC282*'Settings'!$B$14)+(AD282*'Settings'!$B$15)+(AE282*'Settings'!$B$16)+(AF282*'Settings'!$B$17)+(AG282*'Settings'!$B$18)+(Y282*'Settings'!$B$10)+(Z282*'Settings'!$B$11),VLOOKUP(B282,'Standard Deviations'!A1:C666,3,FALSE))</f>
        <v>234.790480017383</v>
      </c>
      <c r="J282" s="75">
        <f>IF(D282="G",I282/AJ282,I282/Q282)</f>
        <v>2.90627238146227</v>
      </c>
      <c r="K282" s="74">
        <f>IF('Settings'!$E$18="C/LW/RW",VLOOKUP(B282,'LW'!A1:F152,6,FALSE),VLOOKUP(B282,'F'!A1:F392,6,FALSE))</f>
        <v>-96.929631748829</v>
      </c>
      <c r="L282" s="76">
        <f>_xlfn.IFERROR(K282/H282,"N/A")</f>
        <v>-16.712005473936</v>
      </c>
      <c r="M282" s="109">
        <f>IF('Settings'!$E$9="YAHOO",VLOOKUP(B282,'ADP'!A1:E665,2,FALSE),IF('Settings'!$E$9="ESPN",VLOOKUP(B282,'ADP'!A1:E665,3,FALSE),IF('Settings'!$E$9="FANTRAX",VLOOKUP(B282,'ADP'!A1:E665,4,FALSE),VLOOKUP(B282,'ADP'!A1:E665,5,FALSE))))</f>
        <v>0</v>
      </c>
      <c r="N282" s="79">
        <f>_xlfn.IFERROR(M282-A282,"N/A")</f>
        <v>-294</v>
      </c>
      <c r="O282" s="77"/>
      <c r="P282" t="s" s="78">
        <f>IF('Settings'!$E$27="ON",VLOOKUP(B282,'ADP'!A1:H665,8,FALSE)," ")</f>
        <v>138</v>
      </c>
      <c r="Q282" s="79">
        <f>IF('Settings'!$E$12="YES",VLOOKUP(B282,'Player Data'!A1:E667,5,FALSE),82)</f>
        <v>80.78749999999999</v>
      </c>
      <c r="R282" s="77">
        <f>VLOOKUP(B282,'Player Data'!$A1:$AE667,6,FALSE)</f>
        <v>16.8166595445281</v>
      </c>
      <c r="S282" s="79">
        <f>VLOOKUP(B282,'Player Data'!$A1:$AE667,7,FALSE)*$Q282*_xlfn.IFERROR((VLOOKUP(P282,'Settings'!$E$28:$F$33,2,FALSE)+1),1)</f>
        <v>18.9974485841603</v>
      </c>
      <c r="T282" s="79">
        <f>VLOOKUP(B282,'Player Data'!$A1:$AE667,8,FALSE)*$Q282*_xlfn.IFERROR((VLOOKUP(P282,'Settings'!$E$28:$F$33,2,FALSE)+1),1)</f>
        <v>25.5178932829332</v>
      </c>
      <c r="U282" s="79">
        <f>SUM(S282:T282)</f>
        <v>44.5153418670935</v>
      </c>
      <c r="V282" s="79">
        <f>VLOOKUP(B282,'Player Data'!$A1:$AE667,10,FALSE)*$Q282*_xlfn.IFERROR(((VLOOKUP(P282,'Settings'!$E$28:$F$33,2,FALSE)/2)+1),1)</f>
        <v>160.218596193343</v>
      </c>
      <c r="W282" s="79">
        <f>VLOOKUP(B282,'Player Data'!$A1:$AE667,11,FALSE)*$Q282*_xlfn.IFERROR((VLOOKUP(P282,'Settings'!$E$28:$F$33,2,FALSE)+1),1)</f>
        <v>3.64007248763211</v>
      </c>
      <c r="X282" s="79">
        <f>VLOOKUP(B282,'Player Data'!$A1:$AE667,12,FALSE)*$Q282*_xlfn.IFERROR((VLOOKUP(P282,'Settings'!$E$28:$F$33,2,FALSE)+1),1)</f>
        <v>6.40309727461597</v>
      </c>
      <c r="Y282" s="79">
        <f>VLOOKUP(B282,'Player Data'!$A1:$AE667,13,FALSE)*$Q282</f>
        <v>0.62455009860197</v>
      </c>
      <c r="Z282" s="79">
        <f>VLOOKUP(B282,'Player Data'!$A1:$AE667,14,FALSE)*$Q282</f>
        <v>1.17479388327001</v>
      </c>
      <c r="AA282" s="79">
        <f>VLOOKUP(B282,'Player Data'!$A1:$AE667,15,FALSE)*$Q282</f>
        <v>33.9359924692842</v>
      </c>
      <c r="AB282" s="79">
        <f>VLOOKUP(B282,'Player Data'!$A1:$AE667,16,FALSE)*$Q282</f>
        <v>90.2972966059868</v>
      </c>
      <c r="AC282" s="79">
        <f>VLOOKUP(B282,'Player Data'!$A1:$AE667,17,FALSE)*$Q282*_xlfn.IFERROR((VLOOKUP(P282,'Settings'!$E$28:$F$33,2,FALSE)+1),1)</f>
        <v>-0.858029895100313</v>
      </c>
      <c r="AD282" s="79">
        <f>VLOOKUP(B282,'Player Data'!$A1:$AE667,18,FALSE)*$Q282</f>
        <v>37.0193630478368</v>
      </c>
      <c r="AE282" s="79">
        <f>VLOOKUP(B282,'Player Data'!$A1:$AE667,19,FALSE)*$Q282*_xlfn.IFERROR((VLOOKUP(P282,'Settings'!$E$28:$F$33,2,FALSE)+1),1)</f>
        <v>2.69597608775904</v>
      </c>
      <c r="AF282" s="79">
        <f>VLOOKUP(B282,'Player Data'!$A1:$AE667,20,FALSE)*$Q282</f>
        <v>7.86679140133328</v>
      </c>
      <c r="AG282" s="79">
        <f>VLOOKUP(B282,'Player Data'!$A1:$AE667,21,FALSE)*$Q282</f>
        <v>10.9343717348373</v>
      </c>
      <c r="AH282" s="81">
        <f>VLOOKUP(B282,'Player Data'!$A1:$AE667,22,FALSE)</f>
        <v>0.418420463901978</v>
      </c>
      <c r="AI282" s="77"/>
      <c r="AJ282" s="79"/>
      <c r="AK282" s="79"/>
      <c r="AL282" s="79"/>
      <c r="AM282" s="79"/>
      <c r="AN282" s="79"/>
      <c r="AO282" s="79"/>
      <c r="AP282" s="79"/>
      <c r="AQ282" s="82"/>
      <c r="AR282" s="83"/>
      <c r="AS282" s="93"/>
    </row>
    <row r="283" ht="21.25" customHeight="1">
      <c r="A283" s="85">
        <f>RANK(K283,K$1:K$665)</f>
        <v>253</v>
      </c>
      <c r="B283" t="s" s="16">
        <v>472</v>
      </c>
      <c r="C283" t="s" s="69">
        <v>127</v>
      </c>
      <c r="D283" t="s" s="70">
        <f>VLOOKUP(B283,'Player Data'!A1:D667,4,FALSE)</f>
        <v>161</v>
      </c>
      <c r="E283" s="99">
        <f>VLOOKUP(B283,'G'!A1:D65,3,FALSE)</f>
        <v>39</v>
      </c>
      <c r="F283" t="s" s="100">
        <f>VLOOKUP(B283,'Player Data'!A1:B667,2,FALSE)</f>
        <v>337</v>
      </c>
      <c r="G283" s="11">
        <f>VLOOKUP(B283,'Player Data'!A1:D667,3,FALSE)</f>
        <v>31</v>
      </c>
      <c r="H283" s="94">
        <f>_xlfn.IFERROR(VLOOKUP(B283,'ADP'!A1:G665,7,FALSE)/1000000,VLOOKUP(B283,'ADP'!A1:G665,7,FALSE))</f>
        <v>0.9</v>
      </c>
      <c r="I283" s="74">
        <f>IF('Settings'!$E$15="POINTS",(AJ283*'Settings'!$B$29)+(AK283*'Settings'!$B$21)+(AL283*'Settings'!$B$22)+(AN283*'Settings'!$B$24)+(AO283*'Settings'!$B$25)+(AP283*'Settings'!$B$27)+(AM283*'Settings'!$B$23),VLOOKUP(B283,'Standard Deviations'!A1:C666,3,FALSE))</f>
        <v>181.271849324890</v>
      </c>
      <c r="J283" s="75">
        <f>IF(D283="G",I283/AJ283,I283/Q283)</f>
        <v>5.33152498014382</v>
      </c>
      <c r="K283" s="74">
        <f>VLOOKUP(B283,'G'!A1:F65,6,FALSE)</f>
        <v>-86.3191652397</v>
      </c>
      <c r="L283" s="76">
        <f>_xlfn.IFERROR(K283/H283,"N/A")</f>
        <v>-95.91018359966669</v>
      </c>
      <c r="M283" s="109">
        <f>IF('Settings'!$E$9="YAHOO",VLOOKUP(B283,'ADP'!A1:E665,2,FALSE),IF('Settings'!$E$9="ESPN",VLOOKUP(B283,'ADP'!A1:E665,3,FALSE),IF('Settings'!$E$9="FANTRAX",VLOOKUP(B283,'ADP'!A1:E665,4,FALSE),VLOOKUP(B283,'ADP'!A1:E665,5,FALSE))))</f>
        <v>0</v>
      </c>
      <c r="N283" s="79">
        <f>_xlfn.IFERROR(M283-A283,"N/A")</f>
        <v>-253</v>
      </c>
      <c r="O283" s="77"/>
      <c r="P283" t="s" s="78">
        <f>IF('Settings'!$E$27="ON",VLOOKUP(B283,'ADP'!A1:H665,8,FALSE)," ")</f>
        <v>138</v>
      </c>
      <c r="Q283" s="79"/>
      <c r="R283" s="77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81"/>
      <c r="AI283" s="77"/>
      <c r="AJ283" s="89">
        <f>VLOOKUP(B283,'Player Data'!$A1:$AE667,24,FALSE)</f>
        <v>34</v>
      </c>
      <c r="AK283" s="79">
        <f>VLOOKUP(B283,'Player Data'!$A1:$AE667,25,FALSE)*$AJ283*_xlfn.IFERROR((VLOOKUP(P283,'Settings'!$E$28:$F$33,2,FALSE)+1),1)</f>
        <v>15.3943543275692</v>
      </c>
      <c r="AL283" s="79">
        <f>AJ283-AK283-AM283</f>
        <v>14.3556456724308</v>
      </c>
      <c r="AM283" s="79">
        <f>VLOOKUP(B283,'Player Data'!$A1:$AE667,27,FALSE)*$AJ283</f>
        <v>4.25</v>
      </c>
      <c r="AN283" s="79">
        <f>VLOOKUP(B283,'Player Data'!$A1:$AE667,28,FALSE)*AJ283</f>
        <v>1.51604286430376</v>
      </c>
      <c r="AO283" s="79">
        <f>VLOOKUP(B283,'Player Data'!$A1:$AE667,29,FALSE)*$AJ283*_xlfn.IFERROR((VLOOKUP(P283,'Settings'!$E$28:$F$33,2,FALSE)/4)+1,1)</f>
        <v>957.007158183655</v>
      </c>
      <c r="AP283" s="79">
        <f>VLOOKUP(B283,'Player Data'!$A1:$AE667,31,FALSE)*$AJ283*(_xlfn.IFERROR(1-(VLOOKUP(P283,'Settings'!$E$28:$F$33,2,FALSE)/4),1))</f>
        <v>100.359488624402</v>
      </c>
      <c r="AQ283" s="82">
        <f>1-(AP283/(AO283+AP283))</f>
        <v>0.905085441339233</v>
      </c>
      <c r="AR283" s="83">
        <f>AP283/AJ283</f>
        <v>2.95174966542359</v>
      </c>
      <c r="AS283" s="84"/>
    </row>
    <row r="284" ht="21.25" customHeight="1">
      <c r="A284" s="85">
        <f>RANK(K284,K$1:K$665)</f>
        <v>269</v>
      </c>
      <c r="B284" t="s" s="16">
        <v>473</v>
      </c>
      <c r="C284" t="s" s="69">
        <v>127</v>
      </c>
      <c r="D284" t="s" s="70">
        <f>VLOOKUP(B284,'Player Data'!A1:D667,4,FALSE)</f>
        <v>153</v>
      </c>
      <c r="E284" s="95">
        <f>VLOOKUP(B284,'D'!A1:C213,3,FALSE)</f>
        <v>84</v>
      </c>
      <c r="F284" t="s" s="88">
        <f>VLOOKUP(B284,'Player Data'!A1:B667,2,FALSE)</f>
        <v>304</v>
      </c>
      <c r="G284" s="11">
        <f>VLOOKUP(B284,'Player Data'!A1:D667,3,FALSE)</f>
        <v>27</v>
      </c>
      <c r="H284" s="94">
        <f>_xlfn.IFERROR(VLOOKUP(B284,'ADP'!A1:G665,7,FALSE)/1000000,VLOOKUP(B284,'ADP'!A1:G665,7,FALSE))</f>
        <v>2.7</v>
      </c>
      <c r="I284" s="74">
        <f>IF('Settings'!$E$15="POINTS",((R284*Q284)*'Settings'!$B$12)+(S284*'Settings'!$B$2)+(T284*'Settings'!$B$3)+(U284*'Settings'!$B$4)+(V284*'Settings'!$B$5)+(X284*'Settings'!$B$9)+(AA284*'Settings'!$B$6)+(W284*'Settings'!$B$8)+(AB284*'Settings'!$B$7)+(AC284*'Settings'!$B$14)+(AD284*'Settings'!$B$15)+(AE284*'Settings'!$B$16)+(AF284*'Settings'!$B$17)+(AG284*'Settings'!$B$18)+(U284*'Settings'!$B$13)+(Y284*'Settings'!$B$10)+(Z284*'Settings'!$B$11),VLOOKUP(B284,'Standard Deviations'!A1:C666,3,FALSE))</f>
        <v>241.358683185098</v>
      </c>
      <c r="J284" s="75">
        <f>IF(D284="G",I284/AJ284,I284/Q284)</f>
        <v>3.11712105366264</v>
      </c>
      <c r="K284" s="74">
        <f>VLOOKUP(B284,'D'!A1:F213,6,FALSE)</f>
        <v>-90.181524734984</v>
      </c>
      <c r="L284" s="76">
        <f>_xlfn.IFERROR(K284/H284,"N/A")</f>
        <v>-33.4005647166607</v>
      </c>
      <c r="M284" s="109">
        <f>IF('Settings'!$E$9="YAHOO",VLOOKUP(B284,'ADP'!A1:E665,2,FALSE),IF('Settings'!$E$9="ESPN",VLOOKUP(B284,'ADP'!A1:E665,3,FALSE),IF('Settings'!$E$9="FANTRAX",VLOOKUP(B284,'ADP'!A1:E665,4,FALSE),VLOOKUP(B284,'ADP'!A1:E665,5,FALSE))))</f>
        <v>0</v>
      </c>
      <c r="N284" s="79">
        <f>_xlfn.IFERROR(M284-A284,"N/A")</f>
        <v>-269</v>
      </c>
      <c r="O284" s="77"/>
      <c r="P284" t="s" s="78">
        <f>IF('Settings'!$E$27="ON",VLOOKUP(B284,'ADP'!A1:H665,8,FALSE)," ")</f>
        <v>138</v>
      </c>
      <c r="Q284" s="79">
        <f>IF('Settings'!$E$12="YES",VLOOKUP(B284,'Player Data'!A1:E667,5,FALSE),82)</f>
        <v>77.43000000000001</v>
      </c>
      <c r="R284" s="77">
        <f>VLOOKUP(B284,'Player Data'!$A1:$AE667,6,FALSE)</f>
        <v>17.6792126070335</v>
      </c>
      <c r="S284" s="79">
        <f>VLOOKUP(B284,'Player Data'!$A1:$AE667,7,FALSE)*$Q284*_xlfn.IFERROR((VLOOKUP(P284,'Settings'!$E$28:$F$33,2,FALSE)+1),1)</f>
        <v>3.27238724702387</v>
      </c>
      <c r="T284" s="79">
        <f>VLOOKUP(B284,'Player Data'!$A1:$AE667,8,FALSE)*$Q284*_xlfn.IFERROR((VLOOKUP(P284,'Settings'!$E$28:$F$33,2,FALSE)+1),1)</f>
        <v>18.020309229296</v>
      </c>
      <c r="U284" s="79">
        <f>SUM(S284:T284)</f>
        <v>21.2926964763199</v>
      </c>
      <c r="V284" s="79">
        <f>VLOOKUP(B284,'Player Data'!$A1:$AE667,10,FALSE)*$Q284*_xlfn.IFERROR(((VLOOKUP(P284,'Settings'!$E$28:$F$33,2,FALSE)/2)+1),1)</f>
        <v>88.2065596678016</v>
      </c>
      <c r="W284" s="79">
        <f>VLOOKUP(B284,'Player Data'!$A1:$AE667,11,FALSE)*$Q284*_xlfn.IFERROR((VLOOKUP(P284,'Settings'!$E$28:$F$33,2,FALSE)+1),1)</f>
        <v>0.0156935965937589</v>
      </c>
      <c r="X284" s="79">
        <f>VLOOKUP(B284,'Player Data'!$A1:$AE667,12,FALSE)*$Q284*_xlfn.IFERROR((VLOOKUP(P284,'Settings'!$E$28:$F$33,2,FALSE)+1),1)</f>
        <v>0.101323233249325</v>
      </c>
      <c r="Y284" s="79">
        <f>VLOOKUP(B284,'Player Data'!$A1:$AE667,13,FALSE)*$Q284</f>
        <v>0.0312891682419306</v>
      </c>
      <c r="Z284" s="79">
        <f>VLOOKUP(B284,'Player Data'!$A1:$AE667,14,FALSE)*$Q284</f>
        <v>0.137545558411847</v>
      </c>
      <c r="AA284" s="79">
        <f>VLOOKUP(B284,'Player Data'!$A1:$AE667,15,FALSE)*$Q284</f>
        <v>105.229741309658</v>
      </c>
      <c r="AB284" s="79">
        <f>VLOOKUP(B284,'Player Data'!$A1:$AE667,16,FALSE)*$Q284</f>
        <v>171.894891945887</v>
      </c>
      <c r="AC284" s="79">
        <f>VLOOKUP(B284,'Player Data'!$A1:$AE667,17,FALSE)*$Q284*_xlfn.IFERROR((VLOOKUP(P284,'Settings'!$E$28:$F$33,2,FALSE)+1),1)</f>
        <v>-1.81130539855768</v>
      </c>
      <c r="AD284" s="79">
        <f>VLOOKUP(B284,'Player Data'!$A1:$AE667,18,FALSE)*$Q284</f>
        <v>48.3589409150407</v>
      </c>
      <c r="AE284" s="79">
        <f>VLOOKUP(B284,'Player Data'!$A1:$AE667,19,FALSE)*$Q284*_xlfn.IFERROR((VLOOKUP(P284,'Settings'!$E$28:$F$33,2,FALSE)+1),1)</f>
        <v>0.496904381584644</v>
      </c>
      <c r="AF284" s="79">
        <f>VLOOKUP(B284,'Player Data'!$A1:$AE667,20,FALSE)*$Q284</f>
        <v>0</v>
      </c>
      <c r="AG284" s="79">
        <f>VLOOKUP(B284,'Player Data'!$A1:$AE667,21,FALSE)*$Q284</f>
        <v>0</v>
      </c>
      <c r="AH284" s="81">
        <f>VLOOKUP(B284,'Player Data'!$A1:$AE667,22,FALSE)</f>
        <v>0</v>
      </c>
      <c r="AI284" s="77"/>
      <c r="AJ284" s="79"/>
      <c r="AK284" s="79"/>
      <c r="AL284" s="79"/>
      <c r="AM284" s="79"/>
      <c r="AN284" s="79"/>
      <c r="AO284" s="79"/>
      <c r="AP284" s="79"/>
      <c r="AQ284" s="82"/>
      <c r="AR284" s="83"/>
      <c r="AS284" s="93"/>
    </row>
    <row r="285" ht="21.25" customHeight="1">
      <c r="A285" s="85">
        <f>RANK(K285,K$1:K$665)</f>
        <v>270</v>
      </c>
      <c r="B285" t="s" s="16">
        <v>474</v>
      </c>
      <c r="C285" t="s" s="69">
        <v>127</v>
      </c>
      <c r="D285" t="s" s="70">
        <f>VLOOKUP(B285,'Player Data'!A1:D667,4,FALSE)</f>
        <v>153</v>
      </c>
      <c r="E285" s="95">
        <f>VLOOKUP(B285,'D'!A1:C213,3,FALSE)</f>
        <v>85</v>
      </c>
      <c r="F285" t="s" s="86">
        <f>VLOOKUP(B285,'Player Data'!A1:B667,2,FALSE)</f>
        <v>154</v>
      </c>
      <c r="G285" s="11">
        <f>VLOOKUP(B285,'Player Data'!A1:D667,3,FALSE)</f>
        <v>29</v>
      </c>
      <c r="H285" s="73">
        <f>_xlfn.IFERROR(VLOOKUP(B285,'ADP'!A1:G665,7,FALSE)/1000000,VLOOKUP(B285,'ADP'!A1:G665,7,FALSE))</f>
        <v>3.333</v>
      </c>
      <c r="I285" s="74">
        <f>IF('Settings'!$E$15="POINTS",((R285*Q285)*'Settings'!$B$12)+(S285*'Settings'!$B$2)+(T285*'Settings'!$B$3)+(U285*'Settings'!$B$4)+(V285*'Settings'!$B$5)+(X285*'Settings'!$B$9)+(AA285*'Settings'!$B$6)+(W285*'Settings'!$B$8)+(AB285*'Settings'!$B$7)+(AC285*'Settings'!$B$14)+(AD285*'Settings'!$B$15)+(AE285*'Settings'!$B$16)+(AF285*'Settings'!$B$17)+(AG285*'Settings'!$B$18)+(U285*'Settings'!$B$13)+(Y285*'Settings'!$B$10)+(Z285*'Settings'!$B$11),VLOOKUP(B285,'Standard Deviations'!A1:C666,3,FALSE))</f>
        <v>241.020149706814</v>
      </c>
      <c r="J285" s="75">
        <f>IF(D285="G",I285/AJ285,I285/Q285)</f>
        <v>3.060670493753</v>
      </c>
      <c r="K285" s="74">
        <f>VLOOKUP(B285,'D'!A1:F213,6,FALSE)</f>
        <v>-90.520058213268</v>
      </c>
      <c r="L285" s="76">
        <f>_xlfn.IFERROR(K285/H285,"N/A")</f>
        <v>-27.1587333373141</v>
      </c>
      <c r="M285" s="77">
        <f>IF('Settings'!$E$9="YAHOO",VLOOKUP(B285,'ADP'!A1:E665,2,FALSE),IF('Settings'!$E$9="ESPN",VLOOKUP(B285,'ADP'!A1:E665,3,FALSE),IF('Settings'!$E$9="FANTRAX",VLOOKUP(B285,'ADP'!A1:E665,4,FALSE),VLOOKUP(B285,'ADP'!A1:E665,5,FALSE))))</f>
        <v>0</v>
      </c>
      <c r="N285" s="77">
        <f>_xlfn.IFERROR(M285-A285,"N/A")</f>
        <v>-270</v>
      </c>
      <c r="O285" s="77"/>
      <c r="P285" t="s" s="78">
        <f>IF('Settings'!$E$27="ON",VLOOKUP(B285,'ADP'!A1:H665,8,FALSE)," ")</f>
        <v>138</v>
      </c>
      <c r="Q285" s="79">
        <f>IF('Settings'!$E$12="YES",VLOOKUP(B285,'Player Data'!A1:E667,5,FALSE),82)</f>
        <v>78.7475</v>
      </c>
      <c r="R285" s="77">
        <f>VLOOKUP(B285,'Player Data'!$A1:$AE667,6,FALSE)</f>
        <v>16.4878734704906</v>
      </c>
      <c r="S285" s="79">
        <f>VLOOKUP(B285,'Player Data'!$A1:$AE667,7,FALSE)*$Q285*_xlfn.IFERROR((VLOOKUP(P285,'Settings'!$E$28:$F$33,2,FALSE)+1),1)</f>
        <v>3.63948860798016</v>
      </c>
      <c r="T285" s="79">
        <f>VLOOKUP(B285,'Player Data'!$A1:$AE667,8,FALSE)*$Q285*_xlfn.IFERROR((VLOOKUP(P285,'Settings'!$E$28:$F$33,2,FALSE)+1),1)</f>
        <v>13.7580614115783</v>
      </c>
      <c r="U285" s="79">
        <f>SUM(S285:T285)</f>
        <v>17.3975500195585</v>
      </c>
      <c r="V285" s="79">
        <f>VLOOKUP(B285,'Player Data'!$A1:$AE667,10,FALSE)*$Q285*_xlfn.IFERROR(((VLOOKUP(P285,'Settings'!$E$28:$F$33,2,FALSE)/2)+1),1)</f>
        <v>80.05069643107321</v>
      </c>
      <c r="W285" s="79">
        <f>VLOOKUP(B285,'Player Data'!$A1:$AE667,11,FALSE)*$Q285*_xlfn.IFERROR((VLOOKUP(P285,'Settings'!$E$28:$F$33,2,FALSE)+1),1)</f>
        <v>0.008659638713378191</v>
      </c>
      <c r="X285" s="79">
        <f>VLOOKUP(B285,'Player Data'!$A1:$AE667,12,FALSE)*$Q285*_xlfn.IFERROR((VLOOKUP(P285,'Settings'!$E$28:$F$33,2,FALSE)+1),1)</f>
        <v>0.0562950713423321</v>
      </c>
      <c r="Y285" s="79">
        <f>VLOOKUP(B285,'Player Data'!$A1:$AE667,13,FALSE)*$Q285</f>
        <v>0.303214027676331</v>
      </c>
      <c r="Z285" s="79">
        <f>VLOOKUP(B285,'Player Data'!$A1:$AE667,14,FALSE)*$Q285</f>
        <v>0.429441680362893</v>
      </c>
      <c r="AA285" s="79">
        <f>VLOOKUP(B285,'Player Data'!$A1:$AE667,15,FALSE)*$Q285</f>
        <v>113.945191851931</v>
      </c>
      <c r="AB285" s="79">
        <f>VLOOKUP(B285,'Player Data'!$A1:$AE667,16,FALSE)*$Q285</f>
        <v>177.741142675951</v>
      </c>
      <c r="AC285" s="79">
        <f>VLOOKUP(B285,'Player Data'!$A1:$AE667,17,FALSE)*$Q285*_xlfn.IFERROR((VLOOKUP(P285,'Settings'!$E$28:$F$33,2,FALSE)+1),1)</f>
        <v>-0.958936471210872</v>
      </c>
      <c r="AD285" s="79">
        <f>VLOOKUP(B285,'Player Data'!$A1:$AE667,18,FALSE)*$Q285</f>
        <v>52.7465763541685</v>
      </c>
      <c r="AE285" s="79">
        <f>VLOOKUP(B285,'Player Data'!$A1:$AE667,19,FALSE)*$Q285*_xlfn.IFERROR((VLOOKUP(P285,'Settings'!$E$28:$F$33,2,FALSE)+1),1)</f>
        <v>0.514825447396036</v>
      </c>
      <c r="AF285" s="79">
        <f>VLOOKUP(B285,'Player Data'!$A1:$AE667,20,FALSE)*$Q285</f>
        <v>0</v>
      </c>
      <c r="AG285" s="79">
        <f>VLOOKUP(B285,'Player Data'!$A1:$AE667,21,FALSE)*$Q285</f>
        <v>0</v>
      </c>
      <c r="AH285" s="81">
        <f>VLOOKUP(B285,'Player Data'!$A1:$AE667,22,FALSE)</f>
        <v>0</v>
      </c>
      <c r="AI285" s="77"/>
      <c r="AJ285" s="79"/>
      <c r="AK285" s="79"/>
      <c r="AL285" s="79"/>
      <c r="AM285" s="79"/>
      <c r="AN285" s="79"/>
      <c r="AO285" s="79"/>
      <c r="AP285" s="79"/>
      <c r="AQ285" s="82"/>
      <c r="AR285" s="83"/>
      <c r="AS285" s="84"/>
    </row>
    <row r="286" ht="21.25" customHeight="1">
      <c r="A286" s="85">
        <f>RANK(K286,K$1:K$665)</f>
        <v>271</v>
      </c>
      <c r="B286" t="s" s="16">
        <v>475</v>
      </c>
      <c r="C286" t="s" s="69">
        <v>127</v>
      </c>
      <c r="D286" t="s" s="70">
        <f>VLOOKUP(B286,'Player Data'!A1:D667,4,FALSE)</f>
        <v>153</v>
      </c>
      <c r="E286" s="95">
        <f>VLOOKUP(B286,'D'!A1:C213,3,FALSE)</f>
        <v>86</v>
      </c>
      <c r="F286" t="s" s="88">
        <f>VLOOKUP(B286,'Player Data'!A1:B667,2,FALSE)</f>
        <v>239</v>
      </c>
      <c r="G286" s="91">
        <f>VLOOKUP(B286,'Player Data'!A1:D667,3,FALSE)</f>
        <v>33</v>
      </c>
      <c r="H286" s="94">
        <f>_xlfn.IFERROR(VLOOKUP(B286,'ADP'!A1:G665,7,FALSE)/1000000,VLOOKUP(B286,'ADP'!A1:G665,7,FALSE))</f>
        <v>3.5</v>
      </c>
      <c r="I286" s="74">
        <f>IF('Settings'!$E$15="POINTS",((R286*Q286)*'Settings'!$B$12)+(S286*'Settings'!$B$2)+(T286*'Settings'!$B$3)+(U286*'Settings'!$B$4)+(V286*'Settings'!$B$5)+(X286*'Settings'!$B$9)+(AA286*'Settings'!$B$6)+(W286*'Settings'!$B$8)+(AB286*'Settings'!$B$7)+(AC286*'Settings'!$B$14)+(AD286*'Settings'!$B$15)+(AE286*'Settings'!$B$16)+(AF286*'Settings'!$B$17)+(AG286*'Settings'!$B$18)+(U286*'Settings'!$B$13)+(Y286*'Settings'!$B$10)+(Z286*'Settings'!$B$11),VLOOKUP(B286,'Standard Deviations'!A1:C666,3,FALSE))</f>
        <v>240.8228053402</v>
      </c>
      <c r="J286" s="75">
        <f>IF(D286="G",I286/AJ286,I286/Q286)</f>
        <v>3.28208252593118</v>
      </c>
      <c r="K286" s="74">
        <f>VLOOKUP(B286,'D'!A1:F213,6,FALSE)</f>
        <v>-90.71740257988201</v>
      </c>
      <c r="L286" s="76">
        <f>_xlfn.IFERROR(K286/H286,"N/A")</f>
        <v>-25.9192578799663</v>
      </c>
      <c r="M286" s="109">
        <f>IF('Settings'!$E$9="YAHOO",VLOOKUP(B286,'ADP'!A1:E665,2,FALSE),IF('Settings'!$E$9="ESPN",VLOOKUP(B286,'ADP'!A1:E665,3,FALSE),IF('Settings'!$E$9="FANTRAX",VLOOKUP(B286,'ADP'!A1:E665,4,FALSE),VLOOKUP(B286,'ADP'!A1:E665,5,FALSE))))</f>
        <v>0</v>
      </c>
      <c r="N286" s="79">
        <f>_xlfn.IFERROR(M286-A286,"N/A")</f>
        <v>-271</v>
      </c>
      <c r="O286" s="77"/>
      <c r="P286" t="s" s="78">
        <f>IF('Settings'!$E$27="ON",VLOOKUP(B286,'ADP'!A1:H665,8,FALSE)," ")</f>
        <v>138</v>
      </c>
      <c r="Q286" s="79">
        <f>IF('Settings'!$E$12="YES",VLOOKUP(B286,'Player Data'!A1:E667,5,FALSE),82)</f>
        <v>73.375</v>
      </c>
      <c r="R286" s="77">
        <f>VLOOKUP(B286,'Player Data'!$A1:$AE667,6,FALSE)</f>
        <v>20.0274192258194</v>
      </c>
      <c r="S286" s="79">
        <f>VLOOKUP(B286,'Player Data'!$A1:$AE667,7,FALSE)*$Q286*_xlfn.IFERROR((VLOOKUP(P286,'Settings'!$E$28:$F$33,2,FALSE)+1),1)</f>
        <v>3.88295938897714</v>
      </c>
      <c r="T286" s="79">
        <f>VLOOKUP(B286,'Player Data'!$A1:$AE667,8,FALSE)*$Q286*_xlfn.IFERROR((VLOOKUP(P286,'Settings'!$E$28:$F$33,2,FALSE)+1),1)</f>
        <v>16.7193447935539</v>
      </c>
      <c r="U286" s="79">
        <f>SUM(S286:T286)</f>
        <v>20.602304182531</v>
      </c>
      <c r="V286" s="79">
        <f>VLOOKUP(B286,'Player Data'!$A1:$AE667,10,FALSE)*$Q286*_xlfn.IFERROR(((VLOOKUP(P286,'Settings'!$E$28:$F$33,2,FALSE)/2)+1),1)</f>
        <v>66.1755279262071</v>
      </c>
      <c r="W286" s="79">
        <f>VLOOKUP(B286,'Player Data'!$A1:$AE667,11,FALSE)*$Q286*_xlfn.IFERROR((VLOOKUP(P286,'Settings'!$E$28:$F$33,2,FALSE)+1),1)</f>
        <v>0.0186868087141589</v>
      </c>
      <c r="X286" s="79">
        <f>VLOOKUP(B286,'Player Data'!$A1:$AE667,12,FALSE)*$Q286*_xlfn.IFERROR((VLOOKUP(P286,'Settings'!$E$28:$F$33,2,FALSE)+1),1)</f>
        <v>0.126603373905056</v>
      </c>
      <c r="Y286" s="79">
        <f>VLOOKUP(B286,'Player Data'!$A1:$AE667,13,FALSE)*$Q286</f>
        <v>0.027710753631859</v>
      </c>
      <c r="Z286" s="79">
        <f>VLOOKUP(B286,'Player Data'!$A1:$AE667,14,FALSE)*$Q286</f>
        <v>0.564824035528849</v>
      </c>
      <c r="AA286" s="79">
        <f>VLOOKUP(B286,'Player Data'!$A1:$AE667,15,FALSE)*$Q286</f>
        <v>176.321951176969</v>
      </c>
      <c r="AB286" s="79">
        <f>VLOOKUP(B286,'Player Data'!$A1:$AE667,16,FALSE)*$Q286</f>
        <v>90.15213909573021</v>
      </c>
      <c r="AC286" s="79">
        <f>VLOOKUP(B286,'Player Data'!$A1:$AE667,17,FALSE)*$Q286*_xlfn.IFERROR((VLOOKUP(P286,'Settings'!$E$28:$F$33,2,FALSE)+1),1)</f>
        <v>-5.36680145814042</v>
      </c>
      <c r="AD286" s="79">
        <f>VLOOKUP(B286,'Player Data'!$A1:$AE667,18,FALSE)*$Q286</f>
        <v>29.5077484965503</v>
      </c>
      <c r="AE286" s="79">
        <f>VLOOKUP(B286,'Player Data'!$A1:$AE667,19,FALSE)*$Q286*_xlfn.IFERROR((VLOOKUP(P286,'Settings'!$E$28:$F$33,2,FALSE)+1),1)</f>
        <v>0.450039934888236</v>
      </c>
      <c r="AF286" s="79">
        <f>VLOOKUP(B286,'Player Data'!$A1:$AE667,20,FALSE)*$Q286</f>
        <v>0</v>
      </c>
      <c r="AG286" s="79">
        <f>VLOOKUP(B286,'Player Data'!$A1:$AE667,21,FALSE)*$Q286</f>
        <v>0</v>
      </c>
      <c r="AH286" s="81">
        <f>VLOOKUP(B286,'Player Data'!$A1:$AE667,22,FALSE)</f>
        <v>0</v>
      </c>
      <c r="AI286" s="77"/>
      <c r="AJ286" s="89"/>
      <c r="AK286" s="79"/>
      <c r="AL286" s="79"/>
      <c r="AM286" s="79"/>
      <c r="AN286" s="79"/>
      <c r="AO286" s="79"/>
      <c r="AP286" s="79"/>
      <c r="AQ286" s="82"/>
      <c r="AR286" s="83"/>
      <c r="AS286" s="84"/>
    </row>
    <row r="287" ht="21.25" customHeight="1">
      <c r="A287" s="85">
        <f>RANK(K287,K$1:K$665)</f>
        <v>272</v>
      </c>
      <c r="B287" t="s" s="16">
        <v>476</v>
      </c>
      <c r="C287" t="s" s="69">
        <v>127</v>
      </c>
      <c r="D287" t="s" s="70">
        <f>VLOOKUP(B287,'Player Data'!A1:D667,4,FALSE)</f>
        <v>153</v>
      </c>
      <c r="E287" s="95">
        <f>VLOOKUP(B287,'D'!A1:C213,3,FALSE)</f>
        <v>87</v>
      </c>
      <c r="F287" t="s" s="88">
        <f>VLOOKUP(B287,'Player Data'!A1:B667,2,FALSE)</f>
        <v>143</v>
      </c>
      <c r="G287" s="11">
        <f>VLOOKUP(B287,'Player Data'!A1:D667,3,FALSE)</f>
        <v>30</v>
      </c>
      <c r="H287" s="73">
        <f>_xlfn.IFERROR(VLOOKUP(B287,'ADP'!A1:G665,7,FALSE)/1000000,VLOOKUP(B287,'ADP'!A1:G665,7,FALSE))</f>
        <v>6.5</v>
      </c>
      <c r="I287" s="74">
        <f>IF('Settings'!$E$15="POINTS",((R287*Q287)*'Settings'!$B$12)+(S287*'Settings'!$B$2)+(T287*'Settings'!$B$3)+(U287*'Settings'!$B$4)+(V287*'Settings'!$B$5)+(X287*'Settings'!$B$9)+(AA287*'Settings'!$B$6)+(W287*'Settings'!$B$8)+(AB287*'Settings'!$B$7)+(AC287*'Settings'!$B$14)+(AD287*'Settings'!$B$15)+(AE287*'Settings'!$B$16)+(AF287*'Settings'!$B$17)+(AG287*'Settings'!$B$18)+(U287*'Settings'!$B$13)+(Y287*'Settings'!$B$10)+(Z287*'Settings'!$B$11),VLOOKUP(B287,'Standard Deviations'!A1:C666,3,FALSE))</f>
        <v>240.749146512152</v>
      </c>
      <c r="J287" s="75">
        <f>IF(D287="G",I287/AJ287,I287/Q287)</f>
        <v>3.04524107785032</v>
      </c>
      <c r="K287" s="74">
        <f>VLOOKUP(B287,'D'!A1:F213,6,FALSE)</f>
        <v>-90.791061407930</v>
      </c>
      <c r="L287" s="76">
        <f>_xlfn.IFERROR(K287/H287,"N/A")</f>
        <v>-13.967855601220</v>
      </c>
      <c r="M287" s="77">
        <f>IF('Settings'!$E$9="YAHOO",VLOOKUP(B287,'ADP'!A1:E665,2,FALSE),IF('Settings'!$E$9="ESPN",VLOOKUP(B287,'ADP'!A1:E665,3,FALSE),IF('Settings'!$E$9="FANTRAX",VLOOKUP(B287,'ADP'!A1:E665,4,FALSE),VLOOKUP(B287,'ADP'!A1:E665,5,FALSE))))</f>
        <v>0</v>
      </c>
      <c r="N287" s="77">
        <f>_xlfn.IFERROR(M287-A287,"N/A")</f>
        <v>-272</v>
      </c>
      <c r="O287" s="77"/>
      <c r="P287" t="s" s="78">
        <f>IF('Settings'!$E$27="ON",VLOOKUP(B287,'ADP'!A1:H665,8,FALSE)," ")</f>
        <v>138</v>
      </c>
      <c r="Q287" s="79">
        <f>IF('Settings'!$E$12="YES",VLOOKUP(B287,'Player Data'!A1:E667,5,FALSE),82)</f>
        <v>79.0575</v>
      </c>
      <c r="R287" s="77">
        <f>VLOOKUP(B287,'Player Data'!$A1:$AE667,6,FALSE)</f>
        <v>23.2622512794598</v>
      </c>
      <c r="S287" s="79">
        <f>VLOOKUP(B287,'Player Data'!$A1:$AE667,7,FALSE)*$Q287*_xlfn.IFERROR((VLOOKUP(P287,'Settings'!$E$28:$F$33,2,FALSE)+1),1)</f>
        <v>6.38780484746315</v>
      </c>
      <c r="T287" s="79">
        <f>VLOOKUP(B287,'Player Data'!$A1:$AE667,8,FALSE)*$Q287*_xlfn.IFERROR((VLOOKUP(P287,'Settings'!$E$28:$F$33,2,FALSE)+1),1)</f>
        <v>30.7833559666821</v>
      </c>
      <c r="U287" s="79">
        <f>SUM(S287:T287)</f>
        <v>37.1711608141453</v>
      </c>
      <c r="V287" s="79">
        <f>VLOOKUP(B287,'Player Data'!$A1:$AE667,10,FALSE)*$Q287*_xlfn.IFERROR(((VLOOKUP(P287,'Settings'!$E$28:$F$33,2,FALSE)/2)+1),1)</f>
        <v>128.569421546843</v>
      </c>
      <c r="W287" s="79">
        <f>VLOOKUP(B287,'Player Data'!$A1:$AE667,11,FALSE)*$Q287*_xlfn.IFERROR((VLOOKUP(P287,'Settings'!$E$28:$F$33,2,FALSE)+1),1)</f>
        <v>1.01657013269654</v>
      </c>
      <c r="X287" s="79">
        <f>VLOOKUP(B287,'Player Data'!$A1:$AE667,12,FALSE)*$Q287*_xlfn.IFERROR((VLOOKUP(P287,'Settings'!$E$28:$F$33,2,FALSE)+1),1)</f>
        <v>8.88894527535343</v>
      </c>
      <c r="Y287" s="79">
        <f>VLOOKUP(B287,'Player Data'!$A1:$AE667,13,FALSE)*$Q287</f>
        <v>0.0259167643972786</v>
      </c>
      <c r="Z287" s="79">
        <f>VLOOKUP(B287,'Player Data'!$A1:$AE667,14,FALSE)*$Q287</f>
        <v>0.263192404480482</v>
      </c>
      <c r="AA287" s="79">
        <f>VLOOKUP(B287,'Player Data'!$A1:$AE667,15,FALSE)*$Q287</f>
        <v>111.464588997470</v>
      </c>
      <c r="AB287" s="79">
        <f>VLOOKUP(B287,'Player Data'!$A1:$AE667,16,FALSE)*$Q287</f>
        <v>69.2770871835548</v>
      </c>
      <c r="AC287" s="79">
        <f>VLOOKUP(B287,'Player Data'!$A1:$AE667,17,FALSE)*$Q287*_xlfn.IFERROR((VLOOKUP(P287,'Settings'!$E$28:$F$33,2,FALSE)+1),1)</f>
        <v>4.36929644936127</v>
      </c>
      <c r="AD287" s="79">
        <f>VLOOKUP(B287,'Player Data'!$A1:$AE667,18,FALSE)*$Q287</f>
        <v>53.4569368743996</v>
      </c>
      <c r="AE287" s="79">
        <f>VLOOKUP(B287,'Player Data'!$A1:$AE667,19,FALSE)*$Q287*_xlfn.IFERROR((VLOOKUP(P287,'Settings'!$E$28:$F$33,2,FALSE)+1),1)</f>
        <v>0.994924354643044</v>
      </c>
      <c r="AF287" s="79">
        <f>VLOOKUP(B287,'Player Data'!$A1:$AE667,20,FALSE)*$Q287</f>
        <v>0</v>
      </c>
      <c r="AG287" s="79">
        <f>VLOOKUP(B287,'Player Data'!$A1:$AE667,21,FALSE)*$Q287</f>
        <v>0</v>
      </c>
      <c r="AH287" s="81">
        <f>VLOOKUP(B287,'Player Data'!$A1:$AE667,22,FALSE)</f>
        <v>0</v>
      </c>
      <c r="AI287" s="77"/>
      <c r="AJ287" s="79"/>
      <c r="AK287" s="79"/>
      <c r="AL287" s="79"/>
      <c r="AM287" s="79"/>
      <c r="AN287" s="79"/>
      <c r="AO287" s="79"/>
      <c r="AP287" s="79"/>
      <c r="AQ287" s="82"/>
      <c r="AR287" s="83"/>
      <c r="AS287" s="84"/>
    </row>
    <row r="288" ht="21.25" customHeight="1">
      <c r="A288" s="85">
        <f>RANK(K288,K$1:K$665)</f>
        <v>306</v>
      </c>
      <c r="B288" t="s" s="16">
        <v>477</v>
      </c>
      <c r="C288" t="s" s="69">
        <v>127</v>
      </c>
      <c r="D288" t="s" s="70">
        <f>VLOOKUP(B288,'Player Data'!A1:D667,4,FALSE)</f>
        <v>128</v>
      </c>
      <c r="E288" s="71">
        <f>VLOOKUP(B288,'C'!A1:C206,3,FALSE)</f>
        <v>93</v>
      </c>
      <c r="F288" t="s" s="88">
        <f>VLOOKUP(B288,'Player Data'!A1:B667,2,FALSE)</f>
        <v>137</v>
      </c>
      <c r="G288" s="11">
        <f>VLOOKUP(B288,'Player Data'!A1:D667,3,FALSE)</f>
        <v>25</v>
      </c>
      <c r="H288" s="73">
        <f>_xlfn.IFERROR(VLOOKUP(B288,'ADP'!A1:G665,7,FALSE)/1000000,VLOOKUP(B288,'ADP'!A1:G665,7,FALSE))</f>
        <v>7.95</v>
      </c>
      <c r="I288" s="74">
        <f>IF('Settings'!$E$15="POINTS",((R288*Q288)*'Settings'!$B$12)+(S288*'Settings'!$B$2)+(T288*'Settings'!$B$3)+(U288*'Settings'!$B$4)+(V288*'Settings'!$B$5)+(X288*'Settings'!$B$9)+(AA288*'Settings'!$B$6)+(W288*'Settings'!$B$8)+(AB288*'Settings'!$B$7)+(AC288*'Settings'!$B$14)+(AD288*'Settings'!$B$15)+(AE288*'Settings'!$B$16)+(AF288*'Settings'!$B$17)+(AG288*'Settings'!$B$18)+(Y288*'Settings'!$B$10)+(Z288*'Settings'!$B$11),VLOOKUP(B288,'Standard Deviations'!A1:C666,3,FALSE))</f>
        <v>228.437869129711</v>
      </c>
      <c r="J288" s="75">
        <f>IF(D288="G",I288/AJ288,I288/Q288)</f>
        <v>3.37925841907857</v>
      </c>
      <c r="K288" s="74">
        <f>IF('Settings'!$E$18="C/LW/RW",VLOOKUP(B288,'C'!A1:F206,6,FALSE),VLOOKUP(B288,'F'!A1:F392,6,FALSE))</f>
        <v>-101.254024951467</v>
      </c>
      <c r="L288" s="76">
        <f>_xlfn.IFERROR(K288/H288,"N/A")</f>
        <v>-12.7363553398072</v>
      </c>
      <c r="M288" s="109">
        <f>IF('Settings'!$E$9="YAHOO",VLOOKUP(B288,'ADP'!A1:E665,2,FALSE),IF('Settings'!$E$9="ESPN",VLOOKUP(B288,'ADP'!A1:E665,3,FALSE),IF('Settings'!$E$9="FANTRAX",VLOOKUP(B288,'ADP'!A1:E665,4,FALSE),VLOOKUP(B288,'ADP'!A1:E665,5,FALSE))))</f>
        <v>0</v>
      </c>
      <c r="N288" s="79">
        <f>_xlfn.IFERROR(M288-A288,"N/A")</f>
        <v>-306</v>
      </c>
      <c r="O288" s="77"/>
      <c r="P288" t="s" s="78">
        <f>IF('Settings'!$E$27="ON",VLOOKUP(B288,'ADP'!A1:H665,8,FALSE)," ")</f>
        <v>138</v>
      </c>
      <c r="Q288" s="79">
        <f>IF('Settings'!$E$12="YES",VLOOKUP(B288,'Player Data'!A1:E667,5,FALSE),82)</f>
        <v>67.59999999999999</v>
      </c>
      <c r="R288" s="77">
        <f>VLOOKUP(B288,'Player Data'!$A1:$AE667,6,FALSE)</f>
        <v>16.7821748279087</v>
      </c>
      <c r="S288" s="79">
        <f>VLOOKUP(B288,'Player Data'!$A1:$AE667,7,FALSE)*$Q288*_xlfn.IFERROR((VLOOKUP(P288,'Settings'!$E$28:$F$33,2,FALSE)+1),1)</f>
        <v>20.1055314655984</v>
      </c>
      <c r="T288" s="79">
        <f>VLOOKUP(B288,'Player Data'!$A1:$AE667,8,FALSE)*$Q288*_xlfn.IFERROR((VLOOKUP(P288,'Settings'!$E$28:$F$33,2,FALSE)+1),1)</f>
        <v>17.2981137419487</v>
      </c>
      <c r="U288" s="79">
        <f>SUM(S288:T288)</f>
        <v>37.4036452075471</v>
      </c>
      <c r="V288" s="79">
        <f>VLOOKUP(B288,'Player Data'!$A1:$AE667,10,FALSE)*$Q288*_xlfn.IFERROR(((VLOOKUP(P288,'Settings'!$E$28:$F$33,2,FALSE)/2)+1),1)</f>
        <v>144.145625810762</v>
      </c>
      <c r="W288" s="79">
        <f>VLOOKUP(B288,'Player Data'!$A1:$AE667,11,FALSE)*$Q288*_xlfn.IFERROR((VLOOKUP(P288,'Settings'!$E$28:$F$33,2,FALSE)+1),1)</f>
        <v>6.15432127913328</v>
      </c>
      <c r="X288" s="101">
        <f>VLOOKUP(B288,'Player Data'!$A1:$AE667,12,FALSE)*$Q288*_xlfn.IFERROR((VLOOKUP(P288,'Settings'!$E$28:$F$33,2,FALSE)+1),1)</f>
        <v>12.2575513749725</v>
      </c>
      <c r="Y288" s="79">
        <f>VLOOKUP(B288,'Player Data'!$A1:$AE667,13,FALSE)*$Q288</f>
        <v>0.156261973839433</v>
      </c>
      <c r="Z288" s="79">
        <f>VLOOKUP(B288,'Player Data'!$A1:$AE667,14,FALSE)*$Q288</f>
        <v>0.950411483288304</v>
      </c>
      <c r="AA288" s="79">
        <f>VLOOKUP(B288,'Player Data'!$A1:$AE667,15,FALSE)*$Q288</f>
        <v>39.7861620699225</v>
      </c>
      <c r="AB288" s="79">
        <f>VLOOKUP(B288,'Player Data'!$A1:$AE667,16,FALSE)*$Q288</f>
        <v>100.313093903642</v>
      </c>
      <c r="AC288" s="79">
        <f>VLOOKUP(B288,'Player Data'!$A1:$AE667,17,FALSE)*$Q288*_xlfn.IFERROR((VLOOKUP(P288,'Settings'!$E$28:$F$33,2,FALSE)+1),1)</f>
        <v>-1.88382827146488</v>
      </c>
      <c r="AD288" s="79">
        <f>VLOOKUP(B288,'Player Data'!$A1:$AE667,18,FALSE)*$Q288</f>
        <v>25.6424732964203</v>
      </c>
      <c r="AE288" s="79">
        <f>VLOOKUP(B288,'Player Data'!$A1:$AE667,19,FALSE)*$Q288*_xlfn.IFERROR((VLOOKUP(P288,'Settings'!$E$28:$F$33,2,FALSE)+1),1)</f>
        <v>3.12167004782239</v>
      </c>
      <c r="AF288" s="79">
        <f>VLOOKUP(B288,'Player Data'!$A1:$AE667,20,FALSE)*$Q288</f>
        <v>433.600840395840</v>
      </c>
      <c r="AG288" s="79">
        <f>VLOOKUP(B288,'Player Data'!$A1:$AE667,21,FALSE)*$Q288</f>
        <v>398.798932918999</v>
      </c>
      <c r="AH288" s="81">
        <f>VLOOKUP(B288,'Player Data'!$A1:$AE667,22,FALSE)</f>
        <v>0.520904563283487</v>
      </c>
      <c r="AI288" s="77"/>
      <c r="AJ288" s="89"/>
      <c r="AK288" s="79"/>
      <c r="AL288" s="79"/>
      <c r="AM288" s="79"/>
      <c r="AN288" s="79"/>
      <c r="AO288" s="79"/>
      <c r="AP288" s="79"/>
      <c r="AQ288" s="82"/>
      <c r="AR288" s="83"/>
      <c r="AS288" s="84"/>
    </row>
    <row r="289" ht="21.25" customHeight="1">
      <c r="A289" s="85">
        <f>RANK(K289,K$1:K$665)</f>
        <v>273</v>
      </c>
      <c r="B289" t="s" s="16">
        <v>478</v>
      </c>
      <c r="C289" t="s" s="69">
        <v>127</v>
      </c>
      <c r="D289" t="s" s="70">
        <f>VLOOKUP(B289,'Player Data'!A1:D667,4,FALSE)</f>
        <v>153</v>
      </c>
      <c r="E289" s="95">
        <f>VLOOKUP(B289,'D'!A1:C213,3,FALSE)</f>
        <v>88</v>
      </c>
      <c r="F289" t="s" s="103">
        <f>VLOOKUP(B289,'Player Data'!A1:B667,2,FALSE)</f>
        <v>227</v>
      </c>
      <c r="G289" s="11">
        <f>VLOOKUP(B289,'Player Data'!A1:D667,3,FALSE)</f>
        <v>30</v>
      </c>
      <c r="H289" s="73">
        <f>_xlfn.IFERROR(VLOOKUP(B289,'ADP'!A1:G665,7,FALSE)/1000000,VLOOKUP(B289,'ADP'!A1:G665,7,FALSE))</f>
        <v>5.3</v>
      </c>
      <c r="I289" s="74">
        <f>IF('Settings'!$E$15="POINTS",((R289*Q289)*'Settings'!$B$12)+(S289*'Settings'!$B$2)+(T289*'Settings'!$B$3)+(U289*'Settings'!$B$4)+(V289*'Settings'!$B$5)+(X289*'Settings'!$B$9)+(AA289*'Settings'!$B$6)+(W289*'Settings'!$B$8)+(AB289*'Settings'!$B$7)+(AC289*'Settings'!$B$14)+(AD289*'Settings'!$B$15)+(AE289*'Settings'!$B$16)+(AF289*'Settings'!$B$17)+(AG289*'Settings'!$B$18)+(U289*'Settings'!$B$13)+(Y289*'Settings'!$B$10)+(Z289*'Settings'!$B$11),VLOOKUP(B289,'Standard Deviations'!A1:C666,3,FALSE))</f>
        <v>240.269528923372</v>
      </c>
      <c r="J289" s="75">
        <f>IF(D289="G",I289/AJ289,I289/Q289)</f>
        <v>2.97630335292647</v>
      </c>
      <c r="K289" s="74">
        <f>VLOOKUP(B289,'D'!A1:F213,6,FALSE)</f>
        <v>-91.270678996710</v>
      </c>
      <c r="L289" s="76">
        <f>_xlfn.IFERROR(K289/H289,"N/A")</f>
        <v>-17.2208828295679</v>
      </c>
      <c r="M289" s="77">
        <f>IF('Settings'!$E$9="YAHOO",VLOOKUP(B289,'ADP'!A1:E665,2,FALSE),IF('Settings'!$E$9="ESPN",VLOOKUP(B289,'ADP'!A1:E665,3,FALSE),IF('Settings'!$E$9="FANTRAX",VLOOKUP(B289,'ADP'!A1:E665,4,FALSE),VLOOKUP(B289,'ADP'!A1:E665,5,FALSE))))</f>
        <v>0</v>
      </c>
      <c r="N289" s="77">
        <f>_xlfn.IFERROR(M289-A289,"N/A")</f>
        <v>-273</v>
      </c>
      <c r="O289" s="77"/>
      <c r="P289" t="s" s="78">
        <f>IF('Settings'!$E$27="ON",VLOOKUP(B289,'ADP'!A1:H665,8,FALSE)," ")</f>
        <v>138</v>
      </c>
      <c r="Q289" s="79">
        <f>IF('Settings'!$E$12="YES",VLOOKUP(B289,'Player Data'!A1:E667,5,FALSE),82)</f>
        <v>80.72750000000001</v>
      </c>
      <c r="R289" s="77">
        <f>VLOOKUP(B289,'Player Data'!$A1:$AE667,6,FALSE)</f>
        <v>21.613160252080</v>
      </c>
      <c r="S289" s="79">
        <f>VLOOKUP(B289,'Player Data'!$A1:$AE667,7,FALSE)*$Q289*_xlfn.IFERROR((VLOOKUP(P289,'Settings'!$E$28:$F$33,2,FALSE)+1),1)</f>
        <v>5.96222258054494</v>
      </c>
      <c r="T289" s="79">
        <f>VLOOKUP(B289,'Player Data'!$A1:$AE667,8,FALSE)*$Q289*_xlfn.IFERROR((VLOOKUP(P289,'Settings'!$E$28:$F$33,2,FALSE)+1),1)</f>
        <v>27.9669875731423</v>
      </c>
      <c r="U289" s="79">
        <f>SUM(S289:T289)</f>
        <v>33.9292101536872</v>
      </c>
      <c r="V289" s="79">
        <f>VLOOKUP(B289,'Player Data'!$A1:$AE667,10,FALSE)*$Q289*_xlfn.IFERROR(((VLOOKUP(P289,'Settings'!$E$28:$F$33,2,FALSE)/2)+1),1)</f>
        <v>148.310967650546</v>
      </c>
      <c r="W289" s="79">
        <f>VLOOKUP(B289,'Player Data'!$A1:$AE667,11,FALSE)*$Q289*_xlfn.IFERROR((VLOOKUP(P289,'Settings'!$E$28:$F$33,2,FALSE)+1),1)</f>
        <v>0.116196066266045</v>
      </c>
      <c r="X289" s="79">
        <f>VLOOKUP(B289,'Player Data'!$A1:$AE667,12,FALSE)*$Q289*_xlfn.IFERROR((VLOOKUP(P289,'Settings'!$E$28:$F$33,2,FALSE)+1),1)</f>
        <v>0.73642438731893</v>
      </c>
      <c r="Y289" s="79">
        <f>VLOOKUP(B289,'Player Data'!$A1:$AE667,13,FALSE)*$Q289</f>
        <v>0.785615481975255</v>
      </c>
      <c r="Z289" s="79">
        <f>VLOOKUP(B289,'Player Data'!$A1:$AE667,14,FALSE)*$Q289</f>
        <v>1.39178154411574</v>
      </c>
      <c r="AA289" s="79">
        <f>VLOOKUP(B289,'Player Data'!$A1:$AE667,15,FALSE)*$Q289</f>
        <v>121.526299842212</v>
      </c>
      <c r="AB289" s="79">
        <f>VLOOKUP(B289,'Player Data'!$A1:$AE667,16,FALSE)*$Q289</f>
        <v>58.7178455465681</v>
      </c>
      <c r="AC289" s="79">
        <f>VLOOKUP(B289,'Player Data'!$A1:$AE667,17,FALSE)*$Q289*_xlfn.IFERROR((VLOOKUP(P289,'Settings'!$E$28:$F$33,2,FALSE)+1),1)</f>
        <v>8.28928386012708</v>
      </c>
      <c r="AD289" s="79">
        <f>VLOOKUP(B289,'Player Data'!$A1:$AE667,18,FALSE)*$Q289</f>
        <v>14.4638612452308</v>
      </c>
      <c r="AE289" s="79">
        <f>VLOOKUP(B289,'Player Data'!$A1:$AE667,19,FALSE)*$Q289*_xlfn.IFERROR((VLOOKUP(P289,'Settings'!$E$28:$F$33,2,FALSE)+1),1)</f>
        <v>1.03316723471192</v>
      </c>
      <c r="AF289" s="79">
        <f>VLOOKUP(B289,'Player Data'!$A1:$AE667,20,FALSE)*$Q289</f>
        <v>0</v>
      </c>
      <c r="AG289" s="79">
        <f>VLOOKUP(B289,'Player Data'!$A1:$AE667,21,FALSE)*$Q289</f>
        <v>0</v>
      </c>
      <c r="AH289" s="81">
        <f>VLOOKUP(B289,'Player Data'!$A1:$AE667,22,FALSE)</f>
        <v>0</v>
      </c>
      <c r="AI289" s="77"/>
      <c r="AJ289" s="89"/>
      <c r="AK289" s="79"/>
      <c r="AL289" s="79"/>
      <c r="AM289" s="79"/>
      <c r="AN289" s="79"/>
      <c r="AO289" s="79"/>
      <c r="AP289" s="79"/>
      <c r="AQ289" s="82"/>
      <c r="AR289" s="83"/>
      <c r="AS289" s="84"/>
    </row>
    <row r="290" ht="21.25" customHeight="1">
      <c r="A290" s="85">
        <f>RANK(K290,K$1:K$665)</f>
        <v>292</v>
      </c>
      <c r="B290" t="s" s="16">
        <v>479</v>
      </c>
      <c r="C290" t="s" s="69">
        <v>127</v>
      </c>
      <c r="D290" t="s" s="70">
        <f>VLOOKUP(B290,'Player Data'!A1:D667,4,FALSE)</f>
        <v>145</v>
      </c>
      <c r="E290" s="87">
        <f>VLOOKUP(B290,'RW'!A1:C136,3,FALSE)</f>
        <v>64</v>
      </c>
      <c r="F290" t="s" s="103">
        <f>VLOOKUP(B290,'Player Data'!A1:B667,2,FALSE)</f>
        <v>182</v>
      </c>
      <c r="G290" s="11">
        <f>VLOOKUP(B290,'Player Data'!A1:D667,3,FALSE)</f>
        <v>29</v>
      </c>
      <c r="H290" s="73">
        <f>_xlfn.IFERROR(VLOOKUP(B290,'ADP'!A1:G665,7,FALSE)/1000000,VLOOKUP(B290,'ADP'!A1:G665,7,FALSE))</f>
        <v>4</v>
      </c>
      <c r="I290" s="74">
        <f>IF('Settings'!$E$15="POINTS",((R290*Q290)*'Settings'!$B$12)+(S290*'Settings'!$B$2)+(T290*'Settings'!$B$3)+(U290*'Settings'!$B$4)+(V290*'Settings'!$B$5)+(X290*'Settings'!$B$9)+(AA290*'Settings'!$B$6)+(W290*'Settings'!$B$8)+(AB290*'Settings'!$B$7)+(AC290*'Settings'!$B$14)+(AD290*'Settings'!$B$15)+(AE290*'Settings'!$B$16)+(AF290*'Settings'!$B$17)+(AG290*'Settings'!$B$18)+(Y290*'Settings'!$B$10)+(Z290*'Settings'!$B$11),VLOOKUP(B290,'Standard Deviations'!A1:C666,3,FALSE))</f>
        <v>233.299422632730</v>
      </c>
      <c r="J290" s="75">
        <f>IF(D290="G",I290/AJ290,I290/Q290)</f>
        <v>3.0123557588396</v>
      </c>
      <c r="K290" s="74">
        <f>IF('Settings'!$E$18="C/LW/RW",VLOOKUP(B290,'RW'!A1:F136,6,FALSE),VLOOKUP(B290,'F'!A1:F392,6,FALSE))</f>
        <v>-96.39247144844801</v>
      </c>
      <c r="L290" s="76">
        <f>_xlfn.IFERROR(K290/H290,"N/A")</f>
        <v>-24.098117862112</v>
      </c>
      <c r="M290" s="109">
        <f>IF('Settings'!$E$9="YAHOO",VLOOKUP(B290,'ADP'!A1:E665,2,FALSE),IF('Settings'!$E$9="ESPN",VLOOKUP(B290,'ADP'!A1:E665,3,FALSE),IF('Settings'!$E$9="FANTRAX",VLOOKUP(B290,'ADP'!A1:E665,4,FALSE),VLOOKUP(B290,'ADP'!A1:E665,5,FALSE))))</f>
        <v>0</v>
      </c>
      <c r="N290" s="79">
        <f>_xlfn.IFERROR(M290-A290,"N/A")</f>
        <v>-292</v>
      </c>
      <c r="O290" s="77"/>
      <c r="P290" t="s" s="78">
        <f>IF('Settings'!$E$27="ON",VLOOKUP(B290,'ADP'!A1:H665,8,FALSE)," ")</f>
        <v>138</v>
      </c>
      <c r="Q290" s="79">
        <f>IF('Settings'!$E$12="YES",VLOOKUP(B290,'Player Data'!A1:E667,5,FALSE),82)</f>
        <v>77.44750000000001</v>
      </c>
      <c r="R290" s="108">
        <f>VLOOKUP(B290,'Player Data'!$A1:$AE667,6,FALSE)</f>
        <v>15.516700292514</v>
      </c>
      <c r="S290" s="79">
        <f>VLOOKUP(B290,'Player Data'!$A1:$AE667,7,FALSE)*$Q290*_xlfn.IFERROR((VLOOKUP(P290,'Settings'!$E$28:$F$33,2,FALSE)+1),1)</f>
        <v>18.7657994001056</v>
      </c>
      <c r="T290" s="79">
        <f>VLOOKUP(B290,'Player Data'!$A1:$AE667,8,FALSE)*$Q290*_xlfn.IFERROR((VLOOKUP(P290,'Settings'!$E$28:$F$33,2,FALSE)+1),1)</f>
        <v>22.3098824266763</v>
      </c>
      <c r="U290" s="79">
        <f>SUM(S290:T290)</f>
        <v>41.0756818267819</v>
      </c>
      <c r="V290" s="79">
        <f>VLOOKUP(B290,'Player Data'!$A1:$AE667,10,FALSE)*$Q290*_xlfn.IFERROR(((VLOOKUP(P290,'Settings'!$E$28:$F$33,2,FALSE)/2)+1),1)</f>
        <v>170.810849939931</v>
      </c>
      <c r="W290" s="79">
        <f>VLOOKUP(B290,'Player Data'!$A1:$AE667,11,FALSE)*$Q290*_xlfn.IFERROR((VLOOKUP(P290,'Settings'!$E$28:$F$33,2,FALSE)+1),1)</f>
        <v>2.46889705598258</v>
      </c>
      <c r="X290" s="79">
        <f>VLOOKUP(B290,'Player Data'!$A1:$AE667,12,FALSE)*$Q290*_xlfn.IFERROR((VLOOKUP(P290,'Settings'!$E$28:$F$33,2,FALSE)+1),1)</f>
        <v>5.89272897615452</v>
      </c>
      <c r="Y290" s="79">
        <f>VLOOKUP(B290,'Player Data'!$A1:$AE667,13,FALSE)*$Q290</f>
        <v>0.5518863158983091</v>
      </c>
      <c r="Z290" s="79">
        <f>VLOOKUP(B290,'Player Data'!$A1:$AE667,14,FALSE)*$Q290</f>
        <v>0.855038737467655</v>
      </c>
      <c r="AA290" s="79">
        <f>VLOOKUP(B290,'Player Data'!$A1:$AE667,15,FALSE)*$Q290</f>
        <v>58.6690048928483</v>
      </c>
      <c r="AB290" s="79">
        <f>VLOOKUP(B290,'Player Data'!$A1:$AE667,16,FALSE)*$Q290</f>
        <v>73.9137147936933</v>
      </c>
      <c r="AC290" s="79">
        <f>VLOOKUP(B290,'Player Data'!$A1:$AE667,17,FALSE)*$Q290*_xlfn.IFERROR((VLOOKUP(P290,'Settings'!$E$28:$F$33,2,FALSE)+1),1)</f>
        <v>1.31815171090133</v>
      </c>
      <c r="AD290" s="79">
        <f>VLOOKUP(B290,'Player Data'!$A1:$AE667,18,FALSE)*$Q290</f>
        <v>59.0911099216505</v>
      </c>
      <c r="AE290" s="79">
        <f>VLOOKUP(B290,'Player Data'!$A1:$AE667,19,FALSE)*$Q290*_xlfn.IFERROR((VLOOKUP(P290,'Settings'!$E$28:$F$33,2,FALSE)+1),1)</f>
        <v>3.09784178330488</v>
      </c>
      <c r="AF290" s="79">
        <f>VLOOKUP(B290,'Player Data'!$A1:$AE667,20,FALSE)*$Q290</f>
        <v>359.183396613691</v>
      </c>
      <c r="AG290" s="79">
        <f>VLOOKUP(B290,'Player Data'!$A1:$AE667,21,FALSE)*$Q290</f>
        <v>435.391597600667</v>
      </c>
      <c r="AH290" s="81">
        <f>VLOOKUP(B290,'Player Data'!$A1:$AE667,22,FALSE)</f>
        <v>0.452044677002245</v>
      </c>
      <c r="AI290" s="77"/>
      <c r="AJ290" s="89"/>
      <c r="AK290" s="79"/>
      <c r="AL290" s="79"/>
      <c r="AM290" s="79"/>
      <c r="AN290" s="79"/>
      <c r="AO290" s="79"/>
      <c r="AP290" s="79"/>
      <c r="AQ290" s="82"/>
      <c r="AR290" s="83"/>
      <c r="AS290" s="84"/>
    </row>
    <row r="291" ht="21.25" customHeight="1">
      <c r="A291" s="85">
        <f>RANK(K291,K$1:K$665)</f>
        <v>299</v>
      </c>
      <c r="B291" t="s" s="16">
        <v>480</v>
      </c>
      <c r="C291" t="s" s="69">
        <v>127</v>
      </c>
      <c r="D291" t="s" s="70">
        <f>VLOOKUP(B291,'Player Data'!A1:D667,4,FALSE)</f>
        <v>178</v>
      </c>
      <c r="E291" s="102">
        <f>VLOOKUP(B291,'LW'!A1:C152,3,FALSE)</f>
        <v>70</v>
      </c>
      <c r="F291" t="s" s="78">
        <f>VLOOKUP(B291,'Player Data'!A1:B667,2,FALSE)</f>
        <v>244</v>
      </c>
      <c r="G291" s="91">
        <f>VLOOKUP(B291,'Player Data'!A1:D667,3,FALSE)</f>
        <v>36</v>
      </c>
      <c r="H291" s="73">
        <f>_xlfn.IFERROR(VLOOKUP(B291,'ADP'!A1:G665,7,FALSE)/1000000,VLOOKUP(B291,'ADP'!A1:G665,7,FALSE))</f>
        <v>4.5</v>
      </c>
      <c r="I291" s="74">
        <f>IF('Settings'!$E$15="POINTS",((R291*Q291)*'Settings'!$B$12)+(S291*'Settings'!$B$2)+(T291*'Settings'!$B$3)+(U291*'Settings'!$B$4)+(V291*'Settings'!$B$5)+(X291*'Settings'!$B$9)+(AA291*'Settings'!$B$6)+(W291*'Settings'!$B$8)+(AB291*'Settings'!$B$7)+(AC291*'Settings'!$B$14)+(AD291*'Settings'!$B$15)+(AE291*'Settings'!$B$16)+(AF291*'Settings'!$B$17)+(AG291*'Settings'!$B$18)+(Y291*'Settings'!$B$10)+(Z291*'Settings'!$B$11),VLOOKUP(B291,'Standard Deviations'!A1:C666,3,FALSE))</f>
        <v>232.984498625169</v>
      </c>
      <c r="J291" s="75">
        <f>IF(D291="G",I291/AJ291,I291/Q291)</f>
        <v>3.07428249159028</v>
      </c>
      <c r="K291" s="74">
        <f>IF('Settings'!$E$18="C/LW/RW",VLOOKUP(B291,'LW'!A1:F152,6,FALSE),VLOOKUP(B291,'F'!A1:F392,6,FALSE))</f>
        <v>-98.735613141043</v>
      </c>
      <c r="L291" s="76">
        <f>_xlfn.IFERROR(K291/H291,"N/A")</f>
        <v>-21.9412473646762</v>
      </c>
      <c r="M291" s="109">
        <f>IF('Settings'!$E$9="YAHOO",VLOOKUP(B291,'ADP'!A1:E665,2,FALSE),IF('Settings'!$E$9="ESPN",VLOOKUP(B291,'ADP'!A1:E665,3,FALSE),IF('Settings'!$E$9="FANTRAX",VLOOKUP(B291,'ADP'!A1:E665,4,FALSE),VLOOKUP(B291,'ADP'!A1:E665,5,FALSE))))</f>
        <v>0</v>
      </c>
      <c r="N291" s="79">
        <f>_xlfn.IFERROR(M291-A291,"N/A")</f>
        <v>-299</v>
      </c>
      <c r="O291" s="77"/>
      <c r="P291" t="s" s="78">
        <f>IF('Settings'!$E$27="ON",VLOOKUP(B291,'ADP'!A1:H665,8,FALSE)," ")</f>
        <v>138</v>
      </c>
      <c r="Q291" s="79">
        <f>IF('Settings'!$E$12="YES",VLOOKUP(B291,'Player Data'!A1:E667,5,FALSE),82)</f>
        <v>75.785</v>
      </c>
      <c r="R291" s="108">
        <f>VLOOKUP(B291,'Player Data'!$A1:$AE667,6,FALSE)</f>
        <v>16.2124455879321</v>
      </c>
      <c r="S291" s="79">
        <f>VLOOKUP(B291,'Player Data'!$A1:$AE667,7,FALSE)*$Q291*_xlfn.IFERROR((VLOOKUP(P291,'Settings'!$E$28:$F$33,2,FALSE)+1),1)</f>
        <v>10.7084255356328</v>
      </c>
      <c r="T291" s="79">
        <f>VLOOKUP(B291,'Player Data'!$A1:$AE667,8,FALSE)*$Q291*_xlfn.IFERROR((VLOOKUP(P291,'Settings'!$E$28:$F$33,2,FALSE)+1),1)</f>
        <v>15.3693716320911</v>
      </c>
      <c r="U291" s="79">
        <f>SUM(S291:T291)</f>
        <v>26.0777971677239</v>
      </c>
      <c r="V291" s="79">
        <f>VLOOKUP(B291,'Player Data'!$A1:$AE667,10,FALSE)*$Q291*_xlfn.IFERROR(((VLOOKUP(P291,'Settings'!$E$28:$F$33,2,FALSE)/2)+1),1)</f>
        <v>128.457650883039</v>
      </c>
      <c r="W291" s="79">
        <f>VLOOKUP(B291,'Player Data'!$A1:$AE667,11,FALSE)*$Q291*_xlfn.IFERROR((VLOOKUP(P291,'Settings'!$E$28:$F$33,2,FALSE)+1),1)</f>
        <v>2.86105688947967</v>
      </c>
      <c r="X291" s="79">
        <f>VLOOKUP(B291,'Player Data'!$A1:$AE667,12,FALSE)*$Q291*_xlfn.IFERROR((VLOOKUP(P291,'Settings'!$E$28:$F$33,2,FALSE)+1),1)</f>
        <v>6.40716689783074</v>
      </c>
      <c r="Y291" s="79">
        <f>VLOOKUP(B291,'Player Data'!$A1:$AE667,13,FALSE)*$Q291</f>
        <v>0.8887236308865341</v>
      </c>
      <c r="Z291" s="79">
        <f>VLOOKUP(B291,'Player Data'!$A1:$AE667,14,FALSE)*$Q291</f>
        <v>1.08904381263379</v>
      </c>
      <c r="AA291" s="79">
        <f>VLOOKUP(B291,'Player Data'!$A1:$AE667,15,FALSE)*$Q291</f>
        <v>41.3443618842822</v>
      </c>
      <c r="AB291" s="79">
        <f>VLOOKUP(B291,'Player Data'!$A1:$AE667,16,FALSE)*$Q291</f>
        <v>177.860845274668</v>
      </c>
      <c r="AC291" s="79">
        <f>VLOOKUP(B291,'Player Data'!$A1:$AE667,17,FALSE)*$Q291*_xlfn.IFERROR((VLOOKUP(P291,'Settings'!$E$28:$F$33,2,FALSE)+1),1)</f>
        <v>-6.47519743763841</v>
      </c>
      <c r="AD291" s="79">
        <f>VLOOKUP(B291,'Player Data'!$A1:$AE667,18,FALSE)*$Q291</f>
        <v>58.7965126764113</v>
      </c>
      <c r="AE291" s="79">
        <f>VLOOKUP(B291,'Player Data'!$A1:$AE667,19,FALSE)*$Q291*_xlfn.IFERROR((VLOOKUP(P291,'Settings'!$E$28:$F$33,2,FALSE)+1),1)</f>
        <v>1.38390600113851</v>
      </c>
      <c r="AF291" s="79">
        <f>VLOOKUP(B291,'Player Data'!$A1:$AE667,20,FALSE)*$Q291</f>
        <v>186.191358102433</v>
      </c>
      <c r="AG291" s="79">
        <f>VLOOKUP(B291,'Player Data'!$A1:$AE667,21,FALSE)*$Q291</f>
        <v>158.599762156281</v>
      </c>
      <c r="AH291" s="81">
        <f>VLOOKUP(B291,'Player Data'!$A1:$AE667,22,FALSE)</f>
        <v>0.540012045445731</v>
      </c>
      <c r="AI291" s="77"/>
      <c r="AJ291" s="79"/>
      <c r="AK291" s="79"/>
      <c r="AL291" s="79"/>
      <c r="AM291" s="79"/>
      <c r="AN291" s="79"/>
      <c r="AO291" s="79"/>
      <c r="AP291" s="79"/>
      <c r="AQ291" s="82"/>
      <c r="AR291" s="83"/>
      <c r="AS291" s="84"/>
    </row>
    <row r="292" ht="21.25" customHeight="1">
      <c r="A292" s="85">
        <f>RANK(K292,K$1:K$665)</f>
        <v>277</v>
      </c>
      <c r="B292" t="s" s="16">
        <v>481</v>
      </c>
      <c r="C292" t="s" s="69">
        <v>127</v>
      </c>
      <c r="D292" t="s" s="70">
        <f>VLOOKUP(B292,'Player Data'!A1:D667,4,FALSE)</f>
        <v>153</v>
      </c>
      <c r="E292" s="95">
        <f>VLOOKUP(B292,'D'!A1:C213,3,FALSE)</f>
        <v>89</v>
      </c>
      <c r="F292" t="s" s="86">
        <f>VLOOKUP(B292,'Player Data'!A1:B667,2,FALSE)</f>
        <v>132</v>
      </c>
      <c r="G292" s="11">
        <f>VLOOKUP(B292,'Player Data'!A1:D667,3,FALSE)</f>
        <v>25</v>
      </c>
      <c r="H292" s="73">
        <f>_xlfn.IFERROR(VLOOKUP(B292,'ADP'!A1:G665,7,FALSE)/1000000,VLOOKUP(B292,'ADP'!A1:G665,7,FALSE))</f>
        <v>1.35</v>
      </c>
      <c r="I292" s="74">
        <f>IF('Settings'!$E$15="POINTS",((R292*Q292)*'Settings'!$B$12)+(S292*'Settings'!$B$2)+(T292*'Settings'!$B$3)+(U292*'Settings'!$B$4)+(V292*'Settings'!$B$5)+(X292*'Settings'!$B$9)+(AA292*'Settings'!$B$6)+(W292*'Settings'!$B$8)+(AB292*'Settings'!$B$7)+(AC292*'Settings'!$B$14)+(AD292*'Settings'!$B$15)+(AE292*'Settings'!$B$16)+(AF292*'Settings'!$B$17)+(AG292*'Settings'!$B$18)+(U292*'Settings'!$B$13)+(Y292*'Settings'!$B$10)+(Z292*'Settings'!$B$11),VLOOKUP(B292,'Standard Deviations'!A1:C666,3,FALSE))</f>
        <v>238.830632850018</v>
      </c>
      <c r="J292" s="75">
        <f>IF(D292="G",I292/AJ292,I292/Q292)</f>
        <v>3.16814529216712</v>
      </c>
      <c r="K292" s="74">
        <f>VLOOKUP(B292,'D'!A1:F213,6,FALSE)</f>
        <v>-92.70957507006401</v>
      </c>
      <c r="L292" s="76">
        <f>_xlfn.IFERROR(K292/H292,"N/A")</f>
        <v>-68.67375931115851</v>
      </c>
      <c r="M292" s="77">
        <f>IF('Settings'!$E$9="YAHOO",VLOOKUP(B292,'ADP'!A1:E665,2,FALSE),IF('Settings'!$E$9="ESPN",VLOOKUP(B292,'ADP'!A1:E665,3,FALSE),IF('Settings'!$E$9="FANTRAX",VLOOKUP(B292,'ADP'!A1:E665,4,FALSE),VLOOKUP(B292,'ADP'!A1:E665,5,FALSE))))</f>
        <v>0</v>
      </c>
      <c r="N292" s="77">
        <f>_xlfn.IFERROR(M292-A292,"N/A")</f>
        <v>-277</v>
      </c>
      <c r="O292" s="77"/>
      <c r="P292" t="s" s="78">
        <f>IF('Settings'!$E$27="ON",VLOOKUP(B292,'ADP'!A1:H665,8,FALSE)," ")</f>
        <v>138</v>
      </c>
      <c r="Q292" s="79">
        <f>IF('Settings'!$E$12="YES",VLOOKUP(B292,'Player Data'!A1:E667,5,FALSE),82)</f>
        <v>75.38500000000001</v>
      </c>
      <c r="R292" s="77">
        <f>VLOOKUP(B292,'Player Data'!$A1:$AE667,6,FALSE)</f>
        <v>17.0833208935938</v>
      </c>
      <c r="S292" s="79">
        <f>VLOOKUP(B292,'Player Data'!$A1:$AE667,7,FALSE)*$Q292*_xlfn.IFERROR((VLOOKUP(P292,'Settings'!$E$28:$F$33,2,FALSE)+1),1)</f>
        <v>2.28256373162685</v>
      </c>
      <c r="T292" s="79">
        <f>VLOOKUP(B292,'Player Data'!$A1:$AE667,8,FALSE)*$Q292*_xlfn.IFERROR((VLOOKUP(P292,'Settings'!$E$28:$F$33,2,FALSE)+1),1)</f>
        <v>7.68587253263175</v>
      </c>
      <c r="U292" s="79">
        <f>SUM(S292:T292)</f>
        <v>9.9684362642586</v>
      </c>
      <c r="V292" s="79">
        <f>VLOOKUP(B292,'Player Data'!$A1:$AE667,10,FALSE)*$Q292*_xlfn.IFERROR(((VLOOKUP(P292,'Settings'!$E$28:$F$33,2,FALSE)/2)+1),1)</f>
        <v>68.8080372023057</v>
      </c>
      <c r="W292" s="79">
        <f>VLOOKUP(B292,'Player Data'!$A1:$AE667,11,FALSE)*$Q292*_xlfn.IFERROR((VLOOKUP(P292,'Settings'!$E$28:$F$33,2,FALSE)+1),1)</f>
        <v>0.0173686822711052</v>
      </c>
      <c r="X292" s="79">
        <f>VLOOKUP(B292,'Player Data'!$A1:$AE667,12,FALSE)*$Q292*_xlfn.IFERROR((VLOOKUP(P292,'Settings'!$E$28:$F$33,2,FALSE)+1),1)</f>
        <v>0.112452170230345</v>
      </c>
      <c r="Y292" s="79">
        <f>VLOOKUP(B292,'Player Data'!$A1:$AE667,13,FALSE)*$Q292</f>
        <v>0.0188391668871855</v>
      </c>
      <c r="Z292" s="79">
        <f>VLOOKUP(B292,'Player Data'!$A1:$AE667,14,FALSE)*$Q292</f>
        <v>0.0942733848617551</v>
      </c>
      <c r="AA292" s="79">
        <f>VLOOKUP(B292,'Player Data'!$A1:$AE667,15,FALSE)*$Q292</f>
        <v>109.979803061757</v>
      </c>
      <c r="AB292" s="79">
        <f>VLOOKUP(B292,'Player Data'!$A1:$AE667,16,FALSE)*$Q292</f>
        <v>218.120362979664</v>
      </c>
      <c r="AC292" s="79">
        <f>VLOOKUP(B292,'Player Data'!$A1:$AE667,17,FALSE)*$Q292*_xlfn.IFERROR((VLOOKUP(P292,'Settings'!$E$28:$F$33,2,FALSE)+1),1)</f>
        <v>4.0753035083449</v>
      </c>
      <c r="AD292" s="79">
        <f>VLOOKUP(B292,'Player Data'!$A1:$AE667,18,FALSE)*$Q292</f>
        <v>47.1858751616759</v>
      </c>
      <c r="AE292" s="79">
        <f>VLOOKUP(B292,'Player Data'!$A1:$AE667,19,FALSE)*$Q292*_xlfn.IFERROR((VLOOKUP(P292,'Settings'!$E$28:$F$33,2,FALSE)+1),1)</f>
        <v>0.365169280732706</v>
      </c>
      <c r="AF292" s="79">
        <f>VLOOKUP(B292,'Player Data'!$A1:$AE667,20,FALSE)*$Q292</f>
        <v>0</v>
      </c>
      <c r="AG292" s="79">
        <f>VLOOKUP(B292,'Player Data'!$A1:$AE667,21,FALSE)*$Q292</f>
        <v>0</v>
      </c>
      <c r="AH292" s="81">
        <f>VLOOKUP(B292,'Player Data'!$A1:$AE667,22,FALSE)</f>
        <v>0</v>
      </c>
      <c r="AI292" s="77"/>
      <c r="AJ292" s="79"/>
      <c r="AK292" s="79"/>
      <c r="AL292" s="79"/>
      <c r="AM292" s="79"/>
      <c r="AN292" s="79"/>
      <c r="AO292" s="79"/>
      <c r="AP292" s="79"/>
      <c r="AQ292" s="82"/>
      <c r="AR292" s="83"/>
      <c r="AS292" s="84"/>
    </row>
    <row r="293" ht="21.25" customHeight="1">
      <c r="A293" s="85">
        <f>RANK(K293,K$1:K$665)</f>
        <v>298</v>
      </c>
      <c r="B293" t="s" s="16">
        <v>482</v>
      </c>
      <c r="C293" t="s" s="69">
        <v>127</v>
      </c>
      <c r="D293" t="s" s="70">
        <f>VLOOKUP(B293,'Player Data'!A1:D667,4,FALSE)</f>
        <v>140</v>
      </c>
      <c r="E293" s="90">
        <f>VLOOKUP(B293,'RW'!A1:F136,3,FALSE)</f>
        <v>65</v>
      </c>
      <c r="F293" t="s" s="103">
        <f>VLOOKUP(B293,'Player Data'!A1:B667,2,FALSE)</f>
        <v>182</v>
      </c>
      <c r="G293" s="91">
        <f>VLOOKUP(B293,'Player Data'!A1:D667,3,FALSE)</f>
        <v>37</v>
      </c>
      <c r="H293" s="73">
        <f>_xlfn.IFERROR(VLOOKUP(B293,'ADP'!A1:G665,7,FALSE)/1000000,VLOOKUP(B293,'ADP'!A1:G665,7,FALSE))</f>
        <v>4.125</v>
      </c>
      <c r="I293" s="74">
        <f>IF('Settings'!$E$15="POINTS",((R293*Q293)*'Settings'!$B$12)+(S293*'Settings'!$B$2)+(T293*'Settings'!$B$3)+(U293*'Settings'!$B$4)+(V293*'Settings'!$B$5)+(X293*'Settings'!$B$9)+(AA293*'Settings'!$B$6)+(W293*'Settings'!$B$8)+(AB293*'Settings'!$B$7)+(AC293*'Settings'!$B$14)+(AD293*'Settings'!$B$15)+(AE293*'Settings'!$B$16)+(AF293*'Settings'!$B$17)+(AG293*'Settings'!$B$18)+(Y293*'Settings'!$B$10)+(Z293*'Settings'!$B$11),VLOOKUP(B293,'Standard Deviations'!A1:C666,3,FALSE))</f>
        <v>231.298947623602</v>
      </c>
      <c r="J293" s="75">
        <f>IF(D293="G",I293/AJ293,I293/Q293)</f>
        <v>2.96641697551832</v>
      </c>
      <c r="K293" s="74">
        <f>IF('Settings'!$E$18="C/LW/RW",VLOOKUP(B293,'RW'!A1:F136,6,FALSE),VLOOKUP(B293,'F'!A1:F392,6,FALSE))</f>
        <v>-98.392946457576</v>
      </c>
      <c r="L293" s="76">
        <f>_xlfn.IFERROR(K293/H293,"N/A")</f>
        <v>-23.8528355048669</v>
      </c>
      <c r="M293" s="77">
        <f>IF('Settings'!$E$9="YAHOO",VLOOKUP(B293,'ADP'!A1:E665,2,FALSE),IF('Settings'!$E$9="ESPN",VLOOKUP(B293,'ADP'!A1:E665,3,FALSE),IF('Settings'!$E$9="FANTRAX",VLOOKUP(B293,'ADP'!A1:E665,4,FALSE),VLOOKUP(B293,'ADP'!A1:E665,5,FALSE))))</f>
        <v>0</v>
      </c>
      <c r="N293" s="77">
        <f>_xlfn.IFERROR(M293-A293,"N/A")</f>
        <v>-298</v>
      </c>
      <c r="O293" s="77"/>
      <c r="P293" t="s" s="78">
        <f>IF('Settings'!$E$27="ON",VLOOKUP(B293,'ADP'!A1:H665,8,FALSE)," ")</f>
        <v>138</v>
      </c>
      <c r="Q293" s="79">
        <f>IF('Settings'!$E$12="YES",VLOOKUP(B293,'Player Data'!A1:E667,5,FALSE),82)</f>
        <v>77.9725</v>
      </c>
      <c r="R293" s="108">
        <f>VLOOKUP(B293,'Player Data'!$A1:$AE667,6,FALSE)</f>
        <v>16.9242672078006</v>
      </c>
      <c r="S293" s="79">
        <f>VLOOKUP(B293,'Player Data'!$A1:$AE667,7,FALSE)*$Q293*_xlfn.IFERROR((VLOOKUP(P293,'Settings'!$E$28:$F$33,2,FALSE)+1),1)</f>
        <v>13.4857859364849</v>
      </c>
      <c r="T293" s="79">
        <f>VLOOKUP(B293,'Player Data'!$A1:$AE667,8,FALSE)*$Q293*_xlfn.IFERROR((VLOOKUP(P293,'Settings'!$E$28:$F$33,2,FALSE)+1),1)</f>
        <v>39.3753868318998</v>
      </c>
      <c r="U293" s="79">
        <f>SUM(S293:T293)</f>
        <v>52.8611727683847</v>
      </c>
      <c r="V293" s="79">
        <f>VLOOKUP(B293,'Player Data'!$A1:$AE667,10,FALSE)*$Q293*_xlfn.IFERROR(((VLOOKUP(P293,'Settings'!$E$28:$F$33,2,FALSE)/2)+1),1)</f>
        <v>164.767038239431</v>
      </c>
      <c r="W293" s="79">
        <f>VLOOKUP(B293,'Player Data'!$A1:$AE667,11,FALSE)*$Q293*_xlfn.IFERROR((VLOOKUP(P293,'Settings'!$E$28:$F$33,2,FALSE)+1),1)</f>
        <v>4.57568931277564</v>
      </c>
      <c r="X293" s="80">
        <f>VLOOKUP(B293,'Player Data'!$A1:$AE667,12,FALSE)*$Q293*_xlfn.IFERROR((VLOOKUP(P293,'Settings'!$E$28:$F$33,2,FALSE)+1),1)</f>
        <v>22.1872008820522</v>
      </c>
      <c r="Y293" s="79">
        <f>VLOOKUP(B293,'Player Data'!$A1:$AE667,13,FALSE)*$Q293</f>
        <v>0.009549858950605479</v>
      </c>
      <c r="Z293" s="79">
        <f>VLOOKUP(B293,'Player Data'!$A1:$AE667,14,FALSE)*$Q293</f>
        <v>0.0173544143686173</v>
      </c>
      <c r="AA293" s="79">
        <f>VLOOKUP(B293,'Player Data'!$A1:$AE667,15,FALSE)*$Q293</f>
        <v>47.3112608819101</v>
      </c>
      <c r="AB293" s="79">
        <f>VLOOKUP(B293,'Player Data'!$A1:$AE667,16,FALSE)*$Q293</f>
        <v>37.5476060738084</v>
      </c>
      <c r="AC293" s="79">
        <f>VLOOKUP(B293,'Player Data'!$A1:$AE667,17,FALSE)*$Q293*_xlfn.IFERROR((VLOOKUP(P293,'Settings'!$E$28:$F$33,2,FALSE)+1),1)</f>
        <v>0.581088337790875</v>
      </c>
      <c r="AD293" s="79">
        <f>VLOOKUP(B293,'Player Data'!$A1:$AE667,18,FALSE)*$Q293</f>
        <v>27.531977794678</v>
      </c>
      <c r="AE293" s="79">
        <f>VLOOKUP(B293,'Player Data'!$A1:$AE667,19,FALSE)*$Q293*_xlfn.IFERROR((VLOOKUP(P293,'Settings'!$E$28:$F$33,2,FALSE)+1),1)</f>
        <v>2.226221769935</v>
      </c>
      <c r="AF293" s="79">
        <f>VLOOKUP(B293,'Player Data'!$A1:$AE667,20,FALSE)*$Q293</f>
        <v>25.7235530915682</v>
      </c>
      <c r="AG293" s="79">
        <f>VLOOKUP(B293,'Player Data'!$A1:$AE667,21,FALSE)*$Q293</f>
        <v>40.8798059935578</v>
      </c>
      <c r="AH293" s="81">
        <f>VLOOKUP(B293,'Player Data'!$A1:$AE667,22,FALSE)</f>
        <v>0.386220056239068</v>
      </c>
      <c r="AI293" s="77"/>
      <c r="AJ293" s="79"/>
      <c r="AK293" s="79"/>
      <c r="AL293" s="79"/>
      <c r="AM293" s="79"/>
      <c r="AN293" s="79"/>
      <c r="AO293" s="79"/>
      <c r="AP293" s="79"/>
      <c r="AQ293" s="82"/>
      <c r="AR293" s="83"/>
      <c r="AS293" s="84"/>
    </row>
    <row r="294" ht="21.25" customHeight="1">
      <c r="A294" s="85">
        <f>RANK(K294,K$1:K$665)</f>
        <v>303</v>
      </c>
      <c r="B294" t="s" s="16">
        <v>483</v>
      </c>
      <c r="C294" t="s" s="69">
        <v>127</v>
      </c>
      <c r="D294" t="s" s="70">
        <f>VLOOKUP(B294,'Player Data'!A1:D667,4,FALSE)</f>
        <v>178</v>
      </c>
      <c r="E294" s="102">
        <f>VLOOKUP(B294,'LW'!A1:C152,3,FALSE)</f>
        <v>71</v>
      </c>
      <c r="F294" t="s" s="86">
        <f>VLOOKUP(B294,'Player Data'!A1:B667,2,FALSE)</f>
        <v>132</v>
      </c>
      <c r="G294" s="11">
        <f>VLOOKUP(B294,'Player Data'!A1:D667,3,FALSE)</f>
        <v>28</v>
      </c>
      <c r="H294" s="73">
        <f>_xlfn.IFERROR(VLOOKUP(B294,'ADP'!A1:G665,7,FALSE)/1000000,VLOOKUP(B294,'ADP'!A1:G665,7,FALSE))</f>
        <v>1.35</v>
      </c>
      <c r="I294" s="74">
        <f>IF('Settings'!$E$15="POINTS",((R294*Q294)*'Settings'!$B$12)+(S294*'Settings'!$B$2)+(T294*'Settings'!$B$3)+(U294*'Settings'!$B$4)+(V294*'Settings'!$B$5)+(X294*'Settings'!$B$9)+(AA294*'Settings'!$B$6)+(W294*'Settings'!$B$8)+(AB294*'Settings'!$B$7)+(AC294*'Settings'!$B$14)+(AD294*'Settings'!$B$15)+(AE294*'Settings'!$B$16)+(AF294*'Settings'!$B$17)+(AG294*'Settings'!$B$18)+(Y294*'Settings'!$B$10)+(Z294*'Settings'!$B$11),VLOOKUP(B294,'Standard Deviations'!A1:C666,3,FALSE))</f>
        <v>231.185775424340</v>
      </c>
      <c r="J294" s="75">
        <f>IF(D294="G",I294/AJ294,I294/Q294)</f>
        <v>3.30785198775705</v>
      </c>
      <c r="K294" s="74">
        <f>IF('Settings'!$E$18="C/LW/RW",VLOOKUP(B294,'LW'!A1:F152,6,FALSE),VLOOKUP(B294,'F'!A1:F392,6,FALSE))</f>
        <v>-100.534336341872</v>
      </c>
      <c r="L294" s="76">
        <f>_xlfn.IFERROR(K294/H294,"N/A")</f>
        <v>-74.469878771757</v>
      </c>
      <c r="M294" s="109">
        <f>IF('Settings'!$E$9="YAHOO",VLOOKUP(B294,'ADP'!A1:E665,2,FALSE),IF('Settings'!$E$9="ESPN",VLOOKUP(B294,'ADP'!A1:E665,3,FALSE),IF('Settings'!$E$9="FANTRAX",VLOOKUP(B294,'ADP'!A1:E665,4,FALSE),VLOOKUP(B294,'ADP'!A1:E665,5,FALSE))))</f>
        <v>0</v>
      </c>
      <c r="N294" s="79">
        <f>_xlfn.IFERROR(M294-A294,"N/A")</f>
        <v>-303</v>
      </c>
      <c r="O294" s="77"/>
      <c r="P294" t="s" s="78">
        <f>IF('Settings'!$E$27="ON",VLOOKUP(B294,'ADP'!A1:H665,8,FALSE)," ")</f>
        <v>138</v>
      </c>
      <c r="Q294" s="79">
        <f>IF('Settings'!$E$12="YES",VLOOKUP(B294,'Player Data'!A1:E667,5,FALSE),82)</f>
        <v>69.89</v>
      </c>
      <c r="R294" s="98">
        <f>VLOOKUP(B294,'Player Data'!$A1:$AE667,6,FALSE)</f>
        <v>13.6068579773954</v>
      </c>
      <c r="S294" s="79">
        <f>VLOOKUP(B294,'Player Data'!$A1:$AE667,7,FALSE)*$Q294*_xlfn.IFERROR((VLOOKUP(P294,'Settings'!$E$28:$F$33,2,FALSE)+1),1)</f>
        <v>17.5143442704614</v>
      </c>
      <c r="T294" s="79">
        <f>VLOOKUP(B294,'Player Data'!$A1:$AE667,8,FALSE)*$Q294*_xlfn.IFERROR((VLOOKUP(P294,'Settings'!$E$28:$F$33,2,FALSE)+1),1)</f>
        <v>14.9982567172347</v>
      </c>
      <c r="U294" s="79">
        <f>SUM(S294:T294)</f>
        <v>32.5126009876961</v>
      </c>
      <c r="V294" s="79">
        <f>VLOOKUP(B294,'Player Data'!$A1:$AE667,10,FALSE)*$Q294*_xlfn.IFERROR(((VLOOKUP(P294,'Settings'!$E$28:$F$33,2,FALSE)/2)+1),1)</f>
        <v>160.160863076616</v>
      </c>
      <c r="W294" s="79">
        <f>VLOOKUP(B294,'Player Data'!$A1:$AE667,11,FALSE)*$Q294*_xlfn.IFERROR((VLOOKUP(P294,'Settings'!$E$28:$F$33,2,FALSE)+1),1)</f>
        <v>0.612413412586215</v>
      </c>
      <c r="X294" s="79">
        <f>VLOOKUP(B294,'Player Data'!$A1:$AE667,12,FALSE)*$Q294*_xlfn.IFERROR((VLOOKUP(P294,'Settings'!$E$28:$F$33,2,FALSE)+1),1)</f>
        <v>1.05811891613508</v>
      </c>
      <c r="Y294" s="79">
        <f>VLOOKUP(B294,'Player Data'!$A1:$AE667,13,FALSE)*$Q294</f>
        <v>0.138851371153435</v>
      </c>
      <c r="Z294" s="79">
        <f>VLOOKUP(B294,'Player Data'!$A1:$AE667,14,FALSE)*$Q294</f>
        <v>0.23452755585797</v>
      </c>
      <c r="AA294" s="79">
        <f>VLOOKUP(B294,'Player Data'!$A1:$AE667,15,FALSE)*$Q294</f>
        <v>27.8271861005767</v>
      </c>
      <c r="AB294" s="79">
        <f>VLOOKUP(B294,'Player Data'!$A1:$AE667,16,FALSE)*$Q294</f>
        <v>150.081604426206</v>
      </c>
      <c r="AC294" s="79">
        <f>VLOOKUP(B294,'Player Data'!$A1:$AE667,17,FALSE)*$Q294*_xlfn.IFERROR((VLOOKUP(P294,'Settings'!$E$28:$F$33,2,FALSE)+1),1)</f>
        <v>5.34174722894597</v>
      </c>
      <c r="AD294" s="79">
        <f>VLOOKUP(B294,'Player Data'!$A1:$AE667,18,FALSE)*$Q294</f>
        <v>34.9333844696135</v>
      </c>
      <c r="AE294" s="79">
        <f>VLOOKUP(B294,'Player Data'!$A1:$AE667,19,FALSE)*$Q294*_xlfn.IFERROR((VLOOKUP(P294,'Settings'!$E$28:$F$33,2,FALSE)+1),1)</f>
        <v>2.8019811281199</v>
      </c>
      <c r="AF294" s="79">
        <f>VLOOKUP(B294,'Player Data'!$A1:$AE667,20,FALSE)*$Q294</f>
        <v>8.70251655726009</v>
      </c>
      <c r="AG294" s="79">
        <f>VLOOKUP(B294,'Player Data'!$A1:$AE667,21,FALSE)*$Q294</f>
        <v>6.09592643884874</v>
      </c>
      <c r="AH294" s="81">
        <f>VLOOKUP(B294,'Player Data'!$A1:$AE667,22,FALSE)</f>
        <v>0.5880697421714139</v>
      </c>
      <c r="AI294" s="77"/>
      <c r="AJ294" s="79"/>
      <c r="AK294" s="79"/>
      <c r="AL294" s="79"/>
      <c r="AM294" s="79"/>
      <c r="AN294" s="79"/>
      <c r="AO294" s="79"/>
      <c r="AP294" s="79"/>
      <c r="AQ294" s="82"/>
      <c r="AR294" s="83"/>
      <c r="AS294" s="84"/>
    </row>
    <row r="295" ht="21.25" customHeight="1">
      <c r="A295" s="85">
        <f>RANK(K295,K$1:K$665)</f>
        <v>282</v>
      </c>
      <c r="B295" t="s" s="16">
        <v>484</v>
      </c>
      <c r="C295" t="s" s="69">
        <v>127</v>
      </c>
      <c r="D295" t="s" s="70">
        <f>VLOOKUP(B295,'Player Data'!A1:D667,4,FALSE)</f>
        <v>153</v>
      </c>
      <c r="E295" s="95">
        <f>VLOOKUP(B295,'D'!A1:C213,3,FALSE)</f>
        <v>90</v>
      </c>
      <c r="F295" t="s" s="103">
        <f>VLOOKUP(B295,'Player Data'!A1:B667,2,FALSE)</f>
        <v>227</v>
      </c>
      <c r="G295" s="91">
        <f>VLOOKUP(B295,'Player Data'!A1:D667,3,FALSE)</f>
        <v>33</v>
      </c>
      <c r="H295" s="94">
        <f>_xlfn.IFERROR(VLOOKUP(B295,'ADP'!A1:G665,7,FALSE)/1000000,VLOOKUP(B295,'ADP'!A1:G665,7,FALSE))</f>
        <v>7.75</v>
      </c>
      <c r="I295" s="74">
        <f>IF('Settings'!$E$15="POINTS",((R295*Q295)*'Settings'!$B$12)+(S295*'Settings'!$B$2)+(T295*'Settings'!$B$3)+(U295*'Settings'!$B$4)+(V295*'Settings'!$B$5)+(X295*'Settings'!$B$9)+(AA295*'Settings'!$B$6)+(W295*'Settings'!$B$8)+(AB295*'Settings'!$B$7)+(AC295*'Settings'!$B$14)+(AD295*'Settings'!$B$15)+(AE295*'Settings'!$B$16)+(AF295*'Settings'!$B$17)+(AG295*'Settings'!$B$18)+(U295*'Settings'!$B$13)+(Y295*'Settings'!$B$10)+(Z295*'Settings'!$B$11),VLOOKUP(B295,'Standard Deviations'!A1:C666,3,FALSE))</f>
        <v>237.932990105457</v>
      </c>
      <c r="J295" s="75">
        <f>IF(D295="G",I295/AJ295,I295/Q295)</f>
        <v>3.00306689518436</v>
      </c>
      <c r="K295" s="74">
        <f>VLOOKUP(B295,'D'!A1:F213,6,FALSE)</f>
        <v>-93.607217814625</v>
      </c>
      <c r="L295" s="76">
        <f>_xlfn.IFERROR(K295/H295,"N/A")</f>
        <v>-12.0783506857581</v>
      </c>
      <c r="M295" s="77">
        <f>IF('Settings'!$E$9="YAHOO",VLOOKUP(B295,'ADP'!A1:E665,2,FALSE),IF('Settings'!$E$9="ESPN",VLOOKUP(B295,'ADP'!A1:E665,3,FALSE),IF('Settings'!$E$9="FANTRAX",VLOOKUP(B295,'ADP'!A1:E665,4,FALSE),VLOOKUP(B295,'ADP'!A1:E665,5,FALSE))))</f>
        <v>0</v>
      </c>
      <c r="N295" s="77">
        <f>_xlfn.IFERROR(M295-A295,"N/A")</f>
        <v>-282</v>
      </c>
      <c r="O295" s="77"/>
      <c r="P295" t="s" s="78">
        <f>IF('Settings'!$E$27="ON",VLOOKUP(B295,'ADP'!A1:H665,8,FALSE)," ")</f>
        <v>138</v>
      </c>
      <c r="Q295" s="79">
        <f>IF('Settings'!$E$12="YES",VLOOKUP(B295,'Player Data'!A1:E667,5,FALSE),82)</f>
        <v>79.23</v>
      </c>
      <c r="R295" s="98">
        <f>VLOOKUP(B295,'Player Data'!$A1:$AE667,6,FALSE)</f>
        <v>20.1638930935778</v>
      </c>
      <c r="S295" s="79">
        <f>VLOOKUP(B295,'Player Data'!$A1:$AE667,7,FALSE)*$Q295*_xlfn.IFERROR((VLOOKUP(P295,'Settings'!$E$28:$F$33,2,FALSE)+1),1)</f>
        <v>7.45376571157651</v>
      </c>
      <c r="T295" s="79">
        <f>VLOOKUP(B295,'Player Data'!$A1:$AE667,8,FALSE)*$Q295*_xlfn.IFERROR((VLOOKUP(P295,'Settings'!$E$28:$F$33,2,FALSE)+1),1)</f>
        <v>23.327747125321</v>
      </c>
      <c r="U295" s="79">
        <f>SUM(S295:T295)</f>
        <v>30.7815128368975</v>
      </c>
      <c r="V295" s="79">
        <f>VLOOKUP(B295,'Player Data'!$A1:$AE667,10,FALSE)*$Q295*_xlfn.IFERROR(((VLOOKUP(P295,'Settings'!$E$28:$F$33,2,FALSE)/2)+1),1)</f>
        <v>134.866669271546</v>
      </c>
      <c r="W295" s="79">
        <f>VLOOKUP(B295,'Player Data'!$A1:$AE667,11,FALSE)*$Q295*_xlfn.IFERROR((VLOOKUP(P295,'Settings'!$E$28:$F$33,2,FALSE)+1),1)</f>
        <v>0.377594970196636</v>
      </c>
      <c r="X295" s="79">
        <f>VLOOKUP(B295,'Player Data'!$A1:$AE667,12,FALSE)*$Q295*_xlfn.IFERROR((VLOOKUP(P295,'Settings'!$E$28:$F$33,2,FALSE)+1),1)</f>
        <v>2.59234517331688</v>
      </c>
      <c r="Y295" s="79">
        <f>VLOOKUP(B295,'Player Data'!$A1:$AE667,13,FALSE)*$Q295</f>
        <v>0.016639702277042</v>
      </c>
      <c r="Z295" s="79">
        <f>VLOOKUP(B295,'Player Data'!$A1:$AE667,14,FALSE)*$Q295</f>
        <v>0.08331721346623119</v>
      </c>
      <c r="AA295" s="79">
        <f>VLOOKUP(B295,'Player Data'!$A1:$AE667,15,FALSE)*$Q295</f>
        <v>86.0192023198947</v>
      </c>
      <c r="AB295" s="79">
        <f>VLOOKUP(B295,'Player Data'!$A1:$AE667,16,FALSE)*$Q295</f>
        <v>122.457308560493</v>
      </c>
      <c r="AC295" s="79">
        <f>VLOOKUP(B295,'Player Data'!$A1:$AE667,17,FALSE)*$Q295*_xlfn.IFERROR((VLOOKUP(P295,'Settings'!$E$28:$F$33,2,FALSE)+1),1)</f>
        <v>6.05349392148147</v>
      </c>
      <c r="AD295" s="79">
        <f>VLOOKUP(B295,'Player Data'!$A1:$AE667,18,FALSE)*$Q295</f>
        <v>33.0410146129425</v>
      </c>
      <c r="AE295" s="79">
        <f>VLOOKUP(B295,'Player Data'!$A1:$AE667,19,FALSE)*$Q295*_xlfn.IFERROR((VLOOKUP(P295,'Settings'!$E$28:$F$33,2,FALSE)+1),1)</f>
        <v>1.29163016046211</v>
      </c>
      <c r="AF295" s="79">
        <f>VLOOKUP(B295,'Player Data'!$A1:$AE667,20,FALSE)*$Q295</f>
        <v>0</v>
      </c>
      <c r="AG295" s="79">
        <f>VLOOKUP(B295,'Player Data'!$A1:$AE667,21,FALSE)*$Q295</f>
        <v>0</v>
      </c>
      <c r="AH295" s="81">
        <f>VLOOKUP(B295,'Player Data'!$A1:$AE667,22,FALSE)</f>
        <v>0</v>
      </c>
      <c r="AI295" s="77"/>
      <c r="AJ295" s="79"/>
      <c r="AK295" s="79"/>
      <c r="AL295" s="79"/>
      <c r="AM295" s="79"/>
      <c r="AN295" s="79"/>
      <c r="AO295" s="79"/>
      <c r="AP295" s="79"/>
      <c r="AQ295" s="82"/>
      <c r="AR295" s="83"/>
      <c r="AS295" s="84"/>
    </row>
    <row r="296" ht="21.25" customHeight="1">
      <c r="A296" s="85">
        <f>RANK(K296,K$1:K$665)</f>
        <v>283</v>
      </c>
      <c r="B296" t="s" s="16">
        <v>485</v>
      </c>
      <c r="C296" t="s" s="69">
        <v>127</v>
      </c>
      <c r="D296" t="s" s="70">
        <f>VLOOKUP(B296,'Player Data'!A1:D667,4,FALSE)</f>
        <v>153</v>
      </c>
      <c r="E296" s="95">
        <f>VLOOKUP(B296,'D'!A1:C213,3,FALSE)</f>
        <v>91</v>
      </c>
      <c r="F296" t="s" s="88">
        <f>VLOOKUP(B296,'Player Data'!A1:B667,2,FALSE)</f>
        <v>143</v>
      </c>
      <c r="G296" s="11">
        <f>VLOOKUP(B296,'Player Data'!A1:D667,3,FALSE)</f>
        <v>27</v>
      </c>
      <c r="H296" s="73">
        <f>_xlfn.IFERROR(VLOOKUP(B296,'ADP'!A1:G665,7,FALSE)/1000000,VLOOKUP(B296,'ADP'!A1:G665,7,FALSE))</f>
        <v>4.1</v>
      </c>
      <c r="I296" s="74">
        <f>IF('Settings'!$E$15="POINTS",((R296*Q296)*'Settings'!$B$12)+(S296*'Settings'!$B$2)+(T296*'Settings'!$B$3)+(U296*'Settings'!$B$4)+(V296*'Settings'!$B$5)+(X296*'Settings'!$B$9)+(AA296*'Settings'!$B$6)+(W296*'Settings'!$B$8)+(AB296*'Settings'!$B$7)+(AC296*'Settings'!$B$14)+(AD296*'Settings'!$B$15)+(AE296*'Settings'!$B$16)+(AF296*'Settings'!$B$17)+(AG296*'Settings'!$B$18)+(U296*'Settings'!$B$13)+(Y296*'Settings'!$B$10)+(Z296*'Settings'!$B$11),VLOOKUP(B296,'Standard Deviations'!A1:C666,3,FALSE))</f>
        <v>236.855966707820</v>
      </c>
      <c r="J296" s="75">
        <f>IF(D296="G",I296/AJ296,I296/Q296)</f>
        <v>2.97175078206857</v>
      </c>
      <c r="K296" s="74">
        <f>VLOOKUP(B296,'D'!A1:F213,6,FALSE)</f>
        <v>-94.68424121226199</v>
      </c>
      <c r="L296" s="76">
        <f>_xlfn.IFERROR(K296/H296,"N/A")</f>
        <v>-23.0937173688444</v>
      </c>
      <c r="M296" s="77">
        <f>IF('Settings'!$E$9="YAHOO",VLOOKUP(B296,'ADP'!A1:E665,2,FALSE),IF('Settings'!$E$9="ESPN",VLOOKUP(B296,'ADP'!A1:E665,3,FALSE),IF('Settings'!$E$9="FANTRAX",VLOOKUP(B296,'ADP'!A1:E665,4,FALSE),VLOOKUP(B296,'ADP'!A1:E665,5,FALSE))))</f>
        <v>0</v>
      </c>
      <c r="N296" s="77">
        <f>_xlfn.IFERROR(M296-A296,"N/A")</f>
        <v>-283</v>
      </c>
      <c r="O296" s="77"/>
      <c r="P296" t="s" s="78">
        <f>IF('Settings'!$E$27="ON",VLOOKUP(B296,'ADP'!A1:H665,8,FALSE)," ")</f>
        <v>138</v>
      </c>
      <c r="Q296" s="79">
        <f>IF('Settings'!$E$12="YES",VLOOKUP(B296,'Player Data'!A1:E667,5,FALSE),82)</f>
        <v>79.7025</v>
      </c>
      <c r="R296" s="77">
        <f>VLOOKUP(B296,'Player Data'!$A1:$AE667,6,FALSE)</f>
        <v>19.4083744626821</v>
      </c>
      <c r="S296" s="79">
        <f>VLOOKUP(B296,'Player Data'!$A1:$AE667,7,FALSE)*$Q296*_xlfn.IFERROR((VLOOKUP(P296,'Settings'!$E$28:$F$33,2,FALSE)+1),1)</f>
        <v>4.23905295117962</v>
      </c>
      <c r="T296" s="79">
        <f>VLOOKUP(B296,'Player Data'!$A1:$AE667,8,FALSE)*$Q296*_xlfn.IFERROR((VLOOKUP(P296,'Settings'!$E$28:$F$33,2,FALSE)+1),1)</f>
        <v>12.2542280003258</v>
      </c>
      <c r="U296" s="79">
        <f>SUM(S296:T296)</f>
        <v>16.4932809515054</v>
      </c>
      <c r="V296" s="79">
        <f>VLOOKUP(B296,'Player Data'!$A1:$AE667,10,FALSE)*$Q296*_xlfn.IFERROR(((VLOOKUP(P296,'Settings'!$E$28:$F$33,2,FALSE)/2)+1),1)</f>
        <v>93.0891592858903</v>
      </c>
      <c r="W296" s="79">
        <f>VLOOKUP(B296,'Player Data'!$A1:$AE667,11,FALSE)*$Q296*_xlfn.IFERROR((VLOOKUP(P296,'Settings'!$E$28:$F$33,2,FALSE)+1),1)</f>
        <v>0.0198635697495059</v>
      </c>
      <c r="X296" s="79">
        <f>VLOOKUP(B296,'Player Data'!$A1:$AE667,12,FALSE)*$Q296*_xlfn.IFERROR((VLOOKUP(P296,'Settings'!$E$28:$F$33,2,FALSE)+1),1)</f>
        <v>0.159127802713353</v>
      </c>
      <c r="Y296" s="79">
        <f>VLOOKUP(B296,'Player Data'!$A1:$AE667,13,FALSE)*$Q296</f>
        <v>0.158177007645901</v>
      </c>
      <c r="Z296" s="79">
        <f>VLOOKUP(B296,'Player Data'!$A1:$AE667,14,FALSE)*$Q296</f>
        <v>0.241350050757447</v>
      </c>
      <c r="AA296" s="79">
        <f>VLOOKUP(B296,'Player Data'!$A1:$AE667,15,FALSE)*$Q296</f>
        <v>134.804036356092</v>
      </c>
      <c r="AB296" s="79">
        <f>VLOOKUP(B296,'Player Data'!$A1:$AE667,16,FALSE)*$Q296</f>
        <v>141.388622063710</v>
      </c>
      <c r="AC296" s="79">
        <f>VLOOKUP(B296,'Player Data'!$A1:$AE667,17,FALSE)*$Q296*_xlfn.IFERROR((VLOOKUP(P296,'Settings'!$E$28:$F$33,2,FALSE)+1),1)</f>
        <v>2.91043678581237</v>
      </c>
      <c r="AD296" s="79">
        <f>VLOOKUP(B296,'Player Data'!$A1:$AE667,18,FALSE)*$Q296</f>
        <v>39.1199468819001</v>
      </c>
      <c r="AE296" s="79">
        <f>VLOOKUP(B296,'Player Data'!$A1:$AE667,19,FALSE)*$Q296*_xlfn.IFERROR((VLOOKUP(P296,'Settings'!$E$28:$F$33,2,FALSE)+1),1)</f>
        <v>0.660248257807222</v>
      </c>
      <c r="AF296" s="79">
        <f>VLOOKUP(B296,'Player Data'!$A1:$AE667,20,FALSE)*$Q296</f>
        <v>0</v>
      </c>
      <c r="AG296" s="79">
        <f>VLOOKUP(B296,'Player Data'!$A1:$AE667,21,FALSE)*$Q296</f>
        <v>0</v>
      </c>
      <c r="AH296" s="81">
        <f>VLOOKUP(B296,'Player Data'!$A1:$AE667,22,FALSE)</f>
        <v>0</v>
      </c>
      <c r="AI296" s="77"/>
      <c r="AJ296" s="89"/>
      <c r="AK296" s="79"/>
      <c r="AL296" s="79"/>
      <c r="AM296" s="79"/>
      <c r="AN296" s="79"/>
      <c r="AO296" s="79"/>
      <c r="AP296" s="79"/>
      <c r="AQ296" s="82"/>
      <c r="AR296" s="83"/>
      <c r="AS296" s="84"/>
    </row>
    <row r="297" ht="21.25" customHeight="1">
      <c r="A297" s="85">
        <f>RANK(K297,K$1:K$665)</f>
        <v>285</v>
      </c>
      <c r="B297" t="s" s="16">
        <v>486</v>
      </c>
      <c r="C297" t="s" s="69">
        <v>127</v>
      </c>
      <c r="D297" t="s" s="70">
        <f>VLOOKUP(B297,'Player Data'!A1:D667,4,FALSE)</f>
        <v>153</v>
      </c>
      <c r="E297" s="95">
        <f>VLOOKUP(B297,'D'!A1:C213,3,FALSE)</f>
        <v>92</v>
      </c>
      <c r="F297" t="s" s="86">
        <f>VLOOKUP(B297,'Player Data'!A1:B667,2,FALSE)</f>
        <v>149</v>
      </c>
      <c r="G297" s="11">
        <f>VLOOKUP(B297,'Player Data'!A1:D667,3,FALSE)</f>
        <v>28</v>
      </c>
      <c r="H297" s="73">
        <f>_xlfn.IFERROR(VLOOKUP(B297,'ADP'!A1:G665,7,FALSE)/1000000,VLOOKUP(B297,'ADP'!A1:G665,7,FALSE))</f>
        <v>2.5</v>
      </c>
      <c r="I297" s="74">
        <f>IF('Settings'!$E$15="POINTS",((R297*Q297)*'Settings'!$B$12)+(S297*'Settings'!$B$2)+(T297*'Settings'!$B$3)+(U297*'Settings'!$B$4)+(V297*'Settings'!$B$5)+(X297*'Settings'!$B$9)+(AA297*'Settings'!$B$6)+(W297*'Settings'!$B$8)+(AB297*'Settings'!$B$7)+(AC297*'Settings'!$B$14)+(AD297*'Settings'!$B$15)+(AE297*'Settings'!$B$16)+(AF297*'Settings'!$B$17)+(AG297*'Settings'!$B$18)+(U297*'Settings'!$B$13)+(Y297*'Settings'!$B$10)+(Z297*'Settings'!$B$11),VLOOKUP(B297,'Standard Deviations'!A1:C666,3,FALSE))</f>
        <v>236.696758740938</v>
      </c>
      <c r="J297" s="75">
        <f>IF(D297="G",I297/AJ297,I297/Q297)</f>
        <v>2.99265744212078</v>
      </c>
      <c r="K297" s="74">
        <f>VLOOKUP(B297,'D'!A1:F213,6,FALSE)</f>
        <v>-94.843449179144</v>
      </c>
      <c r="L297" s="76">
        <f>_xlfn.IFERROR(K297/H297,"N/A")</f>
        <v>-37.9373796716576</v>
      </c>
      <c r="M297" s="109">
        <f>IF('Settings'!$E$9="YAHOO",VLOOKUP(B297,'ADP'!A1:E665,2,FALSE),IF('Settings'!$E$9="ESPN",VLOOKUP(B297,'ADP'!A1:E665,3,FALSE),IF('Settings'!$E$9="FANTRAX",VLOOKUP(B297,'ADP'!A1:E665,4,FALSE),VLOOKUP(B297,'ADP'!A1:E665,5,FALSE))))</f>
        <v>0</v>
      </c>
      <c r="N297" s="79">
        <f>_xlfn.IFERROR(M297-A297,"N/A")</f>
        <v>-285</v>
      </c>
      <c r="O297" s="77"/>
      <c r="P297" t="s" s="78">
        <f>IF('Settings'!$E$27="ON",VLOOKUP(B297,'ADP'!A1:H665,8,FALSE)," ")</f>
        <v>138</v>
      </c>
      <c r="Q297" s="79">
        <f>IF('Settings'!$E$12="YES",VLOOKUP(B297,'Player Data'!A1:E667,5,FALSE),82)</f>
        <v>79.0925</v>
      </c>
      <c r="R297" s="77">
        <f>VLOOKUP(B297,'Player Data'!$A1:$AE667,6,FALSE)</f>
        <v>19.6845485951981</v>
      </c>
      <c r="S297" s="79">
        <f>VLOOKUP(B297,'Player Data'!$A1:$AE667,7,FALSE)*$Q297*_xlfn.IFERROR((VLOOKUP(P297,'Settings'!$E$28:$F$33,2,FALSE)+1),1)</f>
        <v>2.9102740461927</v>
      </c>
      <c r="T297" s="79">
        <f>VLOOKUP(B297,'Player Data'!$A1:$AE667,8,FALSE)*$Q297*_xlfn.IFERROR((VLOOKUP(P297,'Settings'!$E$28:$F$33,2,FALSE)+1),1)</f>
        <v>12.5987705715381</v>
      </c>
      <c r="U297" s="79">
        <f>SUM(S297:T297)</f>
        <v>15.5090446177308</v>
      </c>
      <c r="V297" s="79">
        <f>VLOOKUP(B297,'Player Data'!$A1:$AE667,10,FALSE)*$Q297*_xlfn.IFERROR(((VLOOKUP(P297,'Settings'!$E$28:$F$33,2,FALSE)/2)+1),1)</f>
        <v>86.3031264973242</v>
      </c>
      <c r="W297" s="79">
        <f>VLOOKUP(B297,'Player Data'!$A1:$AE667,11,FALSE)*$Q297*_xlfn.IFERROR((VLOOKUP(P297,'Settings'!$E$28:$F$33,2,FALSE)+1),1)</f>
        <v>0.0232580663016614</v>
      </c>
      <c r="X297" s="79">
        <f>VLOOKUP(B297,'Player Data'!$A1:$AE667,12,FALSE)*$Q297*_xlfn.IFERROR((VLOOKUP(P297,'Settings'!$E$28:$F$33,2,FALSE)+1),1)</f>
        <v>0.152325782857176</v>
      </c>
      <c r="Y297" s="79">
        <f>VLOOKUP(B297,'Player Data'!$A1:$AE667,13,FALSE)*$Q297</f>
        <v>0.17056261497202</v>
      </c>
      <c r="Z297" s="79">
        <f>VLOOKUP(B297,'Player Data'!$A1:$AE667,14,FALSE)*$Q297</f>
        <v>0.697164164886242</v>
      </c>
      <c r="AA297" s="79">
        <f>VLOOKUP(B297,'Player Data'!$A1:$AE667,15,FALSE)*$Q297</f>
        <v>120.488452618151</v>
      </c>
      <c r="AB297" s="79">
        <f>VLOOKUP(B297,'Player Data'!$A1:$AE667,16,FALSE)*$Q297</f>
        <v>165.938790065668</v>
      </c>
      <c r="AC297" s="79">
        <f>VLOOKUP(B297,'Player Data'!$A1:$AE667,17,FALSE)*$Q297*_xlfn.IFERROR((VLOOKUP(P297,'Settings'!$E$28:$F$33,2,FALSE)+1),1)</f>
        <v>3.31389599712617</v>
      </c>
      <c r="AD297" s="79">
        <f>VLOOKUP(B297,'Player Data'!$A1:$AE667,18,FALSE)*$Q297</f>
        <v>55.4792081711465</v>
      </c>
      <c r="AE297" s="79">
        <f>VLOOKUP(B297,'Player Data'!$A1:$AE667,19,FALSE)*$Q297*_xlfn.IFERROR((VLOOKUP(P297,'Settings'!$E$28:$F$33,2,FALSE)+1),1)</f>
        <v>0.4957993228814</v>
      </c>
      <c r="AF297" s="79">
        <f>VLOOKUP(B297,'Player Data'!$A1:$AE667,20,FALSE)*$Q297</f>
        <v>0</v>
      </c>
      <c r="AG297" s="79">
        <f>VLOOKUP(B297,'Player Data'!$A1:$AE667,21,FALSE)*$Q297</f>
        <v>0</v>
      </c>
      <c r="AH297" s="81">
        <f>VLOOKUP(B297,'Player Data'!$A1:$AE667,22,FALSE)</f>
        <v>0</v>
      </c>
      <c r="AI297" s="77"/>
      <c r="AJ297" s="89"/>
      <c r="AK297" s="79"/>
      <c r="AL297" s="79"/>
      <c r="AM297" s="79"/>
      <c r="AN297" s="79"/>
      <c r="AO297" s="79"/>
      <c r="AP297" s="79"/>
      <c r="AQ297" s="82"/>
      <c r="AR297" s="83"/>
      <c r="AS297" s="84"/>
    </row>
    <row r="298" ht="21.25" customHeight="1">
      <c r="A298" s="85">
        <f>RANK(K298,K$1:K$665)</f>
        <v>274</v>
      </c>
      <c r="B298" t="s" s="16">
        <v>487</v>
      </c>
      <c r="C298" t="s" s="69">
        <v>127</v>
      </c>
      <c r="D298" t="s" s="70">
        <f>VLOOKUP(B298,'Player Data'!A1:D667,4,FALSE)</f>
        <v>161</v>
      </c>
      <c r="E298" s="99">
        <f>VLOOKUP(B298,'G'!A1:D65,3,FALSE)</f>
        <v>40</v>
      </c>
      <c r="F298" t="s" s="88">
        <f>VLOOKUP(B298,'Player Data'!A1:B667,2,FALSE)</f>
        <v>304</v>
      </c>
      <c r="G298" s="91">
        <f>VLOOKUP(B298,'Player Data'!A1:D667,3,FALSE)</f>
        <v>32</v>
      </c>
      <c r="H298" s="73">
        <f>_xlfn.IFERROR(VLOOKUP(B298,'ADP'!A1:G665,7,FALSE)/1000000,VLOOKUP(B298,'ADP'!A1:G665,7,FALSE))</f>
        <v>5.9</v>
      </c>
      <c r="I298" s="74">
        <f>IF('Settings'!$E$15="POINTS",(AJ298*'Settings'!$B$29)+(AK298*'Settings'!$B$21)+(AL298*'Settings'!$B$22)+(AN298*'Settings'!$B$24)+(AO298*'Settings'!$B$25)+(AP298*'Settings'!$B$27)+(AM298*'Settings'!$B$23),VLOOKUP(B298,'Standard Deviations'!A1:C666,3,FALSE))</f>
        <v>175.973219529655</v>
      </c>
      <c r="J298" s="75">
        <f>IF(D298="G",I298/AJ298,I298/Q298)</f>
        <v>5.02780627227586</v>
      </c>
      <c r="K298" s="74">
        <f>VLOOKUP(B298,'G'!A1:F65,6,FALSE)</f>
        <v>-91.617795034935</v>
      </c>
      <c r="L298" s="76">
        <f>_xlfn.IFERROR(K298/H298,"N/A")</f>
        <v>-15.5284398364297</v>
      </c>
      <c r="M298" s="77">
        <f>IF('Settings'!$E$9="YAHOO",VLOOKUP(B298,'ADP'!A1:E665,2,FALSE),IF('Settings'!$E$9="ESPN",VLOOKUP(B298,'ADP'!A1:E665,3,FALSE),IF('Settings'!$E$9="FANTRAX",VLOOKUP(B298,'ADP'!A1:E665,4,FALSE),VLOOKUP(B298,'ADP'!A1:E665,5,FALSE))))</f>
        <v>0</v>
      </c>
      <c r="N298" s="77">
        <f>_xlfn.IFERROR(M298-A298,"N/A")</f>
        <v>-274</v>
      </c>
      <c r="O298" s="77"/>
      <c r="P298" t="s" s="78">
        <f>IF('Settings'!$E$27="ON",VLOOKUP(B298,'ADP'!A1:H665,8,FALSE)," ")</f>
        <v>138</v>
      </c>
      <c r="Q298" s="79"/>
      <c r="R298" s="77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81"/>
      <c r="AI298" s="77"/>
      <c r="AJ298" s="89">
        <f>VLOOKUP(B298,'Player Data'!$A1:$AE667,24,FALSE)</f>
        <v>35</v>
      </c>
      <c r="AK298" s="79">
        <f>VLOOKUP(B298,'Player Data'!$A1:$AE667,25,FALSE)*$AJ298*_xlfn.IFERROR((VLOOKUP(P298,'Settings'!$E$28:$F$33,2,FALSE)+1),1)</f>
        <v>16.4486875492361</v>
      </c>
      <c r="AL298" s="79">
        <f>AJ298-AK298-AM298</f>
        <v>14.1763124507639</v>
      </c>
      <c r="AM298" s="79">
        <f>VLOOKUP(B298,'Player Data'!$A1:$AE667,27,FALSE)*$AJ298</f>
        <v>4.375</v>
      </c>
      <c r="AN298" s="79">
        <f>VLOOKUP(B298,'Player Data'!$A1:$AE667,28,FALSE)*AJ298</f>
        <v>1.83676820454276</v>
      </c>
      <c r="AO298" s="79">
        <f>VLOOKUP(B298,'Player Data'!$A1:$AE667,29,FALSE)*$AJ298*_xlfn.IFERROR((VLOOKUP(P298,'Settings'!$E$28:$F$33,2,FALSE)/4)+1,1)</f>
        <v>915.847220047564</v>
      </c>
      <c r="AP298" s="79">
        <f>VLOOKUP(B298,'Player Data'!$A1:$AE667,31,FALSE)*$AJ298*(_xlfn.IFERROR(1-(VLOOKUP(P298,'Settings'!$E$28:$F$33,2,FALSE)/4),1))</f>
        <v>100.053243390398</v>
      </c>
      <c r="AQ298" s="82">
        <f>1-(AP298/(AO298+AP298))</f>
        <v>0.90151274953473</v>
      </c>
      <c r="AR298" s="83">
        <f>AP298/AJ298</f>
        <v>2.85866409686851</v>
      </c>
      <c r="AS298" s="84"/>
    </row>
    <row r="299" ht="21.25" customHeight="1">
      <c r="A299" s="85">
        <f>RANK(K299,K$1:K$665)</f>
        <v>289</v>
      </c>
      <c r="B299" t="s" s="16">
        <v>488</v>
      </c>
      <c r="C299" t="s" s="69">
        <v>127</v>
      </c>
      <c r="D299" t="s" s="70">
        <f>VLOOKUP(B299,'Player Data'!A1:D667,4,FALSE)</f>
        <v>153</v>
      </c>
      <c r="E299" s="95">
        <f>VLOOKUP(B299,'D'!A1:C213,3,FALSE)</f>
        <v>93</v>
      </c>
      <c r="F299" t="s" s="78">
        <f>VLOOKUP(B299,'Player Data'!A1:B667,2,FALSE)</f>
        <v>244</v>
      </c>
      <c r="G299" s="91">
        <f>VLOOKUP(B299,'Player Data'!A1:D667,3,FALSE)</f>
        <v>31</v>
      </c>
      <c r="H299" s="73">
        <f>_xlfn.IFERROR(VLOOKUP(B299,'ADP'!A1:G665,7,FALSE)/1000000,VLOOKUP(B299,'ADP'!A1:G665,7,FALSE))</f>
        <v>4.4</v>
      </c>
      <c r="I299" s="74">
        <f>IF('Settings'!$E$15="POINTS",((R299*Q299)*'Settings'!$B$12)+(S299*'Settings'!$B$2)+(T299*'Settings'!$B$3)+(U299*'Settings'!$B$4)+(V299*'Settings'!$B$5)+(X299*'Settings'!$B$9)+(AA299*'Settings'!$B$6)+(W299*'Settings'!$B$8)+(AB299*'Settings'!$B$7)+(AC299*'Settings'!$B$14)+(AD299*'Settings'!$B$15)+(AE299*'Settings'!$B$16)+(AF299*'Settings'!$B$17)+(AG299*'Settings'!$B$18)+(U299*'Settings'!$B$13)+(Y299*'Settings'!$B$10)+(Z299*'Settings'!$B$11),VLOOKUP(B299,'Standard Deviations'!A1:C666,3,FALSE))</f>
        <v>236.107023322796</v>
      </c>
      <c r="J299" s="75">
        <f>IF(D299="G",I299/AJ299,I299/Q299)</f>
        <v>3.24033518593009</v>
      </c>
      <c r="K299" s="74">
        <f>VLOOKUP(B299,'D'!A1:F213,6,FALSE)</f>
        <v>-95.433184597286</v>
      </c>
      <c r="L299" s="76">
        <f>_xlfn.IFERROR(K299/H299,"N/A")</f>
        <v>-21.6893601357468</v>
      </c>
      <c r="M299" s="109">
        <f>IF('Settings'!$E$9="YAHOO",VLOOKUP(B299,'ADP'!A1:E665,2,FALSE),IF('Settings'!$E$9="ESPN",VLOOKUP(B299,'ADP'!A1:E665,3,FALSE),IF('Settings'!$E$9="FANTRAX",VLOOKUP(B299,'ADP'!A1:E665,4,FALSE),VLOOKUP(B299,'ADP'!A1:E665,5,FALSE))))</f>
        <v>0</v>
      </c>
      <c r="N299" s="79">
        <f>_xlfn.IFERROR(M299-A299,"N/A")</f>
        <v>-289</v>
      </c>
      <c r="O299" s="77"/>
      <c r="P299" t="s" s="78">
        <f>IF('Settings'!$E$27="ON",VLOOKUP(B299,'ADP'!A1:H665,8,FALSE)," ")</f>
        <v>138</v>
      </c>
      <c r="Q299" s="79">
        <f>IF('Settings'!$E$12="YES",VLOOKUP(B299,'Player Data'!A1:E667,5,FALSE),82)</f>
        <v>72.86499999999999</v>
      </c>
      <c r="R299" s="108">
        <f>VLOOKUP(B299,'Player Data'!$A1:$AE667,6,FALSE)</f>
        <v>18.8330778804233</v>
      </c>
      <c r="S299" s="79">
        <f>VLOOKUP(B299,'Player Data'!$A1:$AE667,7,FALSE)*$Q299*_xlfn.IFERROR((VLOOKUP(P299,'Settings'!$E$28:$F$33,2,FALSE)+1),1)</f>
        <v>4.17484882083105</v>
      </c>
      <c r="T299" s="79">
        <f>VLOOKUP(B299,'Player Data'!$A1:$AE667,8,FALSE)*$Q299*_xlfn.IFERROR((VLOOKUP(P299,'Settings'!$E$28:$F$33,2,FALSE)+1),1)</f>
        <v>7.5199508595906</v>
      </c>
      <c r="U299" s="79">
        <f>SUM(S299:T299)</f>
        <v>11.6947996804217</v>
      </c>
      <c r="V299" s="79">
        <f>VLOOKUP(B299,'Player Data'!$A1:$AE667,10,FALSE)*$Q299*_xlfn.IFERROR(((VLOOKUP(P299,'Settings'!$E$28:$F$33,2,FALSE)/2)+1),1)</f>
        <v>75.2135073148999</v>
      </c>
      <c r="W299" s="79">
        <f>VLOOKUP(B299,'Player Data'!$A1:$AE667,11,FALSE)*$Q299*_xlfn.IFERROR((VLOOKUP(P299,'Settings'!$E$28:$F$33,2,FALSE)+1),1)</f>
        <v>0.0195030305384447</v>
      </c>
      <c r="X299" s="79">
        <f>VLOOKUP(B299,'Player Data'!$A1:$AE667,12,FALSE)*$Q299*_xlfn.IFERROR((VLOOKUP(P299,'Settings'!$E$28:$F$33,2,FALSE)+1),1)</f>
        <v>0.124064025177982</v>
      </c>
      <c r="Y299" s="79">
        <f>VLOOKUP(B299,'Player Data'!$A1:$AE667,13,FALSE)*$Q299</f>
        <v>0.58956023758877</v>
      </c>
      <c r="Z299" s="79">
        <f>VLOOKUP(B299,'Player Data'!$A1:$AE667,14,FALSE)*$Q299</f>
        <v>0.6940172851516661</v>
      </c>
      <c r="AA299" s="79">
        <f>VLOOKUP(B299,'Player Data'!$A1:$AE667,15,FALSE)*$Q299</f>
        <v>149.052581201292</v>
      </c>
      <c r="AB299" s="79">
        <f>VLOOKUP(B299,'Player Data'!$A1:$AE667,16,FALSE)*$Q299</f>
        <v>147.417109321190</v>
      </c>
      <c r="AC299" s="79">
        <f>VLOOKUP(B299,'Player Data'!$A1:$AE667,17,FALSE)*$Q299*_xlfn.IFERROR((VLOOKUP(P299,'Settings'!$E$28:$F$33,2,FALSE)+1),1)</f>
        <v>-7.60851678868605</v>
      </c>
      <c r="AD299" s="79">
        <f>VLOOKUP(B299,'Player Data'!$A1:$AE667,18,FALSE)*$Q299</f>
        <v>52.7399933201355</v>
      </c>
      <c r="AE299" s="79">
        <f>VLOOKUP(B299,'Player Data'!$A1:$AE667,19,FALSE)*$Q299*_xlfn.IFERROR((VLOOKUP(P299,'Settings'!$E$28:$F$33,2,FALSE)+1),1)</f>
        <v>0.539537611553525</v>
      </c>
      <c r="AF299" s="79">
        <f>VLOOKUP(B299,'Player Data'!$A1:$AE667,20,FALSE)*$Q299</f>
        <v>0</v>
      </c>
      <c r="AG299" s="79">
        <f>VLOOKUP(B299,'Player Data'!$A1:$AE667,21,FALSE)*$Q299</f>
        <v>0</v>
      </c>
      <c r="AH299" s="81">
        <f>VLOOKUP(B299,'Player Data'!$A1:$AE667,22,FALSE)</f>
        <v>0</v>
      </c>
      <c r="AI299" s="77"/>
      <c r="AJ299" s="89"/>
      <c r="AK299" s="79"/>
      <c r="AL299" s="79"/>
      <c r="AM299" s="79"/>
      <c r="AN299" s="79"/>
      <c r="AO299" s="79"/>
      <c r="AP299" s="79"/>
      <c r="AQ299" s="82"/>
      <c r="AR299" s="83"/>
      <c r="AS299" s="84"/>
    </row>
    <row r="300" ht="21.25" customHeight="1">
      <c r="A300" s="85">
        <f>RANK(K300,K$1:K$665)</f>
        <v>317</v>
      </c>
      <c r="B300" t="s" s="16">
        <v>489</v>
      </c>
      <c r="C300" t="s" s="69">
        <v>127</v>
      </c>
      <c r="D300" t="s" s="70">
        <f>VLOOKUP(B300,'Player Data'!A1:D667,4,FALSE)</f>
        <v>128</v>
      </c>
      <c r="E300" s="71">
        <f>VLOOKUP(B300,'C'!A1:C206,3,FALSE)</f>
        <v>96</v>
      </c>
      <c r="F300" t="s" s="78">
        <f>VLOOKUP(B300,'Player Data'!A1:B667,2,FALSE)</f>
        <v>244</v>
      </c>
      <c r="G300" s="11">
        <f>VLOOKUP(B300,'Player Data'!A1:D667,3,FALSE)</f>
        <v>29</v>
      </c>
      <c r="H300" s="73">
        <f>_xlfn.IFERROR(VLOOKUP(B300,'ADP'!A1:G665,7,FALSE)/1000000,VLOOKUP(B300,'ADP'!A1:G665,7,FALSE))</f>
        <v>4.25</v>
      </c>
      <c r="I300" s="74">
        <f>IF('Settings'!$E$15="POINTS",((R300*Q300)*'Settings'!$B$12)+(S300*'Settings'!$B$2)+(T300*'Settings'!$B$3)+(U300*'Settings'!$B$4)+(V300*'Settings'!$B$5)+(X300*'Settings'!$B$9)+(AA300*'Settings'!$B$6)+(W300*'Settings'!$B$8)+(AB300*'Settings'!$B$7)+(AC300*'Settings'!$B$14)+(AD300*'Settings'!$B$15)+(AE300*'Settings'!$B$16)+(AF300*'Settings'!$B$17)+(AG300*'Settings'!$B$18)+(Y300*'Settings'!$B$10)+(Z300*'Settings'!$B$11),VLOOKUP(B300,'Standard Deviations'!A1:C666,3,FALSE))</f>
        <v>223.988319556732</v>
      </c>
      <c r="J300" s="75">
        <f>IF(D300="G",I300/AJ300,I300/Q300)</f>
        <v>2.81817211319492</v>
      </c>
      <c r="K300" s="74">
        <f>IF('Settings'!$E$18="C/LW/RW",VLOOKUP(B300,'C'!A1:F206,6,FALSE),VLOOKUP(B300,'F'!A1:F392,6,FALSE))</f>
        <v>-105.703574524446</v>
      </c>
      <c r="L300" s="76">
        <f>_xlfn.IFERROR(K300/H300,"N/A")</f>
        <v>-24.8714292998696</v>
      </c>
      <c r="M300" s="109">
        <f>IF('Settings'!$E$9="YAHOO",VLOOKUP(B300,'ADP'!A1:E665,2,FALSE),IF('Settings'!$E$9="ESPN",VLOOKUP(B300,'ADP'!A1:E665,3,FALSE),IF('Settings'!$E$9="FANTRAX",VLOOKUP(B300,'ADP'!A1:E665,4,FALSE),VLOOKUP(B300,'ADP'!A1:E665,5,FALSE))))</f>
        <v>0</v>
      </c>
      <c r="N300" s="79">
        <f>_xlfn.IFERROR(M300-A300,"N/A")</f>
        <v>-317</v>
      </c>
      <c r="O300" s="77"/>
      <c r="P300" t="s" s="78">
        <f>IF('Settings'!$E$27="ON",VLOOKUP(B300,'ADP'!A1:H665,8,FALSE)," ")</f>
        <v>138</v>
      </c>
      <c r="Q300" s="79">
        <f>IF('Settings'!$E$12="YES",VLOOKUP(B300,'Player Data'!A1:E667,5,FALSE),82)</f>
        <v>79.48</v>
      </c>
      <c r="R300" s="77">
        <f>VLOOKUP(B300,'Player Data'!$A1:$AE667,6,FALSE)</f>
        <v>15.8388584557292</v>
      </c>
      <c r="S300" s="79">
        <f>VLOOKUP(B300,'Player Data'!$A1:$AE667,7,FALSE)*$Q300*_xlfn.IFERROR((VLOOKUP(P300,'Settings'!$E$28:$F$33,2,FALSE)+1),1)</f>
        <v>13.6887608318073</v>
      </c>
      <c r="T300" s="79">
        <f>VLOOKUP(B300,'Player Data'!$A1:$AE667,8,FALSE)*$Q300*_xlfn.IFERROR((VLOOKUP(P300,'Settings'!$E$28:$F$33,2,FALSE)+1),1)</f>
        <v>15.3349890239595</v>
      </c>
      <c r="U300" s="79">
        <f>SUM(S300:T300)</f>
        <v>29.0237498557668</v>
      </c>
      <c r="V300" s="79">
        <f>VLOOKUP(B300,'Player Data'!$A1:$AE667,10,FALSE)*$Q300*_xlfn.IFERROR(((VLOOKUP(P300,'Settings'!$E$28:$F$33,2,FALSE)/2)+1),1)</f>
        <v>113.244500642266</v>
      </c>
      <c r="W300" s="79">
        <f>VLOOKUP(B300,'Player Data'!$A1:$AE667,11,FALSE)*$Q300*_xlfn.IFERROR((VLOOKUP(P300,'Settings'!$E$28:$F$33,2,FALSE)+1),1)</f>
        <v>0.462267883416241</v>
      </c>
      <c r="X300" s="79">
        <f>VLOOKUP(B300,'Player Data'!$A1:$AE667,12,FALSE)*$Q300*_xlfn.IFERROR((VLOOKUP(P300,'Settings'!$E$28:$F$33,2,FALSE)+1),1)</f>
        <v>0.667411738675729</v>
      </c>
      <c r="Y300" s="79">
        <f>VLOOKUP(B300,'Player Data'!$A1:$AE667,13,FALSE)*$Q300</f>
        <v>0.0884132482248593</v>
      </c>
      <c r="Z300" s="79">
        <f>VLOOKUP(B300,'Player Data'!$A1:$AE667,14,FALSE)*$Q300</f>
        <v>1.39157393349383</v>
      </c>
      <c r="AA300" s="79">
        <f>VLOOKUP(B300,'Player Data'!$A1:$AE667,15,FALSE)*$Q300</f>
        <v>70.44751406800179</v>
      </c>
      <c r="AB300" s="79">
        <f>VLOOKUP(B300,'Player Data'!$A1:$AE667,16,FALSE)*$Q300</f>
        <v>122.578446813086</v>
      </c>
      <c r="AC300" s="79">
        <f>VLOOKUP(B300,'Player Data'!$A1:$AE667,17,FALSE)*$Q300*_xlfn.IFERROR((VLOOKUP(P300,'Settings'!$E$28:$F$33,2,FALSE)+1),1)</f>
        <v>-6.14667100267118</v>
      </c>
      <c r="AD300" s="79">
        <f>VLOOKUP(B300,'Player Data'!$A1:$AE667,18,FALSE)*$Q300</f>
        <v>30.4554020353851</v>
      </c>
      <c r="AE300" s="79">
        <f>VLOOKUP(B300,'Player Data'!$A1:$AE667,19,FALSE)*$Q300*_xlfn.IFERROR((VLOOKUP(P300,'Settings'!$E$28:$F$33,2,FALSE)+1),1)</f>
        <v>1.76907036428941</v>
      </c>
      <c r="AF300" s="79">
        <f>VLOOKUP(B300,'Player Data'!$A1:$AE667,20,FALSE)*$Q300</f>
        <v>493.275253088947</v>
      </c>
      <c r="AG300" s="79">
        <f>VLOOKUP(B300,'Player Data'!$A1:$AE667,21,FALSE)*$Q300</f>
        <v>534.487383861384</v>
      </c>
      <c r="AH300" s="81">
        <f>VLOOKUP(B300,'Player Data'!$A1:$AE667,22,FALSE)</f>
        <v>0.479950559939246</v>
      </c>
      <c r="AI300" s="77"/>
      <c r="AJ300" s="79"/>
      <c r="AK300" s="79"/>
      <c r="AL300" s="79"/>
      <c r="AM300" s="79"/>
      <c r="AN300" s="79"/>
      <c r="AO300" s="79"/>
      <c r="AP300" s="79"/>
      <c r="AQ300" s="82"/>
      <c r="AR300" s="83"/>
      <c r="AS300" s="84"/>
    </row>
    <row r="301" ht="21.25" customHeight="1">
      <c r="A301" s="85">
        <f>RANK(K301,K$1:K$665)</f>
        <v>318</v>
      </c>
      <c r="B301" t="s" s="16">
        <v>490</v>
      </c>
      <c r="C301" t="s" s="69">
        <v>127</v>
      </c>
      <c r="D301" t="s" s="70">
        <f>VLOOKUP(B301,'Player Data'!A1:D667,4,FALSE)</f>
        <v>128</v>
      </c>
      <c r="E301" s="71">
        <f>VLOOKUP(B301,'C'!A1:C206,3,FALSE)</f>
        <v>97</v>
      </c>
      <c r="F301" t="s" s="78">
        <f>VLOOKUP(B301,'Player Data'!A1:B667,2,FALSE)</f>
        <v>261</v>
      </c>
      <c r="G301" s="91">
        <f>VLOOKUP(B301,'Player Data'!A1:D667,3,FALSE)</f>
        <v>32</v>
      </c>
      <c r="H301" s="94">
        <f>_xlfn.IFERROR(VLOOKUP(B301,'ADP'!A1:G665,7,FALSE)/1000000,VLOOKUP(B301,'ADP'!A1:G665,7,FALSE))</f>
        <v>2.1</v>
      </c>
      <c r="I301" s="74">
        <f>IF('Settings'!$E$15="POINTS",((R301*Q301)*'Settings'!$B$12)+(S301*'Settings'!$B$2)+(T301*'Settings'!$B$3)+(U301*'Settings'!$B$4)+(V301*'Settings'!$B$5)+(X301*'Settings'!$B$9)+(AA301*'Settings'!$B$6)+(W301*'Settings'!$B$8)+(AB301*'Settings'!$B$7)+(AC301*'Settings'!$B$14)+(AD301*'Settings'!$B$15)+(AE301*'Settings'!$B$16)+(AF301*'Settings'!$B$17)+(AG301*'Settings'!$B$18)+(Y301*'Settings'!$B$10)+(Z301*'Settings'!$B$11),VLOOKUP(B301,'Standard Deviations'!A1:C666,3,FALSE))</f>
        <v>223.744960971686</v>
      </c>
      <c r="J301" s="75">
        <f>IF(D301="G",I301/AJ301,I301/Q301)</f>
        <v>2.87165450775442</v>
      </c>
      <c r="K301" s="74">
        <f>IF('Settings'!$E$18="C/LW/RW",VLOOKUP(B301,'C'!A1:F206,6,FALSE),VLOOKUP(B301,'F'!A1:F392,6,FALSE))</f>
        <v>-105.946933109492</v>
      </c>
      <c r="L301" s="76">
        <f>_xlfn.IFERROR(K301/H301,"N/A")</f>
        <v>-50.4509205283295</v>
      </c>
      <c r="M301" s="109">
        <f>IF('Settings'!$E$9="YAHOO",VLOOKUP(B301,'ADP'!A1:E665,2,FALSE),IF('Settings'!$E$9="ESPN",VLOOKUP(B301,'ADP'!A1:E665,3,FALSE),IF('Settings'!$E$9="FANTRAX",VLOOKUP(B301,'ADP'!A1:E665,4,FALSE),VLOOKUP(B301,'ADP'!A1:E665,5,FALSE))))</f>
        <v>0</v>
      </c>
      <c r="N301" s="79">
        <f>_xlfn.IFERROR(M301-A301,"N/A")</f>
        <v>-318</v>
      </c>
      <c r="O301" s="77"/>
      <c r="P301" t="s" s="78">
        <f>IF('Settings'!$E$27="ON",VLOOKUP(B301,'ADP'!A1:H665,8,FALSE)," ")</f>
        <v>138</v>
      </c>
      <c r="Q301" s="79">
        <f>IF('Settings'!$E$12="YES",VLOOKUP(B301,'Player Data'!A1:E667,5,FALSE),82)</f>
        <v>77.91500000000001</v>
      </c>
      <c r="R301" s="108">
        <f>VLOOKUP(B301,'Player Data'!$A1:$AE667,6,FALSE)</f>
        <v>15.5172393283087</v>
      </c>
      <c r="S301" s="79">
        <f>VLOOKUP(B301,'Player Data'!$A1:$AE667,7,FALSE)*$Q301*_xlfn.IFERROR((VLOOKUP(P301,'Settings'!$E$28:$F$33,2,FALSE)+1),1)</f>
        <v>16.177068999978</v>
      </c>
      <c r="T301" s="79">
        <f>VLOOKUP(B301,'Player Data'!$A1:$AE667,8,FALSE)*$Q301*_xlfn.IFERROR((VLOOKUP(P301,'Settings'!$E$28:$F$33,2,FALSE)+1),1)</f>
        <v>15.5688193062807</v>
      </c>
      <c r="U301" s="79">
        <f>SUM(S301:T301)</f>
        <v>31.7458883062587</v>
      </c>
      <c r="V301" s="79">
        <f>VLOOKUP(B301,'Player Data'!$A1:$AE667,10,FALSE)*$Q301*_xlfn.IFERROR(((VLOOKUP(P301,'Settings'!$E$28:$F$33,2,FALSE)/2)+1),1)</f>
        <v>142.232114753828</v>
      </c>
      <c r="W301" s="79">
        <f>VLOOKUP(B301,'Player Data'!$A1:$AE667,11,FALSE)*$Q301*_xlfn.IFERROR((VLOOKUP(P301,'Settings'!$E$28:$F$33,2,FALSE)+1),1)</f>
        <v>0.5466980389448201</v>
      </c>
      <c r="X301" s="79">
        <f>VLOOKUP(B301,'Player Data'!$A1:$AE667,12,FALSE)*$Q301*_xlfn.IFERROR((VLOOKUP(P301,'Settings'!$E$28:$F$33,2,FALSE)+1),1)</f>
        <v>1.29354229136931</v>
      </c>
      <c r="Y301" s="79">
        <f>VLOOKUP(B301,'Player Data'!$A1:$AE667,13,FALSE)*$Q301</f>
        <v>0.922468202526695</v>
      </c>
      <c r="Z301" s="79">
        <f>VLOOKUP(B301,'Player Data'!$A1:$AE667,14,FALSE)*$Q301</f>
        <v>1.04666012623672</v>
      </c>
      <c r="AA301" s="79">
        <f>VLOOKUP(B301,'Player Data'!$A1:$AE667,15,FALSE)*$Q301</f>
        <v>45.2811904145119</v>
      </c>
      <c r="AB301" s="79">
        <f>VLOOKUP(B301,'Player Data'!$A1:$AE667,16,FALSE)*$Q301</f>
        <v>124.658277953848</v>
      </c>
      <c r="AC301" s="79">
        <f>VLOOKUP(B301,'Player Data'!$A1:$AE667,17,FALSE)*$Q301*_xlfn.IFERROR((VLOOKUP(P301,'Settings'!$E$28:$F$33,2,FALSE)+1),1)</f>
        <v>1.30421834624375</v>
      </c>
      <c r="AD301" s="79">
        <f>VLOOKUP(B301,'Player Data'!$A1:$AE667,18,FALSE)*$Q301</f>
        <v>38.3554161865694</v>
      </c>
      <c r="AE301" s="79">
        <f>VLOOKUP(B301,'Player Data'!$A1:$AE667,19,FALSE)*$Q301*_xlfn.IFERROR((VLOOKUP(P301,'Settings'!$E$28:$F$33,2,FALSE)+1),1)</f>
        <v>2.3671806847419</v>
      </c>
      <c r="AF301" s="79">
        <f>VLOOKUP(B301,'Player Data'!$A1:$AE667,20,FALSE)*$Q301</f>
        <v>537.5378360396001</v>
      </c>
      <c r="AG301" s="79">
        <f>VLOOKUP(B301,'Player Data'!$A1:$AE667,21,FALSE)*$Q301</f>
        <v>549.164951991139</v>
      </c>
      <c r="AH301" s="81">
        <f>VLOOKUP(B301,'Player Data'!$A1:$AE667,22,FALSE)</f>
        <v>0.494650277849839</v>
      </c>
      <c r="AI301" s="77"/>
      <c r="AJ301" s="79"/>
      <c r="AK301" s="79"/>
      <c r="AL301" s="79"/>
      <c r="AM301" s="79"/>
      <c r="AN301" s="79"/>
      <c r="AO301" s="79"/>
      <c r="AP301" s="79"/>
      <c r="AQ301" s="82"/>
      <c r="AR301" s="83"/>
      <c r="AS301" s="84"/>
    </row>
    <row r="302" ht="21.25" customHeight="1">
      <c r="A302" s="85">
        <f>RANK(K302,K$1:K$665)</f>
        <v>291</v>
      </c>
      <c r="B302" t="s" s="16">
        <v>491</v>
      </c>
      <c r="C302" t="s" s="69">
        <v>127</v>
      </c>
      <c r="D302" t="s" s="70">
        <f>VLOOKUP(B302,'Player Data'!A1:D667,4,FALSE)</f>
        <v>153</v>
      </c>
      <c r="E302" s="95">
        <f>VLOOKUP(B302,'D'!A1:C213,3,FALSE)</f>
        <v>94</v>
      </c>
      <c r="F302" t="s" s="103">
        <f>VLOOKUP(B302,'Player Data'!A1:B667,2,FALSE)</f>
        <v>225</v>
      </c>
      <c r="G302" s="11">
        <f>VLOOKUP(B302,'Player Data'!A1:D667,3,FALSE)</f>
        <v>25</v>
      </c>
      <c r="H302" s="73">
        <f>_xlfn.IFERROR(VLOOKUP(B302,'ADP'!A1:G665,7,FALSE)/1000000,VLOOKUP(B302,'ADP'!A1:G665,7,FALSE))</f>
        <v>4.125</v>
      </c>
      <c r="I302" s="74">
        <f>IF('Settings'!$E$15="POINTS",((R302*Q302)*'Settings'!$B$12)+(S302*'Settings'!$B$2)+(T302*'Settings'!$B$3)+(U302*'Settings'!$B$4)+(V302*'Settings'!$B$5)+(X302*'Settings'!$B$9)+(AA302*'Settings'!$B$6)+(W302*'Settings'!$B$8)+(AB302*'Settings'!$B$7)+(AC302*'Settings'!$B$14)+(AD302*'Settings'!$B$15)+(AE302*'Settings'!$B$16)+(AF302*'Settings'!$B$17)+(AG302*'Settings'!$B$18)+(U302*'Settings'!$B$13)+(Y302*'Settings'!$B$10)+(Z302*'Settings'!$B$11),VLOOKUP(B302,'Standard Deviations'!A1:C666,3,FALSE))</f>
        <v>235.576664290018</v>
      </c>
      <c r="J302" s="75">
        <f>IF(D302="G",I302/AJ302,I302/Q302)</f>
        <v>3.04274163570045</v>
      </c>
      <c r="K302" s="74">
        <f>VLOOKUP(B302,'D'!A1:F213,6,FALSE)</f>
        <v>-95.963543630064</v>
      </c>
      <c r="L302" s="76">
        <f>_xlfn.IFERROR(K302/H302,"N/A")</f>
        <v>-23.263889364864</v>
      </c>
      <c r="M302" s="109">
        <f>IF('Settings'!$E$9="YAHOO",VLOOKUP(B302,'ADP'!A1:E665,2,FALSE),IF('Settings'!$E$9="ESPN",VLOOKUP(B302,'ADP'!A1:E665,3,FALSE),IF('Settings'!$E$9="FANTRAX",VLOOKUP(B302,'ADP'!A1:E665,4,FALSE),VLOOKUP(B302,'ADP'!A1:E665,5,FALSE))))</f>
        <v>0</v>
      </c>
      <c r="N302" s="79">
        <f>_xlfn.IFERROR(M302-A302,"N/A")</f>
        <v>-291</v>
      </c>
      <c r="O302" s="77"/>
      <c r="P302" t="s" s="78">
        <f>IF('Settings'!$E$27="ON",VLOOKUP(B302,'ADP'!A1:H665,8,FALSE)," ")</f>
        <v>138</v>
      </c>
      <c r="Q302" s="79">
        <f>IF('Settings'!$E$12="YES",VLOOKUP(B302,'Player Data'!A1:E667,5,FALSE),82)</f>
        <v>77.4225</v>
      </c>
      <c r="R302" s="77">
        <f>VLOOKUP(B302,'Player Data'!$A1:$AE667,6,FALSE)</f>
        <v>20.5479144384649</v>
      </c>
      <c r="S302" s="79">
        <f>VLOOKUP(B302,'Player Data'!$A1:$AE667,7,FALSE)*$Q302*_xlfn.IFERROR((VLOOKUP(P302,'Settings'!$E$28:$F$33,2,FALSE)+1),1)</f>
        <v>3.40093664498477</v>
      </c>
      <c r="T302" s="79">
        <f>VLOOKUP(B302,'Player Data'!$A1:$AE667,8,FALSE)*$Q302*_xlfn.IFERROR((VLOOKUP(P302,'Settings'!$E$28:$F$33,2,FALSE)+1),1)</f>
        <v>15.8402092490264</v>
      </c>
      <c r="U302" s="79">
        <f>SUM(S302:T302)</f>
        <v>19.2411458940112</v>
      </c>
      <c r="V302" s="79">
        <f>VLOOKUP(B302,'Player Data'!$A1:$AE667,10,FALSE)*$Q302*_xlfn.IFERROR(((VLOOKUP(P302,'Settings'!$E$28:$F$33,2,FALSE)/2)+1),1)</f>
        <v>92.3800800758633</v>
      </c>
      <c r="W302" s="79">
        <f>VLOOKUP(B302,'Player Data'!$A1:$AE667,11,FALSE)*$Q302*_xlfn.IFERROR((VLOOKUP(P302,'Settings'!$E$28:$F$33,2,FALSE)+1),1)</f>
        <v>0.0314931454720458</v>
      </c>
      <c r="X302" s="79">
        <f>VLOOKUP(B302,'Player Data'!$A1:$AE667,12,FALSE)*$Q302*_xlfn.IFERROR((VLOOKUP(P302,'Settings'!$E$28:$F$33,2,FALSE)+1),1)</f>
        <v>0.0869037223161135</v>
      </c>
      <c r="Y302" s="79">
        <f>VLOOKUP(B302,'Player Data'!$A1:$AE667,13,FALSE)*$Q302</f>
        <v>0.0295540370158697</v>
      </c>
      <c r="Z302" s="79">
        <f>VLOOKUP(B302,'Player Data'!$A1:$AE667,14,FALSE)*$Q302</f>
        <v>0.398621331355375</v>
      </c>
      <c r="AA302" s="79">
        <f>VLOOKUP(B302,'Player Data'!$A1:$AE667,15,FALSE)*$Q302</f>
        <v>130.727767454815</v>
      </c>
      <c r="AB302" s="79">
        <f>VLOOKUP(B302,'Player Data'!$A1:$AE667,16,FALSE)*$Q302</f>
        <v>133.715162248151</v>
      </c>
      <c r="AC302" s="79">
        <f>VLOOKUP(B302,'Player Data'!$A1:$AE667,17,FALSE)*$Q302*_xlfn.IFERROR((VLOOKUP(P302,'Settings'!$E$28:$F$33,2,FALSE)+1),1)</f>
        <v>3.09669027114024</v>
      </c>
      <c r="AD302" s="79">
        <f>VLOOKUP(B302,'Player Data'!$A1:$AE667,18,FALSE)*$Q302</f>
        <v>24.3407036709137</v>
      </c>
      <c r="AE302" s="79">
        <f>VLOOKUP(B302,'Player Data'!$A1:$AE667,19,FALSE)*$Q302*_xlfn.IFERROR((VLOOKUP(P302,'Settings'!$E$28:$F$33,2,FALSE)+1),1)</f>
        <v>0.606086600289493</v>
      </c>
      <c r="AF302" s="79">
        <f>VLOOKUP(B302,'Player Data'!$A1:$AE667,20,FALSE)*$Q302</f>
        <v>0</v>
      </c>
      <c r="AG302" s="79">
        <f>VLOOKUP(B302,'Player Data'!$A1:$AE667,21,FALSE)*$Q302</f>
        <v>0</v>
      </c>
      <c r="AH302" s="81">
        <f>VLOOKUP(B302,'Player Data'!$A1:$AE667,22,FALSE)</f>
        <v>0</v>
      </c>
      <c r="AI302" s="77"/>
      <c r="AJ302" s="89"/>
      <c r="AK302" s="79"/>
      <c r="AL302" s="79"/>
      <c r="AM302" s="79"/>
      <c r="AN302" s="79"/>
      <c r="AO302" s="79"/>
      <c r="AP302" s="79"/>
      <c r="AQ302" s="82"/>
      <c r="AR302" s="83"/>
      <c r="AS302" s="84"/>
    </row>
    <row r="303" ht="21.25" customHeight="1">
      <c r="A303" s="85">
        <f>RANK(K303,K$1:K$665)</f>
        <v>278</v>
      </c>
      <c r="B303" t="s" s="16">
        <v>492</v>
      </c>
      <c r="C303" t="s" s="69">
        <v>127</v>
      </c>
      <c r="D303" t="s" s="70">
        <f>VLOOKUP(B303,'Player Data'!A1:D667,4,FALSE)</f>
        <v>161</v>
      </c>
      <c r="E303" s="99">
        <f>VLOOKUP(B303,'G'!A1:D65,3,FALSE)</f>
        <v>41</v>
      </c>
      <c r="F303" t="s" s="86">
        <f>VLOOKUP(B303,'Player Data'!A1:B667,2,FALSE)</f>
        <v>154</v>
      </c>
      <c r="G303" s="96">
        <f>VLOOKUP(B303,'Player Data'!A1:D667,3,FALSE)</f>
        <v>22</v>
      </c>
      <c r="H303" s="94">
        <f>_xlfn.IFERROR(VLOOKUP(B303,'ADP'!A1:G665,7,FALSE)/1000000,VLOOKUP(B303,'ADP'!A1:G665,7,FALSE))</f>
        <v>0.925</v>
      </c>
      <c r="I303" s="74">
        <f>IF('Settings'!$E$15="POINTS",(AJ303*'Settings'!$B$29)+(AK303*'Settings'!$B$21)+(AL303*'Settings'!$B$22)+(AN303*'Settings'!$B$24)+(AO303*'Settings'!$B$25)+(AP303*'Settings'!$B$27)+(AM303*'Settings'!$B$23),VLOOKUP(B303,'Standard Deviations'!A1:C666,3,FALSE))</f>
        <v>174.822672109007</v>
      </c>
      <c r="J303" s="75">
        <f>IF(D303="G",I303/AJ303,I303/Q303)</f>
        <v>5.14184329732374</v>
      </c>
      <c r="K303" s="74">
        <f>VLOOKUP(B303,'G'!A1:F65,6,FALSE)</f>
        <v>-92.768342455583</v>
      </c>
      <c r="L303" s="76">
        <f>_xlfn.IFERROR(K303/H303,"N/A")</f>
        <v>-100.290099951982</v>
      </c>
      <c r="M303" s="77">
        <f>IF('Settings'!$E$9="YAHOO",VLOOKUP(B303,'ADP'!A1:E665,2,FALSE),IF('Settings'!$E$9="ESPN",VLOOKUP(B303,'ADP'!A1:E665,3,FALSE),IF('Settings'!$E$9="FANTRAX",VLOOKUP(B303,'ADP'!A1:E665,4,FALSE),VLOOKUP(B303,'ADP'!A1:E665,5,FALSE))))</f>
        <v>0</v>
      </c>
      <c r="N303" s="77">
        <f>_xlfn.IFERROR(M303-A303,"N/A")</f>
        <v>-278</v>
      </c>
      <c r="O303" s="77"/>
      <c r="P303" t="s" s="78">
        <f>IF('Settings'!$E$27="ON",VLOOKUP(B303,'ADP'!A1:H665,8,FALSE)," ")</f>
        <v>235</v>
      </c>
      <c r="Q303" s="79"/>
      <c r="R303" s="77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81"/>
      <c r="AI303" s="77"/>
      <c r="AJ303" s="89">
        <f>VLOOKUP(B303,'Player Data'!$A1:$AE667,24,FALSE)</f>
        <v>34</v>
      </c>
      <c r="AK303" s="79">
        <f>VLOOKUP(B303,'Player Data'!$A1:$AE667,25,FALSE)*$AJ303*_xlfn.IFERROR((VLOOKUP(P303,'Settings'!$E$28:$F$33,2,FALSE)+1),1)</f>
        <v>16.1962534074634</v>
      </c>
      <c r="AL303" s="79">
        <f>AJ303-AK303-AM303</f>
        <v>13.5537465925366</v>
      </c>
      <c r="AM303" s="79">
        <f>VLOOKUP(B303,'Player Data'!$A1:$AE667,27,FALSE)*$AJ303</f>
        <v>4.25</v>
      </c>
      <c r="AN303" s="79">
        <f>VLOOKUP(B303,'Player Data'!$A1:$AE667,28,FALSE)*AJ303</f>
        <v>1.45244272271108</v>
      </c>
      <c r="AO303" s="79">
        <f>VLOOKUP(B303,'Player Data'!$A1:$AE667,29,FALSE)*$AJ303*_xlfn.IFERROR((VLOOKUP(P303,'Settings'!$E$28:$F$33,2,FALSE)/4)+1,1)</f>
        <v>931.0927991833649</v>
      </c>
      <c r="AP303" s="79">
        <f>VLOOKUP(B303,'Player Data'!$A1:$AE667,31,FALSE)*$AJ303*(_xlfn.IFERROR(1-(VLOOKUP(P303,'Settings'!$E$28:$F$33,2,FALSE)/4),1))</f>
        <v>102.778303516427</v>
      </c>
      <c r="AQ303" s="82">
        <f>1-(AP303/(AO303+AP303))</f>
        <v>0.900588861369626</v>
      </c>
      <c r="AR303" s="83">
        <f>AP303/AJ303</f>
        <v>3.02289127989491</v>
      </c>
      <c r="AS303" s="84"/>
    </row>
    <row r="304" ht="21.25" customHeight="1">
      <c r="A304" s="85">
        <f>RANK(K304,K$1:K$665)</f>
        <v>313</v>
      </c>
      <c r="B304" t="s" s="16">
        <v>493</v>
      </c>
      <c r="C304" t="s" s="69">
        <v>127</v>
      </c>
      <c r="D304" t="s" s="70">
        <f>VLOOKUP(B304,'Player Data'!A1:D667,4,FALSE)</f>
        <v>136</v>
      </c>
      <c r="E304" s="87">
        <f>VLOOKUP(B304,'LW'!A1:C152,3,FALSE)</f>
        <v>72</v>
      </c>
      <c r="F304" t="s" s="86">
        <f>VLOOKUP(B304,'Player Data'!A1:B667,2,FALSE)</f>
        <v>129</v>
      </c>
      <c r="G304" s="91">
        <f>VLOOKUP(B304,'Player Data'!A1:D667,3,FALSE)</f>
        <v>34</v>
      </c>
      <c r="H304" s="73">
        <f>_xlfn.IFERROR(VLOOKUP(B304,'ADP'!A1:G665,7,FALSE)/1000000,VLOOKUP(B304,'ADP'!A1:G665,7,FALSE))</f>
        <v>3</v>
      </c>
      <c r="I304" s="74">
        <f>IF('Settings'!$E$15="POINTS",((R304*Q304)*'Settings'!$B$12)+(S304*'Settings'!$B$2)+(T304*'Settings'!$B$3)+(U304*'Settings'!$B$4)+(V304*'Settings'!$B$5)+(X304*'Settings'!$B$9)+(AA304*'Settings'!$B$6)+(W304*'Settings'!$B$8)+(AB304*'Settings'!$B$7)+(AC304*'Settings'!$B$14)+(AD304*'Settings'!$B$15)+(AE304*'Settings'!$B$16)+(AF304*'Settings'!$B$17)+(AG304*'Settings'!$B$18)+(Y304*'Settings'!$B$10)+(Z304*'Settings'!$B$11),VLOOKUP(B304,'Standard Deviations'!A1:C666,3,FALSE))</f>
        <v>228.035444042432</v>
      </c>
      <c r="J304" s="75">
        <f>IF(D304="G",I304/AJ304,I304/Q304)</f>
        <v>2.96612180076004</v>
      </c>
      <c r="K304" s="74">
        <f>IF('Settings'!$E$18="C/LW/RW",VLOOKUP(B304,'LW'!A1:F152,6,FALSE),VLOOKUP(B304,'F'!A1:F392,6,FALSE))</f>
        <v>-103.684667723780</v>
      </c>
      <c r="L304" s="76">
        <f>_xlfn.IFERROR(K304/H304,"N/A")</f>
        <v>-34.5615559079267</v>
      </c>
      <c r="M304" s="109">
        <f>IF('Settings'!$E$9="YAHOO",VLOOKUP(B304,'ADP'!A1:E665,2,FALSE),IF('Settings'!$E$9="ESPN",VLOOKUP(B304,'ADP'!A1:E665,3,FALSE),IF('Settings'!$E$9="FANTRAX",VLOOKUP(B304,'ADP'!A1:E665,4,FALSE),VLOOKUP(B304,'ADP'!A1:E665,5,FALSE))))</f>
        <v>0</v>
      </c>
      <c r="N304" s="79">
        <f>_xlfn.IFERROR(M304-A304,"N/A")</f>
        <v>-313</v>
      </c>
      <c r="O304" s="77"/>
      <c r="P304" t="s" s="78">
        <f>IF('Settings'!$E$27="ON",VLOOKUP(B304,'ADP'!A1:H665,8,FALSE)," ")</f>
        <v>138</v>
      </c>
      <c r="Q304" s="79">
        <f>IF('Settings'!$E$12="YES",VLOOKUP(B304,'Player Data'!A1:E667,5,FALSE),82)</f>
        <v>76.88</v>
      </c>
      <c r="R304" s="77">
        <f>VLOOKUP(B304,'Player Data'!$A1:$AE667,6,FALSE)</f>
        <v>15.9412695209688</v>
      </c>
      <c r="S304" s="79">
        <f>VLOOKUP(B304,'Player Data'!$A1:$AE667,7,FALSE)*$Q304*_xlfn.IFERROR((VLOOKUP(P304,'Settings'!$E$28:$F$33,2,FALSE)+1),1)</f>
        <v>18.1389497352227</v>
      </c>
      <c r="T304" s="79">
        <f>VLOOKUP(B304,'Player Data'!$A1:$AE667,8,FALSE)*$Q304*_xlfn.IFERROR((VLOOKUP(P304,'Settings'!$E$28:$F$33,2,FALSE)+1),1)</f>
        <v>18.8000696547073</v>
      </c>
      <c r="U304" s="79">
        <f>SUM(S304:T304)</f>
        <v>36.939019389930</v>
      </c>
      <c r="V304" s="79">
        <f>VLOOKUP(B304,'Player Data'!$A1:$AE667,10,FALSE)*$Q304*_xlfn.IFERROR(((VLOOKUP(P304,'Settings'!$E$28:$F$33,2,FALSE)/2)+1),1)</f>
        <v>128.318140642922</v>
      </c>
      <c r="W304" s="79">
        <f>VLOOKUP(B304,'Player Data'!$A1:$AE667,11,FALSE)*$Q304*_xlfn.IFERROR((VLOOKUP(P304,'Settings'!$E$28:$F$33,2,FALSE)+1),1)</f>
        <v>2.32850342175928</v>
      </c>
      <c r="X304" s="79">
        <f>VLOOKUP(B304,'Player Data'!$A1:$AE667,12,FALSE)*$Q304*_xlfn.IFERROR((VLOOKUP(P304,'Settings'!$E$28:$F$33,2,FALSE)+1),1)</f>
        <v>4.9542934943962</v>
      </c>
      <c r="Y304" s="79">
        <f>VLOOKUP(B304,'Player Data'!$A1:$AE667,13,FALSE)*$Q304</f>
        <v>0.560235573567762</v>
      </c>
      <c r="Z304" s="79">
        <f>VLOOKUP(B304,'Player Data'!$A1:$AE667,14,FALSE)*$Q304</f>
        <v>1.99459251757086</v>
      </c>
      <c r="AA304" s="79">
        <f>VLOOKUP(B304,'Player Data'!$A1:$AE667,15,FALSE)*$Q304</f>
        <v>64.29178023602969</v>
      </c>
      <c r="AB304" s="79">
        <f>VLOOKUP(B304,'Player Data'!$A1:$AE667,16,FALSE)*$Q304</f>
        <v>76.97750403533971</v>
      </c>
      <c r="AC304" s="79">
        <f>VLOOKUP(B304,'Player Data'!$A1:$AE667,17,FALSE)*$Q304*_xlfn.IFERROR((VLOOKUP(P304,'Settings'!$E$28:$F$33,2,FALSE)+1),1)</f>
        <v>0.791818487122131</v>
      </c>
      <c r="AD304" s="79">
        <f>VLOOKUP(B304,'Player Data'!$A1:$AE667,18,FALSE)*$Q304</f>
        <v>24.3283748496823</v>
      </c>
      <c r="AE304" s="79">
        <f>VLOOKUP(B304,'Player Data'!$A1:$AE667,19,FALSE)*$Q304*_xlfn.IFERROR((VLOOKUP(P304,'Settings'!$E$28:$F$33,2,FALSE)+1),1)</f>
        <v>2.92898976556609</v>
      </c>
      <c r="AF304" s="79">
        <f>VLOOKUP(B304,'Player Data'!$A1:$AE667,20,FALSE)*$Q304</f>
        <v>471.351696311633</v>
      </c>
      <c r="AG304" s="79">
        <f>VLOOKUP(B304,'Player Data'!$A1:$AE667,21,FALSE)*$Q304</f>
        <v>417.960294153367</v>
      </c>
      <c r="AH304" s="81">
        <f>VLOOKUP(B304,'Player Data'!$A1:$AE667,22,FALSE)</f>
        <v>0.530018375289391</v>
      </c>
      <c r="AI304" s="77"/>
      <c r="AJ304" s="79"/>
      <c r="AK304" s="79"/>
      <c r="AL304" s="79"/>
      <c r="AM304" s="79"/>
      <c r="AN304" s="79"/>
      <c r="AO304" s="79"/>
      <c r="AP304" s="79"/>
      <c r="AQ304" s="82"/>
      <c r="AR304" s="83"/>
      <c r="AS304" s="84"/>
    </row>
    <row r="305" ht="21.25" customHeight="1">
      <c r="A305" s="85">
        <f>RANK(K305,K$1:K$665)</f>
        <v>295</v>
      </c>
      <c r="B305" t="s" s="16">
        <v>494</v>
      </c>
      <c r="C305" t="s" s="69">
        <v>127</v>
      </c>
      <c r="D305" t="s" s="70">
        <f>VLOOKUP(B305,'Player Data'!A1:D667,4,FALSE)</f>
        <v>153</v>
      </c>
      <c r="E305" s="95">
        <f>VLOOKUP(B305,'D'!A1:C213,3,FALSE)</f>
        <v>95</v>
      </c>
      <c r="F305" t="s" s="86">
        <f>VLOOKUP(B305,'Player Data'!A1:B667,2,FALSE)</f>
        <v>132</v>
      </c>
      <c r="G305" s="11">
        <f>VLOOKUP(B305,'Player Data'!A1:D667,3,FALSE)</f>
        <v>25</v>
      </c>
      <c r="H305" s="73">
        <f>_xlfn.IFERROR(VLOOKUP(B305,'ADP'!A1:G665,7,FALSE)/1000000,VLOOKUP(B305,'ADP'!A1:G665,7,FALSE))</f>
        <v>3</v>
      </c>
      <c r="I305" s="74">
        <f>IF('Settings'!$E$15="POINTS",((R305*Q305)*'Settings'!$B$12)+(S305*'Settings'!$B$2)+(T305*'Settings'!$B$3)+(U305*'Settings'!$B$4)+(V305*'Settings'!$B$5)+(X305*'Settings'!$B$9)+(AA305*'Settings'!$B$6)+(W305*'Settings'!$B$8)+(AB305*'Settings'!$B$7)+(AC305*'Settings'!$B$14)+(AD305*'Settings'!$B$15)+(AE305*'Settings'!$B$16)+(AF305*'Settings'!$B$17)+(AG305*'Settings'!$B$18)+(U305*'Settings'!$B$13)+(Y305*'Settings'!$B$10)+(Z305*'Settings'!$B$11),VLOOKUP(B305,'Standard Deviations'!A1:C666,3,FALSE))</f>
        <v>234.536337889197</v>
      </c>
      <c r="J305" s="75">
        <f>IF(D305="G",I305/AJ305,I305/Q305)</f>
        <v>3.20952908503862</v>
      </c>
      <c r="K305" s="74">
        <f>VLOOKUP(B305,'D'!A1:F213,6,FALSE)</f>
        <v>-97.003870030885</v>
      </c>
      <c r="L305" s="76">
        <f>_xlfn.IFERROR(K305/H305,"N/A")</f>
        <v>-32.3346233436283</v>
      </c>
      <c r="M305" s="109">
        <f>IF('Settings'!$E$9="YAHOO",VLOOKUP(B305,'ADP'!A1:E665,2,FALSE),IF('Settings'!$E$9="ESPN",VLOOKUP(B305,'ADP'!A1:E665,3,FALSE),IF('Settings'!$E$9="FANTRAX",VLOOKUP(B305,'ADP'!A1:E665,4,FALSE),VLOOKUP(B305,'ADP'!A1:E665,5,FALSE))))</f>
        <v>0</v>
      </c>
      <c r="N305" s="79">
        <f>_xlfn.IFERROR(M305-A305,"N/A")</f>
        <v>-295</v>
      </c>
      <c r="O305" s="77"/>
      <c r="P305" t="s" s="78">
        <f>IF('Settings'!$E$27="ON",VLOOKUP(B305,'ADP'!A1:H665,8,FALSE)," ")</f>
        <v>138</v>
      </c>
      <c r="Q305" s="79">
        <f>IF('Settings'!$E$12="YES",VLOOKUP(B305,'Player Data'!A1:E667,5,FALSE),82)</f>
        <v>73.075</v>
      </c>
      <c r="R305" s="108">
        <f>VLOOKUP(B305,'Player Data'!$A1:$AE667,6,FALSE)</f>
        <v>18.0813346262406</v>
      </c>
      <c r="S305" s="79">
        <f>VLOOKUP(B305,'Player Data'!$A1:$AE667,7,FALSE)*$Q305*_xlfn.IFERROR((VLOOKUP(P305,'Settings'!$E$28:$F$33,2,FALSE)+1),1)</f>
        <v>5.20931011317844</v>
      </c>
      <c r="T305" s="79">
        <f>VLOOKUP(B305,'Player Data'!$A1:$AE667,8,FALSE)*$Q305*_xlfn.IFERROR((VLOOKUP(P305,'Settings'!$E$28:$F$33,2,FALSE)+1),1)</f>
        <v>21.8866790523747</v>
      </c>
      <c r="U305" s="79">
        <f>SUM(S305:T305)</f>
        <v>27.0959891655531</v>
      </c>
      <c r="V305" s="79">
        <f>VLOOKUP(B305,'Player Data'!$A1:$AE667,10,FALSE)*$Q305*_xlfn.IFERROR(((VLOOKUP(P305,'Settings'!$E$28:$F$33,2,FALSE)/2)+1),1)</f>
        <v>87.0312154609686</v>
      </c>
      <c r="W305" s="79">
        <f>VLOOKUP(B305,'Player Data'!$A1:$AE667,11,FALSE)*$Q305*_xlfn.IFERROR((VLOOKUP(P305,'Settings'!$E$28:$F$33,2,FALSE)+1),1)</f>
        <v>0.580874510260714</v>
      </c>
      <c r="X305" s="79">
        <f>VLOOKUP(B305,'Player Data'!$A1:$AE667,12,FALSE)*$Q305*_xlfn.IFERROR((VLOOKUP(P305,'Settings'!$E$28:$F$33,2,FALSE)+1),1)</f>
        <v>7.11500359384321</v>
      </c>
      <c r="Y305" s="79">
        <f>VLOOKUP(B305,'Player Data'!$A1:$AE667,13,FALSE)*$Q305</f>
        <v>0.16270339436886</v>
      </c>
      <c r="Z305" s="79">
        <f>VLOOKUP(B305,'Player Data'!$A1:$AE667,14,FALSE)*$Q305</f>
        <v>0.629818539226938</v>
      </c>
      <c r="AA305" s="79">
        <f>VLOOKUP(B305,'Player Data'!$A1:$AE667,15,FALSE)*$Q305</f>
        <v>118.463909984448</v>
      </c>
      <c r="AB305" s="79">
        <f>VLOOKUP(B305,'Player Data'!$A1:$AE667,16,FALSE)*$Q305</f>
        <v>109.921535252316</v>
      </c>
      <c r="AC305" s="79">
        <f>VLOOKUP(B305,'Player Data'!$A1:$AE667,17,FALSE)*$Q305*_xlfn.IFERROR((VLOOKUP(P305,'Settings'!$E$28:$F$33,2,FALSE)+1),1)</f>
        <v>6.72250154368969</v>
      </c>
      <c r="AD305" s="79">
        <f>VLOOKUP(B305,'Player Data'!$A1:$AE667,18,FALSE)*$Q305</f>
        <v>26.3541726443429</v>
      </c>
      <c r="AE305" s="79">
        <f>VLOOKUP(B305,'Player Data'!$A1:$AE667,19,FALSE)*$Q305*_xlfn.IFERROR((VLOOKUP(P305,'Settings'!$E$28:$F$33,2,FALSE)+1),1)</f>
        <v>0.8333962380919721</v>
      </c>
      <c r="AF305" s="79">
        <f>VLOOKUP(B305,'Player Data'!$A1:$AE667,20,FALSE)*$Q305</f>
        <v>0</v>
      </c>
      <c r="AG305" s="79">
        <f>VLOOKUP(B305,'Player Data'!$A1:$AE667,21,FALSE)*$Q305</f>
        <v>0</v>
      </c>
      <c r="AH305" s="81">
        <f>VLOOKUP(B305,'Player Data'!$A1:$AE667,22,FALSE)</f>
        <v>0</v>
      </c>
      <c r="AI305" s="77"/>
      <c r="AJ305" s="79"/>
      <c r="AK305" s="79"/>
      <c r="AL305" s="79"/>
      <c r="AM305" s="79"/>
      <c r="AN305" s="79"/>
      <c r="AO305" s="79"/>
      <c r="AP305" s="79"/>
      <c r="AQ305" s="82"/>
      <c r="AR305" s="83"/>
      <c r="AS305" s="84"/>
    </row>
    <row r="306" ht="21.25" customHeight="1">
      <c r="A306" s="85">
        <f>RANK(K306,K$1:K$665)</f>
        <v>308</v>
      </c>
      <c r="B306" t="s" s="16">
        <v>495</v>
      </c>
      <c r="C306" t="s" s="69">
        <v>127</v>
      </c>
      <c r="D306" t="s" s="70">
        <f>VLOOKUP(B306,'Player Data'!A1:D667,4,FALSE)</f>
        <v>140</v>
      </c>
      <c r="E306" s="90">
        <f>VLOOKUP(B306,'RW'!A1:F136,3,FALSE)</f>
        <v>66</v>
      </c>
      <c r="F306" t="s" s="88">
        <f>VLOOKUP(B306,'Player Data'!A1:B667,2,FALSE)</f>
        <v>304</v>
      </c>
      <c r="G306" s="11">
        <f>VLOOKUP(B306,'Player Data'!A1:D667,3,FALSE)</f>
        <v>29</v>
      </c>
      <c r="H306" s="73">
        <f>_xlfn.IFERROR(VLOOKUP(B306,'ADP'!A1:G665,7,FALSE)/1000000,VLOOKUP(B306,'ADP'!A1:G665,7,FALSE))</f>
        <v>5.4</v>
      </c>
      <c r="I306" s="74">
        <f>IF('Settings'!$E$15="POINTS",((R306*Q306)*'Settings'!$B$12)+(S306*'Settings'!$B$2)+(T306*'Settings'!$B$3)+(U306*'Settings'!$B$4)+(V306*'Settings'!$B$5)+(X306*'Settings'!$B$9)+(AA306*'Settings'!$B$6)+(W306*'Settings'!$B$8)+(AB306*'Settings'!$B$7)+(AC306*'Settings'!$B$14)+(AD306*'Settings'!$B$15)+(AE306*'Settings'!$B$16)+(AF306*'Settings'!$B$17)+(AG306*'Settings'!$B$18)+(Y306*'Settings'!$B$10)+(Z306*'Settings'!$B$11),VLOOKUP(B306,'Standard Deviations'!A1:C666,3,FALSE))</f>
        <v>227.518859074250</v>
      </c>
      <c r="J306" s="75">
        <f>IF(D306="G",I306/AJ306,I306/Q306)</f>
        <v>2.78506422345075</v>
      </c>
      <c r="K306" s="74">
        <f>IF('Settings'!$E$18="C/LW/RW",VLOOKUP(B306,'RW'!A1:F136,6,FALSE),VLOOKUP(B306,'F'!A1:F392,6,FALSE))</f>
        <v>-102.173035006928</v>
      </c>
      <c r="L306" s="76">
        <f>_xlfn.IFERROR(K306/H306,"N/A")</f>
        <v>-18.9209324086904</v>
      </c>
      <c r="M306" s="77">
        <f>IF('Settings'!$E$9="YAHOO",VLOOKUP(B306,'ADP'!A1:E665,2,FALSE),IF('Settings'!$E$9="ESPN",VLOOKUP(B306,'ADP'!A1:E665,3,FALSE),IF('Settings'!$E$9="FANTRAX",VLOOKUP(B306,'ADP'!A1:E665,4,FALSE),VLOOKUP(B306,'ADP'!A1:E665,5,FALSE))))</f>
        <v>0</v>
      </c>
      <c r="N306" s="77">
        <f>_xlfn.IFERROR(M306-A306,"N/A")</f>
        <v>-308</v>
      </c>
      <c r="O306" s="77"/>
      <c r="P306" t="s" s="78">
        <f>IF('Settings'!$E$27="ON",VLOOKUP(B306,'ADP'!A1:H665,8,FALSE)," ")</f>
        <v>138</v>
      </c>
      <c r="Q306" s="79">
        <f>IF('Settings'!$E$12="YES",VLOOKUP(B306,'Player Data'!A1:E667,5,FALSE),82)</f>
        <v>81.6925</v>
      </c>
      <c r="R306" s="77">
        <f>VLOOKUP(B306,'Player Data'!$A1:$AE667,6,FALSE)</f>
        <v>15.3713986304154</v>
      </c>
      <c r="S306" s="79">
        <f>VLOOKUP(B306,'Player Data'!$A1:$AE667,7,FALSE)*$Q306*_xlfn.IFERROR((VLOOKUP(P306,'Settings'!$E$28:$F$33,2,FALSE)+1),1)</f>
        <v>18.3213738799354</v>
      </c>
      <c r="T306" s="79">
        <f>VLOOKUP(B306,'Player Data'!$A1:$AE667,8,FALSE)*$Q306*_xlfn.IFERROR((VLOOKUP(P306,'Settings'!$E$28:$F$33,2,FALSE)+1),1)</f>
        <v>28.1821117735644</v>
      </c>
      <c r="U306" s="79">
        <f>SUM(S306:T306)</f>
        <v>46.5034856534998</v>
      </c>
      <c r="V306" s="79">
        <f>VLOOKUP(B306,'Player Data'!$A1:$AE667,10,FALSE)*$Q306*_xlfn.IFERROR(((VLOOKUP(P306,'Settings'!$E$28:$F$33,2,FALSE)/2)+1),1)</f>
        <v>176.564088630619</v>
      </c>
      <c r="W306" s="79">
        <f>VLOOKUP(B306,'Player Data'!$A1:$AE667,11,FALSE)*$Q306*_xlfn.IFERROR((VLOOKUP(P306,'Settings'!$E$28:$F$33,2,FALSE)+1),1)</f>
        <v>4.99045356780424</v>
      </c>
      <c r="X306" s="79">
        <f>VLOOKUP(B306,'Player Data'!$A1:$AE667,12,FALSE)*$Q306*_xlfn.IFERROR((VLOOKUP(P306,'Settings'!$E$28:$F$33,2,FALSE)+1),1)</f>
        <v>13.6691794333624</v>
      </c>
      <c r="Y306" s="79">
        <f>VLOOKUP(B306,'Player Data'!$A1:$AE667,13,FALSE)*$Q306</f>
        <v>0.00148787531381247</v>
      </c>
      <c r="Z306" s="79">
        <f>VLOOKUP(B306,'Player Data'!$A1:$AE667,14,FALSE)*$Q306</f>
        <v>0.00253978041248921</v>
      </c>
      <c r="AA306" s="79">
        <f>VLOOKUP(B306,'Player Data'!$A1:$AE667,15,FALSE)*$Q306</f>
        <v>31.6988049993129</v>
      </c>
      <c r="AB306" s="79">
        <f>VLOOKUP(B306,'Player Data'!$A1:$AE667,16,FALSE)*$Q306</f>
        <v>68.1792901593611</v>
      </c>
      <c r="AC306" s="79">
        <f>VLOOKUP(B306,'Player Data'!$A1:$AE667,17,FALSE)*$Q306*_xlfn.IFERROR((VLOOKUP(P306,'Settings'!$E$28:$F$33,2,FALSE)+1),1)</f>
        <v>-1.09306479304068</v>
      </c>
      <c r="AD306" s="79">
        <f>VLOOKUP(B306,'Player Data'!$A1:$AE667,18,FALSE)*$Q306</f>
        <v>17.0263526265009</v>
      </c>
      <c r="AE306" s="79">
        <f>VLOOKUP(B306,'Player Data'!$A1:$AE667,19,FALSE)*$Q306*_xlfn.IFERROR((VLOOKUP(P306,'Settings'!$E$28:$F$33,2,FALSE)+1),1)</f>
        <v>2.78205795046723</v>
      </c>
      <c r="AF306" s="79">
        <f>VLOOKUP(B306,'Player Data'!$A1:$AE667,20,FALSE)*$Q306</f>
        <v>10.3500425076993</v>
      </c>
      <c r="AG306" s="79">
        <f>VLOOKUP(B306,'Player Data'!$A1:$AE667,21,FALSE)*$Q306</f>
        <v>19.578387356202</v>
      </c>
      <c r="AH306" s="81">
        <f>VLOOKUP(B306,'Player Data'!$A1:$AE667,22,FALSE)</f>
        <v>0.345826445114758</v>
      </c>
      <c r="AI306" s="77"/>
      <c r="AJ306" s="89"/>
      <c r="AK306" s="79"/>
      <c r="AL306" s="79"/>
      <c r="AM306" s="79"/>
      <c r="AN306" s="79"/>
      <c r="AO306" s="79"/>
      <c r="AP306" s="79"/>
      <c r="AQ306" s="82"/>
      <c r="AR306" s="83"/>
      <c r="AS306" s="84"/>
    </row>
    <row r="307" ht="21.25" customHeight="1">
      <c r="A307" s="85">
        <f>RANK(K307,K$1:K$665)</f>
        <v>296</v>
      </c>
      <c r="B307" t="s" s="16">
        <v>496</v>
      </c>
      <c r="C307" t="s" s="69">
        <v>127</v>
      </c>
      <c r="D307" t="s" s="70">
        <f>VLOOKUP(B307,'Player Data'!A1:D667,4,FALSE)</f>
        <v>153</v>
      </c>
      <c r="E307" s="95">
        <f>VLOOKUP(B307,'D'!A1:C213,3,FALSE)</f>
        <v>96</v>
      </c>
      <c r="F307" t="s" s="86">
        <f>VLOOKUP(B307,'Player Data'!A1:B667,2,FALSE)</f>
        <v>154</v>
      </c>
      <c r="G307" s="96">
        <f>VLOOKUP(B307,'Player Data'!A1:D667,3,FALSE)</f>
        <v>21</v>
      </c>
      <c r="H307" s="73">
        <f>_xlfn.IFERROR(VLOOKUP(B307,'ADP'!A1:G665,7,FALSE)/1000000,VLOOKUP(B307,'ADP'!A1:G665,7,FALSE))</f>
        <v>8.35</v>
      </c>
      <c r="I307" s="74">
        <f>IF('Settings'!$E$15="POINTS",((R307*Q307)*'Settings'!$B$12)+(S307*'Settings'!$B$2)+(T307*'Settings'!$B$3)+(U307*'Settings'!$B$4)+(V307*'Settings'!$B$5)+(X307*'Settings'!$B$9)+(AA307*'Settings'!$B$6)+(W307*'Settings'!$B$8)+(AB307*'Settings'!$B$7)+(AC307*'Settings'!$B$14)+(AD307*'Settings'!$B$15)+(AE307*'Settings'!$B$16)+(AF307*'Settings'!$B$17)+(AG307*'Settings'!$B$18)+(U307*'Settings'!$B$13)+(Y307*'Settings'!$B$10)+(Z307*'Settings'!$B$11),VLOOKUP(B307,'Standard Deviations'!A1:C666,3,FALSE))</f>
        <v>234.297847994649</v>
      </c>
      <c r="J307" s="75">
        <f>IF(D307="G",I307/AJ307,I307/Q307)</f>
        <v>2.92315084363743</v>
      </c>
      <c r="K307" s="74">
        <f>VLOOKUP(B307,'D'!A1:F213,6,FALSE)</f>
        <v>-97.24235992543299</v>
      </c>
      <c r="L307" s="76">
        <f>_xlfn.IFERROR(K307/H307,"N/A")</f>
        <v>-11.6457916078363</v>
      </c>
      <c r="M307" s="77">
        <f>IF('Settings'!$E$9="YAHOO",VLOOKUP(B307,'ADP'!A1:E665,2,FALSE),IF('Settings'!$E$9="ESPN",VLOOKUP(B307,'ADP'!A1:E665,3,FALSE),IF('Settings'!$E$9="FANTRAX",VLOOKUP(B307,'ADP'!A1:E665,4,FALSE),VLOOKUP(B307,'ADP'!A1:E665,5,FALSE))))</f>
        <v>0</v>
      </c>
      <c r="N307" s="77">
        <f>_xlfn.IFERROR(M307-A307,"N/A")</f>
        <v>-296</v>
      </c>
      <c r="O307" s="77"/>
      <c r="P307" t="s" s="78">
        <f>IF('Settings'!$E$27="ON",VLOOKUP(B307,'ADP'!A1:H665,8,FALSE)," ")</f>
        <v>138</v>
      </c>
      <c r="Q307" s="79">
        <f>IF('Settings'!$E$12="YES",VLOOKUP(B307,'Player Data'!A1:E667,5,FALSE),82)</f>
        <v>80.1525</v>
      </c>
      <c r="R307" s="77">
        <f>VLOOKUP(B307,'Player Data'!$A1:$AE667,6,FALSE)</f>
        <v>22.6385861874166</v>
      </c>
      <c r="S307" s="79">
        <f>VLOOKUP(B307,'Player Data'!$A1:$AE667,7,FALSE)*$Q307*_xlfn.IFERROR((VLOOKUP(P307,'Settings'!$E$28:$F$33,2,FALSE)+1),1)</f>
        <v>6.64953203059401</v>
      </c>
      <c r="T307" s="79">
        <f>VLOOKUP(B307,'Player Data'!$A1:$AE667,8,FALSE)*$Q307*_xlfn.IFERROR((VLOOKUP(P307,'Settings'!$E$28:$F$33,2,FALSE)+1),1)</f>
        <v>30.2615735514847</v>
      </c>
      <c r="U307" s="79">
        <f>SUM(S307:T307)</f>
        <v>36.9111055820787</v>
      </c>
      <c r="V307" s="79">
        <f>VLOOKUP(B307,'Player Data'!$A1:$AE667,10,FALSE)*$Q307*_xlfn.IFERROR(((VLOOKUP(P307,'Settings'!$E$28:$F$33,2,FALSE)/2)+1),1)</f>
        <v>120.784270963231</v>
      </c>
      <c r="W307" s="79">
        <f>VLOOKUP(B307,'Player Data'!$A1:$AE667,11,FALSE)*$Q307*_xlfn.IFERROR((VLOOKUP(P307,'Settings'!$E$28:$F$33,2,FALSE)+1),1)</f>
        <v>0.2134538615291</v>
      </c>
      <c r="X307" s="79">
        <f>VLOOKUP(B307,'Player Data'!$A1:$AE667,12,FALSE)*$Q307*_xlfn.IFERROR((VLOOKUP(P307,'Settings'!$E$28:$F$33,2,FALSE)+1),1)</f>
        <v>6.66188070002284</v>
      </c>
      <c r="Y307" s="79">
        <f>VLOOKUP(B307,'Player Data'!$A1:$AE667,13,FALSE)*$Q307</f>
        <v>0.040562994730359</v>
      </c>
      <c r="Z307" s="79">
        <f>VLOOKUP(B307,'Player Data'!$A1:$AE667,14,FALSE)*$Q307</f>
        <v>1.04154999625543</v>
      </c>
      <c r="AA307" s="79">
        <f>VLOOKUP(B307,'Player Data'!$A1:$AE667,15,FALSE)*$Q307</f>
        <v>114.391519483809</v>
      </c>
      <c r="AB307" s="79">
        <f>VLOOKUP(B307,'Player Data'!$A1:$AE667,16,FALSE)*$Q307</f>
        <v>55.0963606595208</v>
      </c>
      <c r="AC307" s="79">
        <f>VLOOKUP(B307,'Player Data'!$A1:$AE667,17,FALSE)*$Q307*_xlfn.IFERROR((VLOOKUP(P307,'Settings'!$E$28:$F$33,2,FALSE)+1),1)</f>
        <v>0.12991994275516</v>
      </c>
      <c r="AD307" s="79">
        <f>VLOOKUP(B307,'Player Data'!$A1:$AE667,18,FALSE)*$Q307</f>
        <v>26.4068357471762</v>
      </c>
      <c r="AE307" s="79">
        <f>VLOOKUP(B307,'Player Data'!$A1:$AE667,19,FALSE)*$Q307*_xlfn.IFERROR((VLOOKUP(P307,'Settings'!$E$28:$F$33,2,FALSE)+1),1)</f>
        <v>0.940612451738028</v>
      </c>
      <c r="AF307" s="79">
        <f>VLOOKUP(B307,'Player Data'!$A1:$AE667,20,FALSE)*$Q307</f>
        <v>0</v>
      </c>
      <c r="AG307" s="79">
        <f>VLOOKUP(B307,'Player Data'!$A1:$AE667,21,FALSE)*$Q307</f>
        <v>0</v>
      </c>
      <c r="AH307" s="81">
        <f>VLOOKUP(B307,'Player Data'!$A1:$AE667,22,FALSE)</f>
        <v>0</v>
      </c>
      <c r="AI307" s="77"/>
      <c r="AJ307" s="79"/>
      <c r="AK307" s="79"/>
      <c r="AL307" s="79"/>
      <c r="AM307" s="79"/>
      <c r="AN307" s="79"/>
      <c r="AO307" s="79"/>
      <c r="AP307" s="79"/>
      <c r="AQ307" s="82"/>
      <c r="AR307" s="83"/>
      <c r="AS307" s="84"/>
    </row>
    <row r="308" ht="21.25" customHeight="1">
      <c r="A308" s="85">
        <f>RANK(K308,K$1:K$665)</f>
        <v>297</v>
      </c>
      <c r="B308" t="s" s="16">
        <v>497</v>
      </c>
      <c r="C308" t="s" s="69">
        <v>127</v>
      </c>
      <c r="D308" t="s" s="70">
        <f>VLOOKUP(B308,'Player Data'!A1:D667,4,FALSE)</f>
        <v>153</v>
      </c>
      <c r="E308" s="95">
        <f>VLOOKUP(B308,'D'!A1:C213,3,FALSE)</f>
        <v>97</v>
      </c>
      <c r="F308" t="s" s="92">
        <f>VLOOKUP(B308,'Player Data'!A1:B667,2,FALSE)</f>
        <v>146</v>
      </c>
      <c r="G308" s="91">
        <f>VLOOKUP(B308,'Player Data'!A1:D667,3,FALSE)</f>
        <v>34</v>
      </c>
      <c r="H308" s="73">
        <f>_xlfn.IFERROR(VLOOKUP(B308,'ADP'!A1:G665,7,FALSE)/1000000,VLOOKUP(B308,'ADP'!A1:G665,7,FALSE))</f>
        <v>3</v>
      </c>
      <c r="I308" s="74">
        <f>IF('Settings'!$E$15="POINTS",((R308*Q308)*'Settings'!$B$12)+(S308*'Settings'!$B$2)+(T308*'Settings'!$B$3)+(U308*'Settings'!$B$4)+(V308*'Settings'!$B$5)+(X308*'Settings'!$B$9)+(AA308*'Settings'!$B$6)+(W308*'Settings'!$B$8)+(AB308*'Settings'!$B$7)+(AC308*'Settings'!$B$14)+(AD308*'Settings'!$B$15)+(AE308*'Settings'!$B$16)+(AF308*'Settings'!$B$17)+(AG308*'Settings'!$B$18)+(U308*'Settings'!$B$13)+(Y308*'Settings'!$B$10)+(Z308*'Settings'!$B$11),VLOOKUP(B308,'Standard Deviations'!A1:C666,3,FALSE))</f>
        <v>233.940937406845</v>
      </c>
      <c r="J308" s="75">
        <f>IF(D308="G",I308/AJ308,I308/Q308)</f>
        <v>2.90276312816757</v>
      </c>
      <c r="K308" s="74">
        <f>VLOOKUP(B308,'D'!A1:F213,6,FALSE)</f>
        <v>-97.599270513237</v>
      </c>
      <c r="L308" s="76">
        <f>_xlfn.IFERROR(K308/H308,"N/A")</f>
        <v>-32.533090171079</v>
      </c>
      <c r="M308" s="109">
        <f>IF('Settings'!$E$9="YAHOO",VLOOKUP(B308,'ADP'!A1:E665,2,FALSE),IF('Settings'!$E$9="ESPN",VLOOKUP(B308,'ADP'!A1:E665,3,FALSE),IF('Settings'!$E$9="FANTRAX",VLOOKUP(B308,'ADP'!A1:E665,4,FALSE),VLOOKUP(B308,'ADP'!A1:E665,5,FALSE))))</f>
        <v>0</v>
      </c>
      <c r="N308" s="79">
        <f>_xlfn.IFERROR(M308-A308,"N/A")</f>
        <v>-297</v>
      </c>
      <c r="O308" s="77"/>
      <c r="P308" t="s" s="78">
        <f>IF('Settings'!$E$27="ON",VLOOKUP(B308,'ADP'!A1:H665,8,FALSE)," ")</f>
        <v>138</v>
      </c>
      <c r="Q308" s="79">
        <f>IF('Settings'!$E$12="YES",VLOOKUP(B308,'Player Data'!A1:E667,5,FALSE),82)</f>
        <v>80.5925</v>
      </c>
      <c r="R308" s="77">
        <f>VLOOKUP(B308,'Player Data'!$A1:$AE667,6,FALSE)</f>
        <v>19.444353964108</v>
      </c>
      <c r="S308" s="79">
        <f>VLOOKUP(B308,'Player Data'!$A1:$AE667,7,FALSE)*$Q308*_xlfn.IFERROR((VLOOKUP(P308,'Settings'!$E$28:$F$33,2,FALSE)+1),1)</f>
        <v>2.45124599792264</v>
      </c>
      <c r="T308" s="79">
        <f>VLOOKUP(B308,'Player Data'!$A1:$AE667,8,FALSE)*$Q308*_xlfn.IFERROR((VLOOKUP(P308,'Settings'!$E$28:$F$33,2,FALSE)+1),1)</f>
        <v>17.681747588345</v>
      </c>
      <c r="U308" s="79">
        <f>SUM(S308:T308)</f>
        <v>20.1329935862676</v>
      </c>
      <c r="V308" s="79">
        <f>VLOOKUP(B308,'Player Data'!$A1:$AE667,10,FALSE)*$Q308*_xlfn.IFERROR(((VLOOKUP(P308,'Settings'!$E$28:$F$33,2,FALSE)/2)+1),1)</f>
        <v>95.34948308564149</v>
      </c>
      <c r="W308" s="79">
        <f>VLOOKUP(B308,'Player Data'!$A1:$AE667,11,FALSE)*$Q308*_xlfn.IFERROR((VLOOKUP(P308,'Settings'!$E$28:$F$33,2,FALSE)+1),1)</f>
        <v>0.0217377499677379</v>
      </c>
      <c r="X308" s="79">
        <f>VLOOKUP(B308,'Player Data'!$A1:$AE667,12,FALSE)*$Q308*_xlfn.IFERROR((VLOOKUP(P308,'Settings'!$E$28:$F$33,2,FALSE)+1),1)</f>
        <v>0.201980779113711</v>
      </c>
      <c r="Y308" s="79">
        <f>VLOOKUP(B308,'Player Data'!$A1:$AE667,13,FALSE)*$Q308</f>
        <v>0.628011658963622</v>
      </c>
      <c r="Z308" s="79">
        <f>VLOOKUP(B308,'Player Data'!$A1:$AE667,14,FALSE)*$Q308</f>
        <v>1.03818093009619</v>
      </c>
      <c r="AA308" s="79">
        <f>VLOOKUP(B308,'Player Data'!$A1:$AE667,15,FALSE)*$Q308</f>
        <v>140.808024898303</v>
      </c>
      <c r="AB308" s="79">
        <f>VLOOKUP(B308,'Player Data'!$A1:$AE667,16,FALSE)*$Q308</f>
        <v>110.861775209856</v>
      </c>
      <c r="AC308" s="79">
        <f>VLOOKUP(B308,'Player Data'!$A1:$AE667,17,FALSE)*$Q308*_xlfn.IFERROR((VLOOKUP(P308,'Settings'!$E$28:$F$33,2,FALSE)+1),1)</f>
        <v>-0.237828427129678</v>
      </c>
      <c r="AD308" s="79">
        <f>VLOOKUP(B308,'Player Data'!$A1:$AE667,18,FALSE)*$Q308</f>
        <v>59.6865860620043</v>
      </c>
      <c r="AE308" s="79">
        <f>VLOOKUP(B308,'Player Data'!$A1:$AE667,19,FALSE)*$Q308*_xlfn.IFERROR((VLOOKUP(P308,'Settings'!$E$28:$F$33,2,FALSE)+1),1)</f>
        <v>0.418609582725325</v>
      </c>
      <c r="AF308" s="79">
        <f>VLOOKUP(B308,'Player Data'!$A1:$AE667,20,FALSE)*$Q308</f>
        <v>0</v>
      </c>
      <c r="AG308" s="79">
        <f>VLOOKUP(B308,'Player Data'!$A1:$AE667,21,FALSE)*$Q308</f>
        <v>0</v>
      </c>
      <c r="AH308" s="81">
        <f>VLOOKUP(B308,'Player Data'!$A1:$AE667,22,FALSE)</f>
        <v>0</v>
      </c>
      <c r="AI308" s="77"/>
      <c r="AJ308" s="79"/>
      <c r="AK308" s="79"/>
      <c r="AL308" s="79"/>
      <c r="AM308" s="79"/>
      <c r="AN308" s="79"/>
      <c r="AO308" s="79"/>
      <c r="AP308" s="79"/>
      <c r="AQ308" s="82"/>
      <c r="AR308" s="83"/>
      <c r="AS308" s="84"/>
    </row>
    <row r="309" ht="21.25" customHeight="1">
      <c r="A309" s="85">
        <f>RANK(K309,K$1:K$665)</f>
        <v>326</v>
      </c>
      <c r="B309" t="s" s="16">
        <v>498</v>
      </c>
      <c r="C309" t="s" s="69">
        <v>127</v>
      </c>
      <c r="D309" t="s" s="70">
        <f>VLOOKUP(B309,'Player Data'!A1:D667,4,FALSE)</f>
        <v>128</v>
      </c>
      <c r="E309" s="71">
        <f>VLOOKUP(B309,'C'!A1:C206,3,FALSE)</f>
        <v>98</v>
      </c>
      <c r="F309" t="s" s="86">
        <f>VLOOKUP(B309,'Player Data'!A1:B667,2,FALSE)</f>
        <v>149</v>
      </c>
      <c r="G309" s="11">
        <f>VLOOKUP(B309,'Player Data'!A1:D667,3,FALSE)</f>
        <v>26</v>
      </c>
      <c r="H309" s="73">
        <f>_xlfn.IFERROR(VLOOKUP(B309,'ADP'!A1:G665,7,FALSE)/1000000,VLOOKUP(B309,'ADP'!A1:G665,7,FALSE))</f>
        <v>3</v>
      </c>
      <c r="I309" s="74">
        <f>IF('Settings'!$E$15="POINTS",((R309*Q309)*'Settings'!$B$12)+(S309*'Settings'!$B$2)+(T309*'Settings'!$B$3)+(U309*'Settings'!$B$4)+(V309*'Settings'!$B$5)+(X309*'Settings'!$B$9)+(AA309*'Settings'!$B$6)+(W309*'Settings'!$B$8)+(AB309*'Settings'!$B$7)+(AC309*'Settings'!$B$14)+(AD309*'Settings'!$B$15)+(AE309*'Settings'!$B$16)+(AF309*'Settings'!$B$17)+(AG309*'Settings'!$B$18)+(Y309*'Settings'!$B$10)+(Z309*'Settings'!$B$11),VLOOKUP(B309,'Standard Deviations'!A1:C666,3,FALSE))</f>
        <v>221.700691396207</v>
      </c>
      <c r="J309" s="75">
        <f>IF(D309="G",I309/AJ309,I309/Q309)</f>
        <v>2.71592173705999</v>
      </c>
      <c r="K309" s="74">
        <f>IF('Settings'!$E$18="C/LW/RW",VLOOKUP(B309,'C'!A1:F206,6,FALSE),VLOOKUP(B309,'F'!A1:F392,6,FALSE))</f>
        <v>-107.991202684971</v>
      </c>
      <c r="L309" s="76">
        <f>_xlfn.IFERROR(K309/H309,"N/A")</f>
        <v>-35.997067561657</v>
      </c>
      <c r="M309" s="109">
        <f>IF('Settings'!$E$9="YAHOO",VLOOKUP(B309,'ADP'!A1:E665,2,FALSE),IF('Settings'!$E$9="ESPN",VLOOKUP(B309,'ADP'!A1:E665,3,FALSE),IF('Settings'!$E$9="FANTRAX",VLOOKUP(B309,'ADP'!A1:E665,4,FALSE),VLOOKUP(B309,'ADP'!A1:E665,5,FALSE))))</f>
        <v>0</v>
      </c>
      <c r="N309" s="79">
        <f>_xlfn.IFERROR(M309-A309,"N/A")</f>
        <v>-326</v>
      </c>
      <c r="O309" s="77"/>
      <c r="P309" t="s" s="78">
        <f>IF('Settings'!$E$27="ON",VLOOKUP(B309,'ADP'!A1:H665,8,FALSE)," ")</f>
        <v>138</v>
      </c>
      <c r="Q309" s="79">
        <f>IF('Settings'!$E$12="YES",VLOOKUP(B309,'Player Data'!A1:E667,5,FALSE),82)</f>
        <v>81.63</v>
      </c>
      <c r="R309" s="77">
        <f>VLOOKUP(B309,'Player Data'!$A1:$AE667,6,FALSE)</f>
        <v>15.9132399988097</v>
      </c>
      <c r="S309" s="79">
        <f>VLOOKUP(B309,'Player Data'!$A1:$AE667,7,FALSE)*$Q309*_xlfn.IFERROR((VLOOKUP(P309,'Settings'!$E$28:$F$33,2,FALSE)+1),1)</f>
        <v>13.8986939065107</v>
      </c>
      <c r="T309" s="79">
        <f>VLOOKUP(B309,'Player Data'!$A1:$AE667,8,FALSE)*$Q309*_xlfn.IFERROR((VLOOKUP(P309,'Settings'!$E$28:$F$33,2,FALSE)+1),1)</f>
        <v>20.4645131637515</v>
      </c>
      <c r="U309" s="79">
        <f>SUM(S309:T309)</f>
        <v>34.3632070702622</v>
      </c>
      <c r="V309" s="79">
        <f>VLOOKUP(B309,'Player Data'!$A1:$AE667,10,FALSE)*$Q309*_xlfn.IFERROR(((VLOOKUP(P309,'Settings'!$E$28:$F$33,2,FALSE)/2)+1),1)</f>
        <v>122.244588592535</v>
      </c>
      <c r="W309" s="79">
        <f>VLOOKUP(B309,'Player Data'!$A1:$AE667,11,FALSE)*$Q309*_xlfn.IFERROR((VLOOKUP(P309,'Settings'!$E$28:$F$33,2,FALSE)+1),1)</f>
        <v>1.07785588636673</v>
      </c>
      <c r="X309" s="79">
        <f>VLOOKUP(B309,'Player Data'!$A1:$AE667,12,FALSE)*$Q309*_xlfn.IFERROR((VLOOKUP(P309,'Settings'!$E$28:$F$33,2,FALSE)+1),1)</f>
        <v>2.00079610264443</v>
      </c>
      <c r="Y309" s="79">
        <f>VLOOKUP(B309,'Player Data'!$A1:$AE667,13,FALSE)*$Q309</f>
        <v>0.386918767772272</v>
      </c>
      <c r="Z309" s="79">
        <f>VLOOKUP(B309,'Player Data'!$A1:$AE667,14,FALSE)*$Q309</f>
        <v>1.07587514724636</v>
      </c>
      <c r="AA309" s="79">
        <f>VLOOKUP(B309,'Player Data'!$A1:$AE667,15,FALSE)*$Q309</f>
        <v>54.1057067263257</v>
      </c>
      <c r="AB309" s="79">
        <f>VLOOKUP(B309,'Player Data'!$A1:$AE667,16,FALSE)*$Q309</f>
        <v>111.521893130014</v>
      </c>
      <c r="AC309" s="79">
        <f>VLOOKUP(B309,'Player Data'!$A1:$AE667,17,FALSE)*$Q309*_xlfn.IFERROR((VLOOKUP(P309,'Settings'!$E$28:$F$33,2,FALSE)+1),1)</f>
        <v>5.05181759725929</v>
      </c>
      <c r="AD309" s="79">
        <f>VLOOKUP(B309,'Player Data'!$A1:$AE667,18,FALSE)*$Q309</f>
        <v>26.1518962068536</v>
      </c>
      <c r="AE309" s="79">
        <f>VLOOKUP(B309,'Player Data'!$A1:$AE667,19,FALSE)*$Q309*_xlfn.IFERROR((VLOOKUP(P309,'Settings'!$E$28:$F$33,2,FALSE)+1),1)</f>
        <v>2.36780554628481</v>
      </c>
      <c r="AF309" s="79">
        <f>VLOOKUP(B309,'Player Data'!$A1:$AE667,20,FALSE)*$Q309</f>
        <v>145.270679496983</v>
      </c>
      <c r="AG309" s="79">
        <f>VLOOKUP(B309,'Player Data'!$A1:$AE667,21,FALSE)*$Q309</f>
        <v>166.496191899751</v>
      </c>
      <c r="AH309" s="81">
        <f>VLOOKUP(B309,'Player Data'!$A1:$AE667,22,FALSE)</f>
        <v>0.465959320328559</v>
      </c>
      <c r="AI309" s="77"/>
      <c r="AJ309" s="79"/>
      <c r="AK309" s="79"/>
      <c r="AL309" s="79"/>
      <c r="AM309" s="79"/>
      <c r="AN309" s="79"/>
      <c r="AO309" s="79"/>
      <c r="AP309" s="79"/>
      <c r="AQ309" s="82"/>
      <c r="AR309" s="83"/>
      <c r="AS309" s="84"/>
    </row>
    <row r="310" ht="21.25" customHeight="1">
      <c r="A310" s="85">
        <f>RANK(K310,K$1:K$665)</f>
        <v>300</v>
      </c>
      <c r="B310" t="s" s="16">
        <v>499</v>
      </c>
      <c r="C310" t="s" s="69">
        <v>127</v>
      </c>
      <c r="D310" t="s" s="70">
        <f>VLOOKUP(B310,'Player Data'!A1:D667,4,FALSE)</f>
        <v>153</v>
      </c>
      <c r="E310" s="95">
        <f>VLOOKUP(B310,'D'!A1:C213,3,FALSE)</f>
        <v>98</v>
      </c>
      <c r="F310" t="s" s="103">
        <f>VLOOKUP(B310,'Player Data'!A1:B667,2,FALSE)</f>
        <v>182</v>
      </c>
      <c r="G310" s="91">
        <f>VLOOKUP(B310,'Player Data'!A1:D667,3,FALSE)</f>
        <v>34</v>
      </c>
      <c r="H310" s="73">
        <f>_xlfn.IFERROR(VLOOKUP(B310,'ADP'!A1:G665,7,FALSE)/1000000,VLOOKUP(B310,'ADP'!A1:G665,7,FALSE))</f>
        <v>7.575</v>
      </c>
      <c r="I310" s="74">
        <f>IF('Settings'!$E$15="POINTS",((R310*Q310)*'Settings'!$B$12)+(S310*'Settings'!$B$2)+(T310*'Settings'!$B$3)+(U310*'Settings'!$B$4)+(V310*'Settings'!$B$5)+(X310*'Settings'!$B$9)+(AA310*'Settings'!$B$6)+(W310*'Settings'!$B$8)+(AB310*'Settings'!$B$7)+(AC310*'Settings'!$B$14)+(AD310*'Settings'!$B$15)+(AE310*'Settings'!$B$16)+(AF310*'Settings'!$B$17)+(AG310*'Settings'!$B$18)+(U310*'Settings'!$B$13)+(Y310*'Settings'!$B$10)+(Z310*'Settings'!$B$11),VLOOKUP(B310,'Standard Deviations'!A1:C666,3,FALSE))</f>
        <v>232.798642562155</v>
      </c>
      <c r="J310" s="75">
        <f>IF(D310="G",I310/AJ310,I310/Q310)</f>
        <v>3.413344709683</v>
      </c>
      <c r="K310" s="74">
        <f>VLOOKUP(B310,'D'!A1:F213,6,FALSE)</f>
        <v>-98.741565357927</v>
      </c>
      <c r="L310" s="76">
        <f>_xlfn.IFERROR(K310/H310,"N/A")</f>
        <v>-13.035190146261</v>
      </c>
      <c r="M310" s="109">
        <f>IF('Settings'!$E$9="YAHOO",VLOOKUP(B310,'ADP'!A1:E665,2,FALSE),IF('Settings'!$E$9="ESPN",VLOOKUP(B310,'ADP'!A1:E665,3,FALSE),IF('Settings'!$E$9="FANTRAX",VLOOKUP(B310,'ADP'!A1:E665,4,FALSE),VLOOKUP(B310,'ADP'!A1:E665,5,FALSE))))</f>
        <v>0</v>
      </c>
      <c r="N310" s="79">
        <f>_xlfn.IFERROR(M310-A310,"N/A")</f>
        <v>-300</v>
      </c>
      <c r="O310" s="77"/>
      <c r="P310" t="s" s="78">
        <f>IF('Settings'!$E$27="ON",VLOOKUP(B310,'ADP'!A1:H665,8,FALSE)," ")</f>
        <v>138</v>
      </c>
      <c r="Q310" s="79">
        <f>IF('Settings'!$E$12="YES",VLOOKUP(B310,'Player Data'!A1:E667,5,FALSE),82)</f>
        <v>68.2025</v>
      </c>
      <c r="R310" s="108">
        <f>VLOOKUP(B310,'Player Data'!$A1:$AE667,6,FALSE)</f>
        <v>21.8451768699724</v>
      </c>
      <c r="S310" s="79">
        <f>VLOOKUP(B310,'Player Data'!$A1:$AE667,7,FALSE)*$Q310*_xlfn.IFERROR((VLOOKUP(P310,'Settings'!$E$28:$F$33,2,FALSE)+1),1)</f>
        <v>7.35184345950824</v>
      </c>
      <c r="T310" s="79">
        <f>VLOOKUP(B310,'Player Data'!$A1:$AE667,8,FALSE)*$Q310*_xlfn.IFERROR((VLOOKUP(P310,'Settings'!$E$28:$F$33,2,FALSE)+1),1)</f>
        <v>22.6086912700468</v>
      </c>
      <c r="U310" s="79">
        <f>SUM(S310:T310)</f>
        <v>29.960534729555</v>
      </c>
      <c r="V310" s="79">
        <f>VLOOKUP(B310,'Player Data'!$A1:$AE667,10,FALSE)*$Q310*_xlfn.IFERROR(((VLOOKUP(P310,'Settings'!$E$28:$F$33,2,FALSE)/2)+1),1)</f>
        <v>114.618094208090</v>
      </c>
      <c r="W310" s="79">
        <f>VLOOKUP(B310,'Player Data'!$A1:$AE667,11,FALSE)*$Q310*_xlfn.IFERROR((VLOOKUP(P310,'Settings'!$E$28:$F$33,2,FALSE)+1),1)</f>
        <v>0.536550066726447</v>
      </c>
      <c r="X310" s="79">
        <f>VLOOKUP(B310,'Player Data'!$A1:$AE667,12,FALSE)*$Q310*_xlfn.IFERROR((VLOOKUP(P310,'Settings'!$E$28:$F$33,2,FALSE)+1),1)</f>
        <v>7.7084443148049</v>
      </c>
      <c r="Y310" s="79">
        <f>VLOOKUP(B310,'Player Data'!$A1:$AE667,13,FALSE)*$Q310</f>
        <v>0.0299450818716792</v>
      </c>
      <c r="Z310" s="79">
        <f>VLOOKUP(B310,'Player Data'!$A1:$AE667,14,FALSE)*$Q310</f>
        <v>0.413562876043932</v>
      </c>
      <c r="AA310" s="79">
        <f>VLOOKUP(B310,'Player Data'!$A1:$AE667,15,FALSE)*$Q310</f>
        <v>127.138901291001</v>
      </c>
      <c r="AB310" s="79">
        <f>VLOOKUP(B310,'Player Data'!$A1:$AE667,16,FALSE)*$Q310</f>
        <v>68.98254346807261</v>
      </c>
      <c r="AC310" s="79">
        <f>VLOOKUP(B310,'Player Data'!$A1:$AE667,17,FALSE)*$Q310*_xlfn.IFERROR((VLOOKUP(P310,'Settings'!$E$28:$F$33,2,FALSE)+1),1)</f>
        <v>2.33679702861475</v>
      </c>
      <c r="AD310" s="79">
        <f>VLOOKUP(B310,'Player Data'!$A1:$AE667,18,FALSE)*$Q310</f>
        <v>16.8452664795147</v>
      </c>
      <c r="AE310" s="79">
        <f>VLOOKUP(B310,'Player Data'!$A1:$AE667,19,FALSE)*$Q310*_xlfn.IFERROR((VLOOKUP(P310,'Settings'!$E$28:$F$33,2,FALSE)+1),1)</f>
        <v>1.21363590048037</v>
      </c>
      <c r="AF310" s="79">
        <f>VLOOKUP(B310,'Player Data'!$A1:$AE667,20,FALSE)*$Q310</f>
        <v>0</v>
      </c>
      <c r="AG310" s="79">
        <f>VLOOKUP(B310,'Player Data'!$A1:$AE667,21,FALSE)*$Q310</f>
        <v>0</v>
      </c>
      <c r="AH310" s="81">
        <f>VLOOKUP(B310,'Player Data'!$A1:$AE667,22,FALSE)</f>
        <v>0</v>
      </c>
      <c r="AI310" s="77"/>
      <c r="AJ310" s="89"/>
      <c r="AK310" s="79"/>
      <c r="AL310" s="79"/>
      <c r="AM310" s="79"/>
      <c r="AN310" s="79"/>
      <c r="AO310" s="79"/>
      <c r="AP310" s="79"/>
      <c r="AQ310" s="82"/>
      <c r="AR310" s="83"/>
      <c r="AS310" s="84"/>
    </row>
    <row r="311" ht="21.25" customHeight="1">
      <c r="A311" s="85">
        <f>RANK(K311,K$1:K$665)</f>
        <v>314</v>
      </c>
      <c r="B311" t="s" s="16">
        <v>500</v>
      </c>
      <c r="C311" t="s" s="69">
        <v>127</v>
      </c>
      <c r="D311" t="s" s="70">
        <f>VLOOKUP(B311,'Player Data'!A1:D667,4,FALSE)</f>
        <v>140</v>
      </c>
      <c r="E311" s="90">
        <f>VLOOKUP(B311,'RW'!A1:F136,3,FALSE)</f>
        <v>67</v>
      </c>
      <c r="F311" t="s" s="92">
        <f>VLOOKUP(B311,'Player Data'!A1:B667,2,FALSE)</f>
        <v>146</v>
      </c>
      <c r="G311" s="11">
        <f>VLOOKUP(B311,'Player Data'!A1:D667,3,FALSE)</f>
        <v>28</v>
      </c>
      <c r="H311" s="73">
        <f>_xlfn.IFERROR(VLOOKUP(B311,'ADP'!A1:G665,7,FALSE)/1000000,VLOOKUP(B311,'ADP'!A1:G665,7,FALSE))</f>
        <v>4.95</v>
      </c>
      <c r="I311" s="74">
        <f>IF('Settings'!$E$15="POINTS",((R311*Q311)*'Settings'!$B$12)+(S311*'Settings'!$B$2)+(T311*'Settings'!$B$3)+(U311*'Settings'!$B$4)+(V311*'Settings'!$B$5)+(X311*'Settings'!$B$9)+(AA311*'Settings'!$B$6)+(W311*'Settings'!$B$8)+(AB311*'Settings'!$B$7)+(AC311*'Settings'!$B$14)+(AD311*'Settings'!$B$15)+(AE311*'Settings'!$B$16)+(AF311*'Settings'!$B$17)+(AG311*'Settings'!$B$18)+(Y311*'Settings'!$B$10)+(Z311*'Settings'!$B$11),VLOOKUP(B311,'Standard Deviations'!A1:C666,3,FALSE))</f>
        <v>225.790548620039</v>
      </c>
      <c r="J311" s="75">
        <f>IF(D311="G",I311/AJ311,I311/Q311)</f>
        <v>2.77409526209465</v>
      </c>
      <c r="K311" s="74">
        <f>IF('Settings'!$E$18="C/LW/RW",VLOOKUP(B311,'RW'!A1:F136,6,FALSE),VLOOKUP(B311,'F'!A1:F392,6,FALSE))</f>
        <v>-103.901345461139</v>
      </c>
      <c r="L311" s="76">
        <f>_xlfn.IFERROR(K311/H311,"N/A")</f>
        <v>-20.9901708002301</v>
      </c>
      <c r="M311" s="109">
        <f>IF('Settings'!$E$9="YAHOO",VLOOKUP(B311,'ADP'!A1:E665,2,FALSE),IF('Settings'!$E$9="ESPN",VLOOKUP(B311,'ADP'!A1:E665,3,FALSE),IF('Settings'!$E$9="FANTRAX",VLOOKUP(B311,'ADP'!A1:E665,4,FALSE),VLOOKUP(B311,'ADP'!A1:E665,5,FALSE))))</f>
        <v>0</v>
      </c>
      <c r="N311" s="79">
        <f>_xlfn.IFERROR(M311-A311,"N/A")</f>
        <v>-314</v>
      </c>
      <c r="O311" s="77"/>
      <c r="P311" t="s" s="78">
        <f>IF('Settings'!$E$27="ON",VLOOKUP(B311,'ADP'!A1:H665,8,FALSE)," ")</f>
        <v>138</v>
      </c>
      <c r="Q311" s="79">
        <f>IF('Settings'!$E$12="YES",VLOOKUP(B311,'Player Data'!A1:E667,5,FALSE),82)</f>
        <v>81.3925</v>
      </c>
      <c r="R311" s="77">
        <f>VLOOKUP(B311,'Player Data'!$A1:$AE667,6,FALSE)</f>
        <v>15.3673847424928</v>
      </c>
      <c r="S311" s="79">
        <f>VLOOKUP(B311,'Player Data'!$A1:$AE667,7,FALSE)*$Q311*_xlfn.IFERROR((VLOOKUP(P311,'Settings'!$E$28:$F$33,2,FALSE)+1),1)</f>
        <v>18.4465129703445</v>
      </c>
      <c r="T311" s="79">
        <f>VLOOKUP(B311,'Player Data'!$A1:$AE667,8,FALSE)*$Q311*_xlfn.IFERROR((VLOOKUP(P311,'Settings'!$E$28:$F$33,2,FALSE)+1),1)</f>
        <v>28.732890674332</v>
      </c>
      <c r="U311" s="79">
        <f>SUM(S311:T311)</f>
        <v>47.1794036446765</v>
      </c>
      <c r="V311" s="79">
        <f>VLOOKUP(B311,'Player Data'!$A1:$AE667,10,FALSE)*$Q311*_xlfn.IFERROR(((VLOOKUP(P311,'Settings'!$E$28:$F$33,2,FALSE)/2)+1),1)</f>
        <v>195.468331617681</v>
      </c>
      <c r="W311" s="79">
        <f>VLOOKUP(B311,'Player Data'!$A1:$AE667,11,FALSE)*$Q311*_xlfn.IFERROR((VLOOKUP(P311,'Settings'!$E$28:$F$33,2,FALSE)+1),1)</f>
        <v>1.9513311637039</v>
      </c>
      <c r="X311" s="79">
        <f>VLOOKUP(B311,'Player Data'!$A1:$AE667,12,FALSE)*$Q311*_xlfn.IFERROR((VLOOKUP(P311,'Settings'!$E$28:$F$33,2,FALSE)+1),1)</f>
        <v>8.273444625807979</v>
      </c>
      <c r="Y311" s="79">
        <f>VLOOKUP(B311,'Player Data'!$A1:$AE667,13,FALSE)*$Q311</f>
        <v>0.00345909344072527</v>
      </c>
      <c r="Z311" s="79">
        <f>VLOOKUP(B311,'Player Data'!$A1:$AE667,14,FALSE)*$Q311</f>
        <v>0.00588954583493122</v>
      </c>
      <c r="AA311" s="79">
        <f>VLOOKUP(B311,'Player Data'!$A1:$AE667,15,FALSE)*$Q311</f>
        <v>31.2460100501386</v>
      </c>
      <c r="AB311" s="79">
        <f>VLOOKUP(B311,'Player Data'!$A1:$AE667,16,FALSE)*$Q311</f>
        <v>56.2068250361998</v>
      </c>
      <c r="AC311" s="79">
        <f>VLOOKUP(B311,'Player Data'!$A1:$AE667,17,FALSE)*$Q311*_xlfn.IFERROR((VLOOKUP(P311,'Settings'!$E$28:$F$33,2,FALSE)+1),1)</f>
        <v>7.87285498438928</v>
      </c>
      <c r="AD311" s="79">
        <f>VLOOKUP(B311,'Player Data'!$A1:$AE667,18,FALSE)*$Q311</f>
        <v>26.3661315208924</v>
      </c>
      <c r="AE311" s="79">
        <f>VLOOKUP(B311,'Player Data'!$A1:$AE667,19,FALSE)*$Q311*_xlfn.IFERROR((VLOOKUP(P311,'Settings'!$E$28:$F$33,2,FALSE)+1),1)</f>
        <v>3.15018855871556</v>
      </c>
      <c r="AF311" s="79">
        <f>VLOOKUP(B311,'Player Data'!$A1:$AE667,20,FALSE)*$Q311</f>
        <v>3.07544744534746</v>
      </c>
      <c r="AG311" s="79">
        <f>VLOOKUP(B311,'Player Data'!$A1:$AE667,21,FALSE)*$Q311</f>
        <v>7.89251100825717</v>
      </c>
      <c r="AH311" s="81">
        <f>VLOOKUP(B311,'Player Data'!$A1:$AE667,22,FALSE)</f>
        <v>0.280402908012175</v>
      </c>
      <c r="AI311" s="77"/>
      <c r="AJ311" s="79"/>
      <c r="AK311" s="79"/>
      <c r="AL311" s="79"/>
      <c r="AM311" s="79"/>
      <c r="AN311" s="79"/>
      <c r="AO311" s="79"/>
      <c r="AP311" s="79"/>
      <c r="AQ311" s="82"/>
      <c r="AR311" s="83"/>
      <c r="AS311" s="84"/>
    </row>
    <row r="312" ht="21.25" customHeight="1">
      <c r="A312" s="85">
        <f>RANK(K312,K$1:K$665)</f>
        <v>332</v>
      </c>
      <c r="B312" t="s" s="16">
        <v>501</v>
      </c>
      <c r="C312" t="s" s="69">
        <v>127</v>
      </c>
      <c r="D312" t="s" s="70">
        <f>VLOOKUP(B312,'Player Data'!A1:D667,4,FALSE)</f>
        <v>128</v>
      </c>
      <c r="E312" s="71">
        <f>VLOOKUP(B312,'C'!A1:C206,3,FALSE)</f>
        <v>102</v>
      </c>
      <c r="F312" t="s" s="78">
        <f>VLOOKUP(B312,'Player Data'!A1:B667,2,FALSE)</f>
        <v>204</v>
      </c>
      <c r="G312" s="96">
        <f>VLOOKUP(B312,'Player Data'!A1:D667,3,FALSE)</f>
        <v>21</v>
      </c>
      <c r="H312" s="73">
        <f>_xlfn.IFERROR(VLOOKUP(B312,'ADP'!A1:G665,7,FALSE)/1000000,VLOOKUP(B312,'ADP'!A1:G665,7,FALSE))</f>
        <v>0.8139999999999999</v>
      </c>
      <c r="I312" s="74">
        <f>IF('Settings'!$E$15="POINTS",((R312*Q312)*'Settings'!$B$12)+(S312*'Settings'!$B$2)+(T312*'Settings'!$B$3)+(U312*'Settings'!$B$4)+(V312*'Settings'!$B$5)+(X312*'Settings'!$B$9)+(AA312*'Settings'!$B$6)+(W312*'Settings'!$B$8)+(AB312*'Settings'!$B$7)+(AC312*'Settings'!$B$14)+(AD312*'Settings'!$B$15)+(AE312*'Settings'!$B$16)+(AF312*'Settings'!$B$17)+(AG312*'Settings'!$B$18)+(Y312*'Settings'!$B$10)+(Z312*'Settings'!$B$11),VLOOKUP(B312,'Standard Deviations'!A1:C666,3,FALSE))</f>
        <v>220.500122051964</v>
      </c>
      <c r="J312" s="75">
        <f>IF(D312="G",I312/AJ312,I312/Q312)</f>
        <v>3.13655934640063</v>
      </c>
      <c r="K312" s="74">
        <f>IF('Settings'!$E$18="C/LW/RW",VLOOKUP(B312,'C'!A1:F206,6,FALSE),VLOOKUP(B312,'F'!A1:F392,6,FALSE))</f>
        <v>-109.191772029214</v>
      </c>
      <c r="L312" s="76">
        <f>_xlfn.IFERROR(K312/H312,"N/A")</f>
        <v>-134.142226080115</v>
      </c>
      <c r="M312" s="77">
        <f>IF('Settings'!$E$9="YAHOO",VLOOKUP(B312,'ADP'!A1:E665,2,FALSE),IF('Settings'!$E$9="ESPN",VLOOKUP(B312,'ADP'!A1:E665,3,FALSE),IF('Settings'!$E$9="FANTRAX",VLOOKUP(B312,'ADP'!A1:E665,4,FALSE),VLOOKUP(B312,'ADP'!A1:E665,5,FALSE))))</f>
        <v>0</v>
      </c>
      <c r="N312" s="77">
        <f>_xlfn.IFERROR(M312-A312,"N/A")</f>
        <v>-332</v>
      </c>
      <c r="O312" s="77"/>
      <c r="P312" t="s" s="78">
        <f>IF('Settings'!$E$27="ON",VLOOKUP(B312,'ADP'!A1:H665,8,FALSE)," ")</f>
        <v>138</v>
      </c>
      <c r="Q312" s="79">
        <f>IF('Settings'!$E$12="YES",VLOOKUP(B312,'Player Data'!A1:E667,5,FALSE),82)</f>
        <v>70.3</v>
      </c>
      <c r="R312" s="77">
        <f>VLOOKUP(B312,'Player Data'!$A1:$AE667,6,FALSE)</f>
        <v>15.1005459136322</v>
      </c>
      <c r="S312" s="79">
        <f>VLOOKUP(B312,'Player Data'!$A1:$AE667,7,FALSE)*$Q312*_xlfn.IFERROR((VLOOKUP(P312,'Settings'!$E$28:$F$33,2,FALSE)+1),1)</f>
        <v>19.4040188978498</v>
      </c>
      <c r="T312" s="79">
        <f>VLOOKUP(B312,'Player Data'!$A1:$AE667,8,FALSE)*$Q312*_xlfn.IFERROR((VLOOKUP(P312,'Settings'!$E$28:$F$33,2,FALSE)+1),1)</f>
        <v>26.2227614496127</v>
      </c>
      <c r="U312" s="79">
        <f>SUM(S312:T312)</f>
        <v>45.6267803474625</v>
      </c>
      <c r="V312" s="79">
        <f>VLOOKUP(B312,'Player Data'!$A1:$AE667,10,FALSE)*$Q312*_xlfn.IFERROR(((VLOOKUP(P312,'Settings'!$E$28:$F$33,2,FALSE)/2)+1),1)</f>
        <v>147.698667749198</v>
      </c>
      <c r="W312" s="79">
        <f>VLOOKUP(B312,'Player Data'!$A1:$AE667,11,FALSE)*$Q312*_xlfn.IFERROR((VLOOKUP(P312,'Settings'!$E$28:$F$33,2,FALSE)+1),1)</f>
        <v>3.77832750180814</v>
      </c>
      <c r="X312" s="79">
        <f>VLOOKUP(B312,'Player Data'!$A1:$AE667,12,FALSE)*$Q312*_xlfn.IFERROR((VLOOKUP(P312,'Settings'!$E$28:$F$33,2,FALSE)+1),1)</f>
        <v>8.73153001209117</v>
      </c>
      <c r="Y312" s="79">
        <f>VLOOKUP(B312,'Player Data'!$A1:$AE667,13,FALSE)*$Q312</f>
        <v>0.0049522116990086</v>
      </c>
      <c r="Z312" s="79">
        <f>VLOOKUP(B312,'Player Data'!$A1:$AE667,14,FALSE)*$Q312</f>
        <v>0.00831925287871923</v>
      </c>
      <c r="AA312" s="79">
        <f>VLOOKUP(B312,'Player Data'!$A1:$AE667,15,FALSE)*$Q312</f>
        <v>32.8288177066628</v>
      </c>
      <c r="AB312" s="79">
        <f>VLOOKUP(B312,'Player Data'!$A1:$AE667,16,FALSE)*$Q312</f>
        <v>69.31287288854119</v>
      </c>
      <c r="AC312" s="79">
        <f>VLOOKUP(B312,'Player Data'!$A1:$AE667,17,FALSE)*$Q312*_xlfn.IFERROR((VLOOKUP(P312,'Settings'!$E$28:$F$33,2,FALSE)+1),1)</f>
        <v>5.67457329186121</v>
      </c>
      <c r="AD312" s="79">
        <f>VLOOKUP(B312,'Player Data'!$A1:$AE667,18,FALSE)*$Q312</f>
        <v>22.7536537303354</v>
      </c>
      <c r="AE312" s="79">
        <f>VLOOKUP(B312,'Player Data'!$A1:$AE667,19,FALSE)*$Q312*_xlfn.IFERROR((VLOOKUP(P312,'Settings'!$E$28:$F$33,2,FALSE)+1),1)</f>
        <v>3.10306574426117</v>
      </c>
      <c r="AF312" s="79">
        <f>VLOOKUP(B312,'Player Data'!$A1:$AE667,20,FALSE)*$Q312</f>
        <v>33.161764561417</v>
      </c>
      <c r="AG312" s="79">
        <f>VLOOKUP(B312,'Player Data'!$A1:$AE667,21,FALSE)*$Q312</f>
        <v>18.0882352153184</v>
      </c>
      <c r="AH312" s="81">
        <f>VLOOKUP(B312,'Player Data'!$A1:$AE667,22,FALSE)</f>
        <v>0.647058823529412</v>
      </c>
      <c r="AI312" s="77"/>
      <c r="AJ312" s="79"/>
      <c r="AK312" s="79"/>
      <c r="AL312" s="79"/>
      <c r="AM312" s="79"/>
      <c r="AN312" s="79"/>
      <c r="AO312" s="79"/>
      <c r="AP312" s="79"/>
      <c r="AQ312" s="82"/>
      <c r="AR312" s="83"/>
      <c r="AS312" s="84"/>
    </row>
    <row r="313" ht="21.25" customHeight="1">
      <c r="A313" s="85">
        <f>RANK(K313,K$1:K$665)</f>
        <v>320</v>
      </c>
      <c r="B313" t="s" s="16">
        <v>502</v>
      </c>
      <c r="C313" t="s" s="69">
        <v>127</v>
      </c>
      <c r="D313" t="s" s="70">
        <f>VLOOKUP(B313,'Player Data'!A1:D667,4,FALSE)</f>
        <v>136</v>
      </c>
      <c r="E313" s="87">
        <f>VLOOKUP(B313,'LW'!A1:C152,3,FALSE)</f>
        <v>73</v>
      </c>
      <c r="F313" t="s" s="107">
        <f>VLOOKUP(B313,'Player Data'!A1:B667,2,FALSE)</f>
        <v>279</v>
      </c>
      <c r="G313" s="91">
        <f>VLOOKUP(B313,'Player Data'!A1:D667,3,FALSE)</f>
        <v>34</v>
      </c>
      <c r="H313" s="73">
        <f>_xlfn.IFERROR(VLOOKUP(B313,'ADP'!A1:G665,7,FALSE)/1000000,VLOOKUP(B313,'ADP'!A1:G665,7,FALSE))</f>
        <v>6.242</v>
      </c>
      <c r="I313" s="74">
        <f>IF('Settings'!$E$15="POINTS",((R313*Q313)*'Settings'!$B$12)+(S313*'Settings'!$B$2)+(T313*'Settings'!$B$3)+(U313*'Settings'!$B$4)+(V313*'Settings'!$B$5)+(X313*'Settings'!$B$9)+(AA313*'Settings'!$B$6)+(W313*'Settings'!$B$8)+(AB313*'Settings'!$B$7)+(AC313*'Settings'!$B$14)+(AD313*'Settings'!$B$15)+(AE313*'Settings'!$B$16)+(AF313*'Settings'!$B$17)+(AG313*'Settings'!$B$18)+(Y313*'Settings'!$B$10)+(Z313*'Settings'!$B$11),VLOOKUP(B313,'Standard Deviations'!A1:C666,3,FALSE))</f>
        <v>225.170453987233</v>
      </c>
      <c r="J313" s="75">
        <f>IF(D313="G",I313/AJ313,I313/Q313)</f>
        <v>2.86266985331638</v>
      </c>
      <c r="K313" s="74">
        <f>IF('Settings'!$E$18="C/LW/RW",VLOOKUP(B313,'LW'!A1:F152,6,FALSE),VLOOKUP(B313,'F'!A1:F392,6,FALSE))</f>
        <v>-106.549657778979</v>
      </c>
      <c r="L313" s="76">
        <f>_xlfn.IFERROR(K313/H313,"N/A")</f>
        <v>-17.0697945817012</v>
      </c>
      <c r="M313" s="77">
        <f>IF('Settings'!$E$9="YAHOO",VLOOKUP(B313,'ADP'!A1:E665,2,FALSE),IF('Settings'!$E$9="ESPN",VLOOKUP(B313,'ADP'!A1:E665,3,FALSE),IF('Settings'!$E$9="FANTRAX",VLOOKUP(B313,'ADP'!A1:E665,4,FALSE),VLOOKUP(B313,'ADP'!A1:E665,5,FALSE))))</f>
        <v>0</v>
      </c>
      <c r="N313" s="77">
        <f>_xlfn.IFERROR(M313-A313,"N/A")</f>
        <v>-320</v>
      </c>
      <c r="O313" s="77"/>
      <c r="P313" t="s" s="78">
        <f>IF('Settings'!$E$27="ON",VLOOKUP(B313,'ADP'!A1:H665,8,FALSE)," ")</f>
        <v>138</v>
      </c>
      <c r="Q313" s="79">
        <f>IF('Settings'!$E$12="YES",VLOOKUP(B313,'Player Data'!A1:E667,5,FALSE),82)</f>
        <v>78.6575</v>
      </c>
      <c r="R313" s="108">
        <f>VLOOKUP(B313,'Player Data'!$A1:$AE667,6,FALSE)</f>
        <v>17.418181699659</v>
      </c>
      <c r="S313" s="79">
        <f>VLOOKUP(B313,'Player Data'!$A1:$AE667,7,FALSE)*$Q313*_xlfn.IFERROR((VLOOKUP(P313,'Settings'!$E$28:$F$33,2,FALSE)+1),1)</f>
        <v>20.2274319496206</v>
      </c>
      <c r="T313" s="79">
        <f>VLOOKUP(B313,'Player Data'!$A1:$AE667,8,FALSE)*$Q313*_xlfn.IFERROR((VLOOKUP(P313,'Settings'!$E$28:$F$33,2,FALSE)+1),1)</f>
        <v>25.3061372820973</v>
      </c>
      <c r="U313" s="79">
        <f>SUM(S313:T313)</f>
        <v>45.5335692317179</v>
      </c>
      <c r="V313" s="79">
        <f>VLOOKUP(B313,'Player Data'!$A1:$AE667,10,FALSE)*$Q313*_xlfn.IFERROR(((VLOOKUP(P313,'Settings'!$E$28:$F$33,2,FALSE)/2)+1),1)</f>
        <v>153.335631477067</v>
      </c>
      <c r="W313" s="79">
        <f>VLOOKUP(B313,'Player Data'!$A1:$AE667,11,FALSE)*$Q313*_xlfn.IFERROR((VLOOKUP(P313,'Settings'!$E$28:$F$33,2,FALSE)+1),1)</f>
        <v>3.23543671318142</v>
      </c>
      <c r="X313" s="79">
        <f>VLOOKUP(B313,'Player Data'!$A1:$AE667,12,FALSE)*$Q313*_xlfn.IFERROR((VLOOKUP(P313,'Settings'!$E$28:$F$33,2,FALSE)+1),1)</f>
        <v>6.98359007599653</v>
      </c>
      <c r="Y313" s="79">
        <f>VLOOKUP(B313,'Player Data'!$A1:$AE667,13,FALSE)*$Q313</f>
        <v>0.378023743892253</v>
      </c>
      <c r="Z313" s="79">
        <f>VLOOKUP(B313,'Player Data'!$A1:$AE667,14,FALSE)*$Q313</f>
        <v>0.748269941809803</v>
      </c>
      <c r="AA313" s="79">
        <f>VLOOKUP(B313,'Player Data'!$A1:$AE667,15,FALSE)*$Q313</f>
        <v>31.7886145769733</v>
      </c>
      <c r="AB313" s="79">
        <f>VLOOKUP(B313,'Player Data'!$A1:$AE667,16,FALSE)*$Q313</f>
        <v>75.76401808059011</v>
      </c>
      <c r="AC313" s="79">
        <f>VLOOKUP(B313,'Player Data'!$A1:$AE667,17,FALSE)*$Q313*_xlfn.IFERROR((VLOOKUP(P313,'Settings'!$E$28:$F$33,2,FALSE)+1),1)</f>
        <v>-6.02744537942577</v>
      </c>
      <c r="AD313" s="79">
        <f>VLOOKUP(B313,'Player Data'!$A1:$AE667,18,FALSE)*$Q313</f>
        <v>48.3761254488148</v>
      </c>
      <c r="AE313" s="79">
        <f>VLOOKUP(B313,'Player Data'!$A1:$AE667,19,FALSE)*$Q313*_xlfn.IFERROR((VLOOKUP(P313,'Settings'!$E$28:$F$33,2,FALSE)+1),1)</f>
        <v>2.35770035215337</v>
      </c>
      <c r="AF313" s="79">
        <f>VLOOKUP(B313,'Player Data'!$A1:$AE667,20,FALSE)*$Q313</f>
        <v>11.449393841313</v>
      </c>
      <c r="AG313" s="79">
        <f>VLOOKUP(B313,'Player Data'!$A1:$AE667,21,FALSE)*$Q313</f>
        <v>20.6755103081259</v>
      </c>
      <c r="AH313" s="81">
        <f>VLOOKUP(B313,'Player Data'!$A1:$AE667,22,FALSE)</f>
        <v>0.356402428099166</v>
      </c>
      <c r="AI313" s="77"/>
      <c r="AJ313" s="79"/>
      <c r="AK313" s="79"/>
      <c r="AL313" s="79"/>
      <c r="AM313" s="79"/>
      <c r="AN313" s="79"/>
      <c r="AO313" s="79"/>
      <c r="AP313" s="79"/>
      <c r="AQ313" s="82"/>
      <c r="AR313" s="83"/>
      <c r="AS313" s="84"/>
    </row>
    <row r="314" ht="21.25" customHeight="1">
      <c r="A314" s="85">
        <f>RANK(K314,K$1:K$665)</f>
        <v>339</v>
      </c>
      <c r="B314" t="s" s="16">
        <v>503</v>
      </c>
      <c r="C314" t="s" s="69">
        <v>127</v>
      </c>
      <c r="D314" t="s" s="70">
        <f>VLOOKUP(B314,'Player Data'!A1:D667,4,FALSE)</f>
        <v>128</v>
      </c>
      <c r="E314" s="71">
        <f>VLOOKUP(B314,'C'!A1:C206,3,FALSE)</f>
        <v>103</v>
      </c>
      <c r="F314" t="s" s="103">
        <f>VLOOKUP(B314,'Player Data'!A1:B667,2,FALSE)</f>
        <v>227</v>
      </c>
      <c r="G314" s="91">
        <f>VLOOKUP(B314,'Player Data'!A1:D667,3,FALSE)</f>
        <v>35</v>
      </c>
      <c r="H314" s="73">
        <f>_xlfn.IFERROR(VLOOKUP(B314,'ADP'!A1:G665,7,FALSE)/1000000,VLOOKUP(B314,'ADP'!A1:G665,7,FALSE))</f>
        <v>2.9</v>
      </c>
      <c r="I314" s="74">
        <f>IF('Settings'!$E$15="POINTS",((R314*Q314)*'Settings'!$B$12)+(S314*'Settings'!$B$2)+(T314*'Settings'!$B$3)+(U314*'Settings'!$B$4)+(V314*'Settings'!$B$5)+(X314*'Settings'!$B$9)+(AA314*'Settings'!$B$6)+(W314*'Settings'!$B$8)+(AB314*'Settings'!$B$7)+(AC314*'Settings'!$B$14)+(AD314*'Settings'!$B$15)+(AE314*'Settings'!$B$16)+(AF314*'Settings'!$B$17)+(AG314*'Settings'!$B$18)+(Y314*'Settings'!$B$10)+(Z314*'Settings'!$B$11),VLOOKUP(B314,'Standard Deviations'!A1:C666,3,FALSE))</f>
        <v>219.011919747579</v>
      </c>
      <c r="J314" s="75">
        <f>IF(D314="G",I314/AJ314,I314/Q314)</f>
        <v>2.69926876903502</v>
      </c>
      <c r="K314" s="74">
        <f>IF('Settings'!$E$18="C/LW/RW",VLOOKUP(B314,'C'!A1:F206,6,FALSE),VLOOKUP(B314,'F'!A1:F392,6,FALSE))</f>
        <v>-110.679974333599</v>
      </c>
      <c r="L314" s="76">
        <f>_xlfn.IFERROR(K314/H314,"N/A")</f>
        <v>-38.1655083908962</v>
      </c>
      <c r="M314" s="109">
        <f>IF('Settings'!$E$9="YAHOO",VLOOKUP(B314,'ADP'!A1:E665,2,FALSE),IF('Settings'!$E$9="ESPN",VLOOKUP(B314,'ADP'!A1:E665,3,FALSE),IF('Settings'!$E$9="FANTRAX",VLOOKUP(B314,'ADP'!A1:E665,4,FALSE),VLOOKUP(B314,'ADP'!A1:E665,5,FALSE))))</f>
        <v>0</v>
      </c>
      <c r="N314" s="79">
        <f>_xlfn.IFERROR(M314-A314,"N/A")</f>
        <v>-339</v>
      </c>
      <c r="O314" s="77"/>
      <c r="P314" t="s" s="78">
        <f>IF('Settings'!$E$27="ON",VLOOKUP(B314,'ADP'!A1:H665,8,FALSE)," ")</f>
        <v>138</v>
      </c>
      <c r="Q314" s="79">
        <f>IF('Settings'!$E$12="YES",VLOOKUP(B314,'Player Data'!A1:E667,5,FALSE),82)</f>
        <v>81.1375</v>
      </c>
      <c r="R314" s="77">
        <f>VLOOKUP(B314,'Player Data'!$A1:$AE667,6,FALSE)</f>
        <v>15.1673909714934</v>
      </c>
      <c r="S314" s="79">
        <f>VLOOKUP(B314,'Player Data'!$A1:$AE667,7,FALSE)*$Q314*_xlfn.IFERROR((VLOOKUP(P314,'Settings'!$E$28:$F$33,2,FALSE)+1),1)</f>
        <v>10.6687065183676</v>
      </c>
      <c r="T314" s="79">
        <f>VLOOKUP(B314,'Player Data'!$A1:$AE667,8,FALSE)*$Q314*_xlfn.IFERROR((VLOOKUP(P314,'Settings'!$E$28:$F$33,2,FALSE)+1),1)</f>
        <v>15.937156559770</v>
      </c>
      <c r="U314" s="79">
        <f>SUM(S314:T314)</f>
        <v>26.6058630781376</v>
      </c>
      <c r="V314" s="79">
        <f>VLOOKUP(B314,'Player Data'!$A1:$AE667,10,FALSE)*$Q314*_xlfn.IFERROR(((VLOOKUP(P314,'Settings'!$E$28:$F$33,2,FALSE)/2)+1),1)</f>
        <v>123.373587178528</v>
      </c>
      <c r="W314" s="79">
        <f>VLOOKUP(B314,'Player Data'!$A1:$AE667,11,FALSE)*$Q314*_xlfn.IFERROR((VLOOKUP(P314,'Settings'!$E$28:$F$33,2,FALSE)+1),1)</f>
        <v>0.0493139857389476</v>
      </c>
      <c r="X314" s="79">
        <f>VLOOKUP(B314,'Player Data'!$A1:$AE667,12,FALSE)*$Q314*_xlfn.IFERROR((VLOOKUP(P314,'Settings'!$E$28:$F$33,2,FALSE)+1),1)</f>
        <v>0.114392682261433</v>
      </c>
      <c r="Y314" s="79">
        <f>VLOOKUP(B314,'Player Data'!$A1:$AE667,13,FALSE)*$Q314</f>
        <v>0.43551875596812</v>
      </c>
      <c r="Z314" s="79">
        <f>VLOOKUP(B314,'Player Data'!$A1:$AE667,14,FALSE)*$Q314</f>
        <v>1.24619493275973</v>
      </c>
      <c r="AA314" s="79">
        <f>VLOOKUP(B314,'Player Data'!$A1:$AE667,15,FALSE)*$Q314</f>
        <v>39.6872041142934</v>
      </c>
      <c r="AB314" s="79">
        <f>VLOOKUP(B314,'Player Data'!$A1:$AE667,16,FALSE)*$Q314</f>
        <v>142.017971879559</v>
      </c>
      <c r="AC314" s="79">
        <f>VLOOKUP(B314,'Player Data'!$A1:$AE667,17,FALSE)*$Q314*_xlfn.IFERROR((VLOOKUP(P314,'Settings'!$E$28:$F$33,2,FALSE)+1),1)</f>
        <v>5.67407451231357</v>
      </c>
      <c r="AD314" s="79">
        <f>VLOOKUP(B314,'Player Data'!$A1:$AE667,18,FALSE)*$Q314</f>
        <v>32.5664818579806</v>
      </c>
      <c r="AE314" s="79">
        <f>VLOOKUP(B314,'Player Data'!$A1:$AE667,19,FALSE)*$Q314*_xlfn.IFERROR((VLOOKUP(P314,'Settings'!$E$28:$F$33,2,FALSE)+1),1)</f>
        <v>1.84873306265053</v>
      </c>
      <c r="AF314" s="79">
        <f>VLOOKUP(B314,'Player Data'!$A1:$AE667,20,FALSE)*$Q314</f>
        <v>771.2826341952471</v>
      </c>
      <c r="AG314" s="79">
        <f>VLOOKUP(B314,'Player Data'!$A1:$AE667,21,FALSE)*$Q314</f>
        <v>580.668008514233</v>
      </c>
      <c r="AH314" s="81">
        <f>VLOOKUP(B314,'Player Data'!$A1:$AE667,22,FALSE)</f>
        <v>0.57049614818001</v>
      </c>
      <c r="AI314" s="77"/>
      <c r="AJ314" s="89"/>
      <c r="AK314" s="79"/>
      <c r="AL314" s="79"/>
      <c r="AM314" s="79"/>
      <c r="AN314" s="79"/>
      <c r="AO314" s="79"/>
      <c r="AP314" s="79"/>
      <c r="AQ314" s="82"/>
      <c r="AR314" s="83"/>
      <c r="AS314" s="93"/>
    </row>
    <row r="315" ht="21.25" customHeight="1">
      <c r="A315" s="85">
        <f>RANK(K315,K$1:K$665)</f>
        <v>304</v>
      </c>
      <c r="B315" t="s" s="16">
        <v>504</v>
      </c>
      <c r="C315" t="s" s="69">
        <v>127</v>
      </c>
      <c r="D315" t="s" s="70">
        <f>VLOOKUP(B315,'Player Data'!A1:D667,4,FALSE)</f>
        <v>153</v>
      </c>
      <c r="E315" s="95">
        <f>VLOOKUP(B315,'D'!A1:C213,3,FALSE)</f>
        <v>99</v>
      </c>
      <c r="F315" t="s" s="104">
        <f>VLOOKUP(B315,'Player Data'!A1:B667,2,FALSE)</f>
        <v>333</v>
      </c>
      <c r="G315" s="11">
        <f>VLOOKUP(B315,'Player Data'!A1:D667,3,FALSE)</f>
        <v>30</v>
      </c>
      <c r="H315" s="94">
        <f>_xlfn.IFERROR(VLOOKUP(B315,'ADP'!A1:G665,7,FALSE)/1000000,VLOOKUP(B315,'ADP'!A1:G665,7,FALSE))</f>
        <v>3.25</v>
      </c>
      <c r="I315" s="74">
        <f>IF('Settings'!$E$15="POINTS",((R315*Q315)*'Settings'!$B$12)+(S315*'Settings'!$B$2)+(T315*'Settings'!$B$3)+(U315*'Settings'!$B$4)+(V315*'Settings'!$B$5)+(X315*'Settings'!$B$9)+(AA315*'Settings'!$B$6)+(W315*'Settings'!$B$8)+(AB315*'Settings'!$B$7)+(AC315*'Settings'!$B$14)+(AD315*'Settings'!$B$15)+(AE315*'Settings'!$B$16)+(AF315*'Settings'!$B$17)+(AG315*'Settings'!$B$18)+(U315*'Settings'!$B$13)+(Y315*'Settings'!$B$10)+(Z315*'Settings'!$B$11),VLOOKUP(B315,'Standard Deviations'!A1:C666,3,FALSE))</f>
        <v>230.822996862992</v>
      </c>
      <c r="J315" s="75">
        <f>IF(D315="G",I315/AJ315,I315/Q315)</f>
        <v>2.85592498206554</v>
      </c>
      <c r="K315" s="74">
        <f>VLOOKUP(B315,'D'!A1:F213,6,FALSE)</f>
        <v>-100.717211057090</v>
      </c>
      <c r="L315" s="76">
        <f>_xlfn.IFERROR(K315/H315,"N/A")</f>
        <v>-30.9899110944892</v>
      </c>
      <c r="M315" s="109">
        <f>IF('Settings'!$E$9="YAHOO",VLOOKUP(B315,'ADP'!A1:E665,2,FALSE),IF('Settings'!$E$9="ESPN",VLOOKUP(B315,'ADP'!A1:E665,3,FALSE),IF('Settings'!$E$9="FANTRAX",VLOOKUP(B315,'ADP'!A1:E665,4,FALSE),VLOOKUP(B315,'ADP'!A1:E665,5,FALSE))))</f>
        <v>0</v>
      </c>
      <c r="N315" s="79">
        <f>_xlfn.IFERROR(M315-A315,"N/A")</f>
        <v>-304</v>
      </c>
      <c r="O315" s="77"/>
      <c r="P315" t="s" s="78">
        <f>IF('Settings'!$E$27="ON",VLOOKUP(B315,'ADP'!A1:H665,8,FALSE)," ")</f>
        <v>138</v>
      </c>
      <c r="Q315" s="79">
        <f>IF('Settings'!$E$12="YES",VLOOKUP(B315,'Player Data'!A1:E667,5,FALSE),82)</f>
        <v>80.82250000000001</v>
      </c>
      <c r="R315" s="77">
        <f>VLOOKUP(B315,'Player Data'!$A1:$AE667,6,FALSE)</f>
        <v>20.9636927997531</v>
      </c>
      <c r="S315" s="79">
        <f>VLOOKUP(B315,'Player Data'!$A1:$AE667,7,FALSE)*$Q315*_xlfn.IFERROR((VLOOKUP(P315,'Settings'!$E$28:$F$33,2,FALSE)+1),1)</f>
        <v>3.76343767849278</v>
      </c>
      <c r="T315" s="79">
        <f>VLOOKUP(B315,'Player Data'!$A1:$AE667,8,FALSE)*$Q315*_xlfn.IFERROR((VLOOKUP(P315,'Settings'!$E$28:$F$33,2,FALSE)+1),1)</f>
        <v>19.2827113197152</v>
      </c>
      <c r="U315" s="79">
        <f>SUM(S315:T315)</f>
        <v>23.046148998208</v>
      </c>
      <c r="V315" s="79">
        <f>VLOOKUP(B315,'Player Data'!$A1:$AE667,10,FALSE)*$Q315*_xlfn.IFERROR(((VLOOKUP(P315,'Settings'!$E$28:$F$33,2,FALSE)/2)+1),1)</f>
        <v>100.533634975350</v>
      </c>
      <c r="W315" s="79">
        <f>VLOOKUP(B315,'Player Data'!$A1:$AE667,11,FALSE)*$Q315*_xlfn.IFERROR((VLOOKUP(P315,'Settings'!$E$28:$F$33,2,FALSE)+1),1)</f>
        <v>0.0221727103840473</v>
      </c>
      <c r="X315" s="79">
        <f>VLOOKUP(B315,'Player Data'!$A1:$AE667,12,FALSE)*$Q315*_xlfn.IFERROR((VLOOKUP(P315,'Settings'!$E$28:$F$33,2,FALSE)+1),1)</f>
        <v>0.148250539560966</v>
      </c>
      <c r="Y315" s="79">
        <f>VLOOKUP(B315,'Player Data'!$A1:$AE667,13,FALSE)*$Q315</f>
        <v>0.0250205290611448</v>
      </c>
      <c r="Z315" s="79">
        <f>VLOOKUP(B315,'Player Data'!$A1:$AE667,14,FALSE)*$Q315</f>
        <v>0.98161010643487</v>
      </c>
      <c r="AA315" s="79">
        <f>VLOOKUP(B315,'Player Data'!$A1:$AE667,15,FALSE)*$Q315</f>
        <v>120.894900946646</v>
      </c>
      <c r="AB315" s="79">
        <f>VLOOKUP(B315,'Player Data'!$A1:$AE667,16,FALSE)*$Q315</f>
        <v>114.829553675191</v>
      </c>
      <c r="AC315" s="79">
        <f>VLOOKUP(B315,'Player Data'!$A1:$AE667,17,FALSE)*$Q315*_xlfn.IFERROR((VLOOKUP(P315,'Settings'!$E$28:$F$33,2,FALSE)+1),1)</f>
        <v>5.69543934780144</v>
      </c>
      <c r="AD315" s="79">
        <f>VLOOKUP(B315,'Player Data'!$A1:$AE667,18,FALSE)*$Q315</f>
        <v>18.8490820100893</v>
      </c>
      <c r="AE315" s="79">
        <f>VLOOKUP(B315,'Player Data'!$A1:$AE667,19,FALSE)*$Q315*_xlfn.IFERROR((VLOOKUP(P315,'Settings'!$E$28:$F$33,2,FALSE)+1),1)</f>
        <v>0.40197324856172</v>
      </c>
      <c r="AF315" s="79">
        <f>VLOOKUP(B315,'Player Data'!$A1:$AE667,20,FALSE)*$Q315</f>
        <v>0</v>
      </c>
      <c r="AG315" s="79">
        <f>VLOOKUP(B315,'Player Data'!$A1:$AE667,21,FALSE)*$Q315</f>
        <v>0</v>
      </c>
      <c r="AH315" s="81">
        <f>VLOOKUP(B315,'Player Data'!$A1:$AE667,22,FALSE)</f>
        <v>0</v>
      </c>
      <c r="AI315" s="77"/>
      <c r="AJ315" s="89"/>
      <c r="AK315" s="79"/>
      <c r="AL315" s="79"/>
      <c r="AM315" s="79"/>
      <c r="AN315" s="79"/>
      <c r="AO315" s="79"/>
      <c r="AP315" s="79"/>
      <c r="AQ315" s="82"/>
      <c r="AR315" s="83"/>
      <c r="AS315" s="84"/>
    </row>
    <row r="316" ht="21.25" customHeight="1">
      <c r="A316" s="85">
        <f>RANK(K316,K$1:K$665)</f>
        <v>341</v>
      </c>
      <c r="B316" t="s" s="16">
        <v>505</v>
      </c>
      <c r="C316" t="s" s="69">
        <v>127</v>
      </c>
      <c r="D316" t="s" s="70">
        <f>VLOOKUP(B316,'Player Data'!A1:D667,4,FALSE)</f>
        <v>128</v>
      </c>
      <c r="E316" s="71">
        <f>VLOOKUP(B316,'C'!A1:C206,3,FALSE)</f>
        <v>104</v>
      </c>
      <c r="F316" t="s" s="78">
        <f>VLOOKUP(B316,'Player Data'!A1:B667,2,FALSE)</f>
        <v>261</v>
      </c>
      <c r="G316" s="11">
        <f>VLOOKUP(B316,'Player Data'!A1:D667,3,FALSE)</f>
        <v>24</v>
      </c>
      <c r="H316" s="94">
        <f>_xlfn.IFERROR(VLOOKUP(B316,'ADP'!A1:G665,7,FALSE)/1000000,VLOOKUP(B316,'ADP'!A1:G665,7,FALSE))</f>
        <v>1.599</v>
      </c>
      <c r="I316" s="74">
        <f>IF('Settings'!$E$15="POINTS",((R316*Q316)*'Settings'!$B$12)+(S316*'Settings'!$B$2)+(T316*'Settings'!$B$3)+(U316*'Settings'!$B$4)+(V316*'Settings'!$B$5)+(X316*'Settings'!$B$9)+(AA316*'Settings'!$B$6)+(W316*'Settings'!$B$8)+(AB316*'Settings'!$B$7)+(AC316*'Settings'!$B$14)+(AD316*'Settings'!$B$15)+(AE316*'Settings'!$B$16)+(AF316*'Settings'!$B$17)+(AG316*'Settings'!$B$18)+(Y316*'Settings'!$B$10)+(Z316*'Settings'!$B$11),VLOOKUP(B316,'Standard Deviations'!A1:C666,3,FALSE))</f>
        <v>218.341807803253</v>
      </c>
      <c r="J316" s="75">
        <f>IF(D316="G",I316/AJ316,I316/Q316)</f>
        <v>3.02548664985281</v>
      </c>
      <c r="K316" s="74">
        <f>IF('Settings'!$E$18="C/LW/RW",VLOOKUP(B316,'C'!A1:F206,6,FALSE),VLOOKUP(B316,'F'!A1:F392,6,FALSE))</f>
        <v>-111.350086277925</v>
      </c>
      <c r="L316" s="76">
        <f>_xlfn.IFERROR(K316/H316,"N/A")</f>
        <v>-69.63732725323641</v>
      </c>
      <c r="M316" s="109">
        <f>IF('Settings'!$E$9="YAHOO",VLOOKUP(B316,'ADP'!A1:E665,2,FALSE),IF('Settings'!$E$9="ESPN",VLOOKUP(B316,'ADP'!A1:E665,3,FALSE),IF('Settings'!$E$9="FANTRAX",VLOOKUP(B316,'ADP'!A1:E665,4,FALSE),VLOOKUP(B316,'ADP'!A1:E665,5,FALSE))))</f>
        <v>0</v>
      </c>
      <c r="N316" s="79">
        <f>_xlfn.IFERROR(M316-A316,"N/A")</f>
        <v>-341</v>
      </c>
      <c r="O316" s="77"/>
      <c r="P316" t="s" s="78">
        <f>IF('Settings'!$E$27="ON",VLOOKUP(B316,'ADP'!A1:H665,8,FALSE)," ")</f>
        <v>138</v>
      </c>
      <c r="Q316" s="79">
        <f>IF('Settings'!$E$12="YES",VLOOKUP(B316,'Player Data'!A1:E667,5,FALSE),82)</f>
        <v>72.1675</v>
      </c>
      <c r="R316" s="77">
        <f>VLOOKUP(B316,'Player Data'!$A1:$AE667,6,FALSE)</f>
        <v>12.3868273335311</v>
      </c>
      <c r="S316" s="79">
        <f>VLOOKUP(B316,'Player Data'!$A1:$AE667,7,FALSE)*$Q316*_xlfn.IFERROR((VLOOKUP(P316,'Settings'!$E$28:$F$33,2,FALSE)+1),1)</f>
        <v>9.174761138200729</v>
      </c>
      <c r="T316" s="79">
        <f>VLOOKUP(B316,'Player Data'!$A1:$AE667,8,FALSE)*$Q316*_xlfn.IFERROR((VLOOKUP(P316,'Settings'!$E$28:$F$33,2,FALSE)+1),1)</f>
        <v>14.2917475347445</v>
      </c>
      <c r="U316" s="79">
        <f>SUM(S316:T316)</f>
        <v>23.4665086729452</v>
      </c>
      <c r="V316" s="79">
        <f>VLOOKUP(B316,'Player Data'!$A1:$AE667,10,FALSE)*$Q316*_xlfn.IFERROR(((VLOOKUP(P316,'Settings'!$E$28:$F$33,2,FALSE)/2)+1),1)</f>
        <v>66.7325813305517</v>
      </c>
      <c r="W316" s="79">
        <f>VLOOKUP(B316,'Player Data'!$A1:$AE667,11,FALSE)*$Q316*_xlfn.IFERROR((VLOOKUP(P316,'Settings'!$E$28:$F$33,2,FALSE)+1),1)</f>
        <v>0.06343354039111231</v>
      </c>
      <c r="X316" s="79">
        <f>VLOOKUP(B316,'Player Data'!$A1:$AE667,12,FALSE)*$Q316*_xlfn.IFERROR((VLOOKUP(P316,'Settings'!$E$28:$F$33,2,FALSE)+1),1)</f>
        <v>0.175211097875137</v>
      </c>
      <c r="Y316" s="79">
        <f>VLOOKUP(B316,'Player Data'!$A1:$AE667,13,FALSE)*$Q316</f>
        <v>0.0992373256941135</v>
      </c>
      <c r="Z316" s="79">
        <f>VLOOKUP(B316,'Player Data'!$A1:$AE667,14,FALSE)*$Q316</f>
        <v>0.167331689749924</v>
      </c>
      <c r="AA316" s="79">
        <f>VLOOKUP(B316,'Player Data'!$A1:$AE667,15,FALSE)*$Q316</f>
        <v>42.2445780644866</v>
      </c>
      <c r="AB316" s="79">
        <f>VLOOKUP(B316,'Player Data'!$A1:$AE667,16,FALSE)*$Q316</f>
        <v>209.147492017606</v>
      </c>
      <c r="AC316" s="79">
        <f>VLOOKUP(B316,'Player Data'!$A1:$AE667,17,FALSE)*$Q316*_xlfn.IFERROR((VLOOKUP(P316,'Settings'!$E$28:$F$33,2,FALSE)+1),1)</f>
        <v>0.0867549328131</v>
      </c>
      <c r="AD316" s="79">
        <f>VLOOKUP(B316,'Player Data'!$A1:$AE667,18,FALSE)*$Q316</f>
        <v>43.267301558597</v>
      </c>
      <c r="AE316" s="79">
        <f>VLOOKUP(B316,'Player Data'!$A1:$AE667,19,FALSE)*$Q316*_xlfn.IFERROR((VLOOKUP(P316,'Settings'!$E$28:$F$33,2,FALSE)+1),1)</f>
        <v>1.34253722683008</v>
      </c>
      <c r="AF316" s="79">
        <f>VLOOKUP(B316,'Player Data'!$A1:$AE667,20,FALSE)*$Q316</f>
        <v>299.745387114003</v>
      </c>
      <c r="AG316" s="79">
        <f>VLOOKUP(B316,'Player Data'!$A1:$AE667,21,FALSE)*$Q316</f>
        <v>379.434564847934</v>
      </c>
      <c r="AH316" s="81">
        <f>VLOOKUP(B316,'Player Data'!$A1:$AE667,22,FALSE)</f>
        <v>0.441334268257084</v>
      </c>
      <c r="AI316" s="77"/>
      <c r="AJ316" s="89"/>
      <c r="AK316" s="79"/>
      <c r="AL316" s="79"/>
      <c r="AM316" s="79"/>
      <c r="AN316" s="79"/>
      <c r="AO316" s="79"/>
      <c r="AP316" s="79"/>
      <c r="AQ316" s="82"/>
      <c r="AR316" s="83"/>
      <c r="AS316" s="84"/>
    </row>
    <row r="317" ht="21.25" customHeight="1">
      <c r="A317" s="85">
        <f>RANK(K317,K$1:K$665)</f>
        <v>307</v>
      </c>
      <c r="B317" t="s" s="16">
        <v>506</v>
      </c>
      <c r="C317" t="s" s="69">
        <v>127</v>
      </c>
      <c r="D317" t="s" s="70">
        <f>VLOOKUP(B317,'Player Data'!A1:D667,4,FALSE)</f>
        <v>153</v>
      </c>
      <c r="E317" s="95">
        <f>VLOOKUP(B317,'D'!A1:C213,3,FALSE)</f>
        <v>100</v>
      </c>
      <c r="F317" t="s" s="103">
        <f>VLOOKUP(B317,'Player Data'!A1:B667,2,FALSE)</f>
        <v>182</v>
      </c>
      <c r="G317" s="91">
        <f>VLOOKUP(B317,'Player Data'!A1:D667,3,FALSE)</f>
        <v>31</v>
      </c>
      <c r="H317" s="73">
        <f>_xlfn.IFERROR(VLOOKUP(B317,'ADP'!A1:G665,7,FALSE)/1000000,VLOOKUP(B317,'ADP'!A1:G665,7,FALSE))</f>
        <v>6</v>
      </c>
      <c r="I317" s="74">
        <f>IF('Settings'!$E$15="POINTS",((R317*Q317)*'Settings'!$B$12)+(S317*'Settings'!$B$2)+(T317*'Settings'!$B$3)+(U317*'Settings'!$B$4)+(V317*'Settings'!$B$5)+(X317*'Settings'!$B$9)+(AA317*'Settings'!$B$6)+(W317*'Settings'!$B$8)+(AB317*'Settings'!$B$7)+(AC317*'Settings'!$B$14)+(AD317*'Settings'!$B$15)+(AE317*'Settings'!$B$16)+(AF317*'Settings'!$B$17)+(AG317*'Settings'!$B$18)+(U317*'Settings'!$B$13)+(Y317*'Settings'!$B$10)+(Z317*'Settings'!$B$11),VLOOKUP(B317,'Standard Deviations'!A1:C666,3,FALSE))</f>
        <v>230.244481977233</v>
      </c>
      <c r="J317" s="75">
        <f>IF(D317="G",I317/AJ317,I317/Q317)</f>
        <v>3.08825004328661</v>
      </c>
      <c r="K317" s="74">
        <f>VLOOKUP(B317,'D'!A1:F213,6,FALSE)</f>
        <v>-101.295725942849</v>
      </c>
      <c r="L317" s="76">
        <f>_xlfn.IFERROR(K317/H317,"N/A")</f>
        <v>-16.8826209904748</v>
      </c>
      <c r="M317" s="109">
        <f>IF('Settings'!$E$9="YAHOO",VLOOKUP(B317,'ADP'!A1:E665,2,FALSE),IF('Settings'!$E$9="ESPN",VLOOKUP(B317,'ADP'!A1:E665,3,FALSE),IF('Settings'!$E$9="FANTRAX",VLOOKUP(B317,'ADP'!A1:E665,4,FALSE),VLOOKUP(B317,'ADP'!A1:E665,5,FALSE))))</f>
        <v>0</v>
      </c>
      <c r="N317" s="79">
        <f>_xlfn.IFERROR(M317-A317,"N/A")</f>
        <v>-307</v>
      </c>
      <c r="O317" s="77"/>
      <c r="P317" t="s" s="78">
        <f>IF('Settings'!$E$27="ON",VLOOKUP(B317,'ADP'!A1:H665,8,FALSE)," ")</f>
        <v>138</v>
      </c>
      <c r="Q317" s="79">
        <f>IF('Settings'!$E$12="YES",VLOOKUP(B317,'Player Data'!A1:E667,5,FALSE),82)</f>
        <v>74.55500000000001</v>
      </c>
      <c r="R317" s="77">
        <f>VLOOKUP(B317,'Player Data'!$A1:$AE667,6,FALSE)</f>
        <v>22.5354675386987</v>
      </c>
      <c r="S317" s="79">
        <f>VLOOKUP(B317,'Player Data'!$A1:$AE667,7,FALSE)*$Q317*_xlfn.IFERROR((VLOOKUP(P317,'Settings'!$E$28:$F$33,2,FALSE)+1),1)</f>
        <v>5.80692855971733</v>
      </c>
      <c r="T317" s="79">
        <f>VLOOKUP(B317,'Player Data'!$A1:$AE667,8,FALSE)*$Q317*_xlfn.IFERROR((VLOOKUP(P317,'Settings'!$E$28:$F$33,2,FALSE)+1),1)</f>
        <v>20.3816606823133</v>
      </c>
      <c r="U317" s="79">
        <f>SUM(S317:T317)</f>
        <v>26.1885892420306</v>
      </c>
      <c r="V317" s="79">
        <f>VLOOKUP(B317,'Player Data'!$A1:$AE667,10,FALSE)*$Q317*_xlfn.IFERROR(((VLOOKUP(P317,'Settings'!$E$28:$F$33,2,FALSE)/2)+1),1)</f>
        <v>127.105458417594</v>
      </c>
      <c r="W317" s="79">
        <f>VLOOKUP(B317,'Player Data'!$A1:$AE667,11,FALSE)*$Q317*_xlfn.IFERROR((VLOOKUP(P317,'Settings'!$E$28:$F$33,2,FALSE)+1),1)</f>
        <v>0.13829982488467</v>
      </c>
      <c r="X317" s="79">
        <f>VLOOKUP(B317,'Player Data'!$A1:$AE667,12,FALSE)*$Q317*_xlfn.IFERROR((VLOOKUP(P317,'Settings'!$E$28:$F$33,2,FALSE)+1),1)</f>
        <v>1.12885832201538</v>
      </c>
      <c r="Y317" s="79">
        <f>VLOOKUP(B317,'Player Data'!$A1:$AE667,13,FALSE)*$Q317</f>
        <v>0.0246555003174334</v>
      </c>
      <c r="Z317" s="79">
        <f>VLOOKUP(B317,'Player Data'!$A1:$AE667,14,FALSE)*$Q317</f>
        <v>0.71645188324633</v>
      </c>
      <c r="AA317" s="79">
        <f>VLOOKUP(B317,'Player Data'!$A1:$AE667,15,FALSE)*$Q317</f>
        <v>153.339373780349</v>
      </c>
      <c r="AB317" s="79">
        <f>VLOOKUP(B317,'Player Data'!$A1:$AE667,16,FALSE)*$Q317</f>
        <v>45.0688340862062</v>
      </c>
      <c r="AC317" s="79">
        <f>VLOOKUP(B317,'Player Data'!$A1:$AE667,17,FALSE)*$Q317*_xlfn.IFERROR((VLOOKUP(P317,'Settings'!$E$28:$F$33,2,FALSE)+1),1)</f>
        <v>2.24599057634639</v>
      </c>
      <c r="AD317" s="79">
        <f>VLOOKUP(B317,'Player Data'!$A1:$AE667,18,FALSE)*$Q317</f>
        <v>26.9874628472285</v>
      </c>
      <c r="AE317" s="79">
        <f>VLOOKUP(B317,'Player Data'!$A1:$AE667,19,FALSE)*$Q317*_xlfn.IFERROR((VLOOKUP(P317,'Settings'!$E$28:$F$33,2,FALSE)+1),1)</f>
        <v>0.958602697461292</v>
      </c>
      <c r="AF317" s="79">
        <f>VLOOKUP(B317,'Player Data'!$A1:$AE667,20,FALSE)*$Q317</f>
        <v>0</v>
      </c>
      <c r="AG317" s="79">
        <f>VLOOKUP(B317,'Player Data'!$A1:$AE667,21,FALSE)*$Q317</f>
        <v>0</v>
      </c>
      <c r="AH317" s="81">
        <f>VLOOKUP(B317,'Player Data'!$A1:$AE667,22,FALSE)</f>
        <v>0</v>
      </c>
      <c r="AI317" s="77"/>
      <c r="AJ317" s="79"/>
      <c r="AK317" s="79"/>
      <c r="AL317" s="79"/>
      <c r="AM317" s="79"/>
      <c r="AN317" s="79"/>
      <c r="AO317" s="79"/>
      <c r="AP317" s="79"/>
      <c r="AQ317" s="82"/>
      <c r="AR317" s="83"/>
      <c r="AS317" s="84"/>
    </row>
    <row r="318" ht="21.25" customHeight="1">
      <c r="A318" s="85">
        <f>RANK(K318,K$1:K$665)</f>
        <v>342</v>
      </c>
      <c r="B318" t="s" s="16">
        <v>507</v>
      </c>
      <c r="C318" t="s" s="69">
        <v>127</v>
      </c>
      <c r="D318" t="s" s="70">
        <f>VLOOKUP(B318,'Player Data'!A1:D667,4,FALSE)</f>
        <v>128</v>
      </c>
      <c r="E318" s="71">
        <f>VLOOKUP(B318,'C'!A1:C206,3,FALSE)</f>
        <v>105</v>
      </c>
      <c r="F318" t="s" s="86">
        <f>VLOOKUP(B318,'Player Data'!A1:B667,2,FALSE)</f>
        <v>192</v>
      </c>
      <c r="G318" s="91">
        <f>VLOOKUP(B318,'Player Data'!A1:D667,3,FALSE)</f>
        <v>34</v>
      </c>
      <c r="H318" s="94">
        <f>_xlfn.IFERROR(VLOOKUP(B318,'ADP'!A1:G665,7,FALSE)/1000000,VLOOKUP(B318,'ADP'!A1:G665,7,FALSE))</f>
        <v>1.3</v>
      </c>
      <c r="I318" s="74">
        <f>IF('Settings'!$E$15="POINTS",((R318*Q318)*'Settings'!$B$12)+(S318*'Settings'!$B$2)+(T318*'Settings'!$B$3)+(U318*'Settings'!$B$4)+(V318*'Settings'!$B$5)+(X318*'Settings'!$B$9)+(AA318*'Settings'!$B$6)+(W318*'Settings'!$B$8)+(AB318*'Settings'!$B$7)+(AC318*'Settings'!$B$14)+(AD318*'Settings'!$B$15)+(AE318*'Settings'!$B$16)+(AF318*'Settings'!$B$17)+(AG318*'Settings'!$B$18)+(Y318*'Settings'!$B$10)+(Z318*'Settings'!$B$11),VLOOKUP(B318,'Standard Deviations'!A1:C666,3,FALSE))</f>
        <v>218.141230324997</v>
      </c>
      <c r="J318" s="75">
        <f>IF(D318="G",I318/AJ318,I318/Q318)</f>
        <v>2.92032839552859</v>
      </c>
      <c r="K318" s="74">
        <f>IF('Settings'!$E$18="C/LW/RW",VLOOKUP(B318,'C'!A1:F206,6,FALSE),VLOOKUP(B318,'F'!A1:F392,6,FALSE))</f>
        <v>-111.550663756181</v>
      </c>
      <c r="L318" s="76">
        <f>_xlfn.IFERROR(K318/H318,"N/A")</f>
        <v>-85.80820288936999</v>
      </c>
      <c r="M318" s="109">
        <f>IF('Settings'!$E$9="YAHOO",VLOOKUP(B318,'ADP'!A1:E665,2,FALSE),IF('Settings'!$E$9="ESPN",VLOOKUP(B318,'ADP'!A1:E665,3,FALSE),IF('Settings'!$E$9="FANTRAX",VLOOKUP(B318,'ADP'!A1:E665,4,FALSE),VLOOKUP(B318,'ADP'!A1:E665,5,FALSE))))</f>
        <v>0</v>
      </c>
      <c r="N318" s="79">
        <f>_xlfn.IFERROR(M318-A318,"N/A")</f>
        <v>-342</v>
      </c>
      <c r="O318" s="77"/>
      <c r="P318" t="s" s="78">
        <f>IF('Settings'!$E$27="ON",VLOOKUP(B318,'ADP'!A1:H665,8,FALSE)," ")</f>
        <v>138</v>
      </c>
      <c r="Q318" s="79">
        <f>IF('Settings'!$E$12="YES",VLOOKUP(B318,'Player Data'!A1:E667,5,FALSE),82)</f>
        <v>74.69750000000001</v>
      </c>
      <c r="R318" s="77">
        <f>VLOOKUP(B318,'Player Data'!$A1:$AE667,6,FALSE)</f>
        <v>14.9844199082469</v>
      </c>
      <c r="S318" s="79">
        <f>VLOOKUP(B318,'Player Data'!$A1:$AE667,7,FALSE)*$Q318*_xlfn.IFERROR((VLOOKUP(P318,'Settings'!$E$28:$F$33,2,FALSE)+1),1)</f>
        <v>12.5745247663892</v>
      </c>
      <c r="T318" s="79">
        <f>VLOOKUP(B318,'Player Data'!$A1:$AE667,8,FALSE)*$Q318*_xlfn.IFERROR((VLOOKUP(P318,'Settings'!$E$28:$F$33,2,FALSE)+1),1)</f>
        <v>12.479957331055</v>
      </c>
      <c r="U318" s="79">
        <f>SUM(S318:T318)</f>
        <v>25.0544820974442</v>
      </c>
      <c r="V318" s="79">
        <f>VLOOKUP(B318,'Player Data'!$A1:$AE667,10,FALSE)*$Q318*_xlfn.IFERROR(((VLOOKUP(P318,'Settings'!$E$28:$F$33,2,FALSE)/2)+1),1)</f>
        <v>81.2964462263825</v>
      </c>
      <c r="W318" s="79">
        <f>VLOOKUP(B318,'Player Data'!$A1:$AE667,11,FALSE)*$Q318*_xlfn.IFERROR((VLOOKUP(P318,'Settings'!$E$28:$F$33,2,FALSE)+1),1)</f>
        <v>0.0592197693738739</v>
      </c>
      <c r="X318" s="79">
        <f>VLOOKUP(B318,'Player Data'!$A1:$AE667,12,FALSE)*$Q318*_xlfn.IFERROR((VLOOKUP(P318,'Settings'!$E$28:$F$33,2,FALSE)+1),1)</f>
        <v>0.153436526445328</v>
      </c>
      <c r="Y318" s="79">
        <f>VLOOKUP(B318,'Player Data'!$A1:$AE667,13,FALSE)*$Q318</f>
        <v>0.271068012554203</v>
      </c>
      <c r="Z318" s="79">
        <f>VLOOKUP(B318,'Player Data'!$A1:$AE667,14,FALSE)*$Q318</f>
        <v>0.662996159537403</v>
      </c>
      <c r="AA318" s="79">
        <f>VLOOKUP(B318,'Player Data'!$A1:$AE667,15,FALSE)*$Q318</f>
        <v>76.26900720788539</v>
      </c>
      <c r="AB318" s="79">
        <f>VLOOKUP(B318,'Player Data'!$A1:$AE667,16,FALSE)*$Q318</f>
        <v>136.595765588296</v>
      </c>
      <c r="AC318" s="79">
        <f>VLOOKUP(B318,'Player Data'!$A1:$AE667,17,FALSE)*$Q318*_xlfn.IFERROR((VLOOKUP(P318,'Settings'!$E$28:$F$33,2,FALSE)+1),1)</f>
        <v>-2.39300670967389</v>
      </c>
      <c r="AD318" s="79">
        <f>VLOOKUP(B318,'Player Data'!$A1:$AE667,18,FALSE)*$Q318</f>
        <v>43.6362023616455</v>
      </c>
      <c r="AE318" s="79">
        <f>VLOOKUP(B318,'Player Data'!$A1:$AE667,19,FALSE)*$Q318*_xlfn.IFERROR((VLOOKUP(P318,'Settings'!$E$28:$F$33,2,FALSE)+1),1)</f>
        <v>1.78448268644795</v>
      </c>
      <c r="AF318" s="79">
        <f>VLOOKUP(B318,'Player Data'!$A1:$AE667,20,FALSE)*$Q318</f>
        <v>586.114286876511</v>
      </c>
      <c r="AG318" s="79">
        <f>VLOOKUP(B318,'Player Data'!$A1:$AE667,21,FALSE)*$Q318</f>
        <v>578.275180739248</v>
      </c>
      <c r="AH318" s="81">
        <f>VLOOKUP(B318,'Player Data'!$A1:$AE667,22,FALSE)</f>
        <v>0.503366187326185</v>
      </c>
      <c r="AI318" s="77"/>
      <c r="AJ318" s="79"/>
      <c r="AK318" s="79"/>
      <c r="AL318" s="79"/>
      <c r="AM318" s="79"/>
      <c r="AN318" s="79"/>
      <c r="AO318" s="79"/>
      <c r="AP318" s="79"/>
      <c r="AQ318" s="82"/>
      <c r="AR318" s="83"/>
      <c r="AS318" s="84"/>
    </row>
    <row r="319" ht="21.25" customHeight="1">
      <c r="A319" s="85">
        <f>RANK(K319,K$1:K$665)</f>
        <v>321</v>
      </c>
      <c r="B319" t="s" s="16">
        <v>508</v>
      </c>
      <c r="C319" t="s" s="69">
        <v>127</v>
      </c>
      <c r="D319" t="s" s="70">
        <f>VLOOKUP(B319,'Player Data'!A1:D667,4,FALSE)</f>
        <v>140</v>
      </c>
      <c r="E319" s="90">
        <f>VLOOKUP(B319,'RW'!A1:F136,3,FALSE)</f>
        <v>68</v>
      </c>
      <c r="F319" t="s" s="86">
        <f>VLOOKUP(B319,'Player Data'!A1:B667,2,FALSE)</f>
        <v>154</v>
      </c>
      <c r="G319" s="96">
        <f>VLOOKUP(B319,'Player Data'!A1:D667,3,FALSE)</f>
        <v>22</v>
      </c>
      <c r="H319" s="94">
        <f>_xlfn.IFERROR(VLOOKUP(B319,'ADP'!A1:G665,7,FALSE)/1000000,VLOOKUP(B319,'ADP'!A1:G665,7,FALSE))</f>
        <v>0.863333</v>
      </c>
      <c r="I319" s="74">
        <f>IF('Settings'!$E$15="POINTS",((R319*Q319)*'Settings'!$B$12)+(S319*'Settings'!$B$2)+(T319*'Settings'!$B$3)+(U319*'Settings'!$B$4)+(V319*'Settings'!$B$5)+(X319*'Settings'!$B$9)+(AA319*'Settings'!$B$6)+(W319*'Settings'!$B$8)+(AB319*'Settings'!$B$7)+(AC319*'Settings'!$B$14)+(AD319*'Settings'!$B$15)+(AE319*'Settings'!$B$16)+(AF319*'Settings'!$B$17)+(AG319*'Settings'!$B$18)+(Y319*'Settings'!$B$10)+(Z319*'Settings'!$B$11),VLOOKUP(B319,'Standard Deviations'!A1:C666,3,FALSE))</f>
        <v>222.924886004409</v>
      </c>
      <c r="J319" s="75">
        <f>IF(D319="G",I319/AJ319,I319/Q319)</f>
        <v>3.26845372046637</v>
      </c>
      <c r="K319" s="74">
        <f>IF('Settings'!$E$18="C/LW/RW",VLOOKUP(B319,'RW'!A1:F136,6,FALSE),VLOOKUP(B319,'F'!A1:F392,6,FALSE))</f>
        <v>-106.767008076769</v>
      </c>
      <c r="L319" s="76">
        <f>_xlfn.IFERROR(K319/H319,"N/A")</f>
        <v>-123.668396872086</v>
      </c>
      <c r="M319" s="77">
        <f>IF('Settings'!$E$9="YAHOO",VLOOKUP(B319,'ADP'!A1:E665,2,FALSE),IF('Settings'!$E$9="ESPN",VLOOKUP(B319,'ADP'!A1:E665,3,FALSE),IF('Settings'!$E$9="FANTRAX",VLOOKUP(B319,'ADP'!A1:E665,4,FALSE),VLOOKUP(B319,'ADP'!A1:E665,5,FALSE))))</f>
        <v>0</v>
      </c>
      <c r="N319" s="77">
        <f>_xlfn.IFERROR(M319-A319,"N/A")</f>
        <v>-321</v>
      </c>
      <c r="O319" s="77"/>
      <c r="P319" t="s" s="78">
        <f>IF('Settings'!$E$27="ON",VLOOKUP(B319,'ADP'!A1:H665,8,FALSE)," ")</f>
        <v>138</v>
      </c>
      <c r="Q319" s="79">
        <f>IF('Settings'!$E$12="YES",VLOOKUP(B319,'Player Data'!A1:E667,5,FALSE),82)</f>
        <v>68.205</v>
      </c>
      <c r="R319" s="98">
        <f>VLOOKUP(B319,'Player Data'!$A1:$AE667,6,FALSE)</f>
        <v>16.9674310275332</v>
      </c>
      <c r="S319" s="79">
        <f>VLOOKUP(B319,'Player Data'!$A1:$AE667,7,FALSE)*$Q319*_xlfn.IFERROR((VLOOKUP(P319,'Settings'!$E$28:$F$33,2,FALSE)+1),1)</f>
        <v>20.4437720754313</v>
      </c>
      <c r="T319" s="79">
        <f>VLOOKUP(B319,'Player Data'!$A1:$AE667,8,FALSE)*$Q319*_xlfn.IFERROR((VLOOKUP(P319,'Settings'!$E$28:$F$33,2,FALSE)+1),1)</f>
        <v>27.9156262561249</v>
      </c>
      <c r="U319" s="79">
        <f>SUM(S319:T319)</f>
        <v>48.3593983315562</v>
      </c>
      <c r="V319" s="79">
        <f>VLOOKUP(B319,'Player Data'!$A1:$AE667,10,FALSE)*$Q319*_xlfn.IFERROR(((VLOOKUP(P319,'Settings'!$E$28:$F$33,2,FALSE)/2)+1),1)</f>
        <v>149.381445184211</v>
      </c>
      <c r="W319" s="79">
        <f>VLOOKUP(B319,'Player Data'!$A1:$AE667,11,FALSE)*$Q319*_xlfn.IFERROR((VLOOKUP(P319,'Settings'!$E$28:$F$33,2,FALSE)+1),1)</f>
        <v>2.96214506868796</v>
      </c>
      <c r="X319" s="79">
        <f>VLOOKUP(B319,'Player Data'!$A1:$AE667,12,FALSE)*$Q319*_xlfn.IFERROR((VLOOKUP(P319,'Settings'!$E$28:$F$33,2,FALSE)+1),1)</f>
        <v>8.66354231555397</v>
      </c>
      <c r="Y319" s="79">
        <f>VLOOKUP(B319,'Player Data'!$A1:$AE667,13,FALSE)*$Q319</f>
        <v>0.142212347593996</v>
      </c>
      <c r="Z319" s="79">
        <f>VLOOKUP(B319,'Player Data'!$A1:$AE667,14,FALSE)*$Q319</f>
        <v>0.592818710815468</v>
      </c>
      <c r="AA319" s="79">
        <f>VLOOKUP(B319,'Player Data'!$A1:$AE667,15,FALSE)*$Q319</f>
        <v>28.8641716604647</v>
      </c>
      <c r="AB319" s="79">
        <f>VLOOKUP(B319,'Player Data'!$A1:$AE667,16,FALSE)*$Q319</f>
        <v>64.7410228124096</v>
      </c>
      <c r="AC319" s="79">
        <f>VLOOKUP(B319,'Player Data'!$A1:$AE667,17,FALSE)*$Q319*_xlfn.IFERROR((VLOOKUP(P319,'Settings'!$E$28:$F$33,2,FALSE)+1),1)</f>
        <v>0.0904080957634041</v>
      </c>
      <c r="AD319" s="79">
        <f>VLOOKUP(B319,'Player Data'!$A1:$AE667,18,FALSE)*$Q319</f>
        <v>22.6559768199401</v>
      </c>
      <c r="AE319" s="79">
        <f>VLOOKUP(B319,'Player Data'!$A1:$AE667,19,FALSE)*$Q319*_xlfn.IFERROR((VLOOKUP(P319,'Settings'!$E$28:$F$33,2,FALSE)+1),1)</f>
        <v>2.89188268981495</v>
      </c>
      <c r="AF319" s="79">
        <f>VLOOKUP(B319,'Player Data'!$A1:$AE667,20,FALSE)*$Q319</f>
        <v>9.358886159784671</v>
      </c>
      <c r="AG319" s="79">
        <f>VLOOKUP(B319,'Player Data'!$A1:$AE667,21,FALSE)*$Q319</f>
        <v>19.1005210471951</v>
      </c>
      <c r="AH319" s="81">
        <f>VLOOKUP(B319,'Player Data'!$A1:$AE667,22,FALSE)</f>
        <v>0.328850354883337</v>
      </c>
      <c r="AI319" s="77"/>
      <c r="AJ319" s="79"/>
      <c r="AK319" s="79"/>
      <c r="AL319" s="79"/>
      <c r="AM319" s="79"/>
      <c r="AN319" s="79"/>
      <c r="AO319" s="79"/>
      <c r="AP319" s="79"/>
      <c r="AQ319" s="82"/>
      <c r="AR319" s="83"/>
      <c r="AS319" s="84"/>
    </row>
    <row r="320" ht="21.25" customHeight="1">
      <c r="A320" s="85">
        <f>RANK(K320,K$1:K$665)</f>
        <v>330</v>
      </c>
      <c r="B320" t="s" s="16">
        <v>509</v>
      </c>
      <c r="C320" t="s" s="69">
        <v>127</v>
      </c>
      <c r="D320" t="s" s="70">
        <f>VLOOKUP(B320,'Player Data'!A1:D667,4,FALSE)</f>
        <v>178</v>
      </c>
      <c r="E320" s="102">
        <f>VLOOKUP(B320,'LW'!A1:C152,3,FALSE)</f>
        <v>74</v>
      </c>
      <c r="F320" t="s" s="92">
        <f>VLOOKUP(B320,'Player Data'!A1:B667,2,FALSE)</f>
        <v>170</v>
      </c>
      <c r="G320" s="96">
        <f>VLOOKUP(B320,'Player Data'!A1:D667,3,FALSE)</f>
        <v>22</v>
      </c>
      <c r="H320" s="94">
        <f>_xlfn.IFERROR(VLOOKUP(B320,'ADP'!A1:G665,7,FALSE)/1000000,VLOOKUP(B320,'ADP'!A1:G665,7,FALSE))</f>
        <v>0.828333</v>
      </c>
      <c r="I320" s="74">
        <f>IF('Settings'!$E$15="POINTS",((R320*Q320)*'Settings'!$B$12)+(S320*'Settings'!$B$2)+(T320*'Settings'!$B$3)+(U320*'Settings'!$B$4)+(V320*'Settings'!$B$5)+(X320*'Settings'!$B$9)+(AA320*'Settings'!$B$6)+(W320*'Settings'!$B$8)+(AB320*'Settings'!$B$7)+(AC320*'Settings'!$B$14)+(AD320*'Settings'!$B$15)+(AE320*'Settings'!$B$16)+(AF320*'Settings'!$B$17)+(AG320*'Settings'!$B$18)+(Y320*'Settings'!$B$10)+(Z320*'Settings'!$B$11),VLOOKUP(B320,'Standard Deviations'!A1:C666,3,FALSE))</f>
        <v>222.874388845522</v>
      </c>
      <c r="J320" s="75">
        <f>IF(D320="G",I320/AJ320,I320/Q320)</f>
        <v>2.77673193603092</v>
      </c>
      <c r="K320" s="74">
        <f>IF('Settings'!$E$18="C/LW/RW",VLOOKUP(B320,'LW'!A1:F152,6,FALSE),VLOOKUP(B320,'F'!A1:F392,6,FALSE))</f>
        <v>-108.845722920690</v>
      </c>
      <c r="L320" s="76">
        <f>_xlfn.IFERROR(K320/H320,"N/A")</f>
        <v>-131.403340106805</v>
      </c>
      <c r="M320" s="109">
        <f>IF('Settings'!$E$9="YAHOO",VLOOKUP(B320,'ADP'!A1:E665,2,FALSE),IF('Settings'!$E$9="ESPN",VLOOKUP(B320,'ADP'!A1:E665,3,FALSE),IF('Settings'!$E$9="FANTRAX",VLOOKUP(B320,'ADP'!A1:E665,4,FALSE),VLOOKUP(B320,'ADP'!A1:E665,5,FALSE))))</f>
        <v>0</v>
      </c>
      <c r="N320" s="79">
        <f>_xlfn.IFERROR(M320-A320,"N/A")</f>
        <v>-330</v>
      </c>
      <c r="O320" s="77"/>
      <c r="P320" t="s" s="78">
        <f>IF('Settings'!$E$27="ON",VLOOKUP(B320,'ADP'!A1:H665,8,FALSE)," ")</f>
        <v>138</v>
      </c>
      <c r="Q320" s="79">
        <f>IF('Settings'!$E$12="YES",VLOOKUP(B320,'Player Data'!A1:E667,5,FALSE),82)</f>
        <v>80.265</v>
      </c>
      <c r="R320" s="77">
        <f>VLOOKUP(B320,'Player Data'!$A1:$AE667,6,FALSE)</f>
        <v>11.0500073304884</v>
      </c>
      <c r="S320" s="79">
        <f>VLOOKUP(B320,'Player Data'!$A1:$AE667,7,FALSE)*$Q320*_xlfn.IFERROR((VLOOKUP(P320,'Settings'!$E$28:$F$33,2,FALSE)+1),1)</f>
        <v>11.3056230094161</v>
      </c>
      <c r="T320" s="79">
        <f>VLOOKUP(B320,'Player Data'!$A1:$AE667,8,FALSE)*$Q320*_xlfn.IFERROR((VLOOKUP(P320,'Settings'!$E$28:$F$33,2,FALSE)+1),1)</f>
        <v>8.94019709977613</v>
      </c>
      <c r="U320" s="79">
        <f>SUM(S320:T320)</f>
        <v>20.2458201091922</v>
      </c>
      <c r="V320" s="79">
        <f>VLOOKUP(B320,'Player Data'!$A1:$AE667,10,FALSE)*$Q320*_xlfn.IFERROR(((VLOOKUP(P320,'Settings'!$E$28:$F$33,2,FALSE)/2)+1),1)</f>
        <v>112.074490246652</v>
      </c>
      <c r="W320" s="79">
        <f>VLOOKUP(B320,'Player Data'!$A1:$AE667,11,FALSE)*$Q320*_xlfn.IFERROR((VLOOKUP(P320,'Settings'!$E$28:$F$33,2,FALSE)+1),1)</f>
        <v>0.334505524440758</v>
      </c>
      <c r="X320" s="79">
        <f>VLOOKUP(B320,'Player Data'!$A1:$AE667,12,FALSE)*$Q320*_xlfn.IFERROR((VLOOKUP(P320,'Settings'!$E$28:$F$33,2,FALSE)+1),1)</f>
        <v>0.740611707591284</v>
      </c>
      <c r="Y320" s="79">
        <f>VLOOKUP(B320,'Player Data'!$A1:$AE667,13,FALSE)*$Q320</f>
        <v>0.000290403141678814</v>
      </c>
      <c r="Z320" s="79">
        <f>VLOOKUP(B320,'Player Data'!$A1:$AE667,14,FALSE)*$Q320</f>
        <v>0.000499115005448307</v>
      </c>
      <c r="AA320" s="79">
        <f>VLOOKUP(B320,'Player Data'!$A1:$AE667,15,FALSE)*$Q320</f>
        <v>27.7797399735324</v>
      </c>
      <c r="AB320" s="79">
        <f>VLOOKUP(B320,'Player Data'!$A1:$AE667,16,FALSE)*$Q320</f>
        <v>218.828719496706</v>
      </c>
      <c r="AC320" s="79">
        <f>VLOOKUP(B320,'Player Data'!$A1:$AE667,17,FALSE)*$Q320*_xlfn.IFERROR((VLOOKUP(P320,'Settings'!$E$28:$F$33,2,FALSE)+1),1)</f>
        <v>2.95330394377598</v>
      </c>
      <c r="AD320" s="79">
        <f>VLOOKUP(B320,'Player Data'!$A1:$AE667,18,FALSE)*$Q320</f>
        <v>39.5455744185164</v>
      </c>
      <c r="AE320" s="79">
        <f>VLOOKUP(B320,'Player Data'!$A1:$AE667,19,FALSE)*$Q320*_xlfn.IFERROR((VLOOKUP(P320,'Settings'!$E$28:$F$33,2,FALSE)+1),1)</f>
        <v>1.84799796104457</v>
      </c>
      <c r="AF320" s="79">
        <f>VLOOKUP(B320,'Player Data'!$A1:$AE667,20,FALSE)*$Q320</f>
        <v>1.98611949404048</v>
      </c>
      <c r="AG320" s="79">
        <f>VLOOKUP(B320,'Player Data'!$A1:$AE667,21,FALSE)*$Q320</f>
        <v>8.19891064337874</v>
      </c>
      <c r="AH320" s="81">
        <f>VLOOKUP(B320,'Player Data'!$A1:$AE667,22,FALSE)</f>
        <v>0.195003791568921</v>
      </c>
      <c r="AI320" s="77"/>
      <c r="AJ320" s="79"/>
      <c r="AK320" s="79"/>
      <c r="AL320" s="79"/>
      <c r="AM320" s="79"/>
      <c r="AN320" s="79"/>
      <c r="AO320" s="79"/>
      <c r="AP320" s="79"/>
      <c r="AQ320" s="82"/>
      <c r="AR320" s="83"/>
      <c r="AS320" s="84"/>
    </row>
    <row r="321" ht="21.25" customHeight="1">
      <c r="A321" s="85">
        <f>RANK(K321,K$1:K$665)</f>
        <v>345</v>
      </c>
      <c r="B321" t="s" s="16">
        <v>510</v>
      </c>
      <c r="C321" t="s" s="69">
        <v>127</v>
      </c>
      <c r="D321" t="s" s="70">
        <f>VLOOKUP(B321,'Player Data'!A1:D667,4,FALSE)</f>
        <v>128</v>
      </c>
      <c r="E321" s="71">
        <f>VLOOKUP(B321,'C'!A1:C206,3,FALSE)</f>
        <v>107</v>
      </c>
      <c r="F321" t="s" s="104">
        <f>VLOOKUP(B321,'Player Data'!A1:B667,2,FALSE)</f>
        <v>281</v>
      </c>
      <c r="G321" s="11">
        <f>VLOOKUP(B321,'Player Data'!A1:D667,3,FALSE)</f>
        <v>29</v>
      </c>
      <c r="H321" s="73">
        <f>_xlfn.IFERROR(VLOOKUP(B321,'ADP'!A1:G665,7,FALSE)/1000000,VLOOKUP(B321,'ADP'!A1:G665,7,FALSE))</f>
        <v>5.5</v>
      </c>
      <c r="I321" s="74">
        <f>IF('Settings'!$E$15="POINTS",((R321*Q321)*'Settings'!$B$12)+(S321*'Settings'!$B$2)+(T321*'Settings'!$B$3)+(U321*'Settings'!$B$4)+(V321*'Settings'!$B$5)+(X321*'Settings'!$B$9)+(AA321*'Settings'!$B$6)+(W321*'Settings'!$B$8)+(AB321*'Settings'!$B$7)+(AC321*'Settings'!$B$14)+(AD321*'Settings'!$B$15)+(AE321*'Settings'!$B$16)+(AF321*'Settings'!$B$17)+(AG321*'Settings'!$B$18)+(Y321*'Settings'!$B$10)+(Z321*'Settings'!$B$11),VLOOKUP(B321,'Standard Deviations'!A1:C666,3,FALSE))</f>
        <v>217.492254695932</v>
      </c>
      <c r="J321" s="75">
        <f>IF(D321="G",I321/AJ321,I321/Q321)</f>
        <v>2.99287539143982</v>
      </c>
      <c r="K321" s="74">
        <f>IF('Settings'!$E$18="C/LW/RW",VLOOKUP(B321,'C'!A1:F206,6,FALSE),VLOOKUP(B321,'F'!A1:F392,6,FALSE))</f>
        <v>-112.199639385246</v>
      </c>
      <c r="L321" s="76">
        <f>_xlfn.IFERROR(K321/H321,"N/A")</f>
        <v>-20.3999344336811</v>
      </c>
      <c r="M321" s="109">
        <f>IF('Settings'!$E$9="YAHOO",VLOOKUP(B321,'ADP'!A1:E665,2,FALSE),IF('Settings'!$E$9="ESPN",VLOOKUP(B321,'ADP'!A1:E665,3,FALSE),IF('Settings'!$E$9="FANTRAX",VLOOKUP(B321,'ADP'!A1:E665,4,FALSE),VLOOKUP(B321,'ADP'!A1:E665,5,FALSE))))</f>
        <v>0</v>
      </c>
      <c r="N321" s="79">
        <f>_xlfn.IFERROR(M321-A321,"N/A")</f>
        <v>-345</v>
      </c>
      <c r="O321" s="77"/>
      <c r="P321" t="s" s="78">
        <f>IF('Settings'!$E$27="ON",VLOOKUP(B321,'ADP'!A1:H665,8,FALSE)," ")</f>
        <v>138</v>
      </c>
      <c r="Q321" s="79">
        <f>IF('Settings'!$E$12="YES",VLOOKUP(B321,'Player Data'!A1:E667,5,FALSE),82)</f>
        <v>72.67</v>
      </c>
      <c r="R321" s="77">
        <f>VLOOKUP(B321,'Player Data'!$A1:$AE667,6,FALSE)</f>
        <v>17.8585603378695</v>
      </c>
      <c r="S321" s="79">
        <f>VLOOKUP(B321,'Player Data'!$A1:$AE667,7,FALSE)*$Q321*_xlfn.IFERROR((VLOOKUP(P321,'Settings'!$E$28:$F$33,2,FALSE)+1),1)</f>
        <v>19.3415187041535</v>
      </c>
      <c r="T321" s="79">
        <f>VLOOKUP(B321,'Player Data'!$A1:$AE667,8,FALSE)*$Q321*_xlfn.IFERROR((VLOOKUP(P321,'Settings'!$E$28:$F$33,2,FALSE)+1),1)</f>
        <v>27.3382257255464</v>
      </c>
      <c r="U321" s="79">
        <f>SUM(S321:T321)</f>
        <v>46.6797444296999</v>
      </c>
      <c r="V321" s="79">
        <f>VLOOKUP(B321,'Player Data'!$A1:$AE667,10,FALSE)*$Q321*_xlfn.IFERROR(((VLOOKUP(P321,'Settings'!$E$28:$F$33,2,FALSE)/2)+1),1)</f>
        <v>148.941810192321</v>
      </c>
      <c r="W321" s="79">
        <f>VLOOKUP(B321,'Player Data'!$A1:$AE667,11,FALSE)*$Q321*_xlfn.IFERROR((VLOOKUP(P321,'Settings'!$E$28:$F$33,2,FALSE)+1),1)</f>
        <v>5.86947967333257</v>
      </c>
      <c r="X321" s="101">
        <f>VLOOKUP(B321,'Player Data'!$A1:$AE667,12,FALSE)*$Q321*_xlfn.IFERROR((VLOOKUP(P321,'Settings'!$E$28:$F$33,2,FALSE)+1),1)</f>
        <v>14.7718685168018</v>
      </c>
      <c r="Y321" s="79">
        <f>VLOOKUP(B321,'Player Data'!$A1:$AE667,13,FALSE)*$Q321</f>
        <v>1.21633543526724</v>
      </c>
      <c r="Z321" s="79">
        <f>VLOOKUP(B321,'Player Data'!$A1:$AE667,14,FALSE)*$Q321</f>
        <v>1.32335773579798</v>
      </c>
      <c r="AA321" s="79">
        <f>VLOOKUP(B321,'Player Data'!$A1:$AE667,15,FALSE)*$Q321</f>
        <v>38.0116440167212</v>
      </c>
      <c r="AB321" s="79">
        <f>VLOOKUP(B321,'Player Data'!$A1:$AE667,16,FALSE)*$Q321</f>
        <v>35.4199389000323</v>
      </c>
      <c r="AC321" s="79">
        <f>VLOOKUP(B321,'Player Data'!$A1:$AE667,17,FALSE)*$Q321*_xlfn.IFERROR((VLOOKUP(P321,'Settings'!$E$28:$F$33,2,FALSE)+1),1)</f>
        <v>-0.276824448597297</v>
      </c>
      <c r="AD321" s="79">
        <f>VLOOKUP(B321,'Player Data'!$A1:$AE667,18,FALSE)*$Q321</f>
        <v>20.7368528601922</v>
      </c>
      <c r="AE321" s="79">
        <f>VLOOKUP(B321,'Player Data'!$A1:$AE667,19,FALSE)*$Q321*_xlfn.IFERROR((VLOOKUP(P321,'Settings'!$E$28:$F$33,2,FALSE)+1),1)</f>
        <v>2.1388692571194</v>
      </c>
      <c r="AF321" s="79">
        <f>VLOOKUP(B321,'Player Data'!$A1:$AE667,20,FALSE)*$Q321</f>
        <v>595.918957658041</v>
      </c>
      <c r="AG321" s="79">
        <f>VLOOKUP(B321,'Player Data'!$A1:$AE667,21,FALSE)*$Q321</f>
        <v>496.975645068382</v>
      </c>
      <c r="AH321" s="81">
        <f>VLOOKUP(B321,'Player Data'!$A1:$AE667,22,FALSE)</f>
        <v>0.545266630626058</v>
      </c>
      <c r="AI321" s="77"/>
      <c r="AJ321" s="79"/>
      <c r="AK321" s="79"/>
      <c r="AL321" s="79"/>
      <c r="AM321" s="79"/>
      <c r="AN321" s="79"/>
      <c r="AO321" s="79"/>
      <c r="AP321" s="79"/>
      <c r="AQ321" s="82"/>
      <c r="AR321" s="83"/>
      <c r="AS321" s="84"/>
    </row>
    <row r="322" ht="21.25" customHeight="1">
      <c r="A322" s="85">
        <f>RANK(K322,K$1:K$665)</f>
        <v>333</v>
      </c>
      <c r="B322" t="s" s="16">
        <v>511</v>
      </c>
      <c r="C322" t="s" s="69">
        <v>127</v>
      </c>
      <c r="D322" t="s" s="70">
        <f>VLOOKUP(B322,'Player Data'!A1:D667,4,FALSE)</f>
        <v>178</v>
      </c>
      <c r="E322" s="102">
        <f>VLOOKUP(B322,'LW'!A1:C152,3,FALSE)</f>
        <v>75</v>
      </c>
      <c r="F322" t="s" s="104">
        <f>VLOOKUP(B322,'Player Data'!A1:B667,2,FALSE)</f>
        <v>271</v>
      </c>
      <c r="G322" s="96">
        <f>VLOOKUP(B322,'Player Data'!A1:D667,3,FALSE)</f>
        <v>22</v>
      </c>
      <c r="H322" s="73">
        <f>_xlfn.IFERROR(VLOOKUP(B322,'ADP'!A1:G665,7,FALSE)/1000000,VLOOKUP(B322,'ADP'!A1:G665,7,FALSE))</f>
        <v>2.290457</v>
      </c>
      <c r="I322" s="74">
        <f>IF('Settings'!$E$15="POINTS",((R322*Q322)*'Settings'!$B$12)+(S322*'Settings'!$B$2)+(T322*'Settings'!$B$3)+(U322*'Settings'!$B$4)+(V322*'Settings'!$B$5)+(X322*'Settings'!$B$9)+(AA322*'Settings'!$B$6)+(W322*'Settings'!$B$8)+(AB322*'Settings'!$B$7)+(AC322*'Settings'!$B$14)+(AD322*'Settings'!$B$15)+(AE322*'Settings'!$B$16)+(AF322*'Settings'!$B$17)+(AG322*'Settings'!$B$18)+(Y322*'Settings'!$B$10)+(Z322*'Settings'!$B$11),VLOOKUP(B322,'Standard Deviations'!A1:C666,3,FALSE))</f>
        <v>222.430096246728</v>
      </c>
      <c r="J322" s="75">
        <f>IF(D322="G",I322/AJ322,I322/Q322)</f>
        <v>3.35705537104068</v>
      </c>
      <c r="K322" s="74">
        <f>IF('Settings'!$E$18="C/LW/RW",VLOOKUP(B322,'LW'!A1:F152,6,FALSE),VLOOKUP(B322,'F'!A1:F392,6,FALSE))</f>
        <v>-109.290015519484</v>
      </c>
      <c r="L322" s="76">
        <f>_xlfn.IFERROR(K322/H322,"N/A")</f>
        <v>-47.7153753680964</v>
      </c>
      <c r="M322" s="77">
        <f>IF('Settings'!$E$9="YAHOO",VLOOKUP(B322,'ADP'!A1:E665,2,FALSE),IF('Settings'!$E$9="ESPN",VLOOKUP(B322,'ADP'!A1:E665,3,FALSE),IF('Settings'!$E$9="FANTRAX",VLOOKUP(B322,'ADP'!A1:E665,4,FALSE),VLOOKUP(B322,'ADP'!A1:E665,5,FALSE))))</f>
        <v>0</v>
      </c>
      <c r="N322" s="77">
        <f>_xlfn.IFERROR(M322-A322,"N/A")</f>
        <v>-333</v>
      </c>
      <c r="O322" s="77"/>
      <c r="P322" t="s" s="78">
        <f>IF('Settings'!$E$27="ON",VLOOKUP(B322,'ADP'!A1:H665,8,FALSE)," ")</f>
        <v>138</v>
      </c>
      <c r="Q322" s="79">
        <f>IF('Settings'!$E$12="YES",VLOOKUP(B322,'Player Data'!A1:E667,5,FALSE),82)</f>
        <v>66.25749999999999</v>
      </c>
      <c r="R322" s="98">
        <f>VLOOKUP(B322,'Player Data'!$A1:$AE667,6,FALSE)</f>
        <v>15.8951356207134</v>
      </c>
      <c r="S322" s="79">
        <f>VLOOKUP(B322,'Player Data'!$A1:$AE667,7,FALSE)*$Q322*_xlfn.IFERROR((VLOOKUP(P322,'Settings'!$E$28:$F$33,2,FALSE)+1),1)</f>
        <v>15.7239533360074</v>
      </c>
      <c r="T322" s="79">
        <f>VLOOKUP(B322,'Player Data'!$A1:$AE667,8,FALSE)*$Q322*_xlfn.IFERROR((VLOOKUP(P322,'Settings'!$E$28:$F$33,2,FALSE)+1),1)</f>
        <v>16.6056173957424</v>
      </c>
      <c r="U322" s="79">
        <f>SUM(S322:T322)</f>
        <v>32.3295707317498</v>
      </c>
      <c r="V322" s="79">
        <f>VLOOKUP(B322,'Player Data'!$A1:$AE667,10,FALSE)*$Q322*_xlfn.IFERROR(((VLOOKUP(P322,'Settings'!$E$28:$F$33,2,FALSE)/2)+1),1)</f>
        <v>137.892050094078</v>
      </c>
      <c r="W322" s="79">
        <f>VLOOKUP(B322,'Player Data'!$A1:$AE667,11,FALSE)*$Q322*_xlfn.IFERROR((VLOOKUP(P322,'Settings'!$E$28:$F$33,2,FALSE)+1),1)</f>
        <v>7.11726641879655</v>
      </c>
      <c r="X322" s="79">
        <f>VLOOKUP(B322,'Player Data'!$A1:$AE667,12,FALSE)*$Q322*_xlfn.IFERROR((VLOOKUP(P322,'Settings'!$E$28:$F$33,2,FALSE)+1),1)</f>
        <v>13.7231739935428</v>
      </c>
      <c r="Y322" s="79">
        <f>VLOOKUP(B322,'Player Data'!$A1:$AE667,13,FALSE)*$Q322</f>
        <v>0.07583721169927329</v>
      </c>
      <c r="Z322" s="79">
        <f>VLOOKUP(B322,'Player Data'!$A1:$AE667,14,FALSE)*$Q322</f>
        <v>0.128576957353318</v>
      </c>
      <c r="AA322" s="79">
        <f>VLOOKUP(B322,'Player Data'!$A1:$AE667,15,FALSE)*$Q322</f>
        <v>27.7503465414581</v>
      </c>
      <c r="AB322" s="79">
        <f>VLOOKUP(B322,'Player Data'!$A1:$AE667,16,FALSE)*$Q322</f>
        <v>143.154794278950</v>
      </c>
      <c r="AC322" s="79">
        <f>VLOOKUP(B322,'Player Data'!$A1:$AE667,17,FALSE)*$Q322*_xlfn.IFERROR((VLOOKUP(P322,'Settings'!$E$28:$F$33,2,FALSE)+1),1)</f>
        <v>4.84668882773148</v>
      </c>
      <c r="AD322" s="79">
        <f>VLOOKUP(B322,'Player Data'!$A1:$AE667,18,FALSE)*$Q322</f>
        <v>41.8091230682031</v>
      </c>
      <c r="AE322" s="79">
        <f>VLOOKUP(B322,'Player Data'!$A1:$AE667,19,FALSE)*$Q322*_xlfn.IFERROR((VLOOKUP(P322,'Settings'!$E$28:$F$33,2,FALSE)+1),1)</f>
        <v>1.89307110567717</v>
      </c>
      <c r="AF322" s="79">
        <f>VLOOKUP(B322,'Player Data'!$A1:$AE667,20,FALSE)*$Q322</f>
        <v>55.3085940234127</v>
      </c>
      <c r="AG322" s="79">
        <f>VLOOKUP(B322,'Player Data'!$A1:$AE667,21,FALSE)*$Q322</f>
        <v>62.8350058475329</v>
      </c>
      <c r="AH322" s="81">
        <f>VLOOKUP(B322,'Player Data'!$A1:$AE667,22,FALSE)</f>
        <v>0.468147187692174</v>
      </c>
      <c r="AI322" s="77"/>
      <c r="AJ322" s="79"/>
      <c r="AK322" s="79"/>
      <c r="AL322" s="79"/>
      <c r="AM322" s="79"/>
      <c r="AN322" s="79"/>
      <c r="AO322" s="79"/>
      <c r="AP322" s="79"/>
      <c r="AQ322" s="82"/>
      <c r="AR322" s="83"/>
      <c r="AS322" s="84"/>
    </row>
    <row r="323" ht="21.25" customHeight="1">
      <c r="A323" s="85">
        <f>RANK(K323,K$1:K$665)</f>
        <v>309</v>
      </c>
      <c r="B323" t="s" s="16">
        <v>512</v>
      </c>
      <c r="C323" t="s" s="69">
        <v>127</v>
      </c>
      <c r="D323" t="s" s="70">
        <f>VLOOKUP(B323,'Player Data'!A1:D667,4,FALSE)</f>
        <v>153</v>
      </c>
      <c r="E323" s="95">
        <f>VLOOKUP(B323,'D'!A1:C213,3,FALSE)</f>
        <v>101</v>
      </c>
      <c r="F323" t="s" s="78">
        <f>VLOOKUP(B323,'Player Data'!A1:B667,2,FALSE)</f>
        <v>216</v>
      </c>
      <c r="G323" s="11">
        <f>VLOOKUP(B323,'Player Data'!A1:D667,3,FALSE)</f>
        <v>25</v>
      </c>
      <c r="H323" s="94">
        <f>_xlfn.IFERROR(VLOOKUP(B323,'ADP'!A1:G665,7,FALSE)/1000000,VLOOKUP(B323,'ADP'!A1:G665,7,FALSE))</f>
        <v>2.29415</v>
      </c>
      <c r="I323" s="74">
        <f>IF('Settings'!$E$15="POINTS",((R323*Q323)*'Settings'!$B$12)+(S323*'Settings'!$B$2)+(T323*'Settings'!$B$3)+(U323*'Settings'!$B$4)+(V323*'Settings'!$B$5)+(X323*'Settings'!$B$9)+(AA323*'Settings'!$B$6)+(W323*'Settings'!$B$8)+(AB323*'Settings'!$B$7)+(AC323*'Settings'!$B$14)+(AD323*'Settings'!$B$15)+(AE323*'Settings'!$B$16)+(AF323*'Settings'!$B$17)+(AG323*'Settings'!$B$18)+(U323*'Settings'!$B$13)+(Y323*'Settings'!$B$10)+(Z323*'Settings'!$B$11),VLOOKUP(B323,'Standard Deviations'!A1:C666,3,FALSE))</f>
        <v>229.343319525693</v>
      </c>
      <c r="J323" s="75">
        <f>IF(D323="G",I323/AJ323,I323/Q323)</f>
        <v>2.96711714245026</v>
      </c>
      <c r="K323" s="74">
        <f>VLOOKUP(B323,'D'!A1:F213,6,FALSE)</f>
        <v>-102.196888394389</v>
      </c>
      <c r="L323" s="76">
        <f>_xlfn.IFERROR(K323/H323,"N/A")</f>
        <v>-44.5467333846475</v>
      </c>
      <c r="M323" s="109">
        <f>IF('Settings'!$E$9="YAHOO",VLOOKUP(B323,'ADP'!A1:E665,2,FALSE),IF('Settings'!$E$9="ESPN",VLOOKUP(B323,'ADP'!A1:E665,3,FALSE),IF('Settings'!$E$9="FANTRAX",VLOOKUP(B323,'ADP'!A1:E665,4,FALSE),VLOOKUP(B323,'ADP'!A1:E665,5,FALSE))))</f>
        <v>0</v>
      </c>
      <c r="N323" s="79">
        <f>_xlfn.IFERROR(M323-A323,"N/A")</f>
        <v>-309</v>
      </c>
      <c r="O323" s="77"/>
      <c r="P323" t="s" s="78">
        <f>IF('Settings'!$E$27="ON",VLOOKUP(B323,'ADP'!A1:H665,8,FALSE)," ")</f>
        <v>138</v>
      </c>
      <c r="Q323" s="79">
        <f>IF('Settings'!$E$12="YES",VLOOKUP(B323,'Player Data'!A1:E667,5,FALSE),82)</f>
        <v>77.295</v>
      </c>
      <c r="R323" s="77">
        <f>VLOOKUP(B323,'Player Data'!$A1:$AE667,6,FALSE)</f>
        <v>18.5680426168314</v>
      </c>
      <c r="S323" s="79">
        <f>VLOOKUP(B323,'Player Data'!$A1:$AE667,7,FALSE)*$Q323*_xlfn.IFERROR((VLOOKUP(P323,'Settings'!$E$28:$F$33,2,FALSE)+1),1)</f>
        <v>3.2451953677615</v>
      </c>
      <c r="T323" s="79">
        <f>VLOOKUP(B323,'Player Data'!$A1:$AE667,8,FALSE)*$Q323*_xlfn.IFERROR((VLOOKUP(P323,'Settings'!$E$28:$F$33,2,FALSE)+1),1)</f>
        <v>13.2260381185585</v>
      </c>
      <c r="U323" s="79">
        <f>SUM(S323:T323)</f>
        <v>16.471233486320</v>
      </c>
      <c r="V323" s="79">
        <f>VLOOKUP(B323,'Player Data'!$A1:$AE667,10,FALSE)*$Q323*_xlfn.IFERROR(((VLOOKUP(P323,'Settings'!$E$28:$F$33,2,FALSE)/2)+1),1)</f>
        <v>109.419825977227</v>
      </c>
      <c r="W323" s="79">
        <f>VLOOKUP(B323,'Player Data'!$A1:$AE667,11,FALSE)*$Q323*_xlfn.IFERROR((VLOOKUP(P323,'Settings'!$E$28:$F$33,2,FALSE)+1),1)</f>
        <v>0.0198873745500542</v>
      </c>
      <c r="X323" s="79">
        <f>VLOOKUP(B323,'Player Data'!$A1:$AE667,12,FALSE)*$Q323*_xlfn.IFERROR((VLOOKUP(P323,'Settings'!$E$28:$F$33,2,FALSE)+1),1)</f>
        <v>0.127115562798504</v>
      </c>
      <c r="Y323" s="79">
        <f>VLOOKUP(B323,'Player Data'!$A1:$AE667,13,FALSE)*$Q323</f>
        <v>0.0388454512261338</v>
      </c>
      <c r="Z323" s="79">
        <f>VLOOKUP(B323,'Player Data'!$A1:$AE667,14,FALSE)*$Q323</f>
        <v>0.169054773976109</v>
      </c>
      <c r="AA323" s="79">
        <f>VLOOKUP(B323,'Player Data'!$A1:$AE667,15,FALSE)*$Q323</f>
        <v>122.505341443639</v>
      </c>
      <c r="AB323" s="79">
        <f>VLOOKUP(B323,'Player Data'!$A1:$AE667,16,FALSE)*$Q323</f>
        <v>137.998171129112</v>
      </c>
      <c r="AC323" s="79">
        <f>VLOOKUP(B323,'Player Data'!$A1:$AE667,17,FALSE)*$Q323*_xlfn.IFERROR((VLOOKUP(P323,'Settings'!$E$28:$F$33,2,FALSE)+1),1)</f>
        <v>1.31432762239299</v>
      </c>
      <c r="AD323" s="79">
        <f>VLOOKUP(B323,'Player Data'!$A1:$AE667,18,FALSE)*$Q323</f>
        <v>40.7115908572363</v>
      </c>
      <c r="AE323" s="79">
        <f>VLOOKUP(B323,'Player Data'!$A1:$AE667,19,FALSE)*$Q323*_xlfn.IFERROR((VLOOKUP(P323,'Settings'!$E$28:$F$33,2,FALSE)+1),1)</f>
        <v>0.493598398363558</v>
      </c>
      <c r="AF323" s="79">
        <f>VLOOKUP(B323,'Player Data'!$A1:$AE667,20,FALSE)*$Q323</f>
        <v>0</v>
      </c>
      <c r="AG323" s="79">
        <f>VLOOKUP(B323,'Player Data'!$A1:$AE667,21,FALSE)*$Q323</f>
        <v>0</v>
      </c>
      <c r="AH323" s="81">
        <f>VLOOKUP(B323,'Player Data'!$A1:$AE667,22,FALSE)</f>
        <v>0</v>
      </c>
      <c r="AI323" s="77"/>
      <c r="AJ323" s="79"/>
      <c r="AK323" s="79"/>
      <c r="AL323" s="79"/>
      <c r="AM323" s="79"/>
      <c r="AN323" s="79"/>
      <c r="AO323" s="79"/>
      <c r="AP323" s="79"/>
      <c r="AQ323" s="82"/>
      <c r="AR323" s="83"/>
      <c r="AS323" s="84"/>
    </row>
    <row r="324" ht="21.25" customHeight="1">
      <c r="A324" s="85">
        <f>RANK(K324,K$1:K$665)</f>
        <v>310</v>
      </c>
      <c r="B324" t="s" s="16">
        <v>513</v>
      </c>
      <c r="C324" t="s" s="69">
        <v>127</v>
      </c>
      <c r="D324" t="s" s="70">
        <f>VLOOKUP(B324,'Player Data'!A1:D667,4,FALSE)</f>
        <v>153</v>
      </c>
      <c r="E324" s="95">
        <f>VLOOKUP(B324,'D'!A1:C213,3,FALSE)</f>
        <v>102</v>
      </c>
      <c r="F324" t="s" s="100">
        <f>VLOOKUP(B324,'Player Data'!A1:B667,2,FALSE)</f>
        <v>172</v>
      </c>
      <c r="G324" s="11">
        <f>VLOOKUP(B324,'Player Data'!A1:D667,3,FALSE)</f>
        <v>29</v>
      </c>
      <c r="H324" s="73">
        <f>_xlfn.IFERROR(VLOOKUP(B324,'ADP'!A1:G665,7,FALSE)/1000000,VLOOKUP(B324,'ADP'!A1:G665,7,FALSE))</f>
        <v>4.5</v>
      </c>
      <c r="I324" s="74">
        <f>IF('Settings'!$E$15="POINTS",((R324*Q324)*'Settings'!$B$12)+(S324*'Settings'!$B$2)+(T324*'Settings'!$B$3)+(U324*'Settings'!$B$4)+(V324*'Settings'!$B$5)+(X324*'Settings'!$B$9)+(AA324*'Settings'!$B$6)+(W324*'Settings'!$B$8)+(AB324*'Settings'!$B$7)+(AC324*'Settings'!$B$14)+(AD324*'Settings'!$B$15)+(AE324*'Settings'!$B$16)+(AF324*'Settings'!$B$17)+(AG324*'Settings'!$B$18)+(U324*'Settings'!$B$13)+(Y324*'Settings'!$B$10)+(Z324*'Settings'!$B$11),VLOOKUP(B324,'Standard Deviations'!A1:C666,3,FALSE))</f>
        <v>229.336276543998</v>
      </c>
      <c r="J324" s="75">
        <f>IF(D324="G",I324/AJ324,I324/Q324)</f>
        <v>2.9159094284043</v>
      </c>
      <c r="K324" s="74">
        <f>VLOOKUP(B324,'D'!A1:F213,6,FALSE)</f>
        <v>-102.203931376084</v>
      </c>
      <c r="L324" s="76">
        <f>_xlfn.IFERROR(K324/H324,"N/A")</f>
        <v>-22.7119847502409</v>
      </c>
      <c r="M324" s="109">
        <f>IF('Settings'!$E$9="YAHOO",VLOOKUP(B324,'ADP'!A1:E665,2,FALSE),IF('Settings'!$E$9="ESPN",VLOOKUP(B324,'ADP'!A1:E665,3,FALSE),IF('Settings'!$E$9="FANTRAX",VLOOKUP(B324,'ADP'!A1:E665,4,FALSE),VLOOKUP(B324,'ADP'!A1:E665,5,FALSE))))</f>
        <v>0</v>
      </c>
      <c r="N324" s="79">
        <f>_xlfn.IFERROR(M324-A324,"N/A")</f>
        <v>-310</v>
      </c>
      <c r="O324" s="77"/>
      <c r="P324" t="s" s="78">
        <f>IF('Settings'!$E$27="ON",VLOOKUP(B324,'ADP'!A1:H665,8,FALSE)," ")</f>
        <v>138</v>
      </c>
      <c r="Q324" s="79">
        <f>IF('Settings'!$E$12="YES",VLOOKUP(B324,'Player Data'!A1:E667,5,FALSE),82)</f>
        <v>78.65000000000001</v>
      </c>
      <c r="R324" s="77">
        <f>VLOOKUP(B324,'Player Data'!$A1:$AE667,6,FALSE)</f>
        <v>18.519787512074</v>
      </c>
      <c r="S324" s="79">
        <f>VLOOKUP(B324,'Player Data'!$A1:$AE667,7,FALSE)*$Q324*_xlfn.IFERROR((VLOOKUP(P324,'Settings'!$E$28:$F$33,2,FALSE)+1),1)</f>
        <v>5.12395495751485</v>
      </c>
      <c r="T324" s="79">
        <f>VLOOKUP(B324,'Player Data'!$A1:$AE667,8,FALSE)*$Q324*_xlfn.IFERROR((VLOOKUP(P324,'Settings'!$E$28:$F$33,2,FALSE)+1),1)</f>
        <v>15.8777898318901</v>
      </c>
      <c r="U324" s="79">
        <f>SUM(S324:T324)</f>
        <v>21.001744789405</v>
      </c>
      <c r="V324" s="79">
        <f>VLOOKUP(B324,'Player Data'!$A1:$AE667,10,FALSE)*$Q324*_xlfn.IFERROR(((VLOOKUP(P324,'Settings'!$E$28:$F$33,2,FALSE)/2)+1),1)</f>
        <v>100.127717332512</v>
      </c>
      <c r="W324" s="79">
        <f>VLOOKUP(B324,'Player Data'!$A1:$AE667,11,FALSE)*$Q324*_xlfn.IFERROR((VLOOKUP(P324,'Settings'!$E$28:$F$33,2,FALSE)+1),1)</f>
        <v>0.00627263994147836</v>
      </c>
      <c r="X324" s="79">
        <f>VLOOKUP(B324,'Player Data'!$A1:$AE667,12,FALSE)*$Q324*_xlfn.IFERROR((VLOOKUP(P324,'Settings'!$E$28:$F$33,2,FALSE)+1),1)</f>
        <v>0.0404224045651083</v>
      </c>
      <c r="Y324" s="79">
        <f>VLOOKUP(B324,'Player Data'!$A1:$AE667,13,FALSE)*$Q324</f>
        <v>0.026659265682252</v>
      </c>
      <c r="Z324" s="79">
        <f>VLOOKUP(B324,'Player Data'!$A1:$AE667,14,FALSE)*$Q324</f>
        <v>0.615100893956429</v>
      </c>
      <c r="AA324" s="79">
        <f>VLOOKUP(B324,'Player Data'!$A1:$AE667,15,FALSE)*$Q324</f>
        <v>147.125933018664</v>
      </c>
      <c r="AB324" s="79">
        <f>VLOOKUP(B324,'Player Data'!$A1:$AE667,16,FALSE)*$Q324</f>
        <v>87.10203405100521</v>
      </c>
      <c r="AC324" s="79">
        <f>VLOOKUP(B324,'Player Data'!$A1:$AE667,17,FALSE)*$Q324*_xlfn.IFERROR((VLOOKUP(P324,'Settings'!$E$28:$F$33,2,FALSE)+1),1)</f>
        <v>0.485919776055889</v>
      </c>
      <c r="AD324" s="79">
        <f>VLOOKUP(B324,'Player Data'!$A1:$AE667,18,FALSE)*$Q324</f>
        <v>30.0555955286181</v>
      </c>
      <c r="AE324" s="79">
        <f>VLOOKUP(B324,'Player Data'!$A1:$AE667,19,FALSE)*$Q324*_xlfn.IFERROR((VLOOKUP(P324,'Settings'!$E$28:$F$33,2,FALSE)+1),1)</f>
        <v>0.759589953694325</v>
      </c>
      <c r="AF324" s="79">
        <f>VLOOKUP(B324,'Player Data'!$A1:$AE667,20,FALSE)*$Q324</f>
        <v>0</v>
      </c>
      <c r="AG324" s="79">
        <f>VLOOKUP(B324,'Player Data'!$A1:$AE667,21,FALSE)*$Q324</f>
        <v>0</v>
      </c>
      <c r="AH324" s="81">
        <f>VLOOKUP(B324,'Player Data'!$A1:$AE667,22,FALSE)</f>
        <v>0</v>
      </c>
      <c r="AI324" s="77"/>
      <c r="AJ324" s="79"/>
      <c r="AK324" s="79"/>
      <c r="AL324" s="79"/>
      <c r="AM324" s="79"/>
      <c r="AN324" s="79"/>
      <c r="AO324" s="79"/>
      <c r="AP324" s="79"/>
      <c r="AQ324" s="82"/>
      <c r="AR324" s="83"/>
      <c r="AS324" s="84"/>
    </row>
    <row r="325" ht="21.25" customHeight="1">
      <c r="A325" s="85">
        <f>RANK(K325,K$1:K$665)</f>
        <v>323</v>
      </c>
      <c r="B325" t="s" s="16">
        <v>514</v>
      </c>
      <c r="C325" t="s" s="69">
        <v>127</v>
      </c>
      <c r="D325" t="s" s="70">
        <f>VLOOKUP(B325,'Player Data'!A1:D667,4,FALSE)</f>
        <v>148</v>
      </c>
      <c r="E325" s="87">
        <f>VLOOKUP(B325,'RW'!A1:C136,3,FALSE)</f>
        <v>69</v>
      </c>
      <c r="F325" t="s" s="86">
        <f>VLOOKUP(B325,'Player Data'!A1:B667,2,FALSE)</f>
        <v>174</v>
      </c>
      <c r="G325" s="11">
        <f>VLOOKUP(B325,'Player Data'!A1:D667,3,FALSE)</f>
        <v>28</v>
      </c>
      <c r="H325" s="94">
        <f>_xlfn.IFERROR(VLOOKUP(B325,'ADP'!A1:G665,7,FALSE)/1000000,VLOOKUP(B325,'ADP'!A1:G665,7,FALSE))</f>
        <v>5.5</v>
      </c>
      <c r="I325" s="74">
        <f>IF('Settings'!$E$15="POINTS",((R325*Q325)*'Settings'!$B$12)+(S325*'Settings'!$B$2)+(T325*'Settings'!$B$3)+(U325*'Settings'!$B$4)+(V325*'Settings'!$B$5)+(X325*'Settings'!$B$9)+(AA325*'Settings'!$B$6)+(W325*'Settings'!$B$8)+(AB325*'Settings'!$B$7)+(AC325*'Settings'!$B$14)+(AD325*'Settings'!$B$15)+(AE325*'Settings'!$B$16)+(AF325*'Settings'!$B$17)+(AG325*'Settings'!$B$18)+(Y325*'Settings'!$B$10)+(Z325*'Settings'!$B$11),VLOOKUP(B325,'Standard Deviations'!A1:C666,3,FALSE))</f>
        <v>222.330790224466</v>
      </c>
      <c r="J325" s="75">
        <f>IF(D325="G",I325/AJ325,I325/Q325)</f>
        <v>2.7924864536624</v>
      </c>
      <c r="K325" s="74">
        <f>IF('Settings'!$E$18="C/LW/RW",VLOOKUP(B325,'RW'!A1:F136,6,FALSE),VLOOKUP(B325,'F'!A1:F392,6,FALSE))</f>
        <v>-107.361103856712</v>
      </c>
      <c r="L325" s="76">
        <f>_xlfn.IFERROR(K325/H325,"N/A")</f>
        <v>-19.5202007012204</v>
      </c>
      <c r="M325" s="77">
        <f>IF('Settings'!$E$9="YAHOO",VLOOKUP(B325,'ADP'!A1:E665,2,FALSE),IF('Settings'!$E$9="ESPN",VLOOKUP(B325,'ADP'!A1:E665,3,FALSE),IF('Settings'!$E$9="FANTRAX",VLOOKUP(B325,'ADP'!A1:E665,4,FALSE),VLOOKUP(B325,'ADP'!A1:E665,5,FALSE))))</f>
        <v>0</v>
      </c>
      <c r="N325" s="77">
        <f>_xlfn.IFERROR(M325-A325,"N/A")</f>
        <v>-323</v>
      </c>
      <c r="O325" s="77"/>
      <c r="P325" t="s" s="78">
        <f>IF('Settings'!$E$27="ON",VLOOKUP(B325,'ADP'!A1:H665,8,FALSE)," ")</f>
        <v>138</v>
      </c>
      <c r="Q325" s="79">
        <f>IF('Settings'!$E$12="YES",VLOOKUP(B325,'Player Data'!A1:E667,5,FALSE),82)</f>
        <v>79.61750000000001</v>
      </c>
      <c r="R325" s="77">
        <f>VLOOKUP(B325,'Player Data'!$A1:$AE667,6,FALSE)</f>
        <v>15.5465506811692</v>
      </c>
      <c r="S325" s="79">
        <f>VLOOKUP(B325,'Player Data'!$A1:$AE667,7,FALSE)*$Q325*_xlfn.IFERROR((VLOOKUP(P325,'Settings'!$E$28:$F$33,2,FALSE)+1),1)</f>
        <v>27.6287302727625</v>
      </c>
      <c r="T325" s="79">
        <f>VLOOKUP(B325,'Player Data'!$A1:$AE667,8,FALSE)*$Q325*_xlfn.IFERROR((VLOOKUP(P325,'Settings'!$E$28:$F$33,2,FALSE)+1),1)</f>
        <v>29.7455466191044</v>
      </c>
      <c r="U325" s="79">
        <f>SUM(S325:T325)</f>
        <v>57.3742768918669</v>
      </c>
      <c r="V325" s="79">
        <f>VLOOKUP(B325,'Player Data'!$A1:$AE667,10,FALSE)*$Q325*_xlfn.IFERROR(((VLOOKUP(P325,'Settings'!$E$28:$F$33,2,FALSE)/2)+1),1)</f>
        <v>140.599387392484</v>
      </c>
      <c r="W325" s="79">
        <f>VLOOKUP(B325,'Player Data'!$A1:$AE667,11,FALSE)*$Q325*_xlfn.IFERROR((VLOOKUP(P325,'Settings'!$E$28:$F$33,2,FALSE)+1),1)</f>
        <v>8.90340236380931</v>
      </c>
      <c r="X325" s="80">
        <f>VLOOKUP(B325,'Player Data'!$A1:$AE667,12,FALSE)*$Q325*_xlfn.IFERROR((VLOOKUP(P325,'Settings'!$E$28:$F$33,2,FALSE)+1),1)</f>
        <v>18.3764400571988</v>
      </c>
      <c r="Y325" s="79">
        <f>VLOOKUP(B325,'Player Data'!$A1:$AE667,13,FALSE)*$Q325</f>
        <v>0.000271905927707329</v>
      </c>
      <c r="Z325" s="79">
        <f>VLOOKUP(B325,'Player Data'!$A1:$AE667,14,FALSE)*$Q325</f>
        <v>0.000459399154576777</v>
      </c>
      <c r="AA325" s="79">
        <f>VLOOKUP(B325,'Player Data'!$A1:$AE667,15,FALSE)*$Q325</f>
        <v>21.5146688914248</v>
      </c>
      <c r="AB325" s="79">
        <f>VLOOKUP(B325,'Player Data'!$A1:$AE667,16,FALSE)*$Q325</f>
        <v>26.1541677275843</v>
      </c>
      <c r="AC325" s="79">
        <f>VLOOKUP(B325,'Player Data'!$A1:$AE667,17,FALSE)*$Q325*_xlfn.IFERROR((VLOOKUP(P325,'Settings'!$E$28:$F$33,2,FALSE)+1),1)</f>
        <v>0.835459214888741</v>
      </c>
      <c r="AD325" s="79">
        <f>VLOOKUP(B325,'Player Data'!$A1:$AE667,18,FALSE)*$Q325</f>
        <v>16.5133762634337</v>
      </c>
      <c r="AE325" s="79">
        <f>VLOOKUP(B325,'Player Data'!$A1:$AE667,19,FALSE)*$Q325*_xlfn.IFERROR((VLOOKUP(P325,'Settings'!$E$28:$F$33,2,FALSE)+1),1)</f>
        <v>4.01400632493692</v>
      </c>
      <c r="AF325" s="79">
        <f>VLOOKUP(B325,'Player Data'!$A1:$AE667,20,FALSE)*$Q325</f>
        <v>0.5508762840585339</v>
      </c>
      <c r="AG325" s="79">
        <f>VLOOKUP(B325,'Player Data'!$A1:$AE667,21,FALSE)*$Q325</f>
        <v>0.560912657682528</v>
      </c>
      <c r="AH325" s="81">
        <f>VLOOKUP(B325,'Player Data'!$A1:$AE667,22,FALSE)</f>
        <v>0.495486385388814</v>
      </c>
      <c r="AI325" s="77"/>
      <c r="AJ325" s="79"/>
      <c r="AK325" s="79"/>
      <c r="AL325" s="79"/>
      <c r="AM325" s="79"/>
      <c r="AN325" s="79"/>
      <c r="AO325" s="79"/>
      <c r="AP325" s="79"/>
      <c r="AQ325" s="82"/>
      <c r="AR325" s="83"/>
      <c r="AS325" s="84"/>
    </row>
    <row r="326" ht="21.25" customHeight="1">
      <c r="A326" s="85">
        <f>RANK(K326,K$1:K$665)</f>
        <v>311</v>
      </c>
      <c r="B326" t="s" s="16">
        <v>515</v>
      </c>
      <c r="C326" t="s" s="69">
        <v>127</v>
      </c>
      <c r="D326" t="s" s="70">
        <f>VLOOKUP(B326,'Player Data'!A1:D667,4,FALSE)</f>
        <v>153</v>
      </c>
      <c r="E326" s="95">
        <f>VLOOKUP(B326,'D'!A1:C213,3,FALSE)</f>
        <v>103</v>
      </c>
      <c r="F326" t="s" s="104">
        <f>VLOOKUP(B326,'Player Data'!A1:B667,2,FALSE)</f>
        <v>281</v>
      </c>
      <c r="G326" s="91">
        <f>VLOOKUP(B326,'Player Data'!A1:D667,3,FALSE)</f>
        <v>32</v>
      </c>
      <c r="H326" s="73">
        <f>_xlfn.IFERROR(VLOOKUP(B326,'ADP'!A1:G665,7,FALSE)/1000000,VLOOKUP(B326,'ADP'!A1:G665,7,FALSE))</f>
        <v>4</v>
      </c>
      <c r="I326" s="74">
        <f>IF('Settings'!$E$15="POINTS",((R326*Q326)*'Settings'!$B$12)+(S326*'Settings'!$B$2)+(T326*'Settings'!$B$3)+(U326*'Settings'!$B$4)+(V326*'Settings'!$B$5)+(X326*'Settings'!$B$9)+(AA326*'Settings'!$B$6)+(W326*'Settings'!$B$8)+(AB326*'Settings'!$B$7)+(AC326*'Settings'!$B$14)+(AD326*'Settings'!$B$15)+(AE326*'Settings'!$B$16)+(AF326*'Settings'!$B$17)+(AG326*'Settings'!$B$18)+(U326*'Settings'!$B$13)+(Y326*'Settings'!$B$10)+(Z326*'Settings'!$B$11),VLOOKUP(B326,'Standard Deviations'!A1:C666,3,FALSE))</f>
        <v>229.179283938469</v>
      </c>
      <c r="J326" s="75">
        <f>IF(D326="G",I326/AJ326,I326/Q326)</f>
        <v>2.89112254243054</v>
      </c>
      <c r="K326" s="74">
        <f>VLOOKUP(B326,'D'!A1:F213,6,FALSE)</f>
        <v>-102.360923981613</v>
      </c>
      <c r="L326" s="76">
        <f>_xlfn.IFERROR(K326/H326,"N/A")</f>
        <v>-25.5902309954033</v>
      </c>
      <c r="M326" s="109">
        <f>IF('Settings'!$E$9="YAHOO",VLOOKUP(B326,'ADP'!A1:E665,2,FALSE),IF('Settings'!$E$9="ESPN",VLOOKUP(B326,'ADP'!A1:E665,3,FALSE),IF('Settings'!$E$9="FANTRAX",VLOOKUP(B326,'ADP'!A1:E665,4,FALSE),VLOOKUP(B326,'ADP'!A1:E665,5,FALSE))))</f>
        <v>0</v>
      </c>
      <c r="N326" s="79">
        <f>_xlfn.IFERROR(M326-A326,"N/A")</f>
        <v>-311</v>
      </c>
      <c r="O326" s="77"/>
      <c r="P326" t="s" s="78">
        <f>IF('Settings'!$E$27="ON",VLOOKUP(B326,'ADP'!A1:H665,8,FALSE)," ")</f>
        <v>138</v>
      </c>
      <c r="Q326" s="79">
        <f>IF('Settings'!$E$12="YES",VLOOKUP(B326,'Player Data'!A1:E667,5,FALSE),82)</f>
        <v>79.27</v>
      </c>
      <c r="R326" s="77">
        <f>VLOOKUP(B326,'Player Data'!$A1:$AE667,6,FALSE)</f>
        <v>18.7567672880559</v>
      </c>
      <c r="S326" s="79">
        <f>VLOOKUP(B326,'Player Data'!$A1:$AE667,7,FALSE)*$Q326*_xlfn.IFERROR((VLOOKUP(P326,'Settings'!$E$28:$F$33,2,FALSE)+1),1)</f>
        <v>3.48760723291985</v>
      </c>
      <c r="T326" s="79">
        <f>VLOOKUP(B326,'Player Data'!$A1:$AE667,8,FALSE)*$Q326*_xlfn.IFERROR((VLOOKUP(P326,'Settings'!$E$28:$F$33,2,FALSE)+1),1)</f>
        <v>13.8186370361207</v>
      </c>
      <c r="U326" s="79">
        <f>SUM(S326:T326)</f>
        <v>17.3062442690406</v>
      </c>
      <c r="V326" s="79">
        <f>VLOOKUP(B326,'Player Data'!$A1:$AE667,10,FALSE)*$Q326*_xlfn.IFERROR(((VLOOKUP(P326,'Settings'!$E$28:$F$33,2,FALSE)/2)+1),1)</f>
        <v>92.5688260164014</v>
      </c>
      <c r="W326" s="79">
        <f>VLOOKUP(B326,'Player Data'!$A1:$AE667,11,FALSE)*$Q326*_xlfn.IFERROR((VLOOKUP(P326,'Settings'!$E$28:$F$33,2,FALSE)+1),1)</f>
        <v>0.0175427758433841</v>
      </c>
      <c r="X326" s="79">
        <f>VLOOKUP(B326,'Player Data'!$A1:$AE667,12,FALSE)*$Q326*_xlfn.IFERROR((VLOOKUP(P326,'Settings'!$E$28:$F$33,2,FALSE)+1),1)</f>
        <v>0.117849596718269</v>
      </c>
      <c r="Y326" s="79">
        <f>VLOOKUP(B326,'Player Data'!$A1:$AE667,13,FALSE)*$Q326</f>
        <v>0.0271665351646007</v>
      </c>
      <c r="Z326" s="79">
        <f>VLOOKUP(B326,'Player Data'!$A1:$AE667,14,FALSE)*$Q326</f>
        <v>0.587007119610934</v>
      </c>
      <c r="AA326" s="79">
        <f>VLOOKUP(B326,'Player Data'!$A1:$AE667,15,FALSE)*$Q326</f>
        <v>152.282378088176</v>
      </c>
      <c r="AB326" s="79">
        <f>VLOOKUP(B326,'Player Data'!$A1:$AE667,16,FALSE)*$Q326</f>
        <v>101.557957525887</v>
      </c>
      <c r="AC326" s="79">
        <f>VLOOKUP(B326,'Player Data'!$A1:$AE667,17,FALSE)*$Q326*_xlfn.IFERROR((VLOOKUP(P326,'Settings'!$E$28:$F$33,2,FALSE)+1),1)</f>
        <v>-9.21190362729927</v>
      </c>
      <c r="AD326" s="79">
        <f>VLOOKUP(B326,'Player Data'!$A1:$AE667,18,FALSE)*$Q326</f>
        <v>54.6663784394135</v>
      </c>
      <c r="AE326" s="79">
        <f>VLOOKUP(B326,'Player Data'!$A1:$AE667,19,FALSE)*$Q326*_xlfn.IFERROR((VLOOKUP(P326,'Settings'!$E$28:$F$33,2,FALSE)+1),1)</f>
        <v>0.385674775879809</v>
      </c>
      <c r="AF326" s="79">
        <f>VLOOKUP(B326,'Player Data'!$A1:$AE667,20,FALSE)*$Q326</f>
        <v>0</v>
      </c>
      <c r="AG326" s="79">
        <f>VLOOKUP(B326,'Player Data'!$A1:$AE667,21,FALSE)*$Q326</f>
        <v>0</v>
      </c>
      <c r="AH326" s="81">
        <f>VLOOKUP(B326,'Player Data'!$A1:$AE667,22,FALSE)</f>
        <v>0</v>
      </c>
      <c r="AI326" s="77"/>
      <c r="AJ326" s="89"/>
      <c r="AK326" s="79"/>
      <c r="AL326" s="79"/>
      <c r="AM326" s="79"/>
      <c r="AN326" s="79"/>
      <c r="AO326" s="79"/>
      <c r="AP326" s="79"/>
      <c r="AQ326" s="82"/>
      <c r="AR326" s="83"/>
      <c r="AS326" s="84"/>
    </row>
    <row r="327" ht="21.25" customHeight="1">
      <c r="A327" s="85">
        <f>RANK(K327,K$1:K$665)</f>
        <v>335</v>
      </c>
      <c r="B327" t="s" s="16">
        <v>516</v>
      </c>
      <c r="C327" t="s" s="69">
        <v>127</v>
      </c>
      <c r="D327" t="s" s="70">
        <f>VLOOKUP(B327,'Player Data'!A1:D667,4,FALSE)</f>
        <v>178</v>
      </c>
      <c r="E327" s="102">
        <f>VLOOKUP(B327,'LW'!A1:C152,3,FALSE)</f>
        <v>77</v>
      </c>
      <c r="F327" t="s" s="86">
        <f>VLOOKUP(B327,'Player Data'!A1:B667,2,FALSE)</f>
        <v>129</v>
      </c>
      <c r="G327" s="91">
        <f>VLOOKUP(B327,'Player Data'!A1:D667,3,FALSE)</f>
        <v>32</v>
      </c>
      <c r="H327" s="94">
        <f>_xlfn.IFERROR(VLOOKUP(B327,'ADP'!A1:G665,7,FALSE)/1000000,VLOOKUP(B327,'ADP'!A1:G665,7,FALSE))</f>
        <v>3</v>
      </c>
      <c r="I327" s="74">
        <f>IF('Settings'!$E$15="POINTS",((R327*Q327)*'Settings'!$B$12)+(S327*'Settings'!$B$2)+(T327*'Settings'!$B$3)+(U327*'Settings'!$B$4)+(V327*'Settings'!$B$5)+(X327*'Settings'!$B$9)+(AA327*'Settings'!$B$6)+(W327*'Settings'!$B$8)+(AB327*'Settings'!$B$7)+(AC327*'Settings'!$B$14)+(AD327*'Settings'!$B$15)+(AE327*'Settings'!$B$16)+(AF327*'Settings'!$B$17)+(AG327*'Settings'!$B$18)+(Y327*'Settings'!$B$10)+(Z327*'Settings'!$B$11),VLOOKUP(B327,'Standard Deviations'!A1:C666,3,FALSE))</f>
        <v>222.087802660626</v>
      </c>
      <c r="J327" s="75">
        <f>IF(D327="G",I327/AJ327,I327/Q327)</f>
        <v>2.77618428901686</v>
      </c>
      <c r="K327" s="74">
        <f>IF('Settings'!$E$18="C/LW/RW",VLOOKUP(B327,'LW'!A1:F152,6,FALSE),VLOOKUP(B327,'F'!A1:F392,6,FALSE))</f>
        <v>-109.632309105586</v>
      </c>
      <c r="L327" s="76">
        <f>_xlfn.IFERROR(K327/H327,"N/A")</f>
        <v>-36.5441030351953</v>
      </c>
      <c r="M327" s="77">
        <f>IF('Settings'!$E$9="YAHOO",VLOOKUP(B327,'ADP'!A1:E665,2,FALSE),IF('Settings'!$E$9="ESPN",VLOOKUP(B327,'ADP'!A1:E665,3,FALSE),IF('Settings'!$E$9="FANTRAX",VLOOKUP(B327,'ADP'!A1:E665,4,FALSE),VLOOKUP(B327,'ADP'!A1:E665,5,FALSE))))</f>
        <v>0</v>
      </c>
      <c r="N327" s="77">
        <f>_xlfn.IFERROR(M327-A327,"N/A")</f>
        <v>-335</v>
      </c>
      <c r="O327" s="77"/>
      <c r="P327" t="s" s="78">
        <f>IF('Settings'!$E$27="ON",VLOOKUP(B327,'ADP'!A1:H665,8,FALSE)," ")</f>
        <v>138</v>
      </c>
      <c r="Q327" s="79">
        <f>IF('Settings'!$E$12="YES",VLOOKUP(B327,'Player Data'!A1:E667,5,FALSE),82)</f>
        <v>79.9975</v>
      </c>
      <c r="R327" s="108">
        <f>VLOOKUP(B327,'Player Data'!$A1:$AE667,6,FALSE)</f>
        <v>14.5830182404601</v>
      </c>
      <c r="S327" s="79">
        <f>VLOOKUP(B327,'Player Data'!$A1:$AE667,7,FALSE)*$Q327*_xlfn.IFERROR((VLOOKUP(P327,'Settings'!$E$28:$F$33,2,FALSE)+1),1)</f>
        <v>24.8960356690908</v>
      </c>
      <c r="T327" s="79">
        <f>VLOOKUP(B327,'Player Data'!$A1:$AE667,8,FALSE)*$Q327*_xlfn.IFERROR((VLOOKUP(P327,'Settings'!$E$28:$F$33,2,FALSE)+1),1)</f>
        <v>28.8612857249275</v>
      </c>
      <c r="U327" s="79">
        <f>SUM(S327:T327)</f>
        <v>53.7573213940183</v>
      </c>
      <c r="V327" s="79">
        <f>VLOOKUP(B327,'Player Data'!$A1:$AE667,10,FALSE)*$Q327*_xlfn.IFERROR(((VLOOKUP(P327,'Settings'!$E$28:$F$33,2,FALSE)/2)+1),1)</f>
        <v>194.581798828161</v>
      </c>
      <c r="W327" s="79">
        <f>VLOOKUP(B327,'Player Data'!$A1:$AE667,11,FALSE)*$Q327*_xlfn.IFERROR((VLOOKUP(P327,'Settings'!$E$28:$F$33,2,FALSE)+1),1)</f>
        <v>3.12712282992287</v>
      </c>
      <c r="X327" s="79">
        <f>VLOOKUP(B327,'Player Data'!$A1:$AE667,12,FALSE)*$Q327*_xlfn.IFERROR((VLOOKUP(P327,'Settings'!$E$28:$F$33,2,FALSE)+1),1)</f>
        <v>6.22846210462285</v>
      </c>
      <c r="Y327" s="79">
        <f>VLOOKUP(B327,'Player Data'!$A1:$AE667,13,FALSE)*$Q327</f>
        <v>0.0157955625534581</v>
      </c>
      <c r="Z327" s="79">
        <f>VLOOKUP(B327,'Player Data'!$A1:$AE667,14,FALSE)*$Q327</f>
        <v>0.026757735006853</v>
      </c>
      <c r="AA327" s="79">
        <f>VLOOKUP(B327,'Player Data'!$A1:$AE667,15,FALSE)*$Q327</f>
        <v>17.2645843616303</v>
      </c>
      <c r="AB327" s="79">
        <f>VLOOKUP(B327,'Player Data'!$A1:$AE667,16,FALSE)*$Q327</f>
        <v>33.3927154994683</v>
      </c>
      <c r="AC327" s="79">
        <f>VLOOKUP(B327,'Player Data'!$A1:$AE667,17,FALSE)*$Q327*_xlfn.IFERROR((VLOOKUP(P327,'Settings'!$E$28:$F$33,2,FALSE)+1),1)</f>
        <v>0.612191993913616</v>
      </c>
      <c r="AD327" s="79">
        <f>VLOOKUP(B327,'Player Data'!$A1:$AE667,18,FALSE)*$Q327</f>
        <v>26.1352010427733</v>
      </c>
      <c r="AE327" s="79">
        <f>VLOOKUP(B327,'Player Data'!$A1:$AE667,19,FALSE)*$Q327*_xlfn.IFERROR((VLOOKUP(P327,'Settings'!$E$28:$F$33,2,FALSE)+1),1)</f>
        <v>4.02009128104791</v>
      </c>
      <c r="AF327" s="79">
        <f>VLOOKUP(B327,'Player Data'!$A1:$AE667,20,FALSE)*$Q327</f>
        <v>67.4266299676658</v>
      </c>
      <c r="AG327" s="79">
        <f>VLOOKUP(B327,'Player Data'!$A1:$AE667,21,FALSE)*$Q327</f>
        <v>87.3409523208346</v>
      </c>
      <c r="AH327" s="81">
        <f>VLOOKUP(B327,'Player Data'!$A1:$AE667,22,FALSE)</f>
        <v>0.435663780299784</v>
      </c>
      <c r="AI327" s="77"/>
      <c r="AJ327" s="89"/>
      <c r="AK327" s="79"/>
      <c r="AL327" s="79"/>
      <c r="AM327" s="79"/>
      <c r="AN327" s="79"/>
      <c r="AO327" s="79"/>
      <c r="AP327" s="79"/>
      <c r="AQ327" s="82"/>
      <c r="AR327" s="83"/>
      <c r="AS327" s="93"/>
    </row>
    <row r="328" ht="21.25" customHeight="1">
      <c r="A328" s="85">
        <f>RANK(K328,K$1:K$665)</f>
        <v>350</v>
      </c>
      <c r="B328" t="s" s="16">
        <v>517</v>
      </c>
      <c r="C328" t="s" s="69">
        <v>127</v>
      </c>
      <c r="D328" t="s" s="70">
        <f>VLOOKUP(B328,'Player Data'!A1:D667,4,FALSE)</f>
        <v>128</v>
      </c>
      <c r="E328" s="71">
        <f>VLOOKUP(B328,'C'!A1:C206,3,FALSE)</f>
        <v>108</v>
      </c>
      <c r="F328" t="s" s="104">
        <f>VLOOKUP(B328,'Player Data'!A1:B667,2,FALSE)</f>
        <v>333</v>
      </c>
      <c r="G328" s="96">
        <f>VLOOKUP(B328,'Player Data'!A1:D667,3,FALSE)</f>
        <v>19</v>
      </c>
      <c r="H328" s="73">
        <f>_xlfn.IFERROR(VLOOKUP(B328,'ADP'!A1:G665,7,FALSE)/1000000,VLOOKUP(B328,'ADP'!A1:G665,7,FALSE))</f>
        <v>0.95</v>
      </c>
      <c r="I328" s="74">
        <f>IF('Settings'!$E$15="POINTS",((R328*Q328)*'Settings'!$B$12)+(S328*'Settings'!$B$2)+(T328*'Settings'!$B$3)+(U328*'Settings'!$B$4)+(V328*'Settings'!$B$5)+(X328*'Settings'!$B$9)+(AA328*'Settings'!$B$6)+(W328*'Settings'!$B$8)+(AB328*'Settings'!$B$7)+(AC328*'Settings'!$B$14)+(AD328*'Settings'!$B$15)+(AE328*'Settings'!$B$16)+(AF328*'Settings'!$B$17)+(AG328*'Settings'!$B$18)+(Y328*'Settings'!$B$10)+(Z328*'Settings'!$B$11),VLOOKUP(B328,'Standard Deviations'!A1:C666,3,FALSE))</f>
        <v>216.959499186349</v>
      </c>
      <c r="J328" s="75">
        <f>IF(D328="G",I328/AJ328,I328/Q328)</f>
        <v>2.93188512413985</v>
      </c>
      <c r="K328" s="74">
        <f>IF('Settings'!$E$18="C/LW/RW",VLOOKUP(B328,'C'!A1:F206,6,FALSE),VLOOKUP(B328,'F'!A1:F392,6,FALSE))</f>
        <v>-112.732394894829</v>
      </c>
      <c r="L328" s="76">
        <f>_xlfn.IFERROR(K328/H328,"N/A")</f>
        <v>-118.665678836662</v>
      </c>
      <c r="M328" s="77">
        <f>IF('Settings'!$E$9="YAHOO",VLOOKUP(B328,'ADP'!A1:E665,2,FALSE),IF('Settings'!$E$9="ESPN",VLOOKUP(B328,'ADP'!A1:E665,3,FALSE),IF('Settings'!$E$9="FANTRAX",VLOOKUP(B328,'ADP'!A1:E665,4,FALSE),VLOOKUP(B328,'ADP'!A1:E665,5,FALSE))))</f>
        <v>0</v>
      </c>
      <c r="N328" s="77">
        <f>_xlfn.IFERROR(M328-A328,"N/A")</f>
        <v>-350</v>
      </c>
      <c r="O328" s="77"/>
      <c r="P328" s="111">
        <f>IF('Settings'!$E$27="ON",VLOOKUP(B328,'ADP'!A1:H665,8,FALSE)," ")</f>
        <v>0</v>
      </c>
      <c r="Q328" s="79">
        <f>IF('Settings'!$E$12="YES",VLOOKUP(B328,'Player Data'!A1:E667,5,FALSE),82)</f>
        <v>74</v>
      </c>
      <c r="R328" s="77">
        <f>VLOOKUP(B328,'Player Data'!$A1:$AE667,6,FALSE)</f>
        <v>16</v>
      </c>
      <c r="S328" s="79">
        <f>VLOOKUP(B328,'Player Data'!$A1:$AE667,7,FALSE)*$Q328*_xlfn.IFERROR((VLOOKUP(P328,'Settings'!$E$28:$F$33,2,FALSE)+1),1)</f>
        <v>16.28</v>
      </c>
      <c r="T328" s="79">
        <f>VLOOKUP(B328,'Player Data'!$A1:$AE667,8,FALSE)*$Q328*_xlfn.IFERROR((VLOOKUP(P328,'Settings'!$E$28:$F$33,2,FALSE)+1),1)</f>
        <v>28.12</v>
      </c>
      <c r="U328" s="79">
        <f>SUM(S328:T328)</f>
        <v>44.4</v>
      </c>
      <c r="V328" s="79">
        <f>VLOOKUP(B328,'Player Data'!$A1:$AE667,10,FALSE)*$Q328*_xlfn.IFERROR(((VLOOKUP(P328,'Settings'!$E$28:$F$33,2,FALSE)/2)+1),1)</f>
        <v>133.369658536585</v>
      </c>
      <c r="W328" s="79">
        <f>VLOOKUP(B328,'Player Data'!$A1:$AE667,11,FALSE)*$Q328*_xlfn.IFERROR((VLOOKUP(P328,'Settings'!$E$28:$F$33,2,FALSE)+1),1)</f>
        <v>4.19573983739837</v>
      </c>
      <c r="X328" s="79">
        <f>VLOOKUP(B328,'Player Data'!$A1:$AE667,12,FALSE)*$Q328*_xlfn.IFERROR((VLOOKUP(P328,'Settings'!$E$28:$F$33,2,FALSE)+1),1)</f>
        <v>11.4429268292683</v>
      </c>
      <c r="Y328" s="79">
        <f>VLOOKUP(B328,'Player Data'!$A1:$AE667,13,FALSE)*$Q328</f>
        <v>0</v>
      </c>
      <c r="Z328" s="79">
        <f>VLOOKUP(B328,'Player Data'!$A1:$AE667,14,FALSE)*$Q328</f>
        <v>0</v>
      </c>
      <c r="AA328" s="79">
        <f>VLOOKUP(B328,'Player Data'!$A1:$AE667,15,FALSE)*$Q328</f>
        <v>32.1268292682927</v>
      </c>
      <c r="AB328" s="79">
        <f>VLOOKUP(B328,'Player Data'!$A1:$AE667,16,FALSE)*$Q328</f>
        <v>87.5488378417772</v>
      </c>
      <c r="AC328" s="79">
        <f>VLOOKUP(B328,'Player Data'!$A1:$AE667,17,FALSE)*$Q328*_xlfn.IFERROR((VLOOKUP(P328,'Settings'!$E$28:$F$33,2,FALSE)+1),1)</f>
        <v>-5.55402577824169</v>
      </c>
      <c r="AD328" s="79">
        <f>VLOOKUP(B328,'Player Data'!$A1:$AE667,18,FALSE)*$Q328</f>
        <v>29.9009504803793</v>
      </c>
      <c r="AE328" s="79">
        <f>VLOOKUP(B328,'Player Data'!$A1:$AE667,19,FALSE)*$Q328*_xlfn.IFERROR((VLOOKUP(P328,'Settings'!$E$28:$F$33,2,FALSE)+1),1)</f>
        <v>1.7388688336685</v>
      </c>
      <c r="AF328" s="79">
        <f>VLOOKUP(B328,'Player Data'!$A1:$AE667,20,FALSE)*$Q328</f>
        <v>144.390243902439</v>
      </c>
      <c r="AG328" s="79">
        <f>VLOOKUP(B328,'Player Data'!$A1:$AE667,21,FALSE)*$Q328</f>
        <v>216.585365853658</v>
      </c>
      <c r="AH328" s="81">
        <f>VLOOKUP(B328,'Player Data'!$A1:$AE667,22,FALSE)</f>
        <v>0.4</v>
      </c>
      <c r="AI328" s="77"/>
      <c r="AJ328" s="79"/>
      <c r="AK328" s="79"/>
      <c r="AL328" s="79"/>
      <c r="AM328" s="79"/>
      <c r="AN328" s="79"/>
      <c r="AO328" s="79"/>
      <c r="AP328" s="79"/>
      <c r="AQ328" s="82"/>
      <c r="AR328" s="83"/>
      <c r="AS328" s="84"/>
    </row>
    <row r="329" ht="21.25" customHeight="1">
      <c r="A329" s="85">
        <f>RANK(K329,K$1:K$665)</f>
        <v>351</v>
      </c>
      <c r="B329" t="s" s="16">
        <v>518</v>
      </c>
      <c r="C329" t="s" s="69">
        <v>127</v>
      </c>
      <c r="D329" t="s" s="70">
        <f>VLOOKUP(B329,'Player Data'!A1:D667,4,FALSE)</f>
        <v>128</v>
      </c>
      <c r="E329" s="71">
        <f>VLOOKUP(B329,'C'!A1:C206,3,FALSE)</f>
        <v>109</v>
      </c>
      <c r="F329" t="s" s="104">
        <f>VLOOKUP(B329,'Player Data'!A1:B667,2,FALSE)</f>
        <v>281</v>
      </c>
      <c r="G329" s="96">
        <f>VLOOKUP(B329,'Player Data'!A1:D667,3,FALSE)</f>
        <v>21</v>
      </c>
      <c r="H329" s="73">
        <f>_xlfn.IFERROR(VLOOKUP(B329,'ADP'!A1:G665,7,FALSE)/1000000,VLOOKUP(B329,'ADP'!A1:G665,7,FALSE))</f>
        <v>2.25</v>
      </c>
      <c r="I329" s="74">
        <f>IF('Settings'!$E$15="POINTS",((R329*Q329)*'Settings'!$B$12)+(S329*'Settings'!$B$2)+(T329*'Settings'!$B$3)+(U329*'Settings'!$B$4)+(V329*'Settings'!$B$5)+(X329*'Settings'!$B$9)+(AA329*'Settings'!$B$6)+(W329*'Settings'!$B$8)+(AB329*'Settings'!$B$7)+(AC329*'Settings'!$B$14)+(AD329*'Settings'!$B$15)+(AE329*'Settings'!$B$16)+(AF329*'Settings'!$B$17)+(AG329*'Settings'!$B$18)+(Y329*'Settings'!$B$10)+(Z329*'Settings'!$B$11),VLOOKUP(B329,'Standard Deviations'!A1:C666,3,FALSE))</f>
        <v>216.940205532548</v>
      </c>
      <c r="J329" s="75">
        <f>IF(D329="G",I329/AJ329,I329/Q329)</f>
        <v>2.76824200762495</v>
      </c>
      <c r="K329" s="74">
        <f>IF('Settings'!$E$18="C/LW/RW",VLOOKUP(B329,'C'!A1:F206,6,FALSE),VLOOKUP(B329,'F'!A1:F392,6,FALSE))</f>
        <v>-112.751688548630</v>
      </c>
      <c r="L329" s="76">
        <f>_xlfn.IFERROR(K329/H329,"N/A")</f>
        <v>-50.1118615771689</v>
      </c>
      <c r="M329" s="109">
        <f>IF('Settings'!$E$9="YAHOO",VLOOKUP(B329,'ADP'!A1:E665,2,FALSE),IF('Settings'!$E$9="ESPN",VLOOKUP(B329,'ADP'!A1:E665,3,FALSE),IF('Settings'!$E$9="FANTRAX",VLOOKUP(B329,'ADP'!A1:E665,4,FALSE),VLOOKUP(B329,'ADP'!A1:E665,5,FALSE))))</f>
        <v>0</v>
      </c>
      <c r="N329" s="79">
        <f>_xlfn.IFERROR(M329-A329,"N/A")</f>
        <v>-351</v>
      </c>
      <c r="O329" s="77"/>
      <c r="P329" t="s" s="78">
        <f>IF('Settings'!$E$27="ON",VLOOKUP(B329,'ADP'!A1:H665,8,FALSE)," ")</f>
        <v>138</v>
      </c>
      <c r="Q329" s="79">
        <f>IF('Settings'!$E$12="YES",VLOOKUP(B329,'Player Data'!A1:E667,5,FALSE),82)</f>
        <v>78.36750000000001</v>
      </c>
      <c r="R329" s="108">
        <f>VLOOKUP(B329,'Player Data'!$A1:$AE667,6,FALSE)</f>
        <v>14.971424303370</v>
      </c>
      <c r="S329" s="79">
        <f>VLOOKUP(B329,'Player Data'!$A1:$AE667,7,FALSE)*$Q329*_xlfn.IFERROR((VLOOKUP(P329,'Settings'!$E$28:$F$33,2,FALSE)+1),1)</f>
        <v>11.924081405677</v>
      </c>
      <c r="T329" s="79">
        <f>VLOOKUP(B329,'Player Data'!$A1:$AE667,8,FALSE)*$Q329*_xlfn.IFERROR((VLOOKUP(P329,'Settings'!$E$28:$F$33,2,FALSE)+1),1)</f>
        <v>17.7521784394695</v>
      </c>
      <c r="U329" s="79">
        <f>SUM(S329:T329)</f>
        <v>29.6762598451465</v>
      </c>
      <c r="V329" s="79">
        <f>VLOOKUP(B329,'Player Data'!$A1:$AE667,10,FALSE)*$Q329*_xlfn.IFERROR(((VLOOKUP(P329,'Settings'!$E$28:$F$33,2,FALSE)/2)+1),1)</f>
        <v>145.305841963447</v>
      </c>
      <c r="W329" s="79">
        <f>VLOOKUP(B329,'Player Data'!$A1:$AE667,11,FALSE)*$Q329*_xlfn.IFERROR((VLOOKUP(P329,'Settings'!$E$28:$F$33,2,FALSE)+1),1)</f>
        <v>1.17789887387306</v>
      </c>
      <c r="X329" s="79">
        <f>VLOOKUP(B329,'Player Data'!$A1:$AE667,12,FALSE)*$Q329*_xlfn.IFERROR((VLOOKUP(P329,'Settings'!$E$28:$F$33,2,FALSE)+1),1)</f>
        <v>2.16913967201262</v>
      </c>
      <c r="Y329" s="79">
        <f>VLOOKUP(B329,'Player Data'!$A1:$AE667,13,FALSE)*$Q329</f>
        <v>0.209017673516271</v>
      </c>
      <c r="Z329" s="79">
        <f>VLOOKUP(B329,'Player Data'!$A1:$AE667,14,FALSE)*$Q329</f>
        <v>1.13200384666147</v>
      </c>
      <c r="AA329" s="79">
        <f>VLOOKUP(B329,'Player Data'!$A1:$AE667,15,FALSE)*$Q329</f>
        <v>62.9999089289093</v>
      </c>
      <c r="AB329" s="79">
        <f>VLOOKUP(B329,'Player Data'!$A1:$AE667,16,FALSE)*$Q329</f>
        <v>108.781875541890</v>
      </c>
      <c r="AC329" s="79">
        <f>VLOOKUP(B329,'Player Data'!$A1:$AE667,17,FALSE)*$Q329*_xlfn.IFERROR((VLOOKUP(P329,'Settings'!$E$28:$F$33,2,FALSE)+1),1)</f>
        <v>-8.75389298706836</v>
      </c>
      <c r="AD329" s="79">
        <f>VLOOKUP(B329,'Player Data'!$A1:$AE667,18,FALSE)*$Q329</f>
        <v>38.1374812653081</v>
      </c>
      <c r="AE329" s="79">
        <f>VLOOKUP(B329,'Player Data'!$A1:$AE667,19,FALSE)*$Q329*_xlfn.IFERROR((VLOOKUP(P329,'Settings'!$E$28:$F$33,2,FALSE)+1),1)</f>
        <v>1.31861678124142</v>
      </c>
      <c r="AF329" s="79">
        <f>VLOOKUP(B329,'Player Data'!$A1:$AE667,20,FALSE)*$Q329</f>
        <v>417.868517522488</v>
      </c>
      <c r="AG329" s="79">
        <f>VLOOKUP(B329,'Player Data'!$A1:$AE667,21,FALSE)*$Q329</f>
        <v>495.244356977691</v>
      </c>
      <c r="AH329" s="81">
        <f>VLOOKUP(B329,'Player Data'!$A1:$AE667,22,FALSE)</f>
        <v>0.457630736781826</v>
      </c>
      <c r="AI329" s="77"/>
      <c r="AJ329" s="79"/>
      <c r="AK329" s="79"/>
      <c r="AL329" s="79"/>
      <c r="AM329" s="79"/>
      <c r="AN329" s="79"/>
      <c r="AO329" s="79"/>
      <c r="AP329" s="79"/>
      <c r="AQ329" s="82"/>
      <c r="AR329" s="83"/>
      <c r="AS329" s="84"/>
    </row>
    <row r="330" ht="21.25" customHeight="1">
      <c r="A330" s="85">
        <f>RANK(K330,K$1:K$665)</f>
        <v>325</v>
      </c>
      <c r="B330" t="s" s="16">
        <v>519</v>
      </c>
      <c r="C330" t="s" s="69">
        <v>127</v>
      </c>
      <c r="D330" t="s" s="70">
        <f>VLOOKUP(B330,'Player Data'!A1:D667,4,FALSE)</f>
        <v>148</v>
      </c>
      <c r="E330" s="87">
        <f>VLOOKUP(B330,'RW'!A1:C136,3,FALSE)</f>
        <v>70</v>
      </c>
      <c r="F330" t="s" s="88">
        <f>VLOOKUP(B330,'Player Data'!A1:B667,2,FALSE)</f>
        <v>137</v>
      </c>
      <c r="G330" s="91">
        <f>VLOOKUP(B330,'Player Data'!A1:D667,3,FALSE)</f>
        <v>36</v>
      </c>
      <c r="H330" s="73">
        <f>_xlfn.IFERROR(VLOOKUP(B330,'ADP'!A1:G665,7,FALSE)/1000000,VLOOKUP(B330,'ADP'!A1:G665,7,FALSE))</f>
        <v>4</v>
      </c>
      <c r="I330" s="74">
        <f>IF('Settings'!$E$15="POINTS",((R330*Q330)*'Settings'!$B$12)+(S330*'Settings'!$B$2)+(T330*'Settings'!$B$3)+(U330*'Settings'!$B$4)+(V330*'Settings'!$B$5)+(X330*'Settings'!$B$9)+(AA330*'Settings'!$B$6)+(W330*'Settings'!$B$8)+(AB330*'Settings'!$B$7)+(AC330*'Settings'!$B$14)+(AD330*'Settings'!$B$15)+(AE330*'Settings'!$B$16)+(AF330*'Settings'!$B$17)+(AG330*'Settings'!$B$18)+(Y330*'Settings'!$B$10)+(Z330*'Settings'!$B$11),VLOOKUP(B330,'Standard Deviations'!A1:C666,3,FALSE))</f>
        <v>221.997427776980</v>
      </c>
      <c r="J330" s="75">
        <f>IF(D330="G",I330/AJ330,I330/Q330)</f>
        <v>2.7936503841563</v>
      </c>
      <c r="K330" s="74">
        <f>IF('Settings'!$E$18="C/LW/RW",VLOOKUP(B330,'RW'!A1:F136,6,FALSE),VLOOKUP(B330,'F'!A1:F392,6,FALSE))</f>
        <v>-107.694466304198</v>
      </c>
      <c r="L330" s="76">
        <f>_xlfn.IFERROR(K330/H330,"N/A")</f>
        <v>-26.9236165760495</v>
      </c>
      <c r="M330" s="77">
        <f>IF('Settings'!$E$9="YAHOO",VLOOKUP(B330,'ADP'!A1:E665,2,FALSE),IF('Settings'!$E$9="ESPN",VLOOKUP(B330,'ADP'!A1:E665,3,FALSE),IF('Settings'!$E$9="FANTRAX",VLOOKUP(B330,'ADP'!A1:E665,4,FALSE),VLOOKUP(B330,'ADP'!A1:E665,5,FALSE))))</f>
        <v>0</v>
      </c>
      <c r="N330" s="77">
        <f>_xlfn.IFERROR(M330-A330,"N/A")</f>
        <v>-325</v>
      </c>
      <c r="O330" s="77"/>
      <c r="P330" t="s" s="78">
        <f>IF('Settings'!$E$27="ON",VLOOKUP(B330,'ADP'!A1:H665,8,FALSE)," ")</f>
        <v>138</v>
      </c>
      <c r="Q330" s="79">
        <f>IF('Settings'!$E$12="YES",VLOOKUP(B330,'Player Data'!A1:E667,5,FALSE),82)</f>
        <v>79.465</v>
      </c>
      <c r="R330" s="77">
        <f>VLOOKUP(B330,'Player Data'!$A1:$AE667,6,FALSE)</f>
        <v>14.9381481394196</v>
      </c>
      <c r="S330" s="79">
        <f>VLOOKUP(B330,'Player Data'!$A1:$AE667,7,FALSE)*$Q330*_xlfn.IFERROR((VLOOKUP(P330,'Settings'!$E$28:$F$33,2,FALSE)+1),1)</f>
        <v>15.9552199855196</v>
      </c>
      <c r="T330" s="79">
        <f>VLOOKUP(B330,'Player Data'!$A1:$AE667,8,FALSE)*$Q330*_xlfn.IFERROR((VLOOKUP(P330,'Settings'!$E$28:$F$33,2,FALSE)+1),1)</f>
        <v>24.0187505852067</v>
      </c>
      <c r="U330" s="79">
        <f>SUM(S330:T330)</f>
        <v>39.9739705707263</v>
      </c>
      <c r="V330" s="79">
        <f>VLOOKUP(B330,'Player Data'!$A1:$AE667,10,FALSE)*$Q330*_xlfn.IFERROR(((VLOOKUP(P330,'Settings'!$E$28:$F$33,2,FALSE)/2)+1),1)</f>
        <v>151.925815717851</v>
      </c>
      <c r="W330" s="79">
        <f>VLOOKUP(B330,'Player Data'!$A1:$AE667,11,FALSE)*$Q330*_xlfn.IFERROR((VLOOKUP(P330,'Settings'!$E$28:$F$33,2,FALSE)+1),1)</f>
        <v>4.61618120042325</v>
      </c>
      <c r="X330" s="79">
        <f>VLOOKUP(B330,'Player Data'!$A1:$AE667,12,FALSE)*$Q330*_xlfn.IFERROR((VLOOKUP(P330,'Settings'!$E$28:$F$33,2,FALSE)+1),1)</f>
        <v>12.4739863622574</v>
      </c>
      <c r="Y330" s="79">
        <f>VLOOKUP(B330,'Player Data'!$A1:$AE667,13,FALSE)*$Q330</f>
        <v>0.000449894298364311</v>
      </c>
      <c r="Z330" s="79">
        <f>VLOOKUP(B330,'Player Data'!$A1:$AE667,14,FALSE)*$Q330</f>
        <v>0.000776228620881566</v>
      </c>
      <c r="AA330" s="79">
        <f>VLOOKUP(B330,'Player Data'!$A1:$AE667,15,FALSE)*$Q330</f>
        <v>26.547388568520</v>
      </c>
      <c r="AB330" s="79">
        <f>VLOOKUP(B330,'Player Data'!$A1:$AE667,16,FALSE)*$Q330</f>
        <v>106.874963384638</v>
      </c>
      <c r="AC330" s="79">
        <f>VLOOKUP(B330,'Player Data'!$A1:$AE667,17,FALSE)*$Q330*_xlfn.IFERROR((VLOOKUP(P330,'Settings'!$E$28:$F$33,2,FALSE)+1),1)</f>
        <v>-0.626058145183892</v>
      </c>
      <c r="AD330" s="79">
        <f>VLOOKUP(B330,'Player Data'!$A1:$AE667,18,FALSE)*$Q330</f>
        <v>41.2989053521226</v>
      </c>
      <c r="AE330" s="79">
        <f>VLOOKUP(B330,'Player Data'!$A1:$AE667,19,FALSE)*$Q330*_xlfn.IFERROR((VLOOKUP(P330,'Settings'!$E$28:$F$33,2,FALSE)+1),1)</f>
        <v>2.47727509319691</v>
      </c>
      <c r="AF330" s="79">
        <f>VLOOKUP(B330,'Player Data'!$A1:$AE667,20,FALSE)*$Q330</f>
        <v>8.017981151827859</v>
      </c>
      <c r="AG330" s="79">
        <f>VLOOKUP(B330,'Player Data'!$A1:$AE667,21,FALSE)*$Q330</f>
        <v>17.7613098664121</v>
      </c>
      <c r="AH330" s="81">
        <f>VLOOKUP(B330,'Player Data'!$A1:$AE667,22,FALSE)</f>
        <v>0.311024114129236</v>
      </c>
      <c r="AI330" s="77"/>
      <c r="AJ330" s="79"/>
      <c r="AK330" s="79"/>
      <c r="AL330" s="79"/>
      <c r="AM330" s="79"/>
      <c r="AN330" s="79"/>
      <c r="AO330" s="79"/>
      <c r="AP330" s="79"/>
      <c r="AQ330" s="82"/>
      <c r="AR330" s="83"/>
      <c r="AS330" s="84"/>
    </row>
    <row r="331" ht="21.25" customHeight="1">
      <c r="A331" s="85">
        <f>RANK(K331,K$1:K$665)</f>
        <v>327</v>
      </c>
      <c r="B331" t="s" s="16">
        <v>520</v>
      </c>
      <c r="C331" t="s" s="69">
        <v>127</v>
      </c>
      <c r="D331" t="s" s="70">
        <f>VLOOKUP(B331,'Player Data'!A1:D667,4,FALSE)</f>
        <v>145</v>
      </c>
      <c r="E331" s="87">
        <f>VLOOKUP(B331,'RW'!A1:C136,3,FALSE)</f>
        <v>71</v>
      </c>
      <c r="F331" t="s" s="78">
        <f>VLOOKUP(B331,'Player Data'!A1:B667,2,FALSE)</f>
        <v>168</v>
      </c>
      <c r="G331" s="11">
        <f>VLOOKUP(B331,'Player Data'!A1:D667,3,FALSE)</f>
        <v>25</v>
      </c>
      <c r="H331" s="94">
        <f>_xlfn.IFERROR(VLOOKUP(B331,'ADP'!A1:G665,7,FALSE)/1000000,VLOOKUP(B331,'ADP'!A1:G665,7,FALSE))</f>
        <v>3.4375</v>
      </c>
      <c r="I331" s="74">
        <f>IF('Settings'!$E$15="POINTS",((R331*Q331)*'Settings'!$B$12)+(S331*'Settings'!$B$2)+(T331*'Settings'!$B$3)+(U331*'Settings'!$B$4)+(V331*'Settings'!$B$5)+(X331*'Settings'!$B$9)+(AA331*'Settings'!$B$6)+(W331*'Settings'!$B$8)+(AB331*'Settings'!$B$7)+(AC331*'Settings'!$B$14)+(AD331*'Settings'!$B$15)+(AE331*'Settings'!$B$16)+(AF331*'Settings'!$B$17)+(AG331*'Settings'!$B$18)+(Y331*'Settings'!$B$10)+(Z331*'Settings'!$B$11),VLOOKUP(B331,'Standard Deviations'!A1:C666,3,FALSE))</f>
        <v>221.649652624321</v>
      </c>
      <c r="J331" s="75">
        <f>IF(D331="G",I331/AJ331,I331/Q331)</f>
        <v>3.28345533848339</v>
      </c>
      <c r="K331" s="74">
        <f>IF('Settings'!$E$18="C/LW/RW",VLOOKUP(B331,'RW'!A1:F136,6,FALSE),VLOOKUP(B331,'F'!A1:F392,6,FALSE))</f>
        <v>-108.042241456857</v>
      </c>
      <c r="L331" s="76">
        <f>_xlfn.IFERROR(K331/H331,"N/A")</f>
        <v>-31.4304702419948</v>
      </c>
      <c r="M331" s="77">
        <f>IF('Settings'!$E$9="YAHOO",VLOOKUP(B331,'ADP'!A1:E665,2,FALSE),IF('Settings'!$E$9="ESPN",VLOOKUP(B331,'ADP'!A1:E665,3,FALSE),IF('Settings'!$E$9="FANTRAX",VLOOKUP(B331,'ADP'!A1:E665,4,FALSE),VLOOKUP(B331,'ADP'!A1:E665,5,FALSE))))</f>
        <v>0</v>
      </c>
      <c r="N331" s="77">
        <f>_xlfn.IFERROR(M331-A331,"N/A")</f>
        <v>-327</v>
      </c>
      <c r="O331" s="77"/>
      <c r="P331" t="s" s="78">
        <f>IF('Settings'!$E$27="ON",VLOOKUP(B331,'ADP'!A1:H665,8,FALSE)," ")</f>
        <v>138</v>
      </c>
      <c r="Q331" s="79">
        <f>IF('Settings'!$E$12="YES",VLOOKUP(B331,'Player Data'!A1:E667,5,FALSE),82)</f>
        <v>67.505</v>
      </c>
      <c r="R331" s="77">
        <f>VLOOKUP(B331,'Player Data'!$A1:$AE667,6,FALSE)</f>
        <v>16.7366974941929</v>
      </c>
      <c r="S331" s="79">
        <f>VLOOKUP(B331,'Player Data'!$A1:$AE667,7,FALSE)*$Q331*_xlfn.IFERROR((VLOOKUP(P331,'Settings'!$E$28:$F$33,2,FALSE)+1),1)</f>
        <v>27.296249990363</v>
      </c>
      <c r="T331" s="79">
        <f>VLOOKUP(B331,'Player Data'!$A1:$AE667,8,FALSE)*$Q331*_xlfn.IFERROR((VLOOKUP(P331,'Settings'!$E$28:$F$33,2,FALSE)+1),1)</f>
        <v>22.1569198889614</v>
      </c>
      <c r="U331" s="79">
        <f>SUM(S331:T331)</f>
        <v>49.4531698793244</v>
      </c>
      <c r="V331" s="79">
        <f>VLOOKUP(B331,'Player Data'!$A1:$AE667,10,FALSE)*$Q331*_xlfn.IFERROR(((VLOOKUP(P331,'Settings'!$E$28:$F$33,2,FALSE)/2)+1),1)</f>
        <v>156.395229272485</v>
      </c>
      <c r="W331" s="79">
        <f>VLOOKUP(B331,'Player Data'!$A1:$AE667,11,FALSE)*$Q331*_xlfn.IFERROR((VLOOKUP(P331,'Settings'!$E$28:$F$33,2,FALSE)+1),1)</f>
        <v>9.000851687912769</v>
      </c>
      <c r="X331" s="80">
        <f>VLOOKUP(B331,'Player Data'!$A1:$AE667,12,FALSE)*$Q331*_xlfn.IFERROR((VLOOKUP(P331,'Settings'!$E$28:$F$33,2,FALSE)+1),1)</f>
        <v>15.6772206227322</v>
      </c>
      <c r="Y331" s="79">
        <f>VLOOKUP(B331,'Player Data'!$A1:$AE667,13,FALSE)*$Q331</f>
        <v>0.0018812596528824</v>
      </c>
      <c r="Z331" s="79">
        <f>VLOOKUP(B331,'Player Data'!$A1:$AE667,14,FALSE)*$Q331</f>
        <v>0.00318231493991733</v>
      </c>
      <c r="AA331" s="79">
        <f>VLOOKUP(B331,'Player Data'!$A1:$AE667,15,FALSE)*$Q331</f>
        <v>34.7830120465319</v>
      </c>
      <c r="AB331" s="79">
        <f>VLOOKUP(B331,'Player Data'!$A1:$AE667,16,FALSE)*$Q331</f>
        <v>35.3717831431505</v>
      </c>
      <c r="AC331" s="79">
        <f>VLOOKUP(B331,'Player Data'!$A1:$AE667,17,FALSE)*$Q331*_xlfn.IFERROR((VLOOKUP(P331,'Settings'!$E$28:$F$33,2,FALSE)+1),1)</f>
        <v>2.66098621842018</v>
      </c>
      <c r="AD331" s="79">
        <f>VLOOKUP(B331,'Player Data'!$A1:$AE667,18,FALSE)*$Q331</f>
        <v>23.606209118333</v>
      </c>
      <c r="AE331" s="79">
        <f>VLOOKUP(B331,'Player Data'!$A1:$AE667,19,FALSE)*$Q331*_xlfn.IFERROR((VLOOKUP(P331,'Settings'!$E$28:$F$33,2,FALSE)+1),1)</f>
        <v>4.53736167848967</v>
      </c>
      <c r="AF331" s="79">
        <f>VLOOKUP(B331,'Player Data'!$A1:$AE667,20,FALSE)*$Q331</f>
        <v>53.3255134284312</v>
      </c>
      <c r="AG331" s="79">
        <f>VLOOKUP(B331,'Player Data'!$A1:$AE667,21,FALSE)*$Q331</f>
        <v>61.8993877302524</v>
      </c>
      <c r="AH331" s="81">
        <f>VLOOKUP(B331,'Player Data'!$A1:$AE667,22,FALSE)</f>
        <v>0.462795045968347</v>
      </c>
      <c r="AI331" s="77"/>
      <c r="AJ331" s="79"/>
      <c r="AK331" s="79"/>
      <c r="AL331" s="79"/>
      <c r="AM331" s="79"/>
      <c r="AN331" s="79"/>
      <c r="AO331" s="79"/>
      <c r="AP331" s="79"/>
      <c r="AQ331" s="82"/>
      <c r="AR331" s="83"/>
      <c r="AS331" s="84"/>
    </row>
    <row r="332" ht="21.25" customHeight="1">
      <c r="A332" s="85">
        <f>RANK(K332,K$1:K$665)</f>
        <v>337</v>
      </c>
      <c r="B332" t="s" s="16">
        <v>521</v>
      </c>
      <c r="C332" t="s" s="69">
        <v>127</v>
      </c>
      <c r="D332" t="s" s="70">
        <f>VLOOKUP(B332,'Player Data'!A1:D667,4,FALSE)</f>
        <v>136</v>
      </c>
      <c r="E332" s="87">
        <f>VLOOKUP(B332,'LW'!A1:C152,3,FALSE)</f>
        <v>79</v>
      </c>
      <c r="F332" t="s" s="86">
        <f>VLOOKUP(B332,'Player Data'!A1:B667,2,FALSE)</f>
        <v>174</v>
      </c>
      <c r="G332" s="91">
        <f>VLOOKUP(B332,'Player Data'!A1:D667,3,FALSE)</f>
        <v>35</v>
      </c>
      <c r="H332" s="73">
        <f>_xlfn.IFERROR(VLOOKUP(B332,'ADP'!A1:G665,7,FALSE)/1000000,VLOOKUP(B332,'ADP'!A1:G665,7,FALSE))</f>
        <v>4.5</v>
      </c>
      <c r="I332" s="74">
        <f>IF('Settings'!$E$15="POINTS",((R332*Q332)*'Settings'!$B$12)+(S332*'Settings'!$B$2)+(T332*'Settings'!$B$3)+(U332*'Settings'!$B$4)+(V332*'Settings'!$B$5)+(X332*'Settings'!$B$9)+(AA332*'Settings'!$B$6)+(W332*'Settings'!$B$8)+(AB332*'Settings'!$B$7)+(AC332*'Settings'!$B$14)+(AD332*'Settings'!$B$15)+(AE332*'Settings'!$B$16)+(AF332*'Settings'!$B$17)+(AG332*'Settings'!$B$18)+(Y332*'Settings'!$B$10)+(Z332*'Settings'!$B$11),VLOOKUP(B332,'Standard Deviations'!A1:C666,3,FALSE))</f>
        <v>221.567472567814</v>
      </c>
      <c r="J332" s="75">
        <f>IF(D332="G",I332/AJ332,I332/Q332)</f>
        <v>2.70105415784242</v>
      </c>
      <c r="K332" s="74">
        <f>IF('Settings'!$E$18="C/LW/RW",VLOOKUP(B332,'LW'!A1:F152,6,FALSE),VLOOKUP(B332,'F'!A1:F392,6,FALSE))</f>
        <v>-110.152639198398</v>
      </c>
      <c r="L332" s="76">
        <f>_xlfn.IFERROR(K332/H332,"N/A")</f>
        <v>-24.4783642663107</v>
      </c>
      <c r="M332" s="77">
        <f>IF('Settings'!$E$9="YAHOO",VLOOKUP(B332,'ADP'!A1:E665,2,FALSE),IF('Settings'!$E$9="ESPN",VLOOKUP(B332,'ADP'!A1:E665,3,FALSE),IF('Settings'!$E$9="FANTRAX",VLOOKUP(B332,'ADP'!A1:E665,4,FALSE),VLOOKUP(B332,'ADP'!A1:E665,5,FALSE))))</f>
        <v>0</v>
      </c>
      <c r="N332" s="77">
        <f>_xlfn.IFERROR(M332-A332,"N/A")</f>
        <v>-337</v>
      </c>
      <c r="O332" s="77"/>
      <c r="P332" t="s" s="78">
        <f>IF('Settings'!$E$27="ON",VLOOKUP(B332,'ADP'!A1:H665,8,FALSE)," ")</f>
        <v>138</v>
      </c>
      <c r="Q332" s="79">
        <f>IF('Settings'!$E$12="YES",VLOOKUP(B332,'Player Data'!A1:E667,5,FALSE),82)</f>
        <v>82.03</v>
      </c>
      <c r="R332" s="77">
        <f>VLOOKUP(B332,'Player Data'!$A1:$AE667,6,FALSE)</f>
        <v>18.3645587074452</v>
      </c>
      <c r="S332" s="79">
        <f>VLOOKUP(B332,'Player Data'!$A1:$AE667,7,FALSE)*$Q332*_xlfn.IFERROR((VLOOKUP(P332,'Settings'!$E$28:$F$33,2,FALSE)+1),1)</f>
        <v>12.8482741488115</v>
      </c>
      <c r="T332" s="79">
        <f>VLOOKUP(B332,'Player Data'!$A1:$AE667,8,FALSE)*$Q332*_xlfn.IFERROR((VLOOKUP(P332,'Settings'!$E$28:$F$33,2,FALSE)+1),1)</f>
        <v>24.8156271980217</v>
      </c>
      <c r="U332" s="79">
        <f>SUM(S332:T332)</f>
        <v>37.6639013468332</v>
      </c>
      <c r="V332" s="79">
        <f>VLOOKUP(B332,'Player Data'!$A1:$AE667,10,FALSE)*$Q332*_xlfn.IFERROR(((VLOOKUP(P332,'Settings'!$E$28:$F$33,2,FALSE)/2)+1),1)</f>
        <v>207.926635136616</v>
      </c>
      <c r="W332" s="79">
        <f>VLOOKUP(B332,'Player Data'!$A1:$AE667,11,FALSE)*$Q332*_xlfn.IFERROR((VLOOKUP(P332,'Settings'!$E$28:$F$33,2,FALSE)+1),1)</f>
        <v>1.7873096751772</v>
      </c>
      <c r="X332" s="79">
        <f>VLOOKUP(B332,'Player Data'!$A1:$AE667,12,FALSE)*$Q332*_xlfn.IFERROR((VLOOKUP(P332,'Settings'!$E$28:$F$33,2,FALSE)+1),1)</f>
        <v>4.80025899021181</v>
      </c>
      <c r="Y332" s="79">
        <f>VLOOKUP(B332,'Player Data'!$A1:$AE667,13,FALSE)*$Q332</f>
        <v>0.729033055646511</v>
      </c>
      <c r="Z332" s="79">
        <f>VLOOKUP(B332,'Player Data'!$A1:$AE667,14,FALSE)*$Q332</f>
        <v>2.05723463927104</v>
      </c>
      <c r="AA332" s="79">
        <f>VLOOKUP(B332,'Player Data'!$A1:$AE667,15,FALSE)*$Q332</f>
        <v>34.1944564605517</v>
      </c>
      <c r="AB332" s="79">
        <f>VLOOKUP(B332,'Player Data'!$A1:$AE667,16,FALSE)*$Q332</f>
        <v>75.9219294403778</v>
      </c>
      <c r="AC332" s="79">
        <f>VLOOKUP(B332,'Player Data'!$A1:$AE667,17,FALSE)*$Q332*_xlfn.IFERROR((VLOOKUP(P332,'Settings'!$E$28:$F$33,2,FALSE)+1),1)</f>
        <v>-1.45706397636895</v>
      </c>
      <c r="AD332" s="79">
        <f>VLOOKUP(B332,'Player Data'!$A1:$AE667,18,FALSE)*$Q332</f>
        <v>31.3001299832372</v>
      </c>
      <c r="AE332" s="79">
        <f>VLOOKUP(B332,'Player Data'!$A1:$AE667,19,FALSE)*$Q332*_xlfn.IFERROR((VLOOKUP(P332,'Settings'!$E$28:$F$33,2,FALSE)+1),1)</f>
        <v>1.86664581356805</v>
      </c>
      <c r="AF332" s="79">
        <f>VLOOKUP(B332,'Player Data'!$A1:$AE667,20,FALSE)*$Q332</f>
        <v>730.7034737670321</v>
      </c>
      <c r="AG332" s="79">
        <f>VLOOKUP(B332,'Player Data'!$A1:$AE667,21,FALSE)*$Q332</f>
        <v>715.085867285731</v>
      </c>
      <c r="AH332" s="81">
        <f>VLOOKUP(B332,'Player Data'!$A1:$AE667,22,FALSE)</f>
        <v>0.505401065714708</v>
      </c>
      <c r="AI332" s="77"/>
      <c r="AJ332" s="89"/>
      <c r="AK332" s="79"/>
      <c r="AL332" s="79"/>
      <c r="AM332" s="79"/>
      <c r="AN332" s="79"/>
      <c r="AO332" s="79"/>
      <c r="AP332" s="79"/>
      <c r="AQ332" s="82"/>
      <c r="AR332" s="83"/>
      <c r="AS332" s="84"/>
    </row>
    <row r="333" ht="21.25" customHeight="1">
      <c r="A333" s="85">
        <f>RANK(K333,K$1:K$665)</f>
        <v>312</v>
      </c>
      <c r="B333" t="s" s="16">
        <v>522</v>
      </c>
      <c r="C333" t="s" s="69">
        <v>127</v>
      </c>
      <c r="D333" t="s" s="70">
        <f>VLOOKUP(B333,'Player Data'!A1:D667,4,FALSE)</f>
        <v>153</v>
      </c>
      <c r="E333" s="95">
        <f>VLOOKUP(B333,'D'!A1:C213,3,FALSE)</f>
        <v>104</v>
      </c>
      <c r="F333" t="s" s="86">
        <f>VLOOKUP(B333,'Player Data'!A1:B667,2,FALSE)</f>
        <v>165</v>
      </c>
      <c r="G333" s="11">
        <f>VLOOKUP(B333,'Player Data'!A1:D667,3,FALSE)</f>
        <v>27</v>
      </c>
      <c r="H333" s="73">
        <f>_xlfn.IFERROR(VLOOKUP(B333,'ADP'!A1:G665,7,FALSE)/1000000,VLOOKUP(B333,'ADP'!A1:G665,7,FALSE))</f>
        <v>3.75</v>
      </c>
      <c r="I333" s="74">
        <f>IF('Settings'!$E$15="POINTS",((R333*Q333)*'Settings'!$B$12)+(S333*'Settings'!$B$2)+(T333*'Settings'!$B$3)+(U333*'Settings'!$B$4)+(V333*'Settings'!$B$5)+(X333*'Settings'!$B$9)+(AA333*'Settings'!$B$6)+(W333*'Settings'!$B$8)+(AB333*'Settings'!$B$7)+(AC333*'Settings'!$B$14)+(AD333*'Settings'!$B$15)+(AE333*'Settings'!$B$16)+(AF333*'Settings'!$B$17)+(AG333*'Settings'!$B$18)+(U333*'Settings'!$B$13)+(Y333*'Settings'!$B$10)+(Z333*'Settings'!$B$11),VLOOKUP(B333,'Standard Deviations'!A1:C666,3,FALSE))</f>
        <v>228.242650497652</v>
      </c>
      <c r="J333" s="75">
        <f>IF(D333="G",I333/AJ333,I333/Q333)</f>
        <v>3.06078383395001</v>
      </c>
      <c r="K333" s="74">
        <f>VLOOKUP(B333,'D'!A1:F213,6,FALSE)</f>
        <v>-103.297557422430</v>
      </c>
      <c r="L333" s="76">
        <f>_xlfn.IFERROR(K333/H333,"N/A")</f>
        <v>-27.546015312648</v>
      </c>
      <c r="M333" s="109">
        <f>IF('Settings'!$E$9="YAHOO",VLOOKUP(B333,'ADP'!A1:E665,2,FALSE),IF('Settings'!$E$9="ESPN",VLOOKUP(B333,'ADP'!A1:E665,3,FALSE),IF('Settings'!$E$9="FANTRAX",VLOOKUP(B333,'ADP'!A1:E665,4,FALSE),VLOOKUP(B333,'ADP'!A1:E665,5,FALSE))))</f>
        <v>0</v>
      </c>
      <c r="N333" s="79">
        <f>_xlfn.IFERROR(M333-A333,"N/A")</f>
        <v>-312</v>
      </c>
      <c r="O333" s="77"/>
      <c r="P333" t="s" s="78">
        <f>IF('Settings'!$E$27="ON",VLOOKUP(B333,'ADP'!A1:H665,8,FALSE)," ")</f>
        <v>138</v>
      </c>
      <c r="Q333" s="79">
        <f>IF('Settings'!$E$12="YES",VLOOKUP(B333,'Player Data'!A1:E667,5,FALSE),82)</f>
        <v>74.56999999999999</v>
      </c>
      <c r="R333" s="98">
        <f>VLOOKUP(B333,'Player Data'!$A1:$AE667,6,FALSE)</f>
        <v>20.5039308213532</v>
      </c>
      <c r="S333" s="79">
        <f>VLOOKUP(B333,'Player Data'!$A1:$AE667,7,FALSE)*$Q333*_xlfn.IFERROR((VLOOKUP(P333,'Settings'!$E$28:$F$33,2,FALSE)+1),1)</f>
        <v>4.19666050488046</v>
      </c>
      <c r="T333" s="79">
        <f>VLOOKUP(B333,'Player Data'!$A1:$AE667,8,FALSE)*$Q333*_xlfn.IFERROR((VLOOKUP(P333,'Settings'!$E$28:$F$33,2,FALSE)+1),1)</f>
        <v>19.9408859664889</v>
      </c>
      <c r="U333" s="79">
        <f>SUM(S333:T333)</f>
        <v>24.1375464713694</v>
      </c>
      <c r="V333" s="79">
        <f>VLOOKUP(B333,'Player Data'!$A1:$AE667,10,FALSE)*$Q333*_xlfn.IFERROR(((VLOOKUP(P333,'Settings'!$E$28:$F$33,2,FALSE)/2)+1),1)</f>
        <v>89.59474378443601</v>
      </c>
      <c r="W333" s="79">
        <f>VLOOKUP(B333,'Player Data'!$A1:$AE667,11,FALSE)*$Q333*_xlfn.IFERROR((VLOOKUP(P333,'Settings'!$E$28:$F$33,2,FALSE)+1),1)</f>
        <v>0.127755660454495</v>
      </c>
      <c r="X333" s="79">
        <f>VLOOKUP(B333,'Player Data'!$A1:$AE667,12,FALSE)*$Q333*_xlfn.IFERROR((VLOOKUP(P333,'Settings'!$E$28:$F$33,2,FALSE)+1),1)</f>
        <v>0.796452304571624</v>
      </c>
      <c r="Y333" s="79">
        <f>VLOOKUP(B333,'Player Data'!$A1:$AE667,13,FALSE)*$Q333</f>
        <v>0.493112696316133</v>
      </c>
      <c r="Z333" s="79">
        <f>VLOOKUP(B333,'Player Data'!$A1:$AE667,14,FALSE)*$Q333</f>
        <v>0.764409068532484</v>
      </c>
      <c r="AA333" s="79">
        <f>VLOOKUP(B333,'Player Data'!$A1:$AE667,15,FALSE)*$Q333</f>
        <v>142.471707932583</v>
      </c>
      <c r="AB333" s="79">
        <f>VLOOKUP(B333,'Player Data'!$A1:$AE667,16,FALSE)*$Q333</f>
        <v>83.23008621748841</v>
      </c>
      <c r="AC333" s="79">
        <f>VLOOKUP(B333,'Player Data'!$A1:$AE667,17,FALSE)*$Q333*_xlfn.IFERROR((VLOOKUP(P333,'Settings'!$E$28:$F$33,2,FALSE)+1),1)</f>
        <v>0.176979946782567</v>
      </c>
      <c r="AD333" s="79">
        <f>VLOOKUP(B333,'Player Data'!$A1:$AE667,18,FALSE)*$Q333</f>
        <v>46.1077193185707</v>
      </c>
      <c r="AE333" s="79">
        <f>VLOOKUP(B333,'Player Data'!$A1:$AE667,19,FALSE)*$Q333*_xlfn.IFERROR((VLOOKUP(P333,'Settings'!$E$28:$F$33,2,FALSE)+1),1)</f>
        <v>0.594216995566593</v>
      </c>
      <c r="AF333" s="79">
        <f>VLOOKUP(B333,'Player Data'!$A1:$AE667,20,FALSE)*$Q333</f>
        <v>0</v>
      </c>
      <c r="AG333" s="79">
        <f>VLOOKUP(B333,'Player Data'!$A1:$AE667,21,FALSE)*$Q333</f>
        <v>0.168929088677486</v>
      </c>
      <c r="AH333" s="81">
        <f>VLOOKUP(B333,'Player Data'!$A1:$AE667,22,FALSE)</f>
        <v>0</v>
      </c>
      <c r="AI333" s="77"/>
      <c r="AJ333" s="79"/>
      <c r="AK333" s="79"/>
      <c r="AL333" s="79"/>
      <c r="AM333" s="79"/>
      <c r="AN333" s="79"/>
      <c r="AO333" s="79"/>
      <c r="AP333" s="79"/>
      <c r="AQ333" s="82"/>
      <c r="AR333" s="83"/>
      <c r="AS333" s="84"/>
    </row>
    <row r="334" ht="21.25" customHeight="1">
      <c r="A334" s="85">
        <f>RANK(K334,K$1:K$665)</f>
        <v>331</v>
      </c>
      <c r="B334" t="s" s="16">
        <v>523</v>
      </c>
      <c r="C334" t="s" s="69">
        <v>127</v>
      </c>
      <c r="D334" t="s" s="70">
        <f>VLOOKUP(B334,'Player Data'!A1:D667,4,FALSE)</f>
        <v>145</v>
      </c>
      <c r="E334" s="87">
        <f>VLOOKUP(B334,'RW'!A1:C136,3,FALSE)</f>
        <v>72</v>
      </c>
      <c r="F334" t="s" s="104">
        <f>VLOOKUP(B334,'Player Data'!A1:B667,2,FALSE)</f>
        <v>333</v>
      </c>
      <c r="G334" s="91">
        <f>VLOOKUP(B334,'Player Data'!A1:D667,3,FALSE)</f>
        <v>32</v>
      </c>
      <c r="H334" s="94">
        <f>_xlfn.IFERROR(VLOOKUP(B334,'ADP'!A1:G665,7,FALSE)/1000000,VLOOKUP(B334,'ADP'!A1:G665,7,FALSE))</f>
        <v>5</v>
      </c>
      <c r="I334" s="74">
        <f>IF('Settings'!$E$15="POINTS",((R334*Q334)*'Settings'!$B$12)+(S334*'Settings'!$B$2)+(T334*'Settings'!$B$3)+(U334*'Settings'!$B$4)+(V334*'Settings'!$B$5)+(X334*'Settings'!$B$9)+(AA334*'Settings'!$B$6)+(W334*'Settings'!$B$8)+(AB334*'Settings'!$B$7)+(AC334*'Settings'!$B$14)+(AD334*'Settings'!$B$15)+(AE334*'Settings'!$B$16)+(AF334*'Settings'!$B$17)+(AG334*'Settings'!$B$18)+(Y334*'Settings'!$B$10)+(Z334*'Settings'!$B$11),VLOOKUP(B334,'Standard Deviations'!A1:C666,3,FALSE))</f>
        <v>220.676404546592</v>
      </c>
      <c r="J334" s="75">
        <f>IF(D334="G",I334/AJ334,I334/Q334)</f>
        <v>2.78948811207928</v>
      </c>
      <c r="K334" s="74">
        <f>IF('Settings'!$E$18="C/LW/RW",VLOOKUP(B334,'RW'!A1:F136,6,FALSE),VLOOKUP(B334,'F'!A1:F392,6,FALSE))</f>
        <v>-109.015489534586</v>
      </c>
      <c r="L334" s="76">
        <f>_xlfn.IFERROR(K334/H334,"N/A")</f>
        <v>-21.8030979069172</v>
      </c>
      <c r="M334" s="109">
        <f>IF('Settings'!$E$9="YAHOO",VLOOKUP(B334,'ADP'!A1:E665,2,FALSE),IF('Settings'!$E$9="ESPN",VLOOKUP(B334,'ADP'!A1:E665,3,FALSE),IF('Settings'!$E$9="FANTRAX",VLOOKUP(B334,'ADP'!A1:E665,4,FALSE),VLOOKUP(B334,'ADP'!A1:E665,5,FALSE))))</f>
        <v>0</v>
      </c>
      <c r="N334" s="79">
        <f>_xlfn.IFERROR(M334-A334,"N/A")</f>
        <v>-331</v>
      </c>
      <c r="O334" s="77"/>
      <c r="P334" t="s" s="78">
        <f>IF('Settings'!$E$27="ON",VLOOKUP(B334,'ADP'!A1:H665,8,FALSE)," ")</f>
        <v>138</v>
      </c>
      <c r="Q334" s="79">
        <f>IF('Settings'!$E$12="YES",VLOOKUP(B334,'Player Data'!A1:E667,5,FALSE),82)</f>
        <v>79.11</v>
      </c>
      <c r="R334" s="108">
        <f>VLOOKUP(B334,'Player Data'!$A1:$AE667,6,FALSE)</f>
        <v>18.0642889983873</v>
      </c>
      <c r="S334" s="79">
        <f>VLOOKUP(B334,'Player Data'!$A1:$AE667,7,FALSE)*$Q334*_xlfn.IFERROR((VLOOKUP(P334,'Settings'!$E$28:$F$33,2,FALSE)+1),1)</f>
        <v>10.3291185019667</v>
      </c>
      <c r="T334" s="79">
        <f>VLOOKUP(B334,'Player Data'!$A1:$AE667,8,FALSE)*$Q334*_xlfn.IFERROR((VLOOKUP(P334,'Settings'!$E$28:$F$33,2,FALSE)+1),1)</f>
        <v>35.5604816349311</v>
      </c>
      <c r="U334" s="79">
        <f>SUM(S334:T334)</f>
        <v>45.8896001368978</v>
      </c>
      <c r="V334" s="79">
        <f>VLOOKUP(B334,'Player Data'!$A1:$AE667,10,FALSE)*$Q334*_xlfn.IFERROR(((VLOOKUP(P334,'Settings'!$E$28:$F$33,2,FALSE)/2)+1),1)</f>
        <v>122.753558655324</v>
      </c>
      <c r="W334" s="79">
        <f>VLOOKUP(B334,'Player Data'!$A1:$AE667,11,FALSE)*$Q334*_xlfn.IFERROR((VLOOKUP(P334,'Settings'!$E$28:$F$33,2,FALSE)+1),1)</f>
        <v>1.17972971485723</v>
      </c>
      <c r="X334" s="79">
        <f>VLOOKUP(B334,'Player Data'!$A1:$AE667,12,FALSE)*$Q334*_xlfn.IFERROR((VLOOKUP(P334,'Settings'!$E$28:$F$33,2,FALSE)+1),1)</f>
        <v>13.4928867796314</v>
      </c>
      <c r="Y334" s="79">
        <f>VLOOKUP(B334,'Player Data'!$A1:$AE667,13,FALSE)*$Q334</f>
        <v>0.08087221877215291</v>
      </c>
      <c r="Z334" s="79">
        <f>VLOOKUP(B334,'Player Data'!$A1:$AE667,14,FALSE)*$Q334</f>
        <v>0.701297742907611</v>
      </c>
      <c r="AA334" s="79">
        <f>VLOOKUP(B334,'Player Data'!$A1:$AE667,15,FALSE)*$Q334</f>
        <v>56.6883814539515</v>
      </c>
      <c r="AB334" s="79">
        <f>VLOOKUP(B334,'Player Data'!$A1:$AE667,16,FALSE)*$Q334</f>
        <v>65.7107362813028</v>
      </c>
      <c r="AC334" s="79">
        <f>VLOOKUP(B334,'Player Data'!$A1:$AE667,17,FALSE)*$Q334*_xlfn.IFERROR((VLOOKUP(P334,'Settings'!$E$28:$F$33,2,FALSE)+1),1)</f>
        <v>-9.53404397461796</v>
      </c>
      <c r="AD334" s="79">
        <f>VLOOKUP(B334,'Player Data'!$A1:$AE667,18,FALSE)*$Q334</f>
        <v>31.2224540765376</v>
      </c>
      <c r="AE334" s="79">
        <f>VLOOKUP(B334,'Player Data'!$A1:$AE667,19,FALSE)*$Q334*_xlfn.IFERROR((VLOOKUP(P334,'Settings'!$E$28:$F$33,2,FALSE)+1),1)</f>
        <v>1.10325443749009</v>
      </c>
      <c r="AF334" s="79">
        <f>VLOOKUP(B334,'Player Data'!$A1:$AE667,20,FALSE)*$Q334</f>
        <v>439.512585841490</v>
      </c>
      <c r="AG334" s="79">
        <f>VLOOKUP(B334,'Player Data'!$A1:$AE667,21,FALSE)*$Q334</f>
        <v>512.450749827959</v>
      </c>
      <c r="AH334" s="81">
        <f>VLOOKUP(B334,'Player Data'!$A1:$AE667,22,FALSE)</f>
        <v>0.461690665357833</v>
      </c>
      <c r="AI334" s="77"/>
      <c r="AJ334" s="89"/>
      <c r="AK334" s="79"/>
      <c r="AL334" s="79"/>
      <c r="AM334" s="79"/>
      <c r="AN334" s="79"/>
      <c r="AO334" s="79"/>
      <c r="AP334" s="79"/>
      <c r="AQ334" s="82"/>
      <c r="AR334" s="83"/>
      <c r="AS334" s="84"/>
    </row>
    <row r="335" ht="21.25" customHeight="1">
      <c r="A335" s="85">
        <f>RANK(K335,K$1:K$665)</f>
        <v>362</v>
      </c>
      <c r="B335" t="s" s="16">
        <v>524</v>
      </c>
      <c r="C335" t="s" s="69">
        <v>127</v>
      </c>
      <c r="D335" t="s" s="70">
        <f>VLOOKUP(B335,'Player Data'!A1:D667,4,FALSE)</f>
        <v>128</v>
      </c>
      <c r="E335" s="71">
        <f>VLOOKUP(B335,'C'!A1:C206,3,FALSE)</f>
        <v>111</v>
      </c>
      <c r="F335" t="s" s="107">
        <f>VLOOKUP(B335,'Player Data'!A1:B667,2,FALSE)</f>
        <v>279</v>
      </c>
      <c r="G335" s="96">
        <f>VLOOKUP(B335,'Player Data'!A1:D667,3,FALSE)</f>
        <v>19</v>
      </c>
      <c r="H335" s="73">
        <f>_xlfn.IFERROR(VLOOKUP(B335,'ADP'!A1:G665,7,FALSE)/1000000,VLOOKUP(B335,'ADP'!A1:G665,7,FALSE))</f>
        <v>0.95</v>
      </c>
      <c r="I335" s="74">
        <f>IF('Settings'!$E$15="POINTS",((R335*Q335)*'Settings'!$B$12)+(S335*'Settings'!$B$2)+(T335*'Settings'!$B$3)+(U335*'Settings'!$B$4)+(V335*'Settings'!$B$5)+(X335*'Settings'!$B$9)+(AA335*'Settings'!$B$6)+(W335*'Settings'!$B$8)+(AB335*'Settings'!$B$7)+(AC335*'Settings'!$B$14)+(AD335*'Settings'!$B$15)+(AE335*'Settings'!$B$16)+(AF335*'Settings'!$B$17)+(AG335*'Settings'!$B$18)+(Y335*'Settings'!$B$10)+(Z335*'Settings'!$B$11),VLOOKUP(B335,'Standard Deviations'!A1:C666,3,FALSE))</f>
        <v>215.356966527661</v>
      </c>
      <c r="J335" s="75">
        <f>IF(D335="G",I335/AJ335,I335/Q335)</f>
        <v>3.04069137349327</v>
      </c>
      <c r="K335" s="74">
        <f>IF('Settings'!$E$18="C/LW/RW",VLOOKUP(B335,'C'!A1:F206,6,FALSE),VLOOKUP(B335,'F'!A1:F392,6,FALSE))</f>
        <v>-114.334927553517</v>
      </c>
      <c r="L335" s="76">
        <f>_xlfn.IFERROR(K335/H335,"N/A")</f>
        <v>-120.352555319492</v>
      </c>
      <c r="M335" s="109">
        <f>IF('Settings'!$E$9="YAHOO",VLOOKUP(B335,'ADP'!A1:E665,2,FALSE),IF('Settings'!$E$9="ESPN",VLOOKUP(B335,'ADP'!A1:E665,3,FALSE),IF('Settings'!$E$9="FANTRAX",VLOOKUP(B335,'ADP'!A1:E665,4,FALSE),VLOOKUP(B335,'ADP'!A1:E665,5,FALSE))))</f>
        <v>0</v>
      </c>
      <c r="N335" s="79">
        <f>_xlfn.IFERROR(M335-A335,"N/A")</f>
        <v>-362</v>
      </c>
      <c r="O335" s="77"/>
      <c r="P335" t="s" s="78">
        <f>IF('Settings'!$E$27="ON",VLOOKUP(B335,'ADP'!A1:H665,8,FALSE)," ")</f>
        <v>138</v>
      </c>
      <c r="Q335" s="79">
        <f>IF('Settings'!$E$12="YES",VLOOKUP(B335,'Player Data'!A1:E667,5,FALSE),82)</f>
        <v>70.825</v>
      </c>
      <c r="R335" s="77">
        <f>VLOOKUP(B335,'Player Data'!$A1:$AE667,6,FALSE)</f>
        <v>19.0729387377393</v>
      </c>
      <c r="S335" s="79">
        <f>VLOOKUP(B335,'Player Data'!$A1:$AE667,7,FALSE)*$Q335*_xlfn.IFERROR((VLOOKUP(P335,'Settings'!$E$28:$F$33,2,FALSE)+1),1)</f>
        <v>21.4000816560005</v>
      </c>
      <c r="T335" s="79">
        <f>VLOOKUP(B335,'Player Data'!$A1:$AE667,8,FALSE)*$Q335*_xlfn.IFERROR((VLOOKUP(P335,'Settings'!$E$28:$F$33,2,FALSE)+1),1)</f>
        <v>30.7505889944539</v>
      </c>
      <c r="U335" s="79">
        <f>SUM(S335:T335)</f>
        <v>52.1506706504544</v>
      </c>
      <c r="V335" s="79">
        <f>VLOOKUP(B335,'Player Data'!$A1:$AE667,10,FALSE)*$Q335*_xlfn.IFERROR(((VLOOKUP(P335,'Settings'!$E$28:$F$33,2,FALSE)/2)+1),1)</f>
        <v>161.617008612665</v>
      </c>
      <c r="W335" s="79">
        <f>VLOOKUP(B335,'Player Data'!$A1:$AE667,11,FALSE)*$Q335*_xlfn.IFERROR((VLOOKUP(P335,'Settings'!$E$28:$F$33,2,FALSE)+1),1)</f>
        <v>5.41148429961545</v>
      </c>
      <c r="X335" s="80">
        <f>VLOOKUP(B335,'Player Data'!$A1:$AE667,12,FALSE)*$Q335*_xlfn.IFERROR((VLOOKUP(P335,'Settings'!$E$28:$F$33,2,FALSE)+1),1)</f>
        <v>16.2451112823941</v>
      </c>
      <c r="Y335" s="79">
        <f>VLOOKUP(B335,'Player Data'!$A1:$AE667,13,FALSE)*$Q335</f>
        <v>0.112511680264854</v>
      </c>
      <c r="Z335" s="79">
        <f>VLOOKUP(B335,'Player Data'!$A1:$AE667,14,FALSE)*$Q335</f>
        <v>0.18841960902195</v>
      </c>
      <c r="AA335" s="79">
        <f>VLOOKUP(B335,'Player Data'!$A1:$AE667,15,FALSE)*$Q335</f>
        <v>33.5520812013963</v>
      </c>
      <c r="AB335" s="79">
        <f>VLOOKUP(B335,'Player Data'!$A1:$AE667,16,FALSE)*$Q335</f>
        <v>41.3411014828571</v>
      </c>
      <c r="AC335" s="79">
        <f>VLOOKUP(B335,'Player Data'!$A1:$AE667,17,FALSE)*$Q335*_xlfn.IFERROR((VLOOKUP(P335,'Settings'!$E$28:$F$33,2,FALSE)+1),1)</f>
        <v>-5.07588337221644</v>
      </c>
      <c r="AD335" s="79">
        <f>VLOOKUP(B335,'Player Data'!$A1:$AE667,18,FALSE)*$Q335</f>
        <v>27.510788291606</v>
      </c>
      <c r="AE335" s="79">
        <f>VLOOKUP(B335,'Player Data'!$A1:$AE667,19,FALSE)*$Q335*_xlfn.IFERROR((VLOOKUP(P335,'Settings'!$E$28:$F$33,2,FALSE)+1),1)</f>
        <v>2.49438387345109</v>
      </c>
      <c r="AF335" s="79">
        <f>VLOOKUP(B335,'Player Data'!$A1:$AE667,20,FALSE)*$Q335</f>
        <v>264.466549657211</v>
      </c>
      <c r="AG335" s="79">
        <f>VLOOKUP(B335,'Player Data'!$A1:$AE667,21,FALSE)*$Q335</f>
        <v>496.383370125842</v>
      </c>
      <c r="AH335" s="81">
        <f>VLOOKUP(B335,'Player Data'!$A1:$AE667,22,FALSE)</f>
        <v>0.347593582887701</v>
      </c>
      <c r="AI335" s="77"/>
      <c r="AJ335" s="79"/>
      <c r="AK335" s="79"/>
      <c r="AL335" s="79"/>
      <c r="AM335" s="79"/>
      <c r="AN335" s="79"/>
      <c r="AO335" s="79"/>
      <c r="AP335" s="79"/>
      <c r="AQ335" s="82"/>
      <c r="AR335" s="83"/>
      <c r="AS335" s="84"/>
    </row>
    <row r="336" ht="21.25" customHeight="1">
      <c r="A336" s="85">
        <f>RANK(K336,K$1:K$665)</f>
        <v>334</v>
      </c>
      <c r="B336" t="s" s="16">
        <v>525</v>
      </c>
      <c r="C336" t="s" s="69">
        <v>127</v>
      </c>
      <c r="D336" t="s" s="70">
        <f>VLOOKUP(B336,'Player Data'!A1:D667,4,FALSE)</f>
        <v>148</v>
      </c>
      <c r="E336" s="87">
        <f>VLOOKUP(B336,'RW'!A1:C136,3,FALSE)</f>
        <v>73</v>
      </c>
      <c r="F336" t="s" s="106">
        <f>VLOOKUP(B336,'Player Data'!A1:B667,2,FALSE)</f>
        <v>242</v>
      </c>
      <c r="G336" s="11">
        <f>VLOOKUP(B336,'Player Data'!A1:D667,3,FALSE)</f>
        <v>24</v>
      </c>
      <c r="H336" s="73">
        <f>_xlfn.IFERROR(VLOOKUP(B336,'ADP'!A1:G665,7,FALSE)/1000000,VLOOKUP(B336,'ADP'!A1:G665,7,FALSE))</f>
        <v>5</v>
      </c>
      <c r="I336" s="74">
        <f>IF('Settings'!$E$15="POINTS",((R336*Q336)*'Settings'!$B$12)+(S336*'Settings'!$B$2)+(T336*'Settings'!$B$3)+(U336*'Settings'!$B$4)+(V336*'Settings'!$B$5)+(X336*'Settings'!$B$9)+(AA336*'Settings'!$B$6)+(W336*'Settings'!$B$8)+(AB336*'Settings'!$B$7)+(AC336*'Settings'!$B$14)+(AD336*'Settings'!$B$15)+(AE336*'Settings'!$B$16)+(AF336*'Settings'!$B$17)+(AG336*'Settings'!$B$18)+(Y336*'Settings'!$B$10)+(Z336*'Settings'!$B$11),VLOOKUP(B336,'Standard Deviations'!A1:C666,3,FALSE))</f>
        <v>220.316196157354</v>
      </c>
      <c r="J336" s="75">
        <f>IF(D336="G",I336/AJ336,I336/Q336)</f>
        <v>2.74948453959009</v>
      </c>
      <c r="K336" s="74">
        <f>IF('Settings'!$E$18="C/LW/RW",VLOOKUP(B336,'RW'!A1:F136,6,FALSE),VLOOKUP(B336,'F'!A1:F392,6,FALSE))</f>
        <v>-109.375697923824</v>
      </c>
      <c r="L336" s="76">
        <f>_xlfn.IFERROR(K336/H336,"N/A")</f>
        <v>-21.8751395847648</v>
      </c>
      <c r="M336" s="109">
        <f>IF('Settings'!$E$9="YAHOO",VLOOKUP(B336,'ADP'!A1:E665,2,FALSE),IF('Settings'!$E$9="ESPN",VLOOKUP(B336,'ADP'!A1:E665,3,FALSE),IF('Settings'!$E$9="FANTRAX",VLOOKUP(B336,'ADP'!A1:E665,4,FALSE),VLOOKUP(B336,'ADP'!A1:E665,5,FALSE))))</f>
        <v>0</v>
      </c>
      <c r="N336" s="79">
        <f>_xlfn.IFERROR(M336-A336,"N/A")</f>
        <v>-334</v>
      </c>
      <c r="O336" s="77"/>
      <c r="P336" t="s" s="78">
        <f>IF('Settings'!$E$27="ON",VLOOKUP(B336,'ADP'!A1:H665,8,FALSE)," ")</f>
        <v>138</v>
      </c>
      <c r="Q336" s="79">
        <f>IF('Settings'!$E$12="YES",VLOOKUP(B336,'Player Data'!A1:E667,5,FALSE),82)</f>
        <v>80.13</v>
      </c>
      <c r="R336" s="77">
        <f>VLOOKUP(B336,'Player Data'!$A1:$AE667,6,FALSE)</f>
        <v>15.378085962399</v>
      </c>
      <c r="S336" s="79">
        <f>VLOOKUP(B336,'Player Data'!$A1:$AE667,7,FALSE)*$Q336*_xlfn.IFERROR((VLOOKUP(P336,'Settings'!$E$28:$F$33,2,FALSE)+1),1)</f>
        <v>18.5648404194216</v>
      </c>
      <c r="T336" s="79">
        <f>VLOOKUP(B336,'Player Data'!$A1:$AE667,8,FALSE)*$Q336*_xlfn.IFERROR((VLOOKUP(P336,'Settings'!$E$28:$F$33,2,FALSE)+1),1)</f>
        <v>24.9700500658727</v>
      </c>
      <c r="U336" s="79">
        <f>SUM(S336:T336)</f>
        <v>43.5348904852943</v>
      </c>
      <c r="V336" s="79">
        <f>VLOOKUP(B336,'Player Data'!$A1:$AE667,10,FALSE)*$Q336*_xlfn.IFERROR(((VLOOKUP(P336,'Settings'!$E$28:$F$33,2,FALSE)/2)+1),1)</f>
        <v>156.516461421121</v>
      </c>
      <c r="W336" s="79">
        <f>VLOOKUP(B336,'Player Data'!$A1:$AE667,11,FALSE)*$Q336*_xlfn.IFERROR((VLOOKUP(P336,'Settings'!$E$28:$F$33,2,FALSE)+1),1)</f>
        <v>1.49549675083158</v>
      </c>
      <c r="X336" s="79">
        <f>VLOOKUP(B336,'Player Data'!$A1:$AE667,12,FALSE)*$Q336*_xlfn.IFERROR((VLOOKUP(P336,'Settings'!$E$28:$F$33,2,FALSE)+1),1)</f>
        <v>5.06388936061899</v>
      </c>
      <c r="Y336" s="79">
        <f>VLOOKUP(B336,'Player Data'!$A1:$AE667,13,FALSE)*$Q336</f>
        <v>0.0222878580282081</v>
      </c>
      <c r="Z336" s="79">
        <f>VLOOKUP(B336,'Player Data'!$A1:$AE667,14,FALSE)*$Q336</f>
        <v>0.028476092407573</v>
      </c>
      <c r="AA336" s="79">
        <f>VLOOKUP(B336,'Player Data'!$A1:$AE667,15,FALSE)*$Q336</f>
        <v>43.7027160676623</v>
      </c>
      <c r="AB336" s="79">
        <f>VLOOKUP(B336,'Player Data'!$A1:$AE667,16,FALSE)*$Q336</f>
        <v>66.7165347597236</v>
      </c>
      <c r="AC336" s="79">
        <f>VLOOKUP(B336,'Player Data'!$A1:$AE667,17,FALSE)*$Q336*_xlfn.IFERROR((VLOOKUP(P336,'Settings'!$E$28:$F$33,2,FALSE)+1),1)</f>
        <v>-2.72571225403167</v>
      </c>
      <c r="AD336" s="79">
        <f>VLOOKUP(B336,'Player Data'!$A1:$AE667,18,FALSE)*$Q336</f>
        <v>33.0006040372577</v>
      </c>
      <c r="AE336" s="79">
        <f>VLOOKUP(B336,'Player Data'!$A1:$AE667,19,FALSE)*$Q336*_xlfn.IFERROR((VLOOKUP(P336,'Settings'!$E$28:$F$33,2,FALSE)+1),1)</f>
        <v>2.69096483772805</v>
      </c>
      <c r="AF336" s="79">
        <f>VLOOKUP(B336,'Player Data'!$A1:$AE667,20,FALSE)*$Q336</f>
        <v>27.7493340612861</v>
      </c>
      <c r="AG336" s="79">
        <f>VLOOKUP(B336,'Player Data'!$A1:$AE667,21,FALSE)*$Q336</f>
        <v>51.6537832145137</v>
      </c>
      <c r="AH336" s="81">
        <f>VLOOKUP(B336,'Player Data'!$A1:$AE667,22,FALSE)</f>
        <v>0.349474114031332</v>
      </c>
      <c r="AI336" s="77"/>
      <c r="AJ336" s="79"/>
      <c r="AK336" s="79"/>
      <c r="AL336" s="79"/>
      <c r="AM336" s="79"/>
      <c r="AN336" s="79"/>
      <c r="AO336" s="79"/>
      <c r="AP336" s="79"/>
      <c r="AQ336" s="82"/>
      <c r="AR336" s="83"/>
      <c r="AS336" s="84"/>
    </row>
    <row r="337" ht="21.25" customHeight="1">
      <c r="A337" s="85">
        <f>RANK(K337,K$1:K$665)</f>
        <v>316</v>
      </c>
      <c r="B337" t="s" s="16">
        <v>526</v>
      </c>
      <c r="C337" t="s" s="69">
        <v>127</v>
      </c>
      <c r="D337" t="s" s="70">
        <f>VLOOKUP(B337,'Player Data'!A1:D667,4,FALSE)</f>
        <v>153</v>
      </c>
      <c r="E337" s="95">
        <f>VLOOKUP(B337,'D'!A1:C213,3,FALSE)</f>
        <v>105</v>
      </c>
      <c r="F337" t="s" s="103">
        <f>VLOOKUP(B337,'Player Data'!A1:B667,2,FALSE)</f>
        <v>190</v>
      </c>
      <c r="G337" s="11">
        <f>VLOOKUP(B337,'Player Data'!A1:D667,3,FALSE)</f>
        <v>30</v>
      </c>
      <c r="H337" s="73">
        <f>_xlfn.IFERROR(VLOOKUP(B337,'ADP'!A1:G665,7,FALSE)/1000000,VLOOKUP(B337,'ADP'!A1:G665,7,FALSE))</f>
        <v>5.75</v>
      </c>
      <c r="I337" s="74">
        <f>IF('Settings'!$E$15="POINTS",((R337*Q337)*'Settings'!$B$12)+(S337*'Settings'!$B$2)+(T337*'Settings'!$B$3)+(U337*'Settings'!$B$4)+(V337*'Settings'!$B$5)+(X337*'Settings'!$B$9)+(AA337*'Settings'!$B$6)+(W337*'Settings'!$B$8)+(AB337*'Settings'!$B$7)+(AC337*'Settings'!$B$14)+(AD337*'Settings'!$B$15)+(AE337*'Settings'!$B$16)+(AF337*'Settings'!$B$17)+(AG337*'Settings'!$B$18)+(U337*'Settings'!$B$13)+(Y337*'Settings'!$B$10)+(Z337*'Settings'!$B$11),VLOOKUP(B337,'Standard Deviations'!A1:C666,3,FALSE))</f>
        <v>226.918142812568</v>
      </c>
      <c r="J337" s="75">
        <f>IF(D337="G",I337/AJ337,I337/Q337)</f>
        <v>3.04659675511117</v>
      </c>
      <c r="K337" s="74">
        <f>VLOOKUP(B337,'D'!A1:F213,6,FALSE)</f>
        <v>-104.622065107514</v>
      </c>
      <c r="L337" s="76">
        <f>_xlfn.IFERROR(K337/H337,"N/A")</f>
        <v>-18.1951417578285</v>
      </c>
      <c r="M337" s="109">
        <f>IF('Settings'!$E$9="YAHOO",VLOOKUP(B337,'ADP'!A1:E665,2,FALSE),IF('Settings'!$E$9="ESPN",VLOOKUP(B337,'ADP'!A1:E665,3,FALSE),IF('Settings'!$E$9="FANTRAX",VLOOKUP(B337,'ADP'!A1:E665,4,FALSE),VLOOKUP(B337,'ADP'!A1:E665,5,FALSE))))</f>
        <v>0</v>
      </c>
      <c r="N337" s="79">
        <f>_xlfn.IFERROR(M337-A337,"N/A")</f>
        <v>-316</v>
      </c>
      <c r="O337" s="77"/>
      <c r="P337" t="s" s="78">
        <f>IF('Settings'!$E$27="ON",VLOOKUP(B337,'ADP'!A1:H665,8,FALSE)," ")</f>
        <v>138</v>
      </c>
      <c r="Q337" s="79">
        <f>IF('Settings'!$E$12="YES",VLOOKUP(B337,'Player Data'!A1:E667,5,FALSE),82)</f>
        <v>74.4825</v>
      </c>
      <c r="R337" s="77">
        <f>VLOOKUP(B337,'Player Data'!$A1:$AE667,6,FALSE)</f>
        <v>20.394251483606</v>
      </c>
      <c r="S337" s="79">
        <f>VLOOKUP(B337,'Player Data'!$A1:$AE667,7,FALSE)*$Q337*_xlfn.IFERROR((VLOOKUP(P337,'Settings'!$E$28:$F$33,2,FALSE)+1),1)</f>
        <v>3.70258948688316</v>
      </c>
      <c r="T337" s="79">
        <f>VLOOKUP(B337,'Player Data'!$A1:$AE667,8,FALSE)*$Q337*_xlfn.IFERROR((VLOOKUP(P337,'Settings'!$E$28:$F$33,2,FALSE)+1),1)</f>
        <v>19.0033429977072</v>
      </c>
      <c r="U337" s="79">
        <f>SUM(S337:T337)</f>
        <v>22.7059324845904</v>
      </c>
      <c r="V337" s="79">
        <f>VLOOKUP(B337,'Player Data'!$A1:$AE667,10,FALSE)*$Q337*_xlfn.IFERROR(((VLOOKUP(P337,'Settings'!$E$28:$F$33,2,FALSE)/2)+1),1)</f>
        <v>96.4242868301629</v>
      </c>
      <c r="W337" s="79">
        <f>VLOOKUP(B337,'Player Data'!$A1:$AE667,11,FALSE)*$Q337*_xlfn.IFERROR((VLOOKUP(P337,'Settings'!$E$28:$F$33,2,FALSE)+1),1)</f>
        <v>0.018128131534234</v>
      </c>
      <c r="X337" s="79">
        <f>VLOOKUP(B337,'Player Data'!$A1:$AE667,12,FALSE)*$Q337*_xlfn.IFERROR((VLOOKUP(P337,'Settings'!$E$28:$F$33,2,FALSE)+1),1)</f>
        <v>0.119788410043227</v>
      </c>
      <c r="Y337" s="79">
        <f>VLOOKUP(B337,'Player Data'!$A1:$AE667,13,FALSE)*$Q337</f>
        <v>0.0315492406082334</v>
      </c>
      <c r="Z337" s="79">
        <f>VLOOKUP(B337,'Player Data'!$A1:$AE667,14,FALSE)*$Q337</f>
        <v>1.34245922174775</v>
      </c>
      <c r="AA337" s="79">
        <f>VLOOKUP(B337,'Player Data'!$A1:$AE667,15,FALSE)*$Q337</f>
        <v>137.180828031674</v>
      </c>
      <c r="AB337" s="79">
        <f>VLOOKUP(B337,'Player Data'!$A1:$AE667,16,FALSE)*$Q337</f>
        <v>88.1959092174143</v>
      </c>
      <c r="AC337" s="79">
        <f>VLOOKUP(B337,'Player Data'!$A1:$AE667,17,FALSE)*$Q337*_xlfn.IFERROR((VLOOKUP(P337,'Settings'!$E$28:$F$33,2,FALSE)+1),1)</f>
        <v>1.94770881450823</v>
      </c>
      <c r="AD337" s="79">
        <f>VLOOKUP(B337,'Player Data'!$A1:$AE667,18,FALSE)*$Q337</f>
        <v>36.1752705693453</v>
      </c>
      <c r="AE337" s="79">
        <f>VLOOKUP(B337,'Player Data'!$A1:$AE667,19,FALSE)*$Q337*_xlfn.IFERROR((VLOOKUP(P337,'Settings'!$E$28:$F$33,2,FALSE)+1),1)</f>
        <v>0.581895032551589</v>
      </c>
      <c r="AF337" s="79">
        <f>VLOOKUP(B337,'Player Data'!$A1:$AE667,20,FALSE)*$Q337</f>
        <v>0</v>
      </c>
      <c r="AG337" s="79">
        <f>VLOOKUP(B337,'Player Data'!$A1:$AE667,21,FALSE)*$Q337</f>
        <v>0</v>
      </c>
      <c r="AH337" s="81">
        <f>VLOOKUP(B337,'Player Data'!$A1:$AE667,22,FALSE)</f>
        <v>0</v>
      </c>
      <c r="AI337" s="77"/>
      <c r="AJ337" s="79"/>
      <c r="AK337" s="79"/>
      <c r="AL337" s="79"/>
      <c r="AM337" s="79"/>
      <c r="AN337" s="79"/>
      <c r="AO337" s="79"/>
      <c r="AP337" s="79"/>
      <c r="AQ337" s="82"/>
      <c r="AR337" s="83"/>
      <c r="AS337" s="84"/>
    </row>
    <row r="338" ht="21.25" customHeight="1">
      <c r="A338" s="85">
        <f>RANK(K338,K$1:K$665)</f>
        <v>305</v>
      </c>
      <c r="B338" t="s" s="16">
        <v>527</v>
      </c>
      <c r="C338" t="s" s="69">
        <v>127</v>
      </c>
      <c r="D338" t="s" s="70">
        <f>VLOOKUP(B338,'Player Data'!A1:D667,4,FALSE)</f>
        <v>161</v>
      </c>
      <c r="E338" s="99">
        <f>VLOOKUP(B338,'G'!A1:D65,3,FALSE)</f>
        <v>42</v>
      </c>
      <c r="F338" t="s" s="92">
        <f>VLOOKUP(B338,'Player Data'!A1:B667,2,FALSE)</f>
        <v>264</v>
      </c>
      <c r="G338" s="11">
        <f>VLOOKUP(B338,'Player Data'!A1:D667,3,FALSE)</f>
        <v>28</v>
      </c>
      <c r="H338" s="94">
        <f>_xlfn.IFERROR(VLOOKUP(B338,'ADP'!A1:G665,7,FALSE)/1000000,VLOOKUP(B338,'ADP'!A1:G665,7,FALSE))</f>
        <v>2.725</v>
      </c>
      <c r="I338" s="74">
        <f>IF('Settings'!$E$15="POINTS",(AJ338*'Settings'!$B$29)+(AK338*'Settings'!$B$21)+(AL338*'Settings'!$B$22)+(AN338*'Settings'!$B$24)+(AO338*'Settings'!$B$25)+(AP338*'Settings'!$B$27)+(AM338*'Settings'!$B$23),VLOOKUP(B338,'Standard Deviations'!A1:C666,3,FALSE))</f>
        <v>166.464111078932</v>
      </c>
      <c r="J338" s="75">
        <f>IF(D338="G",I338/AJ338,I338/Q338)</f>
        <v>5.20200347121663</v>
      </c>
      <c r="K338" s="74">
        <f>VLOOKUP(B338,'G'!A1:F65,6,FALSE)</f>
        <v>-101.126903485658</v>
      </c>
      <c r="L338" s="76">
        <f>_xlfn.IFERROR(K338/H338,"N/A")</f>
        <v>-37.1107902699662</v>
      </c>
      <c r="M338" s="77">
        <f>IF('Settings'!$E$9="YAHOO",VLOOKUP(B338,'ADP'!A1:E665,2,FALSE),IF('Settings'!$E$9="ESPN",VLOOKUP(B338,'ADP'!A1:E665,3,FALSE),IF('Settings'!$E$9="FANTRAX",VLOOKUP(B338,'ADP'!A1:E665,4,FALSE),VLOOKUP(B338,'ADP'!A1:E665,5,FALSE))))</f>
        <v>0</v>
      </c>
      <c r="N338" s="77">
        <f>_xlfn.IFERROR(M338-A338,"N/A")</f>
        <v>-305</v>
      </c>
      <c r="O338" s="77"/>
      <c r="P338" t="s" s="78">
        <f>IF('Settings'!$E$27="ON",VLOOKUP(B338,'ADP'!A1:H665,8,FALSE)," ")</f>
        <v>138</v>
      </c>
      <c r="Q338" s="79"/>
      <c r="R338" s="77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81"/>
      <c r="AI338" s="77"/>
      <c r="AJ338" s="89">
        <f>VLOOKUP(B338,'Player Data'!$A1:$AE667,24,FALSE)</f>
        <v>32</v>
      </c>
      <c r="AK338" s="79">
        <f>VLOOKUP(B338,'Player Data'!$A1:$AE667,25,FALSE)*$AJ338*_xlfn.IFERROR((VLOOKUP(P338,'Settings'!$E$28:$F$33,2,FALSE)+1),1)</f>
        <v>15.898930285305</v>
      </c>
      <c r="AL338" s="79">
        <f>AJ338-AK338-AM338</f>
        <v>12.101069714695</v>
      </c>
      <c r="AM338" s="79">
        <f>VLOOKUP(B338,'Player Data'!$A1:$AE667,27,FALSE)*$AJ338</f>
        <v>4</v>
      </c>
      <c r="AN338" s="79">
        <f>VLOOKUP(B338,'Player Data'!$A1:$AE667,28,FALSE)*AJ338</f>
        <v>1.27984595158866</v>
      </c>
      <c r="AO338" s="79">
        <f>VLOOKUP(B338,'Player Data'!$A1:$AE667,29,FALSE)*$AJ338*_xlfn.IFERROR((VLOOKUP(P338,'Settings'!$E$28:$F$33,2,FALSE)/4)+1,1)</f>
        <v>880.125518088573</v>
      </c>
      <c r="AP338" s="79">
        <f>VLOOKUP(B338,'Player Data'!$A1:$AE667,31,FALSE)*$AJ338*(_xlfn.IFERROR(1-(VLOOKUP(P338,'Settings'!$E$28:$F$33,2,FALSE)/4),1))</f>
        <v>96.67704308381759</v>
      </c>
      <c r="AQ338" s="82">
        <f>1-(AP338/(AO338+AP338))</f>
        <v>0.90102703767711</v>
      </c>
      <c r="AR338" s="83">
        <f>AP338/AJ338</f>
        <v>3.0211575963693</v>
      </c>
      <c r="AS338" s="84"/>
    </row>
    <row r="339" ht="21.25" customHeight="1">
      <c r="A339" s="85">
        <f>RANK(K339,K$1:K$665)</f>
        <v>338</v>
      </c>
      <c r="B339" t="s" s="16">
        <v>528</v>
      </c>
      <c r="C339" t="s" s="69">
        <v>127</v>
      </c>
      <c r="D339" t="s" s="70">
        <f>VLOOKUP(B339,'Player Data'!A1:D667,4,FALSE)</f>
        <v>148</v>
      </c>
      <c r="E339" s="87">
        <f>VLOOKUP(B339,'RW'!A1:C136,3,FALSE)</f>
        <v>74</v>
      </c>
      <c r="F339" t="s" s="104">
        <f>VLOOKUP(B339,'Player Data'!A1:B667,2,FALSE)</f>
        <v>333</v>
      </c>
      <c r="G339" s="11">
        <f>VLOOKUP(B339,'Player Data'!A1:D667,3,FALSE)</f>
        <v>25</v>
      </c>
      <c r="H339" s="94">
        <f>_xlfn.IFERROR(VLOOKUP(B339,'ADP'!A1:G665,7,FALSE)/1000000,VLOOKUP(B339,'ADP'!A1:G665,7,FALSE))</f>
        <v>1.45</v>
      </c>
      <c r="I339" s="74">
        <f>IF('Settings'!$E$15="POINTS",((R339*Q339)*'Settings'!$B$12)+(S339*'Settings'!$B$2)+(T339*'Settings'!$B$3)+(U339*'Settings'!$B$4)+(V339*'Settings'!$B$5)+(X339*'Settings'!$B$9)+(AA339*'Settings'!$B$6)+(W339*'Settings'!$B$8)+(AB339*'Settings'!$B$7)+(AC339*'Settings'!$B$14)+(AD339*'Settings'!$B$15)+(AE339*'Settings'!$B$16)+(AF339*'Settings'!$B$17)+(AG339*'Settings'!$B$18)+(Y339*'Settings'!$B$10)+(Z339*'Settings'!$B$11),VLOOKUP(B339,'Standard Deviations'!A1:C666,3,FALSE))</f>
        <v>219.202922653151</v>
      </c>
      <c r="J339" s="75">
        <f>IF(D339="G",I339/AJ339,I339/Q339)</f>
        <v>2.85541306741982</v>
      </c>
      <c r="K339" s="74">
        <f>IF('Settings'!$E$18="C/LW/RW",VLOOKUP(B339,'RW'!A1:F136,6,FALSE),VLOOKUP(B339,'F'!A1:F392,6,FALSE))</f>
        <v>-110.488971428027</v>
      </c>
      <c r="L339" s="76">
        <f>_xlfn.IFERROR(K339/H339,"N/A")</f>
        <v>-76.1992906400186</v>
      </c>
      <c r="M339" s="109">
        <f>IF('Settings'!$E$9="YAHOO",VLOOKUP(B339,'ADP'!A1:E665,2,FALSE),IF('Settings'!$E$9="ESPN",VLOOKUP(B339,'ADP'!A1:E665,3,FALSE),IF('Settings'!$E$9="FANTRAX",VLOOKUP(B339,'ADP'!A1:E665,4,FALSE),VLOOKUP(B339,'ADP'!A1:E665,5,FALSE))))</f>
        <v>0</v>
      </c>
      <c r="N339" s="79">
        <f>_xlfn.IFERROR(M339-A339,"N/A")</f>
        <v>-338</v>
      </c>
      <c r="O339" s="77"/>
      <c r="P339" t="s" s="78">
        <f>IF('Settings'!$E$27="ON",VLOOKUP(B339,'ADP'!A1:H665,8,FALSE)," ")</f>
        <v>138</v>
      </c>
      <c r="Q339" s="79">
        <f>IF('Settings'!$E$12="YES",VLOOKUP(B339,'Player Data'!A1:E667,5,FALSE),82)</f>
        <v>76.7675</v>
      </c>
      <c r="R339" s="108">
        <f>VLOOKUP(B339,'Player Data'!$A1:$AE667,6,FALSE)</f>
        <v>16.1113148583475</v>
      </c>
      <c r="S339" s="79">
        <f>VLOOKUP(B339,'Player Data'!$A1:$AE667,7,FALSE)*$Q339*_xlfn.IFERROR((VLOOKUP(P339,'Settings'!$E$28:$F$33,2,FALSE)+1),1)</f>
        <v>15.7921898624697</v>
      </c>
      <c r="T339" s="79">
        <f>VLOOKUP(B339,'Player Data'!$A1:$AE667,8,FALSE)*$Q339*_xlfn.IFERROR((VLOOKUP(P339,'Settings'!$E$28:$F$33,2,FALSE)+1),1)</f>
        <v>19.6406532499116</v>
      </c>
      <c r="U339" s="79">
        <f>SUM(S339:T339)</f>
        <v>35.4328431123813</v>
      </c>
      <c r="V339" s="79">
        <f>VLOOKUP(B339,'Player Data'!$A1:$AE667,10,FALSE)*$Q339*_xlfn.IFERROR(((VLOOKUP(P339,'Settings'!$E$28:$F$33,2,FALSE)/2)+1),1)</f>
        <v>166.033698776496</v>
      </c>
      <c r="W339" s="79">
        <f>VLOOKUP(B339,'Player Data'!$A1:$AE667,11,FALSE)*$Q339*_xlfn.IFERROR((VLOOKUP(P339,'Settings'!$E$28:$F$33,2,FALSE)+1),1)</f>
        <v>3.89947866069805</v>
      </c>
      <c r="X339" s="79">
        <f>VLOOKUP(B339,'Player Data'!$A1:$AE667,12,FALSE)*$Q339*_xlfn.IFERROR((VLOOKUP(P339,'Settings'!$E$28:$F$33,2,FALSE)+1),1)</f>
        <v>10.4826889816454</v>
      </c>
      <c r="Y339" s="79">
        <f>VLOOKUP(B339,'Player Data'!$A1:$AE667,13,FALSE)*$Q339</f>
        <v>0.255941743575818</v>
      </c>
      <c r="Z339" s="79">
        <f>VLOOKUP(B339,'Player Data'!$A1:$AE667,14,FALSE)*$Q339</f>
        <v>0.29129400358661</v>
      </c>
      <c r="AA339" s="79">
        <f>VLOOKUP(B339,'Player Data'!$A1:$AE667,15,FALSE)*$Q339</f>
        <v>49.8140814569956</v>
      </c>
      <c r="AB339" s="79">
        <f>VLOOKUP(B339,'Player Data'!$A1:$AE667,16,FALSE)*$Q339</f>
        <v>85.5180710124712</v>
      </c>
      <c r="AC339" s="79">
        <f>VLOOKUP(B339,'Player Data'!$A1:$AE667,17,FALSE)*$Q339*_xlfn.IFERROR((VLOOKUP(P339,'Settings'!$E$28:$F$33,2,FALSE)+1),1)</f>
        <v>-9.70402861297082</v>
      </c>
      <c r="AD339" s="79">
        <f>VLOOKUP(B339,'Player Data'!$A1:$AE667,18,FALSE)*$Q339</f>
        <v>25.8321788195549</v>
      </c>
      <c r="AE339" s="79">
        <f>VLOOKUP(B339,'Player Data'!$A1:$AE667,19,FALSE)*$Q339*_xlfn.IFERROR((VLOOKUP(P339,'Settings'!$E$28:$F$33,2,FALSE)+1),1)</f>
        <v>1.68676577194251</v>
      </c>
      <c r="AF339" s="79">
        <f>VLOOKUP(B339,'Player Data'!$A1:$AE667,20,FALSE)*$Q339</f>
        <v>23.0890507269793</v>
      </c>
      <c r="AG339" s="79">
        <f>VLOOKUP(B339,'Player Data'!$A1:$AE667,21,FALSE)*$Q339</f>
        <v>39.2707644441414</v>
      </c>
      <c r="AH339" s="81">
        <f>VLOOKUP(B339,'Player Data'!$A1:$AE667,22,FALSE)</f>
        <v>0.370255278397169</v>
      </c>
      <c r="AI339" s="77"/>
      <c r="AJ339" s="89"/>
      <c r="AK339" s="79"/>
      <c r="AL339" s="79"/>
      <c r="AM339" s="79"/>
      <c r="AN339" s="79"/>
      <c r="AO339" s="79"/>
      <c r="AP339" s="79"/>
      <c r="AQ339" s="82"/>
      <c r="AR339" s="83"/>
      <c r="AS339" s="84"/>
    </row>
    <row r="340" ht="21.25" customHeight="1">
      <c r="A340" s="85">
        <f>RANK(K340,K$1:K$665)</f>
        <v>363</v>
      </c>
      <c r="B340" t="s" s="16">
        <v>529</v>
      </c>
      <c r="C340" t="s" s="69">
        <v>127</v>
      </c>
      <c r="D340" t="s" s="70">
        <f>VLOOKUP(B340,'Player Data'!A1:D667,4,FALSE)</f>
        <v>128</v>
      </c>
      <c r="E340" s="71">
        <f>VLOOKUP(B340,'C'!A1:C206,3,FALSE)</f>
        <v>112</v>
      </c>
      <c r="F340" t="s" s="103">
        <f>VLOOKUP(B340,'Player Data'!A1:B667,2,FALSE)</f>
        <v>227</v>
      </c>
      <c r="G340" s="11">
        <f>VLOOKUP(B340,'Player Data'!A1:D667,3,FALSE)</f>
        <v>24</v>
      </c>
      <c r="H340" s="73">
        <f>_xlfn.IFERROR(VLOOKUP(B340,'ADP'!A1:G665,7,FALSE)/1000000,VLOOKUP(B340,'ADP'!A1:G665,7,FALSE))</f>
        <v>4.82</v>
      </c>
      <c r="I340" s="74">
        <f>IF('Settings'!$E$15="POINTS",((R340*Q340)*'Settings'!$B$12)+(S340*'Settings'!$B$2)+(T340*'Settings'!$B$3)+(U340*'Settings'!$B$4)+(V340*'Settings'!$B$5)+(X340*'Settings'!$B$9)+(AA340*'Settings'!$B$6)+(W340*'Settings'!$B$8)+(AB340*'Settings'!$B$7)+(AC340*'Settings'!$B$14)+(AD340*'Settings'!$B$15)+(AE340*'Settings'!$B$16)+(AF340*'Settings'!$B$17)+(AG340*'Settings'!$B$18)+(Y340*'Settings'!$B$10)+(Z340*'Settings'!$B$11),VLOOKUP(B340,'Standard Deviations'!A1:C666,3,FALSE))</f>
        <v>213.727177902738</v>
      </c>
      <c r="J340" s="75">
        <f>IF(D340="G",I340/AJ340,I340/Q340)</f>
        <v>2.67501708943006</v>
      </c>
      <c r="K340" s="74">
        <f>IF('Settings'!$E$18="C/LW/RW",VLOOKUP(B340,'C'!A1:F206,6,FALSE),VLOOKUP(B340,'F'!A1:F392,6,FALSE))</f>
        <v>-115.964716178440</v>
      </c>
      <c r="L340" s="76">
        <f>_xlfn.IFERROR(K340/H340,"N/A")</f>
        <v>-24.0590697465643</v>
      </c>
      <c r="M340" s="109">
        <f>IF('Settings'!$E$9="YAHOO",VLOOKUP(B340,'ADP'!A1:E665,2,FALSE),IF('Settings'!$E$9="ESPN",VLOOKUP(B340,'ADP'!A1:E665,3,FALSE),IF('Settings'!$E$9="FANTRAX",VLOOKUP(B340,'ADP'!A1:E665,4,FALSE),VLOOKUP(B340,'ADP'!A1:E665,5,FALSE))))</f>
        <v>0</v>
      </c>
      <c r="N340" s="79">
        <f>_xlfn.IFERROR(M340-A340,"N/A")</f>
        <v>-363</v>
      </c>
      <c r="O340" s="77"/>
      <c r="P340" t="s" s="78">
        <f>IF('Settings'!$E$27="ON",VLOOKUP(B340,'ADP'!A1:H665,8,FALSE)," ")</f>
        <v>138</v>
      </c>
      <c r="Q340" s="79">
        <f>IF('Settings'!$E$12="YES",VLOOKUP(B340,'Player Data'!A1:E667,5,FALSE),82)</f>
        <v>79.89749999999999</v>
      </c>
      <c r="R340" s="98">
        <f>VLOOKUP(B340,'Player Data'!$A1:$AE667,6,FALSE)</f>
        <v>15.2328253859641</v>
      </c>
      <c r="S340" s="79">
        <f>VLOOKUP(B340,'Player Data'!$A1:$AE667,7,FALSE)*$Q340*_xlfn.IFERROR((VLOOKUP(P340,'Settings'!$E$28:$F$33,2,FALSE)+1),1)</f>
        <v>16.9935327263539</v>
      </c>
      <c r="T340" s="79">
        <f>VLOOKUP(B340,'Player Data'!$A1:$AE667,8,FALSE)*$Q340*_xlfn.IFERROR((VLOOKUP(P340,'Settings'!$E$28:$F$33,2,FALSE)+1),1)</f>
        <v>22.9131112123997</v>
      </c>
      <c r="U340" s="79">
        <f>SUM(S340:T340)</f>
        <v>39.9066439387536</v>
      </c>
      <c r="V340" s="79">
        <f>VLOOKUP(B340,'Player Data'!$A1:$AE667,10,FALSE)*$Q340*_xlfn.IFERROR(((VLOOKUP(P340,'Settings'!$E$28:$F$33,2,FALSE)/2)+1),1)</f>
        <v>145.6153728683</v>
      </c>
      <c r="W340" s="79">
        <f>VLOOKUP(B340,'Player Data'!$A1:$AE667,11,FALSE)*$Q340*_xlfn.IFERROR((VLOOKUP(P340,'Settings'!$E$28:$F$33,2,FALSE)+1),1)</f>
        <v>2.23141379991579</v>
      </c>
      <c r="X340" s="79">
        <f>VLOOKUP(B340,'Player Data'!$A1:$AE667,12,FALSE)*$Q340*_xlfn.IFERROR((VLOOKUP(P340,'Settings'!$E$28:$F$33,2,FALSE)+1),1)</f>
        <v>7.15656033044764</v>
      </c>
      <c r="Y340" s="79">
        <f>VLOOKUP(B340,'Player Data'!$A1:$AE667,13,FALSE)*$Q340</f>
        <v>0.16917906236839</v>
      </c>
      <c r="Z340" s="79">
        <f>VLOOKUP(B340,'Player Data'!$A1:$AE667,14,FALSE)*$Q340</f>
        <v>0.415410844363403</v>
      </c>
      <c r="AA340" s="79">
        <f>VLOOKUP(B340,'Player Data'!$A1:$AE667,15,FALSE)*$Q340</f>
        <v>33.2527881069871</v>
      </c>
      <c r="AB340" s="79">
        <f>VLOOKUP(B340,'Player Data'!$A1:$AE667,16,FALSE)*$Q340</f>
        <v>82.3861009896857</v>
      </c>
      <c r="AC340" s="79">
        <f>VLOOKUP(B340,'Player Data'!$A1:$AE667,17,FALSE)*$Q340*_xlfn.IFERROR((VLOOKUP(P340,'Settings'!$E$28:$F$33,2,FALSE)+1),1)</f>
        <v>5.42103941810382</v>
      </c>
      <c r="AD340" s="79">
        <f>VLOOKUP(B340,'Player Data'!$A1:$AE667,18,FALSE)*$Q340</f>
        <v>42.4349883029367</v>
      </c>
      <c r="AE340" s="79">
        <f>VLOOKUP(B340,'Player Data'!$A1:$AE667,19,FALSE)*$Q340*_xlfn.IFERROR((VLOOKUP(P340,'Settings'!$E$28:$F$33,2,FALSE)+1),1)</f>
        <v>2.94473427948894</v>
      </c>
      <c r="AF340" s="79">
        <f>VLOOKUP(B340,'Player Data'!$A1:$AE667,20,FALSE)*$Q340</f>
        <v>374.974955610711</v>
      </c>
      <c r="AG340" s="79">
        <f>VLOOKUP(B340,'Player Data'!$A1:$AE667,21,FALSE)*$Q340</f>
        <v>354.197198419398</v>
      </c>
      <c r="AH340" s="81">
        <f>VLOOKUP(B340,'Player Data'!$A1:$AE667,22,FALSE)</f>
        <v>0.514247497711258</v>
      </c>
      <c r="AI340" s="77"/>
      <c r="AJ340" s="79"/>
      <c r="AK340" s="79"/>
      <c r="AL340" s="79"/>
      <c r="AM340" s="79"/>
      <c r="AN340" s="79"/>
      <c r="AO340" s="79"/>
      <c r="AP340" s="79"/>
      <c r="AQ340" s="82"/>
      <c r="AR340" s="83"/>
      <c r="AS340" s="84"/>
    </row>
    <row r="341" ht="21.25" customHeight="1">
      <c r="A341" s="85">
        <f>RANK(K341,K$1:K$665)</f>
        <v>319</v>
      </c>
      <c r="B341" t="s" s="16">
        <v>530</v>
      </c>
      <c r="C341" t="s" s="69">
        <v>127</v>
      </c>
      <c r="D341" t="s" s="70">
        <f>VLOOKUP(B341,'Player Data'!A1:D667,4,FALSE)</f>
        <v>153</v>
      </c>
      <c r="E341" s="95">
        <f>VLOOKUP(B341,'D'!A1:C213,3,FALSE)</f>
        <v>106</v>
      </c>
      <c r="F341" t="s" s="88">
        <f>VLOOKUP(B341,'Player Data'!A1:B667,2,FALSE)</f>
        <v>239</v>
      </c>
      <c r="G341" s="96">
        <f>VLOOKUP(B341,'Player Data'!A1:D667,3,FALSE)</f>
        <v>19</v>
      </c>
      <c r="H341" s="73">
        <f>_xlfn.IFERROR(VLOOKUP(B341,'ADP'!A1:G665,7,FALSE)/1000000,VLOOKUP(B341,'ADP'!A1:G665,7,FALSE))</f>
        <v>0.95</v>
      </c>
      <c r="I341" s="74">
        <f>IF('Settings'!$E$15="POINTS",((R341*Q341)*'Settings'!$B$12)+(S341*'Settings'!$B$2)+(T341*'Settings'!$B$3)+(U341*'Settings'!$B$4)+(V341*'Settings'!$B$5)+(X341*'Settings'!$B$9)+(AA341*'Settings'!$B$6)+(W341*'Settings'!$B$8)+(AB341*'Settings'!$B$7)+(AC341*'Settings'!$B$14)+(AD341*'Settings'!$B$15)+(AE341*'Settings'!$B$16)+(AF341*'Settings'!$B$17)+(AG341*'Settings'!$B$18)+(U341*'Settings'!$B$13)+(Y341*'Settings'!$B$10)+(Z341*'Settings'!$B$11),VLOOKUP(B341,'Standard Deviations'!A1:C666,3,FALSE))</f>
        <v>225.046951130387</v>
      </c>
      <c r="J341" s="75">
        <f>IF(D341="G",I341/AJ341,I341/Q341)</f>
        <v>3.12565209903315</v>
      </c>
      <c r="K341" s="74">
        <f>VLOOKUP(B341,'D'!A1:F213,6,FALSE)</f>
        <v>-106.493256789695</v>
      </c>
      <c r="L341" s="76">
        <f>_xlfn.IFERROR(K341/H341,"N/A")</f>
        <v>-112.098165041784</v>
      </c>
      <c r="M341" s="77">
        <f>IF('Settings'!$E$9="YAHOO",VLOOKUP(B341,'ADP'!A1:E665,2,FALSE),IF('Settings'!$E$9="ESPN",VLOOKUP(B341,'ADP'!A1:E665,3,FALSE),IF('Settings'!$E$9="FANTRAX",VLOOKUP(B341,'ADP'!A1:E665,4,FALSE),VLOOKUP(B341,'ADP'!A1:E665,5,FALSE))))</f>
        <v>0</v>
      </c>
      <c r="N341" s="77">
        <f>_xlfn.IFERROR(M341-A341,"N/A")</f>
        <v>-319</v>
      </c>
      <c r="O341" s="77"/>
      <c r="P341" s="111">
        <f>IF('Settings'!$E$27="ON",VLOOKUP(B341,'ADP'!A1:H665,8,FALSE)," ")</f>
        <v>0</v>
      </c>
      <c r="Q341" s="79">
        <f>IF('Settings'!$E$12="YES",VLOOKUP(B341,'Player Data'!A1:E667,5,FALSE),82)</f>
        <v>72</v>
      </c>
      <c r="R341" s="77">
        <f>VLOOKUP(B341,'Player Data'!$A1:$AE667,6,FALSE)</f>
        <v>18</v>
      </c>
      <c r="S341" s="79">
        <f>VLOOKUP(B341,'Player Data'!$A1:$AE667,7,FALSE)*$Q341*_xlfn.IFERROR((VLOOKUP(P341,'Settings'!$E$28:$F$33,2,FALSE)+1),1)</f>
        <v>8.090771857537391</v>
      </c>
      <c r="T341" s="79">
        <f>VLOOKUP(B341,'Player Data'!$A1:$AE667,8,FALSE)*$Q341*_xlfn.IFERROR((VLOOKUP(P341,'Settings'!$E$28:$F$33,2,FALSE)+1),1)</f>
        <v>24.3004414100836</v>
      </c>
      <c r="U341" s="79">
        <f>SUM(S341:T341)</f>
        <v>32.391213267621</v>
      </c>
      <c r="V341" s="79">
        <f>VLOOKUP(B341,'Player Data'!$A1:$AE667,10,FALSE)*$Q341*_xlfn.IFERROR(((VLOOKUP(P341,'Settings'!$E$28:$F$33,2,FALSE)/2)+1),1)</f>
        <v>137.309755310796</v>
      </c>
      <c r="W341" s="79">
        <f>VLOOKUP(B341,'Player Data'!$A1:$AE667,11,FALSE)*$Q341*_xlfn.IFERROR((VLOOKUP(P341,'Settings'!$E$28:$F$33,2,FALSE)+1),1)</f>
        <v>1.70105762018282</v>
      </c>
      <c r="X341" s="79">
        <f>VLOOKUP(B341,'Player Data'!$A1:$AE667,12,FALSE)*$Q341*_xlfn.IFERROR((VLOOKUP(P341,'Settings'!$E$28:$F$33,2,FALSE)+1),1)</f>
        <v>6.81014384363376</v>
      </c>
      <c r="Y341" s="79">
        <f>VLOOKUP(B341,'Player Data'!$A1:$AE667,13,FALSE)*$Q341</f>
        <v>0</v>
      </c>
      <c r="Z341" s="79">
        <f>VLOOKUP(B341,'Player Data'!$A1:$AE667,14,FALSE)*$Q341</f>
        <v>0</v>
      </c>
      <c r="AA341" s="79">
        <f>VLOOKUP(B341,'Player Data'!$A1:$AE667,15,FALSE)*$Q341</f>
        <v>86.2243902439027</v>
      </c>
      <c r="AB341" s="79">
        <f>VLOOKUP(B341,'Player Data'!$A1:$AE667,16,FALSE)*$Q341</f>
        <v>88.7426341463412</v>
      </c>
      <c r="AC341" s="79">
        <f>VLOOKUP(B341,'Player Data'!$A1:$AE667,17,FALSE)*$Q341*_xlfn.IFERROR((VLOOKUP(P341,'Settings'!$E$28:$F$33,2,FALSE)+1),1)</f>
        <v>-4.0813823346279</v>
      </c>
      <c r="AD341" s="79">
        <f>VLOOKUP(B341,'Player Data'!$A1:$AE667,18,FALSE)*$Q341</f>
        <v>29.52</v>
      </c>
      <c r="AE341" s="79">
        <f>VLOOKUP(B341,'Player Data'!$A1:$AE667,19,FALSE)*$Q341*_xlfn.IFERROR((VLOOKUP(P341,'Settings'!$E$28:$F$33,2,FALSE)+1),1)</f>
        <v>0.937730755129241</v>
      </c>
      <c r="AF341" s="79">
        <f>VLOOKUP(B341,'Player Data'!$A1:$AE667,20,FALSE)*$Q341</f>
        <v>0</v>
      </c>
      <c r="AG341" s="79">
        <f>VLOOKUP(B341,'Player Data'!$A1:$AE667,21,FALSE)*$Q341</f>
        <v>0</v>
      </c>
      <c r="AH341" s="81">
        <f>VLOOKUP(B341,'Player Data'!$A1:$AE667,22,FALSE)</f>
        <v>0</v>
      </c>
      <c r="AI341" s="77"/>
      <c r="AJ341" s="79"/>
      <c r="AK341" s="79"/>
      <c r="AL341" s="79"/>
      <c r="AM341" s="79"/>
      <c r="AN341" s="79"/>
      <c r="AO341" s="79"/>
      <c r="AP341" s="79"/>
      <c r="AQ341" s="82"/>
      <c r="AR341" s="83"/>
      <c r="AS341" s="84"/>
    </row>
    <row r="342" ht="21.25" customHeight="1">
      <c r="A342" s="85">
        <f>RANK(K342,K$1:K$665)</f>
        <v>358</v>
      </c>
      <c r="B342" t="s" s="16">
        <v>531</v>
      </c>
      <c r="C342" t="s" s="69">
        <v>127</v>
      </c>
      <c r="D342" t="s" s="70">
        <f>VLOOKUP(B342,'Player Data'!A1:D667,4,FALSE)</f>
        <v>178</v>
      </c>
      <c r="E342" s="102">
        <f>VLOOKUP(B342,'LW'!A1:C152,3,FALSE)</f>
        <v>82</v>
      </c>
      <c r="F342" t="s" s="103">
        <f>VLOOKUP(B342,'Player Data'!A1:B667,2,FALSE)</f>
        <v>190</v>
      </c>
      <c r="G342" s="11">
        <f>VLOOKUP(B342,'Player Data'!A1:D667,3,FALSE)</f>
        <v>29</v>
      </c>
      <c r="H342" s="73">
        <f>_xlfn.IFERROR(VLOOKUP(B342,'ADP'!A1:G665,7,FALSE)/1000000,VLOOKUP(B342,'ADP'!A1:G665,7,FALSE))</f>
        <v>3.5</v>
      </c>
      <c r="I342" s="74">
        <f>IF('Settings'!$E$15="POINTS",((R342*Q342)*'Settings'!$B$12)+(S342*'Settings'!$B$2)+(T342*'Settings'!$B$3)+(U342*'Settings'!$B$4)+(V342*'Settings'!$B$5)+(X342*'Settings'!$B$9)+(AA342*'Settings'!$B$6)+(W342*'Settings'!$B$8)+(AB342*'Settings'!$B$7)+(AC342*'Settings'!$B$14)+(AD342*'Settings'!$B$15)+(AE342*'Settings'!$B$16)+(AF342*'Settings'!$B$17)+(AG342*'Settings'!$B$18)+(Y342*'Settings'!$B$10)+(Z342*'Settings'!$B$11),VLOOKUP(B342,'Standard Deviations'!A1:C666,3,FALSE))</f>
        <v>217.921303666204</v>
      </c>
      <c r="J342" s="75">
        <f>IF(D342="G",I342/AJ342,I342/Q342)</f>
        <v>3.06467396078056</v>
      </c>
      <c r="K342" s="74">
        <f>IF('Settings'!$E$18="C/LW/RW",VLOOKUP(B342,'LW'!A1:F152,6,FALSE),VLOOKUP(B342,'F'!A1:F392,6,FALSE))</f>
        <v>-113.798808100008</v>
      </c>
      <c r="L342" s="76">
        <f>_xlfn.IFERROR(K342/H342,"N/A")</f>
        <v>-32.5139451714309</v>
      </c>
      <c r="M342" s="109">
        <f>IF('Settings'!$E$9="YAHOO",VLOOKUP(B342,'ADP'!A1:E665,2,FALSE),IF('Settings'!$E$9="ESPN",VLOOKUP(B342,'ADP'!A1:E665,3,FALSE),IF('Settings'!$E$9="FANTRAX",VLOOKUP(B342,'ADP'!A1:E665,4,FALSE),VLOOKUP(B342,'ADP'!A1:E665,5,FALSE))))</f>
        <v>0</v>
      </c>
      <c r="N342" s="79">
        <f>_xlfn.IFERROR(M342-A342,"N/A")</f>
        <v>-358</v>
      </c>
      <c r="O342" s="77"/>
      <c r="P342" t="s" s="78">
        <f>IF('Settings'!$E$27="ON",VLOOKUP(B342,'ADP'!A1:H665,8,FALSE)," ")</f>
        <v>138</v>
      </c>
      <c r="Q342" s="79">
        <f>IF('Settings'!$E$12="YES",VLOOKUP(B342,'Player Data'!A1:E667,5,FALSE),82)</f>
        <v>71.1075</v>
      </c>
      <c r="R342" s="77">
        <f>VLOOKUP(B342,'Player Data'!$A1:$AE667,6,FALSE)</f>
        <v>16.530124048920</v>
      </c>
      <c r="S342" s="79">
        <f>VLOOKUP(B342,'Player Data'!$A1:$AE667,7,FALSE)*$Q342*_xlfn.IFERROR((VLOOKUP(P342,'Settings'!$E$28:$F$33,2,FALSE)+1),1)</f>
        <v>23.4052256721545</v>
      </c>
      <c r="T342" s="79">
        <f>VLOOKUP(B342,'Player Data'!$A1:$AE667,8,FALSE)*$Q342*_xlfn.IFERROR((VLOOKUP(P342,'Settings'!$E$28:$F$33,2,FALSE)+1),1)</f>
        <v>23.3228526148135</v>
      </c>
      <c r="U342" s="79">
        <f>SUM(S342:T342)</f>
        <v>46.728078286968</v>
      </c>
      <c r="V342" s="79">
        <f>VLOOKUP(B342,'Player Data'!$A1:$AE667,10,FALSE)*$Q342*_xlfn.IFERROR(((VLOOKUP(P342,'Settings'!$E$28:$F$33,2,FALSE)/2)+1),1)</f>
        <v>146.071742598475</v>
      </c>
      <c r="W342" s="79">
        <f>VLOOKUP(B342,'Player Data'!$A1:$AE667,11,FALSE)*$Q342*_xlfn.IFERROR((VLOOKUP(P342,'Settings'!$E$28:$F$33,2,FALSE)+1),1)</f>
        <v>6.16824354024289</v>
      </c>
      <c r="X342" s="101">
        <f>VLOOKUP(B342,'Player Data'!$A1:$AE667,12,FALSE)*$Q342*_xlfn.IFERROR((VLOOKUP(P342,'Settings'!$E$28:$F$33,2,FALSE)+1),1)</f>
        <v>14.8882734644832</v>
      </c>
      <c r="Y342" s="79">
        <f>VLOOKUP(B342,'Player Data'!$A1:$AE667,13,FALSE)*$Q342</f>
        <v>0.0274780303636478</v>
      </c>
      <c r="Z342" s="79">
        <f>VLOOKUP(B342,'Player Data'!$A1:$AE667,14,FALSE)*$Q342</f>
        <v>0.0464307288472219</v>
      </c>
      <c r="AA342" s="79">
        <f>VLOOKUP(B342,'Player Data'!$A1:$AE667,15,FALSE)*$Q342</f>
        <v>33.1323637250413</v>
      </c>
      <c r="AB342" s="79">
        <f>VLOOKUP(B342,'Player Data'!$A1:$AE667,16,FALSE)*$Q342</f>
        <v>53.1099604819637</v>
      </c>
      <c r="AC342" s="79">
        <f>VLOOKUP(B342,'Player Data'!$A1:$AE667,17,FALSE)*$Q342*_xlfn.IFERROR((VLOOKUP(P342,'Settings'!$E$28:$F$33,2,FALSE)+1),1)</f>
        <v>0.986113917462791</v>
      </c>
      <c r="AD342" s="79">
        <f>VLOOKUP(B342,'Player Data'!$A1:$AE667,18,FALSE)*$Q342</f>
        <v>24.0684021186213</v>
      </c>
      <c r="AE342" s="79">
        <f>VLOOKUP(B342,'Player Data'!$A1:$AE667,19,FALSE)*$Q342*_xlfn.IFERROR((VLOOKUP(P342,'Settings'!$E$28:$F$33,2,FALSE)+1),1)</f>
        <v>3.67834041624756</v>
      </c>
      <c r="AF342" s="79">
        <f>VLOOKUP(B342,'Player Data'!$A1:$AE667,20,FALSE)*$Q342</f>
        <v>13.8804524070274</v>
      </c>
      <c r="AG342" s="79">
        <f>VLOOKUP(B342,'Player Data'!$A1:$AE667,21,FALSE)*$Q342</f>
        <v>23.9732270360872</v>
      </c>
      <c r="AH342" s="81">
        <f>VLOOKUP(B342,'Player Data'!$A1:$AE667,22,FALSE)</f>
        <v>0.36668700668548</v>
      </c>
      <c r="AI342" s="77"/>
      <c r="AJ342" s="79"/>
      <c r="AK342" s="79"/>
      <c r="AL342" s="79"/>
      <c r="AM342" s="79"/>
      <c r="AN342" s="79"/>
      <c r="AO342" s="79"/>
      <c r="AP342" s="79"/>
      <c r="AQ342" s="82"/>
      <c r="AR342" s="83"/>
      <c r="AS342" s="84"/>
    </row>
    <row r="343" ht="21.25" customHeight="1">
      <c r="A343" s="85">
        <f>RANK(K343,K$1:K$665)</f>
        <v>359</v>
      </c>
      <c r="B343" t="s" s="16">
        <v>532</v>
      </c>
      <c r="C343" t="s" s="69">
        <v>127</v>
      </c>
      <c r="D343" t="s" s="70">
        <f>VLOOKUP(B343,'Player Data'!A1:D667,4,FALSE)</f>
        <v>136</v>
      </c>
      <c r="E343" s="87">
        <f>VLOOKUP(B343,'LW'!A1:C152,3,FALSE)</f>
        <v>83</v>
      </c>
      <c r="F343" t="s" s="88">
        <f>VLOOKUP(B343,'Player Data'!A1:B667,2,FALSE)</f>
        <v>141</v>
      </c>
      <c r="G343" s="11">
        <f>VLOOKUP(B343,'Player Data'!A1:D667,3,FALSE)</f>
        <v>29</v>
      </c>
      <c r="H343" s="73">
        <f>_xlfn.IFERROR(VLOOKUP(B343,'ADP'!A1:G665,7,FALSE)/1000000,VLOOKUP(B343,'ADP'!A1:G665,7,FALSE))</f>
        <v>3.15</v>
      </c>
      <c r="I343" s="74">
        <f>IF('Settings'!$E$15="POINTS",((R343*Q343)*'Settings'!$B$12)+(S343*'Settings'!$B$2)+(T343*'Settings'!$B$3)+(U343*'Settings'!$B$4)+(V343*'Settings'!$B$5)+(X343*'Settings'!$B$9)+(AA343*'Settings'!$B$6)+(W343*'Settings'!$B$8)+(AB343*'Settings'!$B$7)+(AC343*'Settings'!$B$14)+(AD343*'Settings'!$B$15)+(AE343*'Settings'!$B$16)+(AF343*'Settings'!$B$17)+(AG343*'Settings'!$B$18)+(Y343*'Settings'!$B$10)+(Z343*'Settings'!$B$11),VLOOKUP(B343,'Standard Deviations'!A1:C666,3,FALSE))</f>
        <v>217.843309598424</v>
      </c>
      <c r="J343" s="75">
        <f>IF(D343="G",I343/AJ343,I343/Q343)</f>
        <v>2.67112144685702</v>
      </c>
      <c r="K343" s="74">
        <f>IF('Settings'!$E$18="C/LW/RW",VLOOKUP(B343,'LW'!A1:F152,6,FALSE),VLOOKUP(B343,'F'!A1:F392,6,FALSE))</f>
        <v>-113.876802167788</v>
      </c>
      <c r="L343" s="76">
        <f>_xlfn.IFERROR(K343/H343,"N/A")</f>
        <v>-36.1513657675517</v>
      </c>
      <c r="M343" s="109">
        <f>IF('Settings'!$E$9="YAHOO",VLOOKUP(B343,'ADP'!A1:E665,2,FALSE),IF('Settings'!$E$9="ESPN",VLOOKUP(B343,'ADP'!A1:E665,3,FALSE),IF('Settings'!$E$9="FANTRAX",VLOOKUP(B343,'ADP'!A1:E665,4,FALSE),VLOOKUP(B343,'ADP'!A1:E665,5,FALSE))))</f>
        <v>0</v>
      </c>
      <c r="N343" s="79">
        <f>_xlfn.IFERROR(M343-A343,"N/A")</f>
        <v>-359</v>
      </c>
      <c r="O343" s="77"/>
      <c r="P343" t="s" s="78">
        <f>IF('Settings'!$E$27="ON",VLOOKUP(B343,'ADP'!A1:H665,8,FALSE)," ")</f>
        <v>138</v>
      </c>
      <c r="Q343" s="79">
        <f>IF('Settings'!$E$12="YES",VLOOKUP(B343,'Player Data'!A1:E667,5,FALSE),82)</f>
        <v>81.55500000000001</v>
      </c>
      <c r="R343" s="108">
        <f>VLOOKUP(B343,'Player Data'!$A1:$AE667,6,FALSE)</f>
        <v>15.9148912111115</v>
      </c>
      <c r="S343" s="79">
        <f>VLOOKUP(B343,'Player Data'!$A1:$AE667,7,FALSE)*$Q343*_xlfn.IFERROR((VLOOKUP(P343,'Settings'!$E$28:$F$33,2,FALSE)+1),1)</f>
        <v>16.9172969483532</v>
      </c>
      <c r="T343" s="79">
        <f>VLOOKUP(B343,'Player Data'!$A1:$AE667,8,FALSE)*$Q343*_xlfn.IFERROR((VLOOKUP(P343,'Settings'!$E$28:$F$33,2,FALSE)+1),1)</f>
        <v>17.6080944363248</v>
      </c>
      <c r="U343" s="79">
        <f>SUM(S343:T343)</f>
        <v>34.525391384678</v>
      </c>
      <c r="V343" s="79">
        <f>VLOOKUP(B343,'Player Data'!$A1:$AE667,10,FALSE)*$Q343*_xlfn.IFERROR(((VLOOKUP(P343,'Settings'!$E$28:$F$33,2,FALSE)/2)+1),1)</f>
        <v>140.823180709001</v>
      </c>
      <c r="W343" s="79">
        <f>VLOOKUP(B343,'Player Data'!$A1:$AE667,11,FALSE)*$Q343*_xlfn.IFERROR((VLOOKUP(P343,'Settings'!$E$28:$F$33,2,FALSE)+1),1)</f>
        <v>4.23933190490136</v>
      </c>
      <c r="X343" s="79">
        <f>VLOOKUP(B343,'Player Data'!$A1:$AE667,12,FALSE)*$Q343*_xlfn.IFERROR((VLOOKUP(P343,'Settings'!$E$28:$F$33,2,FALSE)+1),1)</f>
        <v>6.61806189965474</v>
      </c>
      <c r="Y343" s="79">
        <f>VLOOKUP(B343,'Player Data'!$A1:$AE667,13,FALSE)*$Q343</f>
        <v>0.1319906908101</v>
      </c>
      <c r="Z343" s="79">
        <f>VLOOKUP(B343,'Player Data'!$A1:$AE667,14,FALSE)*$Q343</f>
        <v>0.250486229451289</v>
      </c>
      <c r="AA343" s="79">
        <f>VLOOKUP(B343,'Player Data'!$A1:$AE667,15,FALSE)*$Q343</f>
        <v>42.8334893971053</v>
      </c>
      <c r="AB343" s="79">
        <f>VLOOKUP(B343,'Player Data'!$A1:$AE667,16,FALSE)*$Q343</f>
        <v>100.186966313912</v>
      </c>
      <c r="AC343" s="79">
        <f>VLOOKUP(B343,'Player Data'!$A1:$AE667,17,FALSE)*$Q343*_xlfn.IFERROR((VLOOKUP(P343,'Settings'!$E$28:$F$33,2,FALSE)+1),1)</f>
        <v>0.524036811766538</v>
      </c>
      <c r="AD343" s="79">
        <f>VLOOKUP(B343,'Player Data'!$A1:$AE667,18,FALSE)*$Q343</f>
        <v>30.687076550029</v>
      </c>
      <c r="AE343" s="79">
        <f>VLOOKUP(B343,'Player Data'!$A1:$AE667,19,FALSE)*$Q343*_xlfn.IFERROR((VLOOKUP(P343,'Settings'!$E$28:$F$33,2,FALSE)+1),1)</f>
        <v>2.66551674670183</v>
      </c>
      <c r="AF343" s="79">
        <f>VLOOKUP(B343,'Player Data'!$A1:$AE667,20,FALSE)*$Q343</f>
        <v>474.291795954172</v>
      </c>
      <c r="AG343" s="79">
        <f>VLOOKUP(B343,'Player Data'!$A1:$AE667,21,FALSE)*$Q343</f>
        <v>417.392801204441</v>
      </c>
      <c r="AH343" s="81">
        <f>VLOOKUP(B343,'Player Data'!$A1:$AE667,22,FALSE)</f>
        <v>0.531905336781101</v>
      </c>
      <c r="AI343" s="77"/>
      <c r="AJ343" s="79"/>
      <c r="AK343" s="79"/>
      <c r="AL343" s="79"/>
      <c r="AM343" s="79"/>
      <c r="AN343" s="79"/>
      <c r="AO343" s="79"/>
      <c r="AP343" s="79"/>
      <c r="AQ343" s="82"/>
      <c r="AR343" s="83"/>
      <c r="AS343" s="84"/>
    </row>
    <row r="344" ht="21.25" customHeight="1">
      <c r="A344" s="85">
        <f>RANK(K344,K$1:K$665)</f>
        <v>324</v>
      </c>
      <c r="B344" t="s" s="16">
        <v>533</v>
      </c>
      <c r="C344" t="s" s="69">
        <v>127</v>
      </c>
      <c r="D344" t="s" s="70">
        <f>VLOOKUP(B344,'Player Data'!A1:D667,4,FALSE)</f>
        <v>153</v>
      </c>
      <c r="E344" s="95">
        <f>VLOOKUP(B344,'D'!A1:C213,3,FALSE)</f>
        <v>107</v>
      </c>
      <c r="F344" t="s" s="78">
        <f>VLOOKUP(B344,'Player Data'!A1:B667,2,FALSE)</f>
        <v>204</v>
      </c>
      <c r="G344" s="11">
        <f>VLOOKUP(B344,'Player Data'!A1:D667,3,FALSE)</f>
        <v>30</v>
      </c>
      <c r="H344" s="73">
        <f>_xlfn.IFERROR(VLOOKUP(B344,'ADP'!A1:G665,7,FALSE)/1000000,VLOOKUP(B344,'ADP'!A1:G665,7,FALSE))</f>
        <v>3.75</v>
      </c>
      <c r="I344" s="74">
        <f>IF('Settings'!$E$15="POINTS",((R344*Q344)*'Settings'!$B$12)+(S344*'Settings'!$B$2)+(T344*'Settings'!$B$3)+(U344*'Settings'!$B$4)+(V344*'Settings'!$B$5)+(X344*'Settings'!$B$9)+(AA344*'Settings'!$B$6)+(W344*'Settings'!$B$8)+(AB344*'Settings'!$B$7)+(AC344*'Settings'!$B$14)+(AD344*'Settings'!$B$15)+(AE344*'Settings'!$B$16)+(AF344*'Settings'!$B$17)+(AG344*'Settings'!$B$18)+(U344*'Settings'!$B$13)+(Y344*'Settings'!$B$10)+(Z344*'Settings'!$B$11),VLOOKUP(B344,'Standard Deviations'!A1:C666,3,FALSE))</f>
        <v>224.142030209334</v>
      </c>
      <c r="J344" s="75">
        <f>IF(D344="G",I344/AJ344,I344/Q344)</f>
        <v>2.87168290841849</v>
      </c>
      <c r="K344" s="74">
        <f>VLOOKUP(B344,'D'!A1:F213,6,FALSE)</f>
        <v>-107.398177710748</v>
      </c>
      <c r="L344" s="76">
        <f>_xlfn.IFERROR(K344/H344,"N/A")</f>
        <v>-28.6395140561995</v>
      </c>
      <c r="M344" s="109">
        <f>IF('Settings'!$E$9="YAHOO",VLOOKUP(B344,'ADP'!A1:E665,2,FALSE),IF('Settings'!$E$9="ESPN",VLOOKUP(B344,'ADP'!A1:E665,3,FALSE),IF('Settings'!$E$9="FANTRAX",VLOOKUP(B344,'ADP'!A1:E665,4,FALSE),VLOOKUP(B344,'ADP'!A1:E665,5,FALSE))))</f>
        <v>0</v>
      </c>
      <c r="N344" s="79">
        <f>_xlfn.IFERROR(M344-A344,"N/A")</f>
        <v>-324</v>
      </c>
      <c r="O344" s="77"/>
      <c r="P344" t="s" s="78">
        <f>IF('Settings'!$E$27="ON",VLOOKUP(B344,'ADP'!A1:H665,8,FALSE)," ")</f>
        <v>138</v>
      </c>
      <c r="Q344" s="79">
        <f>IF('Settings'!$E$12="YES",VLOOKUP(B344,'Player Data'!A1:E667,5,FALSE),82)</f>
        <v>78.05249999999999</v>
      </c>
      <c r="R344" s="77">
        <f>VLOOKUP(B344,'Player Data'!$A1:$AE667,6,FALSE)</f>
        <v>19.0082791439989</v>
      </c>
      <c r="S344" s="79">
        <f>VLOOKUP(B344,'Player Data'!$A1:$AE667,7,FALSE)*$Q344*_xlfn.IFERROR((VLOOKUP(P344,'Settings'!$E$28:$F$33,2,FALSE)+1),1)</f>
        <v>4.46647837998729</v>
      </c>
      <c r="T344" s="79">
        <f>VLOOKUP(B344,'Player Data'!$A1:$AE667,8,FALSE)*$Q344*_xlfn.IFERROR((VLOOKUP(P344,'Settings'!$E$28:$F$33,2,FALSE)+1),1)</f>
        <v>12.1894122124174</v>
      </c>
      <c r="U344" s="79">
        <f>SUM(S344:T344)</f>
        <v>16.6558905924047</v>
      </c>
      <c r="V344" s="79">
        <f>VLOOKUP(B344,'Player Data'!$A1:$AE667,10,FALSE)*$Q344*_xlfn.IFERROR(((VLOOKUP(P344,'Settings'!$E$28:$F$33,2,FALSE)/2)+1),1)</f>
        <v>88.8241944706343</v>
      </c>
      <c r="W344" s="79">
        <f>VLOOKUP(B344,'Player Data'!$A1:$AE667,11,FALSE)*$Q344*_xlfn.IFERROR((VLOOKUP(P344,'Settings'!$E$28:$F$33,2,FALSE)+1),1)</f>
        <v>0.129369411539009</v>
      </c>
      <c r="X344" s="79">
        <f>VLOOKUP(B344,'Player Data'!$A1:$AE667,12,FALSE)*$Q344*_xlfn.IFERROR((VLOOKUP(P344,'Settings'!$E$28:$F$33,2,FALSE)+1),1)</f>
        <v>0.732051614958629</v>
      </c>
      <c r="Y344" s="79">
        <f>VLOOKUP(B344,'Player Data'!$A1:$AE667,13,FALSE)*$Q344</f>
        <v>0.0281690835599015</v>
      </c>
      <c r="Z344" s="79">
        <f>VLOOKUP(B344,'Player Data'!$A1:$AE667,14,FALSE)*$Q344</f>
        <v>0.123983435861614</v>
      </c>
      <c r="AA344" s="79">
        <f>VLOOKUP(B344,'Player Data'!$A1:$AE667,15,FALSE)*$Q344</f>
        <v>108.708028001553</v>
      </c>
      <c r="AB344" s="79">
        <f>VLOOKUP(B344,'Player Data'!$A1:$AE667,16,FALSE)*$Q344</f>
        <v>152.781201640278</v>
      </c>
      <c r="AC344" s="79">
        <f>VLOOKUP(B344,'Player Data'!$A1:$AE667,17,FALSE)*$Q344*_xlfn.IFERROR((VLOOKUP(P344,'Settings'!$E$28:$F$33,2,FALSE)+1),1)</f>
        <v>-1.2797921663466</v>
      </c>
      <c r="AD344" s="79">
        <f>VLOOKUP(B344,'Player Data'!$A1:$AE667,18,FALSE)*$Q344</f>
        <v>57.5581642904706</v>
      </c>
      <c r="AE344" s="79">
        <f>VLOOKUP(B344,'Player Data'!$A1:$AE667,19,FALSE)*$Q344*_xlfn.IFERROR((VLOOKUP(P344,'Settings'!$E$28:$F$33,2,FALSE)+1),1)</f>
        <v>0.714273477643204</v>
      </c>
      <c r="AF344" s="79">
        <f>VLOOKUP(B344,'Player Data'!$A1:$AE667,20,FALSE)*$Q344</f>
        <v>0</v>
      </c>
      <c r="AG344" s="79">
        <f>VLOOKUP(B344,'Player Data'!$A1:$AE667,21,FALSE)*$Q344</f>
        <v>0.700828162475041</v>
      </c>
      <c r="AH344" s="81">
        <f>VLOOKUP(B344,'Player Data'!$A1:$AE667,22,FALSE)</f>
        <v>0</v>
      </c>
      <c r="AI344" s="77"/>
      <c r="AJ344" s="79"/>
      <c r="AK344" s="79"/>
      <c r="AL344" s="79"/>
      <c r="AM344" s="79"/>
      <c r="AN344" s="79"/>
      <c r="AO344" s="79"/>
      <c r="AP344" s="79"/>
      <c r="AQ344" s="82"/>
      <c r="AR344" s="83"/>
      <c r="AS344" s="84"/>
    </row>
    <row r="345" ht="21.25" customHeight="1">
      <c r="A345" s="85">
        <f>RANK(K345,K$1:K$665)</f>
        <v>315</v>
      </c>
      <c r="B345" t="s" s="16">
        <v>534</v>
      </c>
      <c r="C345" t="s" s="69">
        <v>127</v>
      </c>
      <c r="D345" t="s" s="70">
        <f>VLOOKUP(B345,'Player Data'!A1:D667,4,FALSE)</f>
        <v>161</v>
      </c>
      <c r="E345" s="99">
        <f>VLOOKUP(B345,'G'!A1:D65,3,FALSE)</f>
        <v>43</v>
      </c>
      <c r="F345" t="s" s="88">
        <f>VLOOKUP(B345,'Player Data'!A1:B667,2,FALSE)</f>
        <v>137</v>
      </c>
      <c r="G345" s="11">
        <f>VLOOKUP(B345,'Player Data'!A1:D667,3,FALSE)</f>
        <v>31</v>
      </c>
      <c r="H345" s="94">
        <f>_xlfn.IFERROR(VLOOKUP(B345,'ADP'!A1:G665,7,FALSE)/1000000,VLOOKUP(B345,'ADP'!A1:G665,7,FALSE))</f>
        <v>2.75</v>
      </c>
      <c r="I345" s="74">
        <f>IF('Settings'!$E$15="POINTS",(AJ345*'Settings'!$B$29)+(AK345*'Settings'!$B$21)+(AL345*'Settings'!$B$22)+(AN345*'Settings'!$B$24)+(AO345*'Settings'!$B$25)+(AP345*'Settings'!$B$27)+(AM345*'Settings'!$B$23),VLOOKUP(B345,'Standard Deviations'!A1:C666,3,FALSE))</f>
        <v>163.568745822067</v>
      </c>
      <c r="J345" s="75">
        <f>IF(D345="G",I345/AJ345,I345/Q345)</f>
        <v>5.11152330693959</v>
      </c>
      <c r="K345" s="74">
        <f>VLOOKUP(B345,'G'!A1:F65,6,FALSE)</f>
        <v>-104.022268742523</v>
      </c>
      <c r="L345" s="76">
        <f>_xlfn.IFERROR(K345/H345,"N/A")</f>
        <v>-37.8262795427356</v>
      </c>
      <c r="M345" s="109">
        <f>IF('Settings'!$E$9="YAHOO",VLOOKUP(B345,'ADP'!A1:E665,2,FALSE),IF('Settings'!$E$9="ESPN",VLOOKUP(B345,'ADP'!A1:E665,3,FALSE),IF('Settings'!$E$9="FANTRAX",VLOOKUP(B345,'ADP'!A1:E665,4,FALSE),VLOOKUP(B345,'ADP'!A1:E665,5,FALSE))))</f>
        <v>0</v>
      </c>
      <c r="N345" s="79">
        <f>_xlfn.IFERROR(M345-A345,"N/A")</f>
        <v>-315</v>
      </c>
      <c r="O345" s="77"/>
      <c r="P345" t="s" s="78">
        <f>IF('Settings'!$E$27="ON",VLOOKUP(B345,'ADP'!A1:H665,8,FALSE)," ")</f>
        <v>138</v>
      </c>
      <c r="Q345" s="79"/>
      <c r="R345" s="77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81"/>
      <c r="AI345" s="77"/>
      <c r="AJ345" s="89">
        <f>VLOOKUP(B345,'Player Data'!$A1:$AE667,24,FALSE)</f>
        <v>32</v>
      </c>
      <c r="AK345" s="79">
        <f>VLOOKUP(B345,'Player Data'!$A1:$AE667,25,FALSE)*$AJ345*_xlfn.IFERROR((VLOOKUP(P345,'Settings'!$E$28:$F$33,2,FALSE)+1),1)</f>
        <v>14.941425885161</v>
      </c>
      <c r="AL345" s="79">
        <f>AJ345-AK345-AM345</f>
        <v>13.058574114839</v>
      </c>
      <c r="AM345" s="79">
        <f>VLOOKUP(B345,'Player Data'!$A1:$AE667,27,FALSE)*$AJ345</f>
        <v>4</v>
      </c>
      <c r="AN345" s="79">
        <f>VLOOKUP(B345,'Player Data'!$A1:$AE667,28,FALSE)*AJ345</f>
        <v>1.19439617112841</v>
      </c>
      <c r="AO345" s="79">
        <f>VLOOKUP(B345,'Player Data'!$A1:$AE667,29,FALSE)*$AJ345*_xlfn.IFERROR((VLOOKUP(P345,'Settings'!$E$28:$F$33,2,FALSE)/4)+1,1)</f>
        <v>881.8373825106301</v>
      </c>
      <c r="AP345" s="79">
        <f>VLOOKUP(B345,'Player Data'!$A1:$AE667,31,FALSE)*$AJ345*(_xlfn.IFERROR(1-(VLOOKUP(P345,'Settings'!$E$28:$F$33,2,FALSE)/4),1))</f>
        <v>97.62121244796801</v>
      </c>
      <c r="AQ345" s="82">
        <f>1-(AP345/(AO345+AP345))</f>
        <v>0.900331455611868</v>
      </c>
      <c r="AR345" s="83">
        <f>AP345/AJ345</f>
        <v>3.050662888999</v>
      </c>
      <c r="AS345" s="84"/>
    </row>
    <row r="346" ht="21.25" customHeight="1">
      <c r="A346" s="85">
        <f>RANK(K346,K$1:K$665)</f>
        <v>328</v>
      </c>
      <c r="B346" t="s" s="16">
        <v>535</v>
      </c>
      <c r="C346" t="s" s="69">
        <v>127</v>
      </c>
      <c r="D346" t="s" s="70">
        <f>VLOOKUP(B346,'Player Data'!A1:D667,4,FALSE)</f>
        <v>153</v>
      </c>
      <c r="E346" s="95">
        <f>VLOOKUP(B346,'D'!A1:C213,3,FALSE)</f>
        <v>108</v>
      </c>
      <c r="F346" t="s" s="103">
        <f>VLOOKUP(B346,'Player Data'!A1:B667,2,FALSE)</f>
        <v>225</v>
      </c>
      <c r="G346" s="96">
        <f>VLOOKUP(B346,'Player Data'!A1:D667,3,FALSE)</f>
        <v>21</v>
      </c>
      <c r="H346" s="73">
        <f>_xlfn.IFERROR(VLOOKUP(B346,'ADP'!A1:G665,7,FALSE)/1000000,VLOOKUP(B346,'ADP'!A1:G665,7,FALSE))</f>
        <v>0.863</v>
      </c>
      <c r="I346" s="74">
        <f>IF('Settings'!$E$15="POINTS",((R346*Q346)*'Settings'!$B$12)+(S346*'Settings'!$B$2)+(T346*'Settings'!$B$3)+(U346*'Settings'!$B$4)+(V346*'Settings'!$B$5)+(X346*'Settings'!$B$9)+(AA346*'Settings'!$B$6)+(W346*'Settings'!$B$8)+(AB346*'Settings'!$B$7)+(AC346*'Settings'!$B$14)+(AD346*'Settings'!$B$15)+(AE346*'Settings'!$B$16)+(AF346*'Settings'!$B$17)+(AG346*'Settings'!$B$18)+(U346*'Settings'!$B$13)+(Y346*'Settings'!$B$10)+(Z346*'Settings'!$B$11),VLOOKUP(B346,'Standard Deviations'!A1:C666,3,FALSE))</f>
        <v>223.471508178377</v>
      </c>
      <c r="J346" s="75">
        <f>IF(D346="G",I346/AJ346,I346/Q346)</f>
        <v>3.22819080069884</v>
      </c>
      <c r="K346" s="74">
        <f>VLOOKUP(B346,'D'!A1:F213,6,FALSE)</f>
        <v>-108.068699741705</v>
      </c>
      <c r="L346" s="76">
        <f>_xlfn.IFERROR(K346/H346,"N/A")</f>
        <v>-125.224449295139</v>
      </c>
      <c r="M346" s="109">
        <f>IF('Settings'!$E$9="YAHOO",VLOOKUP(B346,'ADP'!A1:E665,2,FALSE),IF('Settings'!$E$9="ESPN",VLOOKUP(B346,'ADP'!A1:E665,3,FALSE),IF('Settings'!$E$9="FANTRAX",VLOOKUP(B346,'ADP'!A1:E665,4,FALSE),VLOOKUP(B346,'ADP'!A1:E665,5,FALSE))))</f>
        <v>0</v>
      </c>
      <c r="N346" s="79">
        <f>_xlfn.IFERROR(M346-A346,"N/A")</f>
        <v>-328</v>
      </c>
      <c r="O346" s="77"/>
      <c r="P346" t="s" s="78">
        <f>IF('Settings'!$E$27="ON",VLOOKUP(B346,'ADP'!A1:H665,8,FALSE)," ")</f>
        <v>138</v>
      </c>
      <c r="Q346" s="79">
        <f>IF('Settings'!$E$12="YES",VLOOKUP(B346,'Player Data'!A1:E667,5,FALSE),82)</f>
        <v>69.22499999999999</v>
      </c>
      <c r="R346" s="98">
        <f>VLOOKUP(B346,'Player Data'!$A1:$AE667,6,FALSE)</f>
        <v>18.7807766049694</v>
      </c>
      <c r="S346" s="79">
        <f>VLOOKUP(B346,'Player Data'!$A1:$AE667,7,FALSE)*$Q346*_xlfn.IFERROR((VLOOKUP(P346,'Settings'!$E$28:$F$33,2,FALSE)+1),1)</f>
        <v>6.10519992086646</v>
      </c>
      <c r="T346" s="79">
        <f>VLOOKUP(B346,'Player Data'!$A1:$AE667,8,FALSE)*$Q346*_xlfn.IFERROR((VLOOKUP(P346,'Settings'!$E$28:$F$33,2,FALSE)+1),1)</f>
        <v>21.5439982309456</v>
      </c>
      <c r="U346" s="79">
        <f>SUM(S346:T346)</f>
        <v>27.6491981518121</v>
      </c>
      <c r="V346" s="79">
        <f>VLOOKUP(B346,'Player Data'!$A1:$AE667,10,FALSE)*$Q346*_xlfn.IFERROR(((VLOOKUP(P346,'Settings'!$E$28:$F$33,2,FALSE)/2)+1),1)</f>
        <v>126.863017812689</v>
      </c>
      <c r="W346" s="79">
        <f>VLOOKUP(B346,'Player Data'!$A1:$AE667,11,FALSE)*$Q346*_xlfn.IFERROR((VLOOKUP(P346,'Settings'!$E$28:$F$33,2,FALSE)+1),1)</f>
        <v>0.74664902255148</v>
      </c>
      <c r="X346" s="79">
        <f>VLOOKUP(B346,'Player Data'!$A1:$AE667,12,FALSE)*$Q346*_xlfn.IFERROR((VLOOKUP(P346,'Settings'!$E$28:$F$33,2,FALSE)+1),1)</f>
        <v>11.0396678090345</v>
      </c>
      <c r="Y346" s="79">
        <f>VLOOKUP(B346,'Player Data'!$A1:$AE667,13,FALSE)*$Q346</f>
        <v>0.0277915471525015</v>
      </c>
      <c r="Z346" s="79">
        <f>VLOOKUP(B346,'Player Data'!$A1:$AE667,14,FALSE)*$Q346</f>
        <v>0.135916458838977</v>
      </c>
      <c r="AA346" s="79">
        <f>VLOOKUP(B346,'Player Data'!$A1:$AE667,15,FALSE)*$Q346</f>
        <v>108.092722793362</v>
      </c>
      <c r="AB346" s="79">
        <f>VLOOKUP(B346,'Player Data'!$A1:$AE667,16,FALSE)*$Q346</f>
        <v>81.6887118962391</v>
      </c>
      <c r="AC346" s="79">
        <f>VLOOKUP(B346,'Player Data'!$A1:$AE667,17,FALSE)*$Q346*_xlfn.IFERROR((VLOOKUP(P346,'Settings'!$E$28:$F$33,2,FALSE)+1),1)</f>
        <v>0.690114987964502</v>
      </c>
      <c r="AD346" s="79">
        <f>VLOOKUP(B346,'Player Data'!$A1:$AE667,18,FALSE)*$Q346</f>
        <v>39.8149444405028</v>
      </c>
      <c r="AE346" s="79">
        <f>VLOOKUP(B346,'Player Data'!$A1:$AE667,19,FALSE)*$Q346*_xlfn.IFERROR((VLOOKUP(P346,'Settings'!$E$28:$F$33,2,FALSE)+1),1)</f>
        <v>1.08801787577616</v>
      </c>
      <c r="AF346" s="79">
        <f>VLOOKUP(B346,'Player Data'!$A1:$AE667,20,FALSE)*$Q346</f>
        <v>0</v>
      </c>
      <c r="AG346" s="79">
        <f>VLOOKUP(B346,'Player Data'!$A1:$AE667,21,FALSE)*$Q346</f>
        <v>0</v>
      </c>
      <c r="AH346" s="81">
        <f>VLOOKUP(B346,'Player Data'!$A1:$AE667,22,FALSE)</f>
        <v>0</v>
      </c>
      <c r="AI346" s="77"/>
      <c r="AJ346" s="79"/>
      <c r="AK346" s="79"/>
      <c r="AL346" s="79"/>
      <c r="AM346" s="79"/>
      <c r="AN346" s="79"/>
      <c r="AO346" s="79"/>
      <c r="AP346" s="79"/>
      <c r="AQ346" s="82"/>
      <c r="AR346" s="83"/>
      <c r="AS346" s="84"/>
    </row>
    <row r="347" ht="21.25" customHeight="1">
      <c r="A347" s="85">
        <f>RANK(K347,K$1:K$665)</f>
        <v>370</v>
      </c>
      <c r="B347" t="s" s="16">
        <v>536</v>
      </c>
      <c r="C347" t="s" s="69">
        <v>127</v>
      </c>
      <c r="D347" t="s" s="70">
        <f>VLOOKUP(B347,'Player Data'!A1:D667,4,FALSE)</f>
        <v>128</v>
      </c>
      <c r="E347" s="71">
        <f>VLOOKUP(B347,'C'!A1:C206,3,FALSE)</f>
        <v>114</v>
      </c>
      <c r="F347" t="s" s="88">
        <f>VLOOKUP(B347,'Player Data'!A1:B667,2,FALSE)</f>
        <v>137</v>
      </c>
      <c r="G347" s="96">
        <f>VLOOKUP(B347,'Player Data'!A1:D667,3,FALSE)</f>
        <v>22</v>
      </c>
      <c r="H347" s="94">
        <f>_xlfn.IFERROR(VLOOKUP(B347,'ADP'!A1:G665,7,FALSE)/1000000,VLOOKUP(B347,'ADP'!A1:G665,7,FALSE))</f>
        <v>0.863333</v>
      </c>
      <c r="I347" s="74">
        <f>IF('Settings'!$E$15="POINTS",((R347*Q347)*'Settings'!$B$12)+(S347*'Settings'!$B$2)+(T347*'Settings'!$B$3)+(U347*'Settings'!$B$4)+(V347*'Settings'!$B$5)+(X347*'Settings'!$B$9)+(AA347*'Settings'!$B$6)+(W347*'Settings'!$B$8)+(AB347*'Settings'!$B$7)+(AC347*'Settings'!$B$14)+(AD347*'Settings'!$B$15)+(AE347*'Settings'!$B$16)+(AF347*'Settings'!$B$17)+(AG347*'Settings'!$B$18)+(Y347*'Settings'!$B$10)+(Z347*'Settings'!$B$11),VLOOKUP(B347,'Standard Deviations'!A1:C666,3,FALSE))</f>
        <v>211.396164667561</v>
      </c>
      <c r="J347" s="75">
        <f>IF(D347="G",I347/AJ347,I347/Q347)</f>
        <v>2.97196913633574</v>
      </c>
      <c r="K347" s="74">
        <f>IF('Settings'!$E$18="C/LW/RW",VLOOKUP(B347,'C'!A1:F206,6,FALSE),VLOOKUP(B347,'F'!A1:F392,6,FALSE))</f>
        <v>-118.295729413617</v>
      </c>
      <c r="L347" s="76">
        <f>_xlfn.IFERROR(K347/H347,"N/A")</f>
        <v>-137.022133306172</v>
      </c>
      <c r="M347" s="109">
        <f>IF('Settings'!$E$9="YAHOO",VLOOKUP(B347,'ADP'!A1:E665,2,FALSE),IF('Settings'!$E$9="ESPN",VLOOKUP(B347,'ADP'!A1:E665,3,FALSE),IF('Settings'!$E$9="FANTRAX",VLOOKUP(B347,'ADP'!A1:E665,4,FALSE),VLOOKUP(B347,'ADP'!A1:E665,5,FALSE))))</f>
        <v>0</v>
      </c>
      <c r="N347" s="79">
        <f>_xlfn.IFERROR(M347-A347,"N/A")</f>
        <v>-370</v>
      </c>
      <c r="O347" s="77"/>
      <c r="P347" t="s" s="78">
        <f>IF('Settings'!$E$27="ON",VLOOKUP(B347,'ADP'!A1:H665,8,FALSE)," ")</f>
        <v>138</v>
      </c>
      <c r="Q347" s="79">
        <f>IF('Settings'!$E$12="YES",VLOOKUP(B347,'Player Data'!A1:E667,5,FALSE),82)</f>
        <v>71.13</v>
      </c>
      <c r="R347" s="77">
        <f>VLOOKUP(B347,'Player Data'!$A1:$AE667,6,FALSE)</f>
        <v>15.6174642662017</v>
      </c>
      <c r="S347" s="79">
        <f>VLOOKUP(B347,'Player Data'!$A1:$AE667,7,FALSE)*$Q347*_xlfn.IFERROR((VLOOKUP(P347,'Settings'!$E$28:$F$33,2,FALSE)+1),1)</f>
        <v>14.9096972278052</v>
      </c>
      <c r="T347" s="79">
        <f>VLOOKUP(B347,'Player Data'!$A1:$AE667,8,FALSE)*$Q347*_xlfn.IFERROR((VLOOKUP(P347,'Settings'!$E$28:$F$33,2,FALSE)+1),1)</f>
        <v>18.5071790964324</v>
      </c>
      <c r="U347" s="79">
        <f>SUM(S347:T347)</f>
        <v>33.4168763242376</v>
      </c>
      <c r="V347" s="79">
        <f>VLOOKUP(B347,'Player Data'!$A1:$AE667,10,FALSE)*$Q347*_xlfn.IFERROR(((VLOOKUP(P347,'Settings'!$E$28:$F$33,2,FALSE)/2)+1),1)</f>
        <v>109.839099123533</v>
      </c>
      <c r="W347" s="79">
        <f>VLOOKUP(B347,'Player Data'!$A1:$AE667,11,FALSE)*$Q347*_xlfn.IFERROR((VLOOKUP(P347,'Settings'!$E$28:$F$33,2,FALSE)+1),1)</f>
        <v>2.87610014970696</v>
      </c>
      <c r="X347" s="79">
        <f>VLOOKUP(B347,'Player Data'!$A1:$AE667,12,FALSE)*$Q347*_xlfn.IFERROR((VLOOKUP(P347,'Settings'!$E$28:$F$33,2,FALSE)+1),1)</f>
        <v>6.18652689634404</v>
      </c>
      <c r="Y347" s="79">
        <f>VLOOKUP(B347,'Player Data'!$A1:$AE667,13,FALSE)*$Q347</f>
        <v>1.19933978013868</v>
      </c>
      <c r="Z347" s="79">
        <f>VLOOKUP(B347,'Player Data'!$A1:$AE667,14,FALSE)*$Q347</f>
        <v>1.42522905860218</v>
      </c>
      <c r="AA347" s="79">
        <f>VLOOKUP(B347,'Player Data'!$A1:$AE667,15,FALSE)*$Q347</f>
        <v>40.056331356880</v>
      </c>
      <c r="AB347" s="79">
        <f>VLOOKUP(B347,'Player Data'!$A1:$AE667,16,FALSE)*$Q347</f>
        <v>118.604975558882</v>
      </c>
      <c r="AC347" s="79">
        <f>VLOOKUP(B347,'Player Data'!$A1:$AE667,17,FALSE)*$Q347*_xlfn.IFERROR((VLOOKUP(P347,'Settings'!$E$28:$F$33,2,FALSE)+1),1)</f>
        <v>0.8758546190827819</v>
      </c>
      <c r="AD347" s="79">
        <f>VLOOKUP(B347,'Player Data'!$A1:$AE667,18,FALSE)*$Q347</f>
        <v>54.6837362728458</v>
      </c>
      <c r="AE347" s="79">
        <f>VLOOKUP(B347,'Player Data'!$A1:$AE667,19,FALSE)*$Q347*_xlfn.IFERROR((VLOOKUP(P347,'Settings'!$E$28:$F$33,2,FALSE)+1),1)</f>
        <v>2.31494279759665</v>
      </c>
      <c r="AF347" s="79">
        <f>VLOOKUP(B347,'Player Data'!$A1:$AE667,20,FALSE)*$Q347</f>
        <v>202.660434220068</v>
      </c>
      <c r="AG347" s="79">
        <f>VLOOKUP(B347,'Player Data'!$A1:$AE667,21,FALSE)*$Q347</f>
        <v>267.193118103657</v>
      </c>
      <c r="AH347" s="81">
        <f>VLOOKUP(B347,'Player Data'!$A1:$AE667,22,FALSE)</f>
        <v>0.431326810700447</v>
      </c>
      <c r="AI347" s="77"/>
      <c r="AJ347" s="89"/>
      <c r="AK347" s="79"/>
      <c r="AL347" s="79"/>
      <c r="AM347" s="79"/>
      <c r="AN347" s="79"/>
      <c r="AO347" s="79"/>
      <c r="AP347" s="79"/>
      <c r="AQ347" s="82"/>
      <c r="AR347" s="83"/>
      <c r="AS347" s="84"/>
    </row>
    <row r="348" ht="21.25" customHeight="1">
      <c r="A348" s="85">
        <f>RANK(K348,K$1:K$665)</f>
        <v>356</v>
      </c>
      <c r="B348" t="s" s="16">
        <v>537</v>
      </c>
      <c r="C348" t="s" s="69">
        <v>127</v>
      </c>
      <c r="D348" t="s" s="70">
        <f>VLOOKUP(B348,'Player Data'!A1:D667,4,FALSE)</f>
        <v>145</v>
      </c>
      <c r="E348" s="87">
        <f>VLOOKUP(B348,'RW'!A1:C136,3,FALSE)</f>
        <v>75</v>
      </c>
      <c r="F348" t="s" s="86">
        <f>VLOOKUP(B348,'Player Data'!A1:B667,2,FALSE)</f>
        <v>149</v>
      </c>
      <c r="G348" s="96">
        <f>VLOOKUP(B348,'Player Data'!A1:D667,3,FALSE)</f>
        <v>22</v>
      </c>
      <c r="H348" s="73">
        <f>_xlfn.IFERROR(VLOOKUP(B348,'ADP'!A1:G665,7,FALSE)/1000000,VLOOKUP(B348,'ADP'!A1:G665,7,FALSE))</f>
        <v>5</v>
      </c>
      <c r="I348" s="74">
        <f>IF('Settings'!$E$15="POINTS",((R348*Q348)*'Settings'!$B$12)+(S348*'Settings'!$B$2)+(T348*'Settings'!$B$3)+(U348*'Settings'!$B$4)+(V348*'Settings'!$B$5)+(X348*'Settings'!$B$9)+(AA348*'Settings'!$B$6)+(W348*'Settings'!$B$8)+(AB348*'Settings'!$B$7)+(AC348*'Settings'!$B$14)+(AD348*'Settings'!$B$15)+(AE348*'Settings'!$B$16)+(AF348*'Settings'!$B$17)+(AG348*'Settings'!$B$18)+(Y348*'Settings'!$B$10)+(Z348*'Settings'!$B$11),VLOOKUP(B348,'Standard Deviations'!A1:C666,3,FALSE))</f>
        <v>216.258554880830</v>
      </c>
      <c r="J348" s="75">
        <f>IF(D348="G",I348/AJ348,I348/Q348)</f>
        <v>2.75901578644251</v>
      </c>
      <c r="K348" s="74">
        <f>IF('Settings'!$E$18="C/LW/RW",VLOOKUP(B348,'RW'!A1:F136,6,FALSE),VLOOKUP(B348,'F'!A1:F392,6,FALSE))</f>
        <v>-113.433339200348</v>
      </c>
      <c r="L348" s="76">
        <f>_xlfn.IFERROR(K348/H348,"N/A")</f>
        <v>-22.6866678400696</v>
      </c>
      <c r="M348" s="109">
        <f>IF('Settings'!$E$9="YAHOO",VLOOKUP(B348,'ADP'!A1:E665,2,FALSE),IF('Settings'!$E$9="ESPN",VLOOKUP(B348,'ADP'!A1:E665,3,FALSE),IF('Settings'!$E$9="FANTRAX",VLOOKUP(B348,'ADP'!A1:E665,4,FALSE),VLOOKUP(B348,'ADP'!A1:E665,5,FALSE))))</f>
        <v>0</v>
      </c>
      <c r="N348" s="79">
        <f>_xlfn.IFERROR(M348-A348,"N/A")</f>
        <v>-356</v>
      </c>
      <c r="O348" s="77"/>
      <c r="P348" t="s" s="78">
        <f>IF('Settings'!$E$27="ON",VLOOKUP(B348,'ADP'!A1:H665,8,FALSE)," ")</f>
        <v>138</v>
      </c>
      <c r="Q348" s="79">
        <f>IF('Settings'!$E$12="YES",VLOOKUP(B348,'Player Data'!A1:E667,5,FALSE),82)</f>
        <v>78.38249999999999</v>
      </c>
      <c r="R348" s="77">
        <f>VLOOKUP(B348,'Player Data'!$A1:$AE667,6,FALSE)</f>
        <v>16.2135100108219</v>
      </c>
      <c r="S348" s="79">
        <f>VLOOKUP(B348,'Player Data'!$A1:$AE667,7,FALSE)*$Q348*_xlfn.IFERROR((VLOOKUP(P348,'Settings'!$E$28:$F$33,2,FALSE)+1),1)</f>
        <v>16.1644630645304</v>
      </c>
      <c r="T348" s="79">
        <f>VLOOKUP(B348,'Player Data'!$A1:$AE667,8,FALSE)*$Q348*_xlfn.IFERROR((VLOOKUP(P348,'Settings'!$E$28:$F$33,2,FALSE)+1),1)</f>
        <v>26.2538965538351</v>
      </c>
      <c r="U348" s="79">
        <f>SUM(S348:T348)</f>
        <v>42.4183596183655</v>
      </c>
      <c r="V348" s="79">
        <f>VLOOKUP(B348,'Player Data'!$A1:$AE667,10,FALSE)*$Q348*_xlfn.IFERROR(((VLOOKUP(P348,'Settings'!$E$28:$F$33,2,FALSE)/2)+1),1)</f>
        <v>172.744939037567</v>
      </c>
      <c r="W348" s="79">
        <f>VLOOKUP(B348,'Player Data'!$A1:$AE667,11,FALSE)*$Q348*_xlfn.IFERROR((VLOOKUP(P348,'Settings'!$E$28:$F$33,2,FALSE)+1),1)</f>
        <v>1.59695883769196</v>
      </c>
      <c r="X348" s="79">
        <f>VLOOKUP(B348,'Player Data'!$A1:$AE667,12,FALSE)*$Q348*_xlfn.IFERROR((VLOOKUP(P348,'Settings'!$E$28:$F$33,2,FALSE)+1),1)</f>
        <v>7.28062410439412</v>
      </c>
      <c r="Y348" s="79">
        <f>VLOOKUP(B348,'Player Data'!$A1:$AE667,13,FALSE)*$Q348</f>
        <v>0.569937816142192</v>
      </c>
      <c r="Z348" s="79">
        <f>VLOOKUP(B348,'Player Data'!$A1:$AE667,14,FALSE)*$Q348</f>
        <v>1.29469395188495</v>
      </c>
      <c r="AA348" s="79">
        <f>VLOOKUP(B348,'Player Data'!$A1:$AE667,15,FALSE)*$Q348</f>
        <v>39.8391271382631</v>
      </c>
      <c r="AB348" s="79">
        <f>VLOOKUP(B348,'Player Data'!$A1:$AE667,16,FALSE)*$Q348</f>
        <v>54.8084167761614</v>
      </c>
      <c r="AC348" s="79">
        <f>VLOOKUP(B348,'Player Data'!$A1:$AE667,17,FALSE)*$Q348*_xlfn.IFERROR((VLOOKUP(P348,'Settings'!$E$28:$F$33,2,FALSE)+1),1)</f>
        <v>5.03574984864223</v>
      </c>
      <c r="AD348" s="79">
        <f>VLOOKUP(B348,'Player Data'!$A1:$AE667,18,FALSE)*$Q348</f>
        <v>36.4426539806739</v>
      </c>
      <c r="AE348" s="79">
        <f>VLOOKUP(B348,'Player Data'!$A1:$AE667,19,FALSE)*$Q348*_xlfn.IFERROR((VLOOKUP(P348,'Settings'!$E$28:$F$33,2,FALSE)+1),1)</f>
        <v>2.75380590106974</v>
      </c>
      <c r="AF348" s="79">
        <f>VLOOKUP(B348,'Player Data'!$A1:$AE667,20,FALSE)*$Q348</f>
        <v>439.192712932810</v>
      </c>
      <c r="AG348" s="79">
        <f>VLOOKUP(B348,'Player Data'!$A1:$AE667,21,FALSE)*$Q348</f>
        <v>444.090856324201</v>
      </c>
      <c r="AH348" s="81">
        <f>VLOOKUP(B348,'Player Data'!$A1:$AE667,22,FALSE)</f>
        <v>0.497227309800685</v>
      </c>
      <c r="AI348" s="77"/>
      <c r="AJ348" s="79"/>
      <c r="AK348" s="79"/>
      <c r="AL348" s="79"/>
      <c r="AM348" s="79"/>
      <c r="AN348" s="79"/>
      <c r="AO348" s="79"/>
      <c r="AP348" s="79"/>
      <c r="AQ348" s="82"/>
      <c r="AR348" s="83"/>
      <c r="AS348" s="84"/>
    </row>
    <row r="349" ht="21.25" customHeight="1">
      <c r="A349" s="85">
        <f>RANK(K349,K$1:K$665)</f>
        <v>364</v>
      </c>
      <c r="B349" t="s" s="16">
        <v>538</v>
      </c>
      <c r="C349" t="s" s="69">
        <v>127</v>
      </c>
      <c r="D349" t="s" s="70">
        <f>VLOOKUP(B349,'Player Data'!A1:D667,4,FALSE)</f>
        <v>178</v>
      </c>
      <c r="E349" s="102">
        <f>VLOOKUP(B349,'LW'!A1:C152,3,FALSE)</f>
        <v>84</v>
      </c>
      <c r="F349" t="s" s="92">
        <f>VLOOKUP(B349,'Player Data'!A1:B667,2,FALSE)</f>
        <v>146</v>
      </c>
      <c r="G349" s="11">
        <f>VLOOKUP(B349,'Player Data'!A1:D667,3,FALSE)</f>
        <v>29</v>
      </c>
      <c r="H349" s="73">
        <f>_xlfn.IFERROR(VLOOKUP(B349,'ADP'!A1:G665,7,FALSE)/1000000,VLOOKUP(B349,'ADP'!A1:G665,7,FALSE))</f>
        <v>2.25</v>
      </c>
      <c r="I349" s="74">
        <f>IF('Settings'!$E$15="POINTS",((R349*Q349)*'Settings'!$B$12)+(S349*'Settings'!$B$2)+(T349*'Settings'!$B$3)+(U349*'Settings'!$B$4)+(V349*'Settings'!$B$5)+(X349*'Settings'!$B$9)+(AA349*'Settings'!$B$6)+(W349*'Settings'!$B$8)+(AB349*'Settings'!$B$7)+(AC349*'Settings'!$B$14)+(AD349*'Settings'!$B$15)+(AE349*'Settings'!$B$16)+(AF349*'Settings'!$B$17)+(AG349*'Settings'!$B$18)+(Y349*'Settings'!$B$10)+(Z349*'Settings'!$B$11),VLOOKUP(B349,'Standard Deviations'!A1:C666,3,FALSE))</f>
        <v>215.477692887401</v>
      </c>
      <c r="J349" s="75">
        <f>IF(D349="G",I349/AJ349,I349/Q349)</f>
        <v>2.7741825341968</v>
      </c>
      <c r="K349" s="74">
        <f>IF('Settings'!$E$18="C/LW/RW",VLOOKUP(B349,'LW'!A1:F152,6,FALSE),VLOOKUP(B349,'F'!A1:F392,6,FALSE))</f>
        <v>-116.242418878811</v>
      </c>
      <c r="L349" s="76">
        <f>_xlfn.IFERROR(K349/H349,"N/A")</f>
        <v>-51.6632972794716</v>
      </c>
      <c r="M349" s="109">
        <f>IF('Settings'!$E$9="YAHOO",VLOOKUP(B349,'ADP'!A1:E665,2,FALSE),IF('Settings'!$E$9="ESPN",VLOOKUP(B349,'ADP'!A1:E665,3,FALSE),IF('Settings'!$E$9="FANTRAX",VLOOKUP(B349,'ADP'!A1:E665,4,FALSE),VLOOKUP(B349,'ADP'!A1:E665,5,FALSE))))</f>
        <v>0</v>
      </c>
      <c r="N349" s="79">
        <f>_xlfn.IFERROR(M349-A349,"N/A")</f>
        <v>-364</v>
      </c>
      <c r="O349" s="77"/>
      <c r="P349" t="s" s="78">
        <f>IF('Settings'!$E$27="ON",VLOOKUP(B349,'ADP'!A1:H665,8,FALSE)," ")</f>
        <v>138</v>
      </c>
      <c r="Q349" s="79">
        <f>IF('Settings'!$E$12="YES",VLOOKUP(B349,'Player Data'!A1:E667,5,FALSE),82)</f>
        <v>77.6725</v>
      </c>
      <c r="R349" s="77">
        <f>VLOOKUP(B349,'Player Data'!$A1:$AE667,6,FALSE)</f>
        <v>14.2847206261425</v>
      </c>
      <c r="S349" s="79">
        <f>VLOOKUP(B349,'Player Data'!$A1:$AE667,7,FALSE)*$Q349*_xlfn.IFERROR((VLOOKUP(P349,'Settings'!$E$28:$F$33,2,FALSE)+1),1)</f>
        <v>16.0836304703697</v>
      </c>
      <c r="T349" s="79">
        <f>VLOOKUP(B349,'Player Data'!$A1:$AE667,8,FALSE)*$Q349*_xlfn.IFERROR((VLOOKUP(P349,'Settings'!$E$28:$F$33,2,FALSE)+1),1)</f>
        <v>20.1104173645641</v>
      </c>
      <c r="U349" s="79">
        <f>SUM(S349:T349)</f>
        <v>36.1940478349338</v>
      </c>
      <c r="V349" s="79">
        <f>VLOOKUP(B349,'Player Data'!$A1:$AE667,10,FALSE)*$Q349*_xlfn.IFERROR(((VLOOKUP(P349,'Settings'!$E$28:$F$33,2,FALSE)/2)+1),1)</f>
        <v>131.125637593628</v>
      </c>
      <c r="W349" s="79">
        <f>VLOOKUP(B349,'Player Data'!$A1:$AE667,11,FALSE)*$Q349*_xlfn.IFERROR((VLOOKUP(P349,'Settings'!$E$28:$F$33,2,FALSE)+1),1)</f>
        <v>0.542490060467811</v>
      </c>
      <c r="X349" s="79">
        <f>VLOOKUP(B349,'Player Data'!$A1:$AE667,12,FALSE)*$Q349*_xlfn.IFERROR((VLOOKUP(P349,'Settings'!$E$28:$F$33,2,FALSE)+1),1)</f>
        <v>0.910096983757152</v>
      </c>
      <c r="Y349" s="79">
        <f>VLOOKUP(B349,'Player Data'!$A1:$AE667,13,FALSE)*$Q349</f>
        <v>0.780205978831765</v>
      </c>
      <c r="Z349" s="79">
        <f>VLOOKUP(B349,'Player Data'!$A1:$AE667,14,FALSE)*$Q349</f>
        <v>0.891336781750684</v>
      </c>
      <c r="AA349" s="79">
        <f>VLOOKUP(B349,'Player Data'!$A1:$AE667,15,FALSE)*$Q349</f>
        <v>45.5767897451144</v>
      </c>
      <c r="AB349" s="79">
        <f>VLOOKUP(B349,'Player Data'!$A1:$AE667,16,FALSE)*$Q349</f>
        <v>96.7934204354859</v>
      </c>
      <c r="AC349" s="79">
        <f>VLOOKUP(B349,'Player Data'!$A1:$AE667,17,FALSE)*$Q349*_xlfn.IFERROR((VLOOKUP(P349,'Settings'!$E$28:$F$33,2,FALSE)+1),1)</f>
        <v>2.81544787048483</v>
      </c>
      <c r="AD349" s="79">
        <f>VLOOKUP(B349,'Player Data'!$A1:$AE667,18,FALSE)*$Q349</f>
        <v>25.2006908226446</v>
      </c>
      <c r="AE349" s="79">
        <f>VLOOKUP(B349,'Player Data'!$A1:$AE667,19,FALSE)*$Q349*_xlfn.IFERROR((VLOOKUP(P349,'Settings'!$E$28:$F$33,2,FALSE)+1),1)</f>
        <v>2.74666918196526</v>
      </c>
      <c r="AF349" s="79">
        <f>VLOOKUP(B349,'Player Data'!$A1:$AE667,20,FALSE)*$Q349</f>
        <v>7.51321005108104</v>
      </c>
      <c r="AG349" s="79">
        <f>VLOOKUP(B349,'Player Data'!$A1:$AE667,21,FALSE)*$Q349</f>
        <v>18.2776501118758</v>
      </c>
      <c r="AH349" s="81">
        <f>VLOOKUP(B349,'Player Data'!$A1:$AE667,22,FALSE)</f>
        <v>0.291312891606158</v>
      </c>
      <c r="AI349" s="77"/>
      <c r="AJ349" s="79"/>
      <c r="AK349" s="79"/>
      <c r="AL349" s="79"/>
      <c r="AM349" s="79"/>
      <c r="AN349" s="79"/>
      <c r="AO349" s="79"/>
      <c r="AP349" s="79"/>
      <c r="AQ349" s="82"/>
      <c r="AR349" s="83"/>
      <c r="AS349" s="84"/>
    </row>
    <row r="350" ht="21.25" customHeight="1">
      <c r="A350" s="85">
        <f>RANK(K350,K$1:K$665)</f>
        <v>360</v>
      </c>
      <c r="B350" t="s" s="16">
        <v>539</v>
      </c>
      <c r="C350" t="s" s="69">
        <v>127</v>
      </c>
      <c r="D350" t="s" s="70">
        <f>VLOOKUP(B350,'Player Data'!A1:D667,4,FALSE)</f>
        <v>140</v>
      </c>
      <c r="E350" s="90">
        <f>VLOOKUP(B350,'RW'!A1:F136,3,FALSE)</f>
        <v>76</v>
      </c>
      <c r="F350" t="s" s="104">
        <f>VLOOKUP(B350,'Player Data'!A1:B667,2,FALSE)</f>
        <v>281</v>
      </c>
      <c r="G350" s="11">
        <f>VLOOKUP(B350,'Player Data'!A1:D667,3,FALSE)</f>
        <v>24</v>
      </c>
      <c r="H350" s="73">
        <f>_xlfn.IFERROR(VLOOKUP(B350,'ADP'!A1:G665,7,FALSE)/1000000,VLOOKUP(B350,'ADP'!A1:G665,7,FALSE))</f>
        <v>3.85</v>
      </c>
      <c r="I350" s="74">
        <f>IF('Settings'!$E$15="POINTS",((R350*Q350)*'Settings'!$B$12)+(S350*'Settings'!$B$2)+(T350*'Settings'!$B$3)+(U350*'Settings'!$B$4)+(V350*'Settings'!$B$5)+(X350*'Settings'!$B$9)+(AA350*'Settings'!$B$6)+(W350*'Settings'!$B$8)+(AB350*'Settings'!$B$7)+(AC350*'Settings'!$B$14)+(AD350*'Settings'!$B$15)+(AE350*'Settings'!$B$16)+(AF350*'Settings'!$B$17)+(AG350*'Settings'!$B$18)+(Y350*'Settings'!$B$10)+(Z350*'Settings'!$B$11),VLOOKUP(B350,'Standard Deviations'!A1:C666,3,FALSE))</f>
        <v>215.466234814480</v>
      </c>
      <c r="J350" s="75">
        <f>IF(D350="G",I350/AJ350,I350/Q350)</f>
        <v>2.84040780166075</v>
      </c>
      <c r="K350" s="74">
        <f>IF('Settings'!$E$18="C/LW/RW",VLOOKUP(B350,'RW'!A1:F136,6,FALSE),VLOOKUP(B350,'F'!A1:F392,6,FALSE))</f>
        <v>-114.225659266698</v>
      </c>
      <c r="L350" s="76">
        <f>_xlfn.IFERROR(K350/H350,"N/A")</f>
        <v>-29.6690024069345</v>
      </c>
      <c r="M350" s="109">
        <f>IF('Settings'!$E$9="YAHOO",VLOOKUP(B350,'ADP'!A1:E665,2,FALSE),IF('Settings'!$E$9="ESPN",VLOOKUP(B350,'ADP'!A1:E665,3,FALSE),IF('Settings'!$E$9="FANTRAX",VLOOKUP(B350,'ADP'!A1:E665,4,FALSE),VLOOKUP(B350,'ADP'!A1:E665,5,FALSE))))</f>
        <v>0</v>
      </c>
      <c r="N350" s="79">
        <f>_xlfn.IFERROR(M350-A350,"N/A")</f>
        <v>-360</v>
      </c>
      <c r="O350" s="77"/>
      <c r="P350" t="s" s="78">
        <f>IF('Settings'!$E$27="ON",VLOOKUP(B350,'ADP'!A1:H665,8,FALSE)," ")</f>
        <v>138</v>
      </c>
      <c r="Q350" s="79">
        <f>IF('Settings'!$E$12="YES",VLOOKUP(B350,'Player Data'!A1:E667,5,FALSE),82)</f>
        <v>75.8575</v>
      </c>
      <c r="R350" s="77">
        <f>VLOOKUP(B350,'Player Data'!$A1:$AE667,6,FALSE)</f>
        <v>16.0057062782688</v>
      </c>
      <c r="S350" s="79">
        <f>VLOOKUP(B350,'Player Data'!$A1:$AE667,7,FALSE)*$Q350*_xlfn.IFERROR((VLOOKUP(P350,'Settings'!$E$28:$F$33,2,FALSE)+1),1)</f>
        <v>23.7834173939083</v>
      </c>
      <c r="T350" s="79">
        <f>VLOOKUP(B350,'Player Data'!$A1:$AE667,8,FALSE)*$Q350*_xlfn.IFERROR((VLOOKUP(P350,'Settings'!$E$28:$F$33,2,FALSE)+1),1)</f>
        <v>17.5860935301542</v>
      </c>
      <c r="U350" s="79">
        <f>SUM(S350:T350)</f>
        <v>41.3695109240625</v>
      </c>
      <c r="V350" s="79">
        <f>VLOOKUP(B350,'Player Data'!$A1:$AE667,10,FALSE)*$Q350*_xlfn.IFERROR(((VLOOKUP(P350,'Settings'!$E$28:$F$33,2,FALSE)/2)+1),1)</f>
        <v>173.980892760032</v>
      </c>
      <c r="W350" s="79">
        <f>VLOOKUP(B350,'Player Data'!$A1:$AE667,11,FALSE)*$Q350*_xlfn.IFERROR((VLOOKUP(P350,'Settings'!$E$28:$F$33,2,FALSE)+1),1)</f>
        <v>7.03565176235462</v>
      </c>
      <c r="X350" s="79">
        <f>VLOOKUP(B350,'Player Data'!$A1:$AE667,12,FALSE)*$Q350*_xlfn.IFERROR((VLOOKUP(P350,'Settings'!$E$28:$F$33,2,FALSE)+1),1)</f>
        <v>10.4961649002492</v>
      </c>
      <c r="Y350" s="79">
        <f>VLOOKUP(B350,'Player Data'!$A1:$AE667,13,FALSE)*$Q350</f>
        <v>0.0395588432035751</v>
      </c>
      <c r="Z350" s="79">
        <f>VLOOKUP(B350,'Player Data'!$A1:$AE667,14,FALSE)*$Q350</f>
        <v>0.0672552292164441</v>
      </c>
      <c r="AA350" s="79">
        <f>VLOOKUP(B350,'Player Data'!$A1:$AE667,15,FALSE)*$Q350</f>
        <v>40.5662926127655</v>
      </c>
      <c r="AB350" s="79">
        <f>VLOOKUP(B350,'Player Data'!$A1:$AE667,16,FALSE)*$Q350</f>
        <v>51.417263918719</v>
      </c>
      <c r="AC350" s="79">
        <f>VLOOKUP(B350,'Player Data'!$A1:$AE667,17,FALSE)*$Q350*_xlfn.IFERROR((VLOOKUP(P350,'Settings'!$E$28:$F$33,2,FALSE)+1),1)</f>
        <v>-6.31669419416343</v>
      </c>
      <c r="AD350" s="79">
        <f>VLOOKUP(B350,'Player Data'!$A1:$AE667,18,FALSE)*$Q350</f>
        <v>19.8888416827127</v>
      </c>
      <c r="AE350" s="79">
        <f>VLOOKUP(B350,'Player Data'!$A1:$AE667,19,FALSE)*$Q350*_xlfn.IFERROR((VLOOKUP(P350,'Settings'!$E$28:$F$33,2,FALSE)+1),1)</f>
        <v>2.63007373263535</v>
      </c>
      <c r="AF350" s="79">
        <f>VLOOKUP(B350,'Player Data'!$A1:$AE667,20,FALSE)*$Q350</f>
        <v>28.3002859486979</v>
      </c>
      <c r="AG350" s="79">
        <f>VLOOKUP(B350,'Player Data'!$A1:$AE667,21,FALSE)*$Q350</f>
        <v>39.3504935814267</v>
      </c>
      <c r="AH350" s="81">
        <f>VLOOKUP(B350,'Player Data'!$A1:$AE667,22,FALSE)</f>
        <v>0.418329044325289</v>
      </c>
      <c r="AI350" s="77"/>
      <c r="AJ350" s="89"/>
      <c r="AK350" s="79"/>
      <c r="AL350" s="79"/>
      <c r="AM350" s="79"/>
      <c r="AN350" s="79"/>
      <c r="AO350" s="79"/>
      <c r="AP350" s="79"/>
      <c r="AQ350" s="82"/>
      <c r="AR350" s="83"/>
      <c r="AS350" s="84"/>
    </row>
    <row r="351" ht="21.25" customHeight="1">
      <c r="A351" s="85">
        <f>RANK(K351,K$1:K$665)</f>
        <v>336</v>
      </c>
      <c r="B351" t="s" s="16">
        <v>540</v>
      </c>
      <c r="C351" t="s" s="69">
        <v>127</v>
      </c>
      <c r="D351" t="s" s="70">
        <f>VLOOKUP(B351,'Player Data'!A1:D667,4,FALSE)</f>
        <v>153</v>
      </c>
      <c r="E351" s="95">
        <f>VLOOKUP(B351,'D'!A1:C213,3,FALSE)</f>
        <v>109</v>
      </c>
      <c r="F351" t="s" s="88">
        <f>VLOOKUP(B351,'Player Data'!A1:B667,2,FALSE)</f>
        <v>141</v>
      </c>
      <c r="G351" s="91">
        <f>VLOOKUP(B351,'Player Data'!A1:D667,3,FALSE)</f>
        <v>35</v>
      </c>
      <c r="H351" s="73">
        <f>_xlfn.IFERROR(VLOOKUP(B351,'ADP'!A1:G665,7,FALSE)/1000000,VLOOKUP(B351,'ADP'!A1:G665,7,FALSE))</f>
        <v>6.75</v>
      </c>
      <c r="I351" s="74">
        <f>IF('Settings'!$E$15="POINTS",((R351*Q351)*'Settings'!$B$12)+(S351*'Settings'!$B$2)+(T351*'Settings'!$B$3)+(U351*'Settings'!$B$4)+(V351*'Settings'!$B$5)+(X351*'Settings'!$B$9)+(AA351*'Settings'!$B$6)+(W351*'Settings'!$B$8)+(AB351*'Settings'!$B$7)+(AC351*'Settings'!$B$14)+(AD351*'Settings'!$B$15)+(AE351*'Settings'!$B$16)+(AF351*'Settings'!$B$17)+(AG351*'Settings'!$B$18)+(U351*'Settings'!$B$13)+(Y351*'Settings'!$B$10)+(Z351*'Settings'!$B$11),VLOOKUP(B351,'Standard Deviations'!A1:C666,3,FALSE))</f>
        <v>221.539240740707</v>
      </c>
      <c r="J351" s="75">
        <f>IF(D351="G",I351/AJ351,I351/Q351)</f>
        <v>2.84033771262806</v>
      </c>
      <c r="K351" s="74">
        <f>VLOOKUP(B351,'D'!A1:F213,6,FALSE)</f>
        <v>-110.000967179375</v>
      </c>
      <c r="L351" s="76">
        <f>_xlfn.IFERROR(K351/H351,"N/A")</f>
        <v>-16.2964395821296</v>
      </c>
      <c r="M351" s="109">
        <f>IF('Settings'!$E$9="YAHOO",VLOOKUP(B351,'ADP'!A1:E665,2,FALSE),IF('Settings'!$E$9="ESPN",VLOOKUP(B351,'ADP'!A1:E665,3,FALSE),IF('Settings'!$E$9="FANTRAX",VLOOKUP(B351,'ADP'!A1:E665,4,FALSE),VLOOKUP(B351,'ADP'!A1:E665,5,FALSE))))</f>
        <v>0</v>
      </c>
      <c r="N351" s="79">
        <f>_xlfn.IFERROR(M351-A351,"N/A")</f>
        <v>-336</v>
      </c>
      <c r="O351" s="77"/>
      <c r="P351" t="s" s="78">
        <f>IF('Settings'!$E$27="ON",VLOOKUP(B351,'ADP'!A1:H665,8,FALSE)," ")</f>
        <v>138</v>
      </c>
      <c r="Q351" s="79">
        <f>IF('Settings'!$E$12="YES",VLOOKUP(B351,'Player Data'!A1:E667,5,FALSE),82)</f>
        <v>77.9975</v>
      </c>
      <c r="R351" s="77">
        <f>VLOOKUP(B351,'Player Data'!$A1:$AE667,6,FALSE)</f>
        <v>21.3140172396372</v>
      </c>
      <c r="S351" s="79">
        <f>VLOOKUP(B351,'Player Data'!$A1:$AE667,7,FALSE)*$Q351*_xlfn.IFERROR((VLOOKUP(P351,'Settings'!$E$28:$F$33,2,FALSE)+1),1)</f>
        <v>2.73990756003632</v>
      </c>
      <c r="T351" s="79">
        <f>VLOOKUP(B351,'Player Data'!$A1:$AE667,8,FALSE)*$Q351*_xlfn.IFERROR((VLOOKUP(P351,'Settings'!$E$28:$F$33,2,FALSE)+1),1)</f>
        <v>22.9495573105373</v>
      </c>
      <c r="U351" s="79">
        <f>SUM(S351:T351)</f>
        <v>25.6894648705736</v>
      </c>
      <c r="V351" s="79">
        <f>VLOOKUP(B351,'Player Data'!$A1:$AE667,10,FALSE)*$Q351*_xlfn.IFERROR(((VLOOKUP(P351,'Settings'!$E$28:$F$33,2,FALSE)/2)+1),1)</f>
        <v>87.5681136426449</v>
      </c>
      <c r="W351" s="79">
        <f>VLOOKUP(B351,'Player Data'!$A1:$AE667,11,FALSE)*$Q351*_xlfn.IFERROR((VLOOKUP(P351,'Settings'!$E$28:$F$33,2,FALSE)+1),1)</f>
        <v>0.100285490497714</v>
      </c>
      <c r="X351" s="79">
        <f>VLOOKUP(B351,'Player Data'!$A1:$AE667,12,FALSE)*$Q351*_xlfn.IFERROR((VLOOKUP(P351,'Settings'!$E$28:$F$33,2,FALSE)+1),1)</f>
        <v>2.38634690220048</v>
      </c>
      <c r="Y351" s="79">
        <f>VLOOKUP(B351,'Player Data'!$A1:$AE667,13,FALSE)*$Q351</f>
        <v>0.020165937877047</v>
      </c>
      <c r="Z351" s="79">
        <f>VLOOKUP(B351,'Player Data'!$A1:$AE667,14,FALSE)*$Q351</f>
        <v>0.102677390815447</v>
      </c>
      <c r="AA351" s="79">
        <f>VLOOKUP(B351,'Player Data'!$A1:$AE667,15,FALSE)*$Q351</f>
        <v>149.335752611983</v>
      </c>
      <c r="AB351" s="79">
        <f>VLOOKUP(B351,'Player Data'!$A1:$AE667,16,FALSE)*$Q351</f>
        <v>61.7828888379666</v>
      </c>
      <c r="AC351" s="79">
        <f>VLOOKUP(B351,'Player Data'!$A1:$AE667,17,FALSE)*$Q351*_xlfn.IFERROR((VLOOKUP(P351,'Settings'!$E$28:$F$33,2,FALSE)+1),1)</f>
        <v>3.80934451822578</v>
      </c>
      <c r="AD351" s="79">
        <f>VLOOKUP(B351,'Player Data'!$A1:$AE667,18,FALSE)*$Q351</f>
        <v>25.0245457675543</v>
      </c>
      <c r="AE351" s="79">
        <f>VLOOKUP(B351,'Player Data'!$A1:$AE667,19,FALSE)*$Q351*_xlfn.IFERROR((VLOOKUP(P351,'Settings'!$E$28:$F$33,2,FALSE)+1),1)</f>
        <v>0.431704279234911</v>
      </c>
      <c r="AF351" s="79">
        <f>VLOOKUP(B351,'Player Data'!$A1:$AE667,20,FALSE)*$Q351</f>
        <v>0</v>
      </c>
      <c r="AG351" s="79">
        <f>VLOOKUP(B351,'Player Data'!$A1:$AE667,21,FALSE)*$Q351</f>
        <v>0.151775973777377</v>
      </c>
      <c r="AH351" s="81">
        <f>VLOOKUP(B351,'Player Data'!$A1:$AE667,22,FALSE)</f>
        <v>0</v>
      </c>
      <c r="AI351" s="77"/>
      <c r="AJ351" s="79"/>
      <c r="AK351" s="79"/>
      <c r="AL351" s="79"/>
      <c r="AM351" s="79"/>
      <c r="AN351" s="79"/>
      <c r="AO351" s="79"/>
      <c r="AP351" s="79"/>
      <c r="AQ351" s="82"/>
      <c r="AR351" s="83"/>
      <c r="AS351" s="84"/>
    </row>
    <row r="352" ht="21.25" customHeight="1">
      <c r="A352" s="85">
        <f>RANK(K352,K$1:K$665)</f>
        <v>322</v>
      </c>
      <c r="B352" t="s" s="16">
        <v>541</v>
      </c>
      <c r="C352" t="s" s="69">
        <v>127</v>
      </c>
      <c r="D352" t="s" s="70">
        <f>VLOOKUP(B352,'Player Data'!A1:D667,4,FALSE)</f>
        <v>161</v>
      </c>
      <c r="E352" s="99">
        <f>VLOOKUP(B352,'G'!A1:D65,3,FALSE)</f>
        <v>44</v>
      </c>
      <c r="F352" t="s" s="78">
        <f>VLOOKUP(B352,'Player Data'!A1:B667,2,FALSE)</f>
        <v>216</v>
      </c>
      <c r="G352" s="96">
        <f>VLOOKUP(B352,'Player Data'!A1:D667,3,FALSE)</f>
        <v>27</v>
      </c>
      <c r="H352" s="94">
        <f>_xlfn.IFERROR(VLOOKUP(B352,'ADP'!A1:G665,7,FALSE)/1000000,VLOOKUP(B352,'ADP'!A1:G665,7,FALSE))</f>
        <v>1.8</v>
      </c>
      <c r="I352" s="74">
        <f>IF('Settings'!$E$15="POINTS",(AJ352*'Settings'!$B$29)+(AK352*'Settings'!$B$21)+(AL352*'Settings'!$B$22)+(AN352*'Settings'!$B$24)+(AO352*'Settings'!$B$25)+(AP352*'Settings'!$B$27)+(AM352*'Settings'!$B$23),VLOOKUP(B352,'Standard Deviations'!A1:C666,3,FALSE))</f>
        <v>160.518174288036</v>
      </c>
      <c r="J352" s="75">
        <f>IF(D352="G",I352/AJ352,I352/Q352)</f>
        <v>5.3506058096012</v>
      </c>
      <c r="K352" s="74">
        <f>VLOOKUP(B352,'G'!A1:F65,6,FALSE)</f>
        <v>-107.072840276554</v>
      </c>
      <c r="L352" s="76">
        <f>_xlfn.IFERROR(K352/H352,"N/A")</f>
        <v>-59.4849112647522</v>
      </c>
      <c r="M352" s="77">
        <f>IF('Settings'!$E$9="YAHOO",VLOOKUP(B352,'ADP'!A1:E665,2,FALSE),IF('Settings'!$E$9="ESPN",VLOOKUP(B352,'ADP'!A1:E665,3,FALSE),IF('Settings'!$E$9="FANTRAX",VLOOKUP(B352,'ADP'!A1:E665,4,FALSE),VLOOKUP(B352,'ADP'!A1:E665,5,FALSE))))</f>
        <v>0</v>
      </c>
      <c r="N352" s="77">
        <f>_xlfn.IFERROR(M352-A352,"N/A")</f>
        <v>-322</v>
      </c>
      <c r="O352" s="77"/>
      <c r="P352" t="s" s="78">
        <f>IF('Settings'!$E$27="ON",VLOOKUP(B352,'ADP'!A1:H665,8,FALSE)," ")</f>
        <v>138</v>
      </c>
      <c r="Q352" s="79"/>
      <c r="R352" s="77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81"/>
      <c r="AI352" s="77"/>
      <c r="AJ352" s="89">
        <f>VLOOKUP(B352,'Player Data'!$A1:$AE667,24,FALSE)</f>
        <v>30</v>
      </c>
      <c r="AK352" s="79">
        <f>VLOOKUP(B352,'Player Data'!$A1:$AE667,25,FALSE)*$AJ352*_xlfn.IFERROR((VLOOKUP(P352,'Settings'!$E$28:$F$33,2,FALSE)+1),1)</f>
        <v>16.0597319513259</v>
      </c>
      <c r="AL352" s="79">
        <f>AJ352-AK352-AM352</f>
        <v>10.1902680486741</v>
      </c>
      <c r="AM352" s="79">
        <f>VLOOKUP(B352,'Player Data'!$A1:$AE667,27,FALSE)*$AJ352</f>
        <v>3.75</v>
      </c>
      <c r="AN352" s="79">
        <f>VLOOKUP(B352,'Player Data'!$A1:$AE667,28,FALSE)*AJ352</f>
        <v>1.72736562528771</v>
      </c>
      <c r="AO352" s="79">
        <f>VLOOKUP(B352,'Player Data'!$A1:$AE667,29,FALSE)*$AJ352*_xlfn.IFERROR((VLOOKUP(P352,'Settings'!$E$28:$F$33,2,FALSE)/4)+1,1)</f>
        <v>798.166416656505</v>
      </c>
      <c r="AP352" s="79">
        <f>VLOOKUP(B352,'Player Data'!$A1:$AE667,31,FALSE)*$AJ352*(_xlfn.IFERROR(1-(VLOOKUP(P352,'Settings'!$E$28:$F$33,2,FALSE)/4),1))</f>
        <v>83.785424952894</v>
      </c>
      <c r="AQ352" s="82">
        <f>1-(AP352/(AO352+AP352))</f>
        <v>0.904999999999999</v>
      </c>
      <c r="AR352" s="83">
        <f>AP352/AJ352</f>
        <v>2.7928474984298</v>
      </c>
      <c r="AS352" s="84"/>
    </row>
    <row r="353" ht="21.25" customHeight="1">
      <c r="A353" s="85">
        <f>RANK(K353,K$1:K$665)</f>
        <v>340</v>
      </c>
      <c r="B353" t="s" s="16">
        <v>542</v>
      </c>
      <c r="C353" t="s" s="69">
        <v>127</v>
      </c>
      <c r="D353" t="s" s="70">
        <f>VLOOKUP(B353,'Player Data'!A1:D667,4,FALSE)</f>
        <v>153</v>
      </c>
      <c r="E353" s="95">
        <f>VLOOKUP(B353,'D'!A1:C213,3,FALSE)</f>
        <v>110</v>
      </c>
      <c r="F353" t="s" s="78">
        <f>VLOOKUP(B353,'Player Data'!A1:B667,2,FALSE)</f>
        <v>194</v>
      </c>
      <c r="G353" s="96">
        <f>VLOOKUP(B353,'Player Data'!A1:D667,3,FALSE)</f>
        <v>20</v>
      </c>
      <c r="H353" s="94">
        <f>_xlfn.IFERROR(VLOOKUP(B353,'ADP'!A1:G665,7,FALSE)/1000000,VLOOKUP(B353,'ADP'!A1:G665,7,FALSE))</f>
        <v>0.925</v>
      </c>
      <c r="I353" s="74">
        <f>IF('Settings'!$E$15="POINTS",((R353*Q353)*'Settings'!$B$12)+(S353*'Settings'!$B$2)+(T353*'Settings'!$B$3)+(U353*'Settings'!$B$4)+(V353*'Settings'!$B$5)+(X353*'Settings'!$B$9)+(AA353*'Settings'!$B$6)+(W353*'Settings'!$B$8)+(AB353*'Settings'!$B$7)+(AC353*'Settings'!$B$14)+(AD353*'Settings'!$B$15)+(AE353*'Settings'!$B$16)+(AF353*'Settings'!$B$17)+(AG353*'Settings'!$B$18)+(U353*'Settings'!$B$13)+(Y353*'Settings'!$B$10)+(Z353*'Settings'!$B$11),VLOOKUP(B353,'Standard Deviations'!A1:C666,3,FALSE))</f>
        <v>220.673262745240</v>
      </c>
      <c r="J353" s="75">
        <f>IF(D353="G",I353/AJ353,I353/Q353)</f>
        <v>2.73516686595488</v>
      </c>
      <c r="K353" s="74">
        <f>VLOOKUP(B353,'D'!A1:F213,6,FALSE)</f>
        <v>-110.866945174842</v>
      </c>
      <c r="L353" s="76">
        <f>_xlfn.IFERROR(K353/H353,"N/A")</f>
        <v>-119.856156945775</v>
      </c>
      <c r="M353" s="77">
        <f>IF('Settings'!$E$9="YAHOO",VLOOKUP(B353,'ADP'!A1:E665,2,FALSE),IF('Settings'!$E$9="ESPN",VLOOKUP(B353,'ADP'!A1:E665,3,FALSE),IF('Settings'!$E$9="FANTRAX",VLOOKUP(B353,'ADP'!A1:E665,4,FALSE),VLOOKUP(B353,'ADP'!A1:E665,5,FALSE))))</f>
        <v>0</v>
      </c>
      <c r="N353" s="77">
        <f>_xlfn.IFERROR(M353-A353,"N/A")</f>
        <v>-340</v>
      </c>
      <c r="O353" s="77"/>
      <c r="P353" t="s" s="78">
        <f>IF('Settings'!$E$27="ON",VLOOKUP(B353,'ADP'!A1:H665,8,FALSE)," ")</f>
        <v>138</v>
      </c>
      <c r="Q353" s="79">
        <f>IF('Settings'!$E$12="YES",VLOOKUP(B353,'Player Data'!A1:E667,5,FALSE),82)</f>
        <v>80.68000000000001</v>
      </c>
      <c r="R353" s="77">
        <f>VLOOKUP(B353,'Player Data'!$A1:$AE667,6,FALSE)</f>
        <v>20.6632501312081</v>
      </c>
      <c r="S353" s="79">
        <f>VLOOKUP(B353,'Player Data'!$A1:$AE667,7,FALSE)*$Q353*_xlfn.IFERROR((VLOOKUP(P353,'Settings'!$E$28:$F$33,2,FALSE)+1),1)</f>
        <v>9.156632064239529</v>
      </c>
      <c r="T353" s="79">
        <f>VLOOKUP(B353,'Player Data'!$A1:$AE667,8,FALSE)*$Q353*_xlfn.IFERROR((VLOOKUP(P353,'Settings'!$E$28:$F$33,2,FALSE)+1),1)</f>
        <v>35.7965777439686</v>
      </c>
      <c r="U353" s="79">
        <f>SUM(S353:T353)</f>
        <v>44.9532098082081</v>
      </c>
      <c r="V353" s="79">
        <f>VLOOKUP(B353,'Player Data'!$A1:$AE667,10,FALSE)*$Q353*_xlfn.IFERROR(((VLOOKUP(P353,'Settings'!$E$28:$F$33,2,FALSE)/2)+1),1)</f>
        <v>127.266814616722</v>
      </c>
      <c r="W353" s="79">
        <f>VLOOKUP(B353,'Player Data'!$A1:$AE667,11,FALSE)*$Q353*_xlfn.IFERROR((VLOOKUP(P353,'Settings'!$E$28:$F$33,2,FALSE)+1),1)</f>
        <v>3.20398711690696</v>
      </c>
      <c r="X353" s="101">
        <f>VLOOKUP(B353,'Player Data'!$A1:$AE667,12,FALSE)*$Q353*_xlfn.IFERROR((VLOOKUP(P353,'Settings'!$E$28:$F$33,2,FALSE)+1),1)</f>
        <v>19.2883762669241</v>
      </c>
      <c r="Y353" s="79">
        <f>VLOOKUP(B353,'Player Data'!$A1:$AE667,13,FALSE)*$Q353</f>
        <v>0.00623644064075012</v>
      </c>
      <c r="Z353" s="79">
        <f>VLOOKUP(B353,'Player Data'!$A1:$AE667,14,FALSE)*$Q353</f>
        <v>0.0304162627276943</v>
      </c>
      <c r="AA353" s="79">
        <f>VLOOKUP(B353,'Player Data'!$A1:$AE667,15,FALSE)*$Q353</f>
        <v>71.2857452084172</v>
      </c>
      <c r="AB353" s="79">
        <f>VLOOKUP(B353,'Player Data'!$A1:$AE667,16,FALSE)*$Q353</f>
        <v>44.0684877903722</v>
      </c>
      <c r="AC353" s="79">
        <f>VLOOKUP(B353,'Player Data'!$A1:$AE667,17,FALSE)*$Q353*_xlfn.IFERROR((VLOOKUP(P353,'Settings'!$E$28:$F$33,2,FALSE)+1),1)</f>
        <v>2.324862440172</v>
      </c>
      <c r="AD353" s="79">
        <f>VLOOKUP(B353,'Player Data'!$A1:$AE667,18,FALSE)*$Q353</f>
        <v>32.0027288414427</v>
      </c>
      <c r="AE353" s="79">
        <f>VLOOKUP(B353,'Player Data'!$A1:$AE667,19,FALSE)*$Q353*_xlfn.IFERROR((VLOOKUP(P353,'Settings'!$E$28:$F$33,2,FALSE)+1),1)</f>
        <v>1.38151895925715</v>
      </c>
      <c r="AF353" s="79">
        <f>VLOOKUP(B353,'Player Data'!$A1:$AE667,20,FALSE)*$Q353</f>
        <v>0</v>
      </c>
      <c r="AG353" s="79">
        <f>VLOOKUP(B353,'Player Data'!$A1:$AE667,21,FALSE)*$Q353</f>
        <v>0</v>
      </c>
      <c r="AH353" s="81">
        <f>VLOOKUP(B353,'Player Data'!$A1:$AE667,22,FALSE)</f>
        <v>0</v>
      </c>
      <c r="AI353" s="77"/>
      <c r="AJ353" s="79"/>
      <c r="AK353" s="79"/>
      <c r="AL353" s="79"/>
      <c r="AM353" s="79"/>
      <c r="AN353" s="79"/>
      <c r="AO353" s="79"/>
      <c r="AP353" s="79"/>
      <c r="AQ353" s="82"/>
      <c r="AR353" s="83"/>
      <c r="AS353" s="84"/>
    </row>
    <row r="354" ht="21.25" customHeight="1">
      <c r="A354" s="85">
        <f>RANK(K354,K$1:K$665)</f>
        <v>383</v>
      </c>
      <c r="B354" t="s" s="16">
        <v>543</v>
      </c>
      <c r="C354" t="s" s="69">
        <v>127</v>
      </c>
      <c r="D354" t="s" s="70">
        <f>VLOOKUP(B354,'Player Data'!A1:D667,4,FALSE)</f>
        <v>128</v>
      </c>
      <c r="E354" s="71">
        <f>VLOOKUP(B354,'C'!A1:C206,3,FALSE)</f>
        <v>115</v>
      </c>
      <c r="F354" t="s" s="103">
        <f>VLOOKUP(B354,'Player Data'!A1:B667,2,FALSE)</f>
        <v>182</v>
      </c>
      <c r="G354" s="11">
        <f>VLOOKUP(B354,'Player Data'!A1:D667,3,FALSE)</f>
        <v>27</v>
      </c>
      <c r="H354" s="73">
        <f>_xlfn.IFERROR(VLOOKUP(B354,'ADP'!A1:G665,7,FALSE)/1000000,VLOOKUP(B354,'ADP'!A1:G665,7,FALSE))</f>
        <v>3.5</v>
      </c>
      <c r="I354" s="74">
        <f>IF('Settings'!$E$15="POINTS",((R354*Q354)*'Settings'!$B$12)+(S354*'Settings'!$B$2)+(T354*'Settings'!$B$3)+(U354*'Settings'!$B$4)+(V354*'Settings'!$B$5)+(X354*'Settings'!$B$9)+(AA354*'Settings'!$B$6)+(W354*'Settings'!$B$8)+(AB354*'Settings'!$B$7)+(AC354*'Settings'!$B$14)+(AD354*'Settings'!$B$15)+(AE354*'Settings'!$B$16)+(AF354*'Settings'!$B$17)+(AG354*'Settings'!$B$18)+(Y354*'Settings'!$B$10)+(Z354*'Settings'!$B$11),VLOOKUP(B354,'Standard Deviations'!A1:C666,3,FALSE))</f>
        <v>208.215920372234</v>
      </c>
      <c r="J354" s="75">
        <f>IF(D354="G",I354/AJ354,I354/Q354)</f>
        <v>2.60018008020023</v>
      </c>
      <c r="K354" s="74">
        <f>IF('Settings'!$E$18="C/LW/RW",VLOOKUP(B354,'C'!A1:F206,6,FALSE),VLOOKUP(B354,'F'!A1:F392,6,FALSE))</f>
        <v>-121.475973708944</v>
      </c>
      <c r="L354" s="76">
        <f>_xlfn.IFERROR(K354/H354,"N/A")</f>
        <v>-34.7074210596983</v>
      </c>
      <c r="M354" s="109">
        <f>IF('Settings'!$E$9="YAHOO",VLOOKUP(B354,'ADP'!A1:E665,2,FALSE),IF('Settings'!$E$9="ESPN",VLOOKUP(B354,'ADP'!A1:E665,3,FALSE),IF('Settings'!$E$9="FANTRAX",VLOOKUP(B354,'ADP'!A1:E665,4,FALSE),VLOOKUP(B354,'ADP'!A1:E665,5,FALSE))))</f>
        <v>0</v>
      </c>
      <c r="N354" s="79">
        <f>_xlfn.IFERROR(M354-A354,"N/A")</f>
        <v>-383</v>
      </c>
      <c r="O354" s="77"/>
      <c r="P354" t="s" s="78">
        <f>IF('Settings'!$E$27="ON",VLOOKUP(B354,'ADP'!A1:H665,8,FALSE)," ")</f>
        <v>138</v>
      </c>
      <c r="Q354" s="79">
        <f>IF('Settings'!$E$12="YES",VLOOKUP(B354,'Player Data'!A1:E667,5,FALSE),82)</f>
        <v>80.0775</v>
      </c>
      <c r="R354" s="77">
        <f>VLOOKUP(B354,'Player Data'!$A1:$AE667,6,FALSE)</f>
        <v>13.9445034852659</v>
      </c>
      <c r="S354" s="79">
        <f>VLOOKUP(B354,'Player Data'!$A1:$AE667,7,FALSE)*$Q354*_xlfn.IFERROR((VLOOKUP(P354,'Settings'!$E$28:$F$33,2,FALSE)+1),1)</f>
        <v>11.2392393803177</v>
      </c>
      <c r="T354" s="79">
        <f>VLOOKUP(B354,'Player Data'!$A1:$AE667,8,FALSE)*$Q354*_xlfn.IFERROR((VLOOKUP(P354,'Settings'!$E$28:$F$33,2,FALSE)+1),1)</f>
        <v>7.64572692017786</v>
      </c>
      <c r="U354" s="79">
        <f>SUM(S354:T354)</f>
        <v>18.8849663004956</v>
      </c>
      <c r="V354" s="79">
        <f>VLOOKUP(B354,'Player Data'!$A1:$AE667,10,FALSE)*$Q354*_xlfn.IFERROR(((VLOOKUP(P354,'Settings'!$E$28:$F$33,2,FALSE)/2)+1),1)</f>
        <v>120.667008605451</v>
      </c>
      <c r="W354" s="79">
        <f>VLOOKUP(B354,'Player Data'!$A1:$AE667,11,FALSE)*$Q354*_xlfn.IFERROR((VLOOKUP(P354,'Settings'!$E$28:$F$33,2,FALSE)+1),1)</f>
        <v>0.0436021791648768</v>
      </c>
      <c r="X354" s="79">
        <f>VLOOKUP(B354,'Player Data'!$A1:$AE667,12,FALSE)*$Q354*_xlfn.IFERROR((VLOOKUP(P354,'Settings'!$E$28:$F$33,2,FALSE)+1),1)</f>
        <v>0.141479209225139</v>
      </c>
      <c r="Y354" s="79">
        <f>VLOOKUP(B354,'Player Data'!$A1:$AE667,13,FALSE)*$Q354</f>
        <v>0.562277274135301</v>
      </c>
      <c r="Z354" s="79">
        <f>VLOOKUP(B354,'Player Data'!$A1:$AE667,14,FALSE)*$Q354</f>
        <v>1.06252129171226</v>
      </c>
      <c r="AA354" s="79">
        <f>VLOOKUP(B354,'Player Data'!$A1:$AE667,15,FALSE)*$Q354</f>
        <v>35.7393909522565</v>
      </c>
      <c r="AB354" s="79">
        <f>VLOOKUP(B354,'Player Data'!$A1:$AE667,16,FALSE)*$Q354</f>
        <v>180.700530081892</v>
      </c>
      <c r="AC354" s="79">
        <f>VLOOKUP(B354,'Player Data'!$A1:$AE667,17,FALSE)*$Q354*_xlfn.IFERROR((VLOOKUP(P354,'Settings'!$E$28:$F$33,2,FALSE)+1),1)</f>
        <v>-0.0159795408534113</v>
      </c>
      <c r="AD354" s="79">
        <f>VLOOKUP(B354,'Player Data'!$A1:$AE667,18,FALSE)*$Q354</f>
        <v>34.2701266499225</v>
      </c>
      <c r="AE354" s="79">
        <f>VLOOKUP(B354,'Player Data'!$A1:$AE667,19,FALSE)*$Q354*_xlfn.IFERROR((VLOOKUP(P354,'Settings'!$E$28:$F$33,2,FALSE)+1),1)</f>
        <v>1.8553638255729</v>
      </c>
      <c r="AF354" s="79">
        <f>VLOOKUP(B354,'Player Data'!$A1:$AE667,20,FALSE)*$Q354</f>
        <v>66.2469473883005</v>
      </c>
      <c r="AG354" s="79">
        <f>VLOOKUP(B354,'Player Data'!$A1:$AE667,21,FALSE)*$Q354</f>
        <v>98.5974800952968</v>
      </c>
      <c r="AH354" s="81">
        <f>VLOOKUP(B354,'Player Data'!$A1:$AE667,22,FALSE)</f>
        <v>0.401875564734466</v>
      </c>
      <c r="AI354" s="77"/>
      <c r="AJ354" s="79"/>
      <c r="AK354" s="79"/>
      <c r="AL354" s="79"/>
      <c r="AM354" s="79"/>
      <c r="AN354" s="79"/>
      <c r="AO354" s="79"/>
      <c r="AP354" s="79"/>
      <c r="AQ354" s="82"/>
      <c r="AR354" s="83"/>
      <c r="AS354" s="84"/>
    </row>
    <row r="355" ht="21.25" customHeight="1">
      <c r="A355" s="85">
        <f>RANK(K355,K$1:K$665)</f>
        <v>371</v>
      </c>
      <c r="B355" t="s" s="16">
        <v>544</v>
      </c>
      <c r="C355" t="s" s="69">
        <v>127</v>
      </c>
      <c r="D355" t="s" s="70">
        <f>VLOOKUP(B355,'Player Data'!A1:D667,4,FALSE)</f>
        <v>178</v>
      </c>
      <c r="E355" s="102">
        <f>VLOOKUP(B355,'LW'!A1:C152,3,FALSE)</f>
        <v>85</v>
      </c>
      <c r="F355" t="s" s="86">
        <f>VLOOKUP(B355,'Player Data'!A1:B667,2,FALSE)</f>
        <v>165</v>
      </c>
      <c r="G355" s="11">
        <f>VLOOKUP(B355,'Player Data'!A1:D667,3,FALSE)</f>
        <v>28</v>
      </c>
      <c r="H355" s="73">
        <f>_xlfn.IFERROR(VLOOKUP(B355,'ADP'!A1:G665,7,FALSE)/1000000,VLOOKUP(B355,'ADP'!A1:G665,7,FALSE))</f>
        <v>1</v>
      </c>
      <c r="I355" s="74">
        <f>IF('Settings'!$E$15="POINTS",((R355*Q355)*'Settings'!$B$12)+(S355*'Settings'!$B$2)+(T355*'Settings'!$B$3)+(U355*'Settings'!$B$4)+(V355*'Settings'!$B$5)+(X355*'Settings'!$B$9)+(AA355*'Settings'!$B$6)+(W355*'Settings'!$B$8)+(AB355*'Settings'!$B$7)+(AC355*'Settings'!$B$14)+(AD355*'Settings'!$B$15)+(AE355*'Settings'!$B$16)+(AF355*'Settings'!$B$17)+(AG355*'Settings'!$B$18)+(Y355*'Settings'!$B$10)+(Z355*'Settings'!$B$11),VLOOKUP(B355,'Standard Deviations'!A1:C666,3,FALSE))</f>
        <v>213.127893082360</v>
      </c>
      <c r="J355" s="75">
        <f>IF(D355="G",I355/AJ355,I355/Q355)</f>
        <v>2.74693595079568</v>
      </c>
      <c r="K355" s="74">
        <f>IF('Settings'!$E$18="C/LW/RW",VLOOKUP(B355,'LW'!A1:F152,6,FALSE),VLOOKUP(B355,'F'!A1:F392,6,FALSE))</f>
        <v>-118.592218683852</v>
      </c>
      <c r="L355" s="76">
        <f>_xlfn.IFERROR(K355/H355,"N/A")</f>
        <v>-118.592218683852</v>
      </c>
      <c r="M355" s="109">
        <f>IF('Settings'!$E$9="YAHOO",VLOOKUP(B355,'ADP'!A1:E665,2,FALSE),IF('Settings'!$E$9="ESPN",VLOOKUP(B355,'ADP'!A1:E665,3,FALSE),IF('Settings'!$E$9="FANTRAX",VLOOKUP(B355,'ADP'!A1:E665,4,FALSE),VLOOKUP(B355,'ADP'!A1:E665,5,FALSE))))</f>
        <v>0</v>
      </c>
      <c r="N355" s="79">
        <f>_xlfn.IFERROR(M355-A355,"N/A")</f>
        <v>-371</v>
      </c>
      <c r="O355" s="77"/>
      <c r="P355" t="s" s="78">
        <f>IF('Settings'!$E$27="ON",VLOOKUP(B355,'ADP'!A1:H665,8,FALSE)," ")</f>
        <v>138</v>
      </c>
      <c r="Q355" s="79">
        <f>IF('Settings'!$E$12="YES",VLOOKUP(B355,'Player Data'!A1:E667,5,FALSE),82)</f>
        <v>77.58750000000001</v>
      </c>
      <c r="R355" s="77">
        <f>VLOOKUP(B355,'Player Data'!$A1:$AE667,6,FALSE)</f>
        <v>13.0778989636789</v>
      </c>
      <c r="S355" s="79">
        <f>VLOOKUP(B355,'Player Data'!$A1:$AE667,7,FALSE)*$Q355*_xlfn.IFERROR((VLOOKUP(P355,'Settings'!$E$28:$F$33,2,FALSE)+1),1)</f>
        <v>6.35968840812764</v>
      </c>
      <c r="T355" s="79">
        <f>VLOOKUP(B355,'Player Data'!$A1:$AE667,8,FALSE)*$Q355*_xlfn.IFERROR((VLOOKUP(P355,'Settings'!$E$28:$F$33,2,FALSE)+1),1)</f>
        <v>12.0752621920785</v>
      </c>
      <c r="U355" s="79">
        <f>SUM(S355:T355)</f>
        <v>18.4349506002061</v>
      </c>
      <c r="V355" s="79">
        <f>VLOOKUP(B355,'Player Data'!$A1:$AE667,10,FALSE)*$Q355*_xlfn.IFERROR(((VLOOKUP(P355,'Settings'!$E$28:$F$33,2,FALSE)/2)+1),1)</f>
        <v>96.25008458756039</v>
      </c>
      <c r="W355" s="79">
        <f>VLOOKUP(B355,'Player Data'!$A1:$AE667,11,FALSE)*$Q355*_xlfn.IFERROR((VLOOKUP(P355,'Settings'!$E$28:$F$33,2,FALSE)+1),1)</f>
        <v>0.0421730376908865</v>
      </c>
      <c r="X355" s="79">
        <f>VLOOKUP(B355,'Player Data'!$A1:$AE667,12,FALSE)*$Q355*_xlfn.IFERROR((VLOOKUP(P355,'Settings'!$E$28:$F$33,2,FALSE)+1),1)</f>
        <v>0.100691687545572</v>
      </c>
      <c r="Y355" s="79">
        <f>VLOOKUP(B355,'Player Data'!$A1:$AE667,13,FALSE)*$Q355</f>
        <v>0.592825150113533</v>
      </c>
      <c r="Z355" s="79">
        <f>VLOOKUP(B355,'Player Data'!$A1:$AE667,14,FALSE)*$Q355</f>
        <v>2.36670951433429</v>
      </c>
      <c r="AA355" s="79">
        <f>VLOOKUP(B355,'Player Data'!$A1:$AE667,15,FALSE)*$Q355</f>
        <v>32.5243422972869</v>
      </c>
      <c r="AB355" s="79">
        <f>VLOOKUP(B355,'Player Data'!$A1:$AE667,16,FALSE)*$Q355</f>
        <v>205.179287184546</v>
      </c>
      <c r="AC355" s="79">
        <f>VLOOKUP(B355,'Player Data'!$A1:$AE667,17,FALSE)*$Q355*_xlfn.IFERROR((VLOOKUP(P355,'Settings'!$E$28:$F$33,2,FALSE)+1),1)</f>
        <v>1.07032448700484</v>
      </c>
      <c r="AD355" s="79">
        <f>VLOOKUP(B355,'Player Data'!$A1:$AE667,18,FALSE)*$Q355</f>
        <v>47.6018744705527</v>
      </c>
      <c r="AE355" s="79">
        <f>VLOOKUP(B355,'Player Data'!$A1:$AE667,19,FALSE)*$Q355*_xlfn.IFERROR((VLOOKUP(P355,'Settings'!$E$28:$F$33,2,FALSE)+1),1)</f>
        <v>0.900486216176529</v>
      </c>
      <c r="AF355" s="79">
        <f>VLOOKUP(B355,'Player Data'!$A1:$AE667,20,FALSE)*$Q355</f>
        <v>2.4744968601168</v>
      </c>
      <c r="AG355" s="79">
        <f>VLOOKUP(B355,'Player Data'!$A1:$AE667,21,FALSE)*$Q355</f>
        <v>11.8606680533851</v>
      </c>
      <c r="AH355" s="81">
        <f>VLOOKUP(B355,'Player Data'!$A1:$AE667,22,FALSE)</f>
        <v>0.172617257983976</v>
      </c>
      <c r="AI355" s="77"/>
      <c r="AJ355" s="89"/>
      <c r="AK355" s="79"/>
      <c r="AL355" s="79"/>
      <c r="AM355" s="79"/>
      <c r="AN355" s="79"/>
      <c r="AO355" s="79"/>
      <c r="AP355" s="79"/>
      <c r="AQ355" s="82"/>
      <c r="AR355" s="83"/>
      <c r="AS355" s="84"/>
    </row>
    <row r="356" ht="21.25" customHeight="1">
      <c r="A356" s="85">
        <f>RANK(K356,K$1:K$665)</f>
        <v>372</v>
      </c>
      <c r="B356" t="s" s="16">
        <v>545</v>
      </c>
      <c r="C356" t="s" s="69">
        <v>127</v>
      </c>
      <c r="D356" t="s" s="70">
        <f>VLOOKUP(B356,'Player Data'!A1:D667,4,FALSE)</f>
        <v>178</v>
      </c>
      <c r="E356" s="102">
        <f>VLOOKUP(B356,'LW'!A1:C152,3,FALSE)</f>
        <v>86</v>
      </c>
      <c r="F356" t="s" s="86">
        <f>VLOOKUP(B356,'Player Data'!A1:B667,2,FALSE)</f>
        <v>165</v>
      </c>
      <c r="G356" s="91">
        <f>VLOOKUP(B356,'Player Data'!A1:D667,3,FALSE)</f>
        <v>35</v>
      </c>
      <c r="H356" s="94">
        <f>_xlfn.IFERROR(VLOOKUP(B356,'ADP'!A1:G665,7,FALSE)/1000000,VLOOKUP(B356,'ADP'!A1:G665,7,FALSE))</f>
        <v>3.185</v>
      </c>
      <c r="I356" s="74">
        <f>IF('Settings'!$E$15="POINTS",((R356*Q356)*'Settings'!$B$12)+(S356*'Settings'!$B$2)+(T356*'Settings'!$B$3)+(U356*'Settings'!$B$4)+(V356*'Settings'!$B$5)+(X356*'Settings'!$B$9)+(AA356*'Settings'!$B$6)+(W356*'Settings'!$B$8)+(AB356*'Settings'!$B$7)+(AC356*'Settings'!$B$14)+(AD356*'Settings'!$B$15)+(AE356*'Settings'!$B$16)+(AF356*'Settings'!$B$17)+(AG356*'Settings'!$B$18)+(Y356*'Settings'!$B$10)+(Z356*'Settings'!$B$11),VLOOKUP(B356,'Standard Deviations'!A1:C666,3,FALSE))</f>
        <v>213.097865386736</v>
      </c>
      <c r="J356" s="75">
        <f>IF(D356="G",I356/AJ356,I356/Q356)</f>
        <v>2.74646043802985</v>
      </c>
      <c r="K356" s="74">
        <f>IF('Settings'!$E$18="C/LW/RW",VLOOKUP(B356,'LW'!A1:F152,6,FALSE),VLOOKUP(B356,'F'!A1:F392,6,FALSE))</f>
        <v>-118.622246379476</v>
      </c>
      <c r="L356" s="76">
        <f>_xlfn.IFERROR(K356/H356,"N/A")</f>
        <v>-37.2440334001495</v>
      </c>
      <c r="M356" s="77">
        <f>IF('Settings'!$E$9="YAHOO",VLOOKUP(B356,'ADP'!A1:E665,2,FALSE),IF('Settings'!$E$9="ESPN",VLOOKUP(B356,'ADP'!A1:E665,3,FALSE),IF('Settings'!$E$9="FANTRAX",VLOOKUP(B356,'ADP'!A1:E665,4,FALSE),VLOOKUP(B356,'ADP'!A1:E665,5,FALSE))))</f>
        <v>0</v>
      </c>
      <c r="N356" s="77">
        <f>_xlfn.IFERROR(M356-A356,"N/A")</f>
        <v>-372</v>
      </c>
      <c r="O356" s="77"/>
      <c r="P356" t="s" s="78">
        <f>IF('Settings'!$E$27="ON",VLOOKUP(B356,'ADP'!A1:H665,8,FALSE)," ")</f>
        <v>138</v>
      </c>
      <c r="Q356" s="79">
        <f>IF('Settings'!$E$12="YES",VLOOKUP(B356,'Player Data'!A1:E667,5,FALSE),82)</f>
        <v>77.59</v>
      </c>
      <c r="R356" s="108">
        <f>VLOOKUP(B356,'Player Data'!$A1:$AE667,6,FALSE)</f>
        <v>16.5492885738026</v>
      </c>
      <c r="S356" s="79">
        <f>VLOOKUP(B356,'Player Data'!$A1:$AE667,7,FALSE)*$Q356*_xlfn.IFERROR((VLOOKUP(P356,'Settings'!$E$28:$F$33,2,FALSE)+1),1)</f>
        <v>16.1067726877472</v>
      </c>
      <c r="T356" s="79">
        <f>VLOOKUP(B356,'Player Data'!$A1:$AE667,8,FALSE)*$Q356*_xlfn.IFERROR((VLOOKUP(P356,'Settings'!$E$28:$F$33,2,FALSE)+1),1)</f>
        <v>32.7325274629129</v>
      </c>
      <c r="U356" s="79">
        <f>SUM(S356:T356)</f>
        <v>48.8393001506601</v>
      </c>
      <c r="V356" s="79">
        <f>VLOOKUP(B356,'Player Data'!$A1:$AE667,10,FALSE)*$Q356*_xlfn.IFERROR(((VLOOKUP(P356,'Settings'!$E$28:$F$33,2,FALSE)/2)+1),1)</f>
        <v>133.469082891706</v>
      </c>
      <c r="W356" s="79">
        <f>VLOOKUP(B356,'Player Data'!$A1:$AE667,11,FALSE)*$Q356*_xlfn.IFERROR((VLOOKUP(P356,'Settings'!$E$28:$F$33,2,FALSE)+1),1)</f>
        <v>2.35539293933389</v>
      </c>
      <c r="X356" s="79">
        <f>VLOOKUP(B356,'Player Data'!$A1:$AE667,12,FALSE)*$Q356*_xlfn.IFERROR((VLOOKUP(P356,'Settings'!$E$28:$F$33,2,FALSE)+1),1)</f>
        <v>9.94092238315919</v>
      </c>
      <c r="Y356" s="79">
        <f>VLOOKUP(B356,'Player Data'!$A1:$AE667,13,FALSE)*$Q356</f>
        <v>0.752484431142055</v>
      </c>
      <c r="Z356" s="79">
        <f>VLOOKUP(B356,'Player Data'!$A1:$AE667,14,FALSE)*$Q356</f>
        <v>1.07301966202174</v>
      </c>
      <c r="AA356" s="79">
        <f>VLOOKUP(B356,'Player Data'!$A1:$AE667,15,FALSE)*$Q356</f>
        <v>37.9122101297861</v>
      </c>
      <c r="AB356" s="79">
        <f>VLOOKUP(B356,'Player Data'!$A1:$AE667,16,FALSE)*$Q356</f>
        <v>43.5048233646719</v>
      </c>
      <c r="AC356" s="79">
        <f>VLOOKUP(B356,'Player Data'!$A1:$AE667,17,FALSE)*$Q356*_xlfn.IFERROR((VLOOKUP(P356,'Settings'!$E$28:$F$33,2,FALSE)+1),1)</f>
        <v>2.45709441577471</v>
      </c>
      <c r="AD356" s="79">
        <f>VLOOKUP(B356,'Player Data'!$A1:$AE667,18,FALSE)*$Q356</f>
        <v>19.0651395179344</v>
      </c>
      <c r="AE356" s="79">
        <f>VLOOKUP(B356,'Player Data'!$A1:$AE667,19,FALSE)*$Q356*_xlfn.IFERROR((VLOOKUP(P356,'Settings'!$E$28:$F$33,2,FALSE)+1),1)</f>
        <v>2.28060336633302</v>
      </c>
      <c r="AF356" s="79">
        <f>VLOOKUP(B356,'Player Data'!$A1:$AE667,20,FALSE)*$Q356</f>
        <v>14.5417138615962</v>
      </c>
      <c r="AG356" s="79">
        <f>VLOOKUP(B356,'Player Data'!$A1:$AE667,21,FALSE)*$Q356</f>
        <v>20.0178709259625</v>
      </c>
      <c r="AH356" s="81">
        <f>VLOOKUP(B356,'Player Data'!$A1:$AE667,22,FALSE)</f>
        <v>0.420772238757659</v>
      </c>
      <c r="AI356" s="77"/>
      <c r="AJ356" s="89"/>
      <c r="AK356" s="79"/>
      <c r="AL356" s="79"/>
      <c r="AM356" s="79"/>
      <c r="AN356" s="79"/>
      <c r="AO356" s="79"/>
      <c r="AP356" s="79"/>
      <c r="AQ356" s="82"/>
      <c r="AR356" s="83"/>
      <c r="AS356" s="84"/>
    </row>
    <row r="357" ht="21.25" customHeight="1">
      <c r="A357" s="85">
        <f>RANK(K357,K$1:K$665)</f>
        <v>343</v>
      </c>
      <c r="B357" t="s" s="16">
        <v>546</v>
      </c>
      <c r="C357" t="s" s="69">
        <v>127</v>
      </c>
      <c r="D357" t="s" s="70">
        <f>VLOOKUP(B357,'Player Data'!A1:D667,4,FALSE)</f>
        <v>153</v>
      </c>
      <c r="E357" s="95">
        <f>VLOOKUP(B357,'D'!A1:C213,3,FALSE)</f>
        <v>111</v>
      </c>
      <c r="F357" t="s" s="104">
        <f>VLOOKUP(B357,'Player Data'!A1:B667,2,FALSE)</f>
        <v>281</v>
      </c>
      <c r="G357" s="11">
        <f>VLOOKUP(B357,'Player Data'!A1:D667,3,FALSE)</f>
        <v>30</v>
      </c>
      <c r="H357" s="73">
        <f>_xlfn.IFERROR(VLOOKUP(B357,'ADP'!A1:G665,7,FALSE)/1000000,VLOOKUP(B357,'ADP'!A1:G665,7,FALSE))</f>
        <v>6.25</v>
      </c>
      <c r="I357" s="74">
        <f>IF('Settings'!$E$15="POINTS",((R357*Q357)*'Settings'!$B$12)+(S357*'Settings'!$B$2)+(T357*'Settings'!$B$3)+(U357*'Settings'!$B$4)+(V357*'Settings'!$B$5)+(X357*'Settings'!$B$9)+(AA357*'Settings'!$B$6)+(W357*'Settings'!$B$8)+(AB357*'Settings'!$B$7)+(AC357*'Settings'!$B$14)+(AD357*'Settings'!$B$15)+(AE357*'Settings'!$B$16)+(AF357*'Settings'!$B$17)+(AG357*'Settings'!$B$18)+(U357*'Settings'!$B$13)+(Y357*'Settings'!$B$10)+(Z357*'Settings'!$B$11),VLOOKUP(B357,'Standard Deviations'!A1:C666,3,FALSE))</f>
        <v>219.821876690601</v>
      </c>
      <c r="J357" s="75">
        <f>IF(D357="G",I357/AJ357,I357/Q357)</f>
        <v>2.7814991356523</v>
      </c>
      <c r="K357" s="74">
        <f>VLOOKUP(B357,'D'!A1:F213,6,FALSE)</f>
        <v>-111.718331229481</v>
      </c>
      <c r="L357" s="76">
        <f>_xlfn.IFERROR(K357/H357,"N/A")</f>
        <v>-17.874932996717</v>
      </c>
      <c r="M357" s="109">
        <f>IF('Settings'!$E$9="YAHOO",VLOOKUP(B357,'ADP'!A1:E665,2,FALSE),IF('Settings'!$E$9="ESPN",VLOOKUP(B357,'ADP'!A1:E665,3,FALSE),IF('Settings'!$E$9="FANTRAX",VLOOKUP(B357,'ADP'!A1:E665,4,FALSE),VLOOKUP(B357,'ADP'!A1:E665,5,FALSE))))</f>
        <v>0</v>
      </c>
      <c r="N357" s="79">
        <f>_xlfn.IFERROR(M357-A357,"N/A")</f>
        <v>-343</v>
      </c>
      <c r="O357" s="77"/>
      <c r="P357" t="s" s="78">
        <f>IF('Settings'!$E$27="ON",VLOOKUP(B357,'ADP'!A1:H665,8,FALSE)," ")</f>
        <v>138</v>
      </c>
      <c r="Q357" s="79">
        <f>IF('Settings'!$E$12="YES",VLOOKUP(B357,'Player Data'!A1:E667,5,FALSE),82)</f>
        <v>79.03</v>
      </c>
      <c r="R357" s="77">
        <f>VLOOKUP(B357,'Player Data'!$A1:$AE667,6,FALSE)</f>
        <v>20.9428942006685</v>
      </c>
      <c r="S357" s="79">
        <f>VLOOKUP(B357,'Player Data'!$A1:$AE667,7,FALSE)*$Q357*_xlfn.IFERROR((VLOOKUP(P357,'Settings'!$E$28:$F$33,2,FALSE)+1),1)</f>
        <v>8.084258895030059</v>
      </c>
      <c r="T357" s="79">
        <f>VLOOKUP(B357,'Player Data'!$A1:$AE667,8,FALSE)*$Q357*_xlfn.IFERROR((VLOOKUP(P357,'Settings'!$E$28:$F$33,2,FALSE)+1),1)</f>
        <v>24.8126623031038</v>
      </c>
      <c r="U357" s="79">
        <f>SUM(S357:T357)</f>
        <v>32.8969211981339</v>
      </c>
      <c r="V357" s="79">
        <f>VLOOKUP(B357,'Player Data'!$A1:$AE667,10,FALSE)*$Q357*_xlfn.IFERROR(((VLOOKUP(P357,'Settings'!$E$28:$F$33,2,FALSE)/2)+1),1)</f>
        <v>110.016742407370</v>
      </c>
      <c r="W357" s="79">
        <f>VLOOKUP(B357,'Player Data'!$A1:$AE667,11,FALSE)*$Q357*_xlfn.IFERROR((VLOOKUP(P357,'Settings'!$E$28:$F$33,2,FALSE)+1),1)</f>
        <v>0.891762165061453</v>
      </c>
      <c r="X357" s="79">
        <f>VLOOKUP(B357,'Player Data'!$A1:$AE667,12,FALSE)*$Q357*_xlfn.IFERROR((VLOOKUP(P357,'Settings'!$E$28:$F$33,2,FALSE)+1),1)</f>
        <v>4.06928525592062</v>
      </c>
      <c r="Y357" s="79">
        <f>VLOOKUP(B357,'Player Data'!$A1:$AE667,13,FALSE)*$Q357</f>
        <v>0.215670213566303</v>
      </c>
      <c r="Z357" s="79">
        <f>VLOOKUP(B357,'Player Data'!$A1:$AE667,14,FALSE)*$Q357</f>
        <v>0.765901573866408</v>
      </c>
      <c r="AA357" s="79">
        <f>VLOOKUP(B357,'Player Data'!$A1:$AE667,15,FALSE)*$Q357</f>
        <v>106.445979879962</v>
      </c>
      <c r="AB357" s="79">
        <f>VLOOKUP(B357,'Player Data'!$A1:$AE667,16,FALSE)*$Q357</f>
        <v>61.2170045499341</v>
      </c>
      <c r="AC357" s="79">
        <f>VLOOKUP(B357,'Player Data'!$A1:$AE667,17,FALSE)*$Q357*_xlfn.IFERROR((VLOOKUP(P357,'Settings'!$E$28:$F$33,2,FALSE)+1),1)</f>
        <v>-7.1747342387093</v>
      </c>
      <c r="AD357" s="79">
        <f>VLOOKUP(B357,'Player Data'!$A1:$AE667,18,FALSE)*$Q357</f>
        <v>47.6478031745551</v>
      </c>
      <c r="AE357" s="79">
        <f>VLOOKUP(B357,'Player Data'!$A1:$AE667,19,FALSE)*$Q357*_xlfn.IFERROR((VLOOKUP(P357,'Settings'!$E$28:$F$33,2,FALSE)+1),1)</f>
        <v>0.893992508119887</v>
      </c>
      <c r="AF357" s="79">
        <f>VLOOKUP(B357,'Player Data'!$A1:$AE667,20,FALSE)*$Q357</f>
        <v>0</v>
      </c>
      <c r="AG357" s="79">
        <f>VLOOKUP(B357,'Player Data'!$A1:$AE667,21,FALSE)*$Q357</f>
        <v>0</v>
      </c>
      <c r="AH357" s="81">
        <f>VLOOKUP(B357,'Player Data'!$A1:$AE667,22,FALSE)</f>
        <v>0</v>
      </c>
      <c r="AI357" s="77"/>
      <c r="AJ357" s="89"/>
      <c r="AK357" s="79"/>
      <c r="AL357" s="79"/>
      <c r="AM357" s="79"/>
      <c r="AN357" s="79"/>
      <c r="AO357" s="79"/>
      <c r="AP357" s="79"/>
      <c r="AQ357" s="82"/>
      <c r="AR357" s="83"/>
      <c r="AS357" s="93"/>
    </row>
    <row r="358" ht="21.25" customHeight="1">
      <c r="A358" s="85">
        <f>RANK(K358,K$1:K$665)</f>
        <v>329</v>
      </c>
      <c r="B358" t="s" s="16">
        <v>547</v>
      </c>
      <c r="C358" t="s" s="69">
        <v>127</v>
      </c>
      <c r="D358" t="s" s="70">
        <f>VLOOKUP(B358,'Player Data'!A1:D667,4,FALSE)</f>
        <v>161</v>
      </c>
      <c r="E358" s="99">
        <f>VLOOKUP(B358,'G'!A1:D65,3,FALSE)</f>
        <v>45</v>
      </c>
      <c r="F358" t="s" s="86">
        <f>VLOOKUP(B358,'Player Data'!A1:B667,2,FALSE)</f>
        <v>259</v>
      </c>
      <c r="G358" s="11">
        <f>VLOOKUP(B358,'Player Data'!A1:D667,3,FALSE)</f>
        <v>28</v>
      </c>
      <c r="H358" s="73">
        <f>_xlfn.IFERROR(VLOOKUP(B358,'ADP'!A1:G665,7,FALSE)/1000000,VLOOKUP(B358,'ADP'!A1:G665,7,FALSE))</f>
        <v>2.5</v>
      </c>
      <c r="I358" s="74">
        <f>IF('Settings'!$E$15="POINTS",(AJ358*'Settings'!$B$29)+(AK358*'Settings'!$B$21)+(AL358*'Settings'!$B$22)+(AN358*'Settings'!$B$24)+(AO358*'Settings'!$B$25)+(AP358*'Settings'!$B$27)+(AM358*'Settings'!$B$23),VLOOKUP(B358,'Standard Deviations'!A1:C666,3,FALSE))</f>
        <v>159.346519589360</v>
      </c>
      <c r="J358" s="75">
        <f>IF(D358="G",I358/AJ358,I358/Q358)</f>
        <v>5.31155065297867</v>
      </c>
      <c r="K358" s="74">
        <f>VLOOKUP(B358,'G'!A1:F65,6,FALSE)</f>
        <v>-108.244494975230</v>
      </c>
      <c r="L358" s="76">
        <f>_xlfn.IFERROR(K358/H358,"N/A")</f>
        <v>-43.297797990092</v>
      </c>
      <c r="M358" s="77">
        <f>IF('Settings'!$E$9="YAHOO",VLOOKUP(B358,'ADP'!A1:E665,2,FALSE),IF('Settings'!$E$9="ESPN",VLOOKUP(B358,'ADP'!A1:E665,3,FALSE),IF('Settings'!$E$9="FANTRAX",VLOOKUP(B358,'ADP'!A1:E665,4,FALSE),VLOOKUP(B358,'ADP'!A1:E665,5,FALSE))))</f>
        <v>0</v>
      </c>
      <c r="N358" s="77">
        <f>_xlfn.IFERROR(M358-A358,"N/A")</f>
        <v>-329</v>
      </c>
      <c r="O358" s="77"/>
      <c r="P358" t="s" s="78">
        <f>IF('Settings'!$E$27="ON",VLOOKUP(B358,'ADP'!A1:H665,8,FALSE)," ")</f>
        <v>138</v>
      </c>
      <c r="Q358" s="79"/>
      <c r="R358" s="77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81"/>
      <c r="AI358" s="77"/>
      <c r="AJ358" s="89">
        <f>VLOOKUP(B358,'Player Data'!$A1:$AE667,24,FALSE)</f>
        <v>30</v>
      </c>
      <c r="AK358" s="79">
        <f>VLOOKUP(B358,'Player Data'!$A1:$AE667,25,FALSE)*$AJ358*_xlfn.IFERROR((VLOOKUP(P358,'Settings'!$E$28:$F$33,2,FALSE)+1),1)</f>
        <v>14.8120376079238</v>
      </c>
      <c r="AL358" s="79">
        <f>AJ358-AK358-AM358</f>
        <v>11.4379623920762</v>
      </c>
      <c r="AM358" s="79">
        <f>VLOOKUP(B358,'Player Data'!$A1:$AE667,27,FALSE)*$AJ358</f>
        <v>3.75</v>
      </c>
      <c r="AN358" s="79">
        <f>VLOOKUP(B358,'Player Data'!$A1:$AE667,28,FALSE)*AJ358</f>
        <v>1.24832545749097</v>
      </c>
      <c r="AO358" s="79">
        <f>VLOOKUP(B358,'Player Data'!$A1:$AE667,29,FALSE)*$AJ358*_xlfn.IFERROR((VLOOKUP(P358,'Settings'!$E$28:$F$33,2,FALSE)/4)+1,1)</f>
        <v>841.022719012353</v>
      </c>
      <c r="AP358" s="79">
        <f>VLOOKUP(B358,'Player Data'!$A1:$AE667,31,FALSE)*$AJ358*(_xlfn.IFERROR(1-(VLOOKUP(P358,'Settings'!$E$28:$F$33,2,FALSE)/4),1))</f>
        <v>91.14601976046001</v>
      </c>
      <c r="AQ358" s="82">
        <f>1-(AP358/(AO358+AP358))</f>
        <v>0.902221544266275</v>
      </c>
      <c r="AR358" s="83">
        <f>AP358/AJ358</f>
        <v>3.038200658682</v>
      </c>
      <c r="AS358" s="84"/>
    </row>
    <row r="359" ht="21.25" customHeight="1">
      <c r="A359" s="85">
        <f>RANK(K359,K$1:K$665)</f>
        <v>344</v>
      </c>
      <c r="B359" t="s" s="16">
        <v>548</v>
      </c>
      <c r="C359" t="s" s="69">
        <v>127</v>
      </c>
      <c r="D359" t="s" s="70">
        <f>VLOOKUP(B359,'Player Data'!A1:D667,4,FALSE)</f>
        <v>153</v>
      </c>
      <c r="E359" s="95">
        <f>VLOOKUP(B359,'D'!A1:C213,3,FALSE)</f>
        <v>112</v>
      </c>
      <c r="F359" t="s" s="86">
        <f>VLOOKUP(B359,'Player Data'!A1:B667,2,FALSE)</f>
        <v>156</v>
      </c>
      <c r="G359" s="96">
        <f>VLOOKUP(B359,'Player Data'!A1:D667,3,FALSE)</f>
        <v>21</v>
      </c>
      <c r="H359" s="73">
        <f>_xlfn.IFERROR(VLOOKUP(B359,'ADP'!A1:G665,7,FALSE)/1000000,VLOOKUP(B359,'ADP'!A1:G665,7,FALSE))</f>
        <v>0.894167</v>
      </c>
      <c r="I359" s="74">
        <f>IF('Settings'!$E$15="POINTS",((R359*Q359)*'Settings'!$B$12)+(S359*'Settings'!$B$2)+(T359*'Settings'!$B$3)+(U359*'Settings'!$B$4)+(V359*'Settings'!$B$5)+(X359*'Settings'!$B$9)+(AA359*'Settings'!$B$6)+(W359*'Settings'!$B$8)+(AB359*'Settings'!$B$7)+(AC359*'Settings'!$B$14)+(AD359*'Settings'!$B$15)+(AE359*'Settings'!$B$16)+(AF359*'Settings'!$B$17)+(AG359*'Settings'!$B$18)+(U359*'Settings'!$B$13)+(Y359*'Settings'!$B$10)+(Z359*'Settings'!$B$11),VLOOKUP(B359,'Standard Deviations'!A1:C666,3,FALSE))</f>
        <v>219.518649511036</v>
      </c>
      <c r="J359" s="75">
        <f>IF(D359="G",I359/AJ359,I359/Q359)</f>
        <v>2.92691532681381</v>
      </c>
      <c r="K359" s="74">
        <f>VLOOKUP(B359,'D'!A1:F213,6,FALSE)</f>
        <v>-112.021558409046</v>
      </c>
      <c r="L359" s="76">
        <f>_xlfn.IFERROR(K359/H359,"N/A")</f>
        <v>-125.280354127412</v>
      </c>
      <c r="M359" s="109">
        <f>IF('Settings'!$E$9="YAHOO",VLOOKUP(B359,'ADP'!A1:E665,2,FALSE),IF('Settings'!$E$9="ESPN",VLOOKUP(B359,'ADP'!A1:E665,3,FALSE),IF('Settings'!$E$9="FANTRAX",VLOOKUP(B359,'ADP'!A1:E665,4,FALSE),VLOOKUP(B359,'ADP'!A1:E665,5,FALSE))))</f>
        <v>0</v>
      </c>
      <c r="N359" s="79">
        <f>_xlfn.IFERROR(M359-A359,"N/A")</f>
        <v>-344</v>
      </c>
      <c r="O359" s="77"/>
      <c r="P359" t="s" s="78">
        <f>IF('Settings'!$E$27="ON",VLOOKUP(B359,'ADP'!A1:H665,8,FALSE)," ")</f>
        <v>138</v>
      </c>
      <c r="Q359" s="79">
        <f>IF('Settings'!$E$12="YES",VLOOKUP(B359,'Player Data'!A1:E667,5,FALSE),82)</f>
        <v>75</v>
      </c>
      <c r="R359" s="98">
        <f>VLOOKUP(B359,'Player Data'!$A1:$AE667,6,FALSE)</f>
        <v>20.1089330546845</v>
      </c>
      <c r="S359" s="79">
        <f>VLOOKUP(B359,'Player Data'!$A1:$AE667,7,FALSE)*$Q359*_xlfn.IFERROR((VLOOKUP(P359,'Settings'!$E$28:$F$33,2,FALSE)+1),1)</f>
        <v>7.91832353583045</v>
      </c>
      <c r="T359" s="79">
        <f>VLOOKUP(B359,'Player Data'!$A1:$AE667,8,FALSE)*$Q359*_xlfn.IFERROR((VLOOKUP(P359,'Settings'!$E$28:$F$33,2,FALSE)+1),1)</f>
        <v>15.9329803927382</v>
      </c>
      <c r="U359" s="79">
        <f>SUM(S359:T359)</f>
        <v>23.8513039285687</v>
      </c>
      <c r="V359" s="79">
        <f>VLOOKUP(B359,'Player Data'!$A1:$AE667,10,FALSE)*$Q359*_xlfn.IFERROR(((VLOOKUP(P359,'Settings'!$E$28:$F$33,2,FALSE)/2)+1),1)</f>
        <v>90.72772650725631</v>
      </c>
      <c r="W359" s="79">
        <f>VLOOKUP(B359,'Player Data'!$A1:$AE667,11,FALSE)*$Q359*_xlfn.IFERROR((VLOOKUP(P359,'Settings'!$E$28:$F$33,2,FALSE)+1),1)</f>
        <v>0.0154349184791841</v>
      </c>
      <c r="X359" s="79">
        <f>VLOOKUP(B359,'Player Data'!$A1:$AE667,12,FALSE)*$Q359*_xlfn.IFERROR((VLOOKUP(P359,'Settings'!$E$28:$F$33,2,FALSE)+1),1)</f>
        <v>0.0995776479545588</v>
      </c>
      <c r="Y359" s="79">
        <f>VLOOKUP(B359,'Player Data'!$A1:$AE667,13,FALSE)*$Q359</f>
        <v>0.0582309441173919</v>
      </c>
      <c r="Z359" s="79">
        <f>VLOOKUP(B359,'Player Data'!$A1:$AE667,14,FALSE)*$Q359</f>
        <v>0.290360671352791</v>
      </c>
      <c r="AA359" s="79">
        <f>VLOOKUP(B359,'Player Data'!$A1:$AE667,15,FALSE)*$Q359</f>
        <v>114.603124588549</v>
      </c>
      <c r="AB359" s="79">
        <f>VLOOKUP(B359,'Player Data'!$A1:$AE667,16,FALSE)*$Q359</f>
        <v>100.830699414540</v>
      </c>
      <c r="AC359" s="79">
        <f>VLOOKUP(B359,'Player Data'!$A1:$AE667,17,FALSE)*$Q359*_xlfn.IFERROR((VLOOKUP(P359,'Settings'!$E$28:$F$33,2,FALSE)+1),1)</f>
        <v>-2.15402360770468</v>
      </c>
      <c r="AD359" s="79">
        <f>VLOOKUP(B359,'Player Data'!$A1:$AE667,18,FALSE)*$Q359</f>
        <v>40.5095757068233</v>
      </c>
      <c r="AE359" s="79">
        <f>VLOOKUP(B359,'Player Data'!$A1:$AE667,19,FALSE)*$Q359*_xlfn.IFERROR((VLOOKUP(P359,'Settings'!$E$28:$F$33,2,FALSE)+1),1)</f>
        <v>1.08752365773941</v>
      </c>
      <c r="AF359" s="79">
        <f>VLOOKUP(B359,'Player Data'!$A1:$AE667,20,FALSE)*$Q359</f>
        <v>0</v>
      </c>
      <c r="AG359" s="79">
        <f>VLOOKUP(B359,'Player Data'!$A1:$AE667,21,FALSE)*$Q359</f>
        <v>0</v>
      </c>
      <c r="AH359" s="81">
        <f>VLOOKUP(B359,'Player Data'!$A1:$AE667,22,FALSE)</f>
        <v>0</v>
      </c>
      <c r="AI359" s="77"/>
      <c r="AJ359" s="79"/>
      <c r="AK359" s="79"/>
      <c r="AL359" s="79"/>
      <c r="AM359" s="79"/>
      <c r="AN359" s="79"/>
      <c r="AO359" s="79"/>
      <c r="AP359" s="79"/>
      <c r="AQ359" s="82"/>
      <c r="AR359" s="83"/>
      <c r="AS359" s="84"/>
    </row>
    <row r="360" ht="21.25" customHeight="1">
      <c r="A360" s="85">
        <f>RANK(K360,K$1:K$665)</f>
        <v>346</v>
      </c>
      <c r="B360" t="s" s="16">
        <v>549</v>
      </c>
      <c r="C360" t="s" s="69">
        <v>127</v>
      </c>
      <c r="D360" t="s" s="70">
        <f>VLOOKUP(B360,'Player Data'!A1:D667,4,FALSE)</f>
        <v>153</v>
      </c>
      <c r="E360" s="95">
        <f>VLOOKUP(B360,'D'!A1:C213,3,FALSE)</f>
        <v>113</v>
      </c>
      <c r="F360" t="s" s="86">
        <f>VLOOKUP(B360,'Player Data'!A1:B667,2,FALSE)</f>
        <v>149</v>
      </c>
      <c r="G360" s="91">
        <f>VLOOKUP(B360,'Player Data'!A1:D667,3,FALSE)</f>
        <v>33</v>
      </c>
      <c r="H360" s="73">
        <f>_xlfn.IFERROR(VLOOKUP(B360,'ADP'!A1:G665,7,FALSE)/1000000,VLOOKUP(B360,'ADP'!A1:G665,7,FALSE))</f>
        <v>1.15</v>
      </c>
      <c r="I360" s="74">
        <f>IF('Settings'!$E$15="POINTS",((R360*Q360)*'Settings'!$B$12)+(S360*'Settings'!$B$2)+(T360*'Settings'!$B$3)+(U360*'Settings'!$B$4)+(V360*'Settings'!$B$5)+(X360*'Settings'!$B$9)+(AA360*'Settings'!$B$6)+(W360*'Settings'!$B$8)+(AB360*'Settings'!$B$7)+(AC360*'Settings'!$B$14)+(AD360*'Settings'!$B$15)+(AE360*'Settings'!$B$16)+(AF360*'Settings'!$B$17)+(AG360*'Settings'!$B$18)+(U360*'Settings'!$B$13)+(Y360*'Settings'!$B$10)+(Z360*'Settings'!$B$11),VLOOKUP(B360,'Standard Deviations'!A1:C666,3,FALSE))</f>
        <v>219.198952006231</v>
      </c>
      <c r="J360" s="75">
        <f>IF(D360="G",I360/AJ360,I360/Q360)</f>
        <v>2.78515869262388</v>
      </c>
      <c r="K360" s="74">
        <f>VLOOKUP(B360,'D'!A1:F213,6,FALSE)</f>
        <v>-112.341255913851</v>
      </c>
      <c r="L360" s="76">
        <f>_xlfn.IFERROR(K360/H360,"N/A")</f>
        <v>-97.68804862074001</v>
      </c>
      <c r="M360" s="109">
        <f>IF('Settings'!$E$9="YAHOO",VLOOKUP(B360,'ADP'!A1:E665,2,FALSE),IF('Settings'!$E$9="ESPN",VLOOKUP(B360,'ADP'!A1:E665,3,FALSE),IF('Settings'!$E$9="FANTRAX",VLOOKUP(B360,'ADP'!A1:E665,4,FALSE),VLOOKUP(B360,'ADP'!A1:E665,5,FALSE))))</f>
        <v>0</v>
      </c>
      <c r="N360" s="79">
        <f>_xlfn.IFERROR(M360-A360,"N/A")</f>
        <v>-346</v>
      </c>
      <c r="O360" s="77"/>
      <c r="P360" t="s" s="78">
        <f>IF('Settings'!$E$27="ON",VLOOKUP(B360,'ADP'!A1:H665,8,FALSE)," ")</f>
        <v>138</v>
      </c>
      <c r="Q360" s="79">
        <f>IF('Settings'!$E$12="YES",VLOOKUP(B360,'Player Data'!A1:E667,5,FALSE),82)</f>
        <v>78.7025</v>
      </c>
      <c r="R360" s="98">
        <f>VLOOKUP(B360,'Player Data'!$A1:$AE667,6,FALSE)</f>
        <v>18.3675986481032</v>
      </c>
      <c r="S360" s="79">
        <f>VLOOKUP(B360,'Player Data'!$A1:$AE667,7,FALSE)*$Q360*_xlfn.IFERROR((VLOOKUP(P360,'Settings'!$E$28:$F$33,2,FALSE)+1),1)</f>
        <v>3.04929814135089</v>
      </c>
      <c r="T360" s="79">
        <f>VLOOKUP(B360,'Player Data'!$A1:$AE667,8,FALSE)*$Q360*_xlfn.IFERROR((VLOOKUP(P360,'Settings'!$E$28:$F$33,2,FALSE)+1),1)</f>
        <v>16.5879594776759</v>
      </c>
      <c r="U360" s="79">
        <f>SUM(S360:T360)</f>
        <v>19.6372576190268</v>
      </c>
      <c r="V360" s="79">
        <f>VLOOKUP(B360,'Player Data'!$A1:$AE667,10,FALSE)*$Q360*_xlfn.IFERROR(((VLOOKUP(P360,'Settings'!$E$28:$F$33,2,FALSE)/2)+1),1)</f>
        <v>82.9416783009079</v>
      </c>
      <c r="W360" s="79">
        <f>VLOOKUP(B360,'Player Data'!$A1:$AE667,11,FALSE)*$Q360*_xlfn.IFERROR((VLOOKUP(P360,'Settings'!$E$28:$F$33,2,FALSE)+1),1)</f>
        <v>0.018267329743724</v>
      </c>
      <c r="X360" s="79">
        <f>VLOOKUP(B360,'Player Data'!$A1:$AE667,12,FALSE)*$Q360*_xlfn.IFERROR((VLOOKUP(P360,'Settings'!$E$28:$F$33,2,FALSE)+1),1)</f>
        <v>0.127851985540101</v>
      </c>
      <c r="Y360" s="79">
        <f>VLOOKUP(B360,'Player Data'!$A1:$AE667,13,FALSE)*$Q360</f>
        <v>0.0204652699805382</v>
      </c>
      <c r="Z360" s="79">
        <f>VLOOKUP(B360,'Player Data'!$A1:$AE667,14,FALSE)*$Q360</f>
        <v>0.460711674329513</v>
      </c>
      <c r="AA360" s="79">
        <f>VLOOKUP(B360,'Player Data'!$A1:$AE667,15,FALSE)*$Q360</f>
        <v>107.102401964780</v>
      </c>
      <c r="AB360" s="79">
        <f>VLOOKUP(B360,'Player Data'!$A1:$AE667,16,FALSE)*$Q360</f>
        <v>136.888849023985</v>
      </c>
      <c r="AC360" s="79">
        <f>VLOOKUP(B360,'Player Data'!$A1:$AE667,17,FALSE)*$Q360*_xlfn.IFERROR((VLOOKUP(P360,'Settings'!$E$28:$F$33,2,FALSE)+1),1)</f>
        <v>0.135912714372672</v>
      </c>
      <c r="AD360" s="79">
        <f>VLOOKUP(B360,'Player Data'!$A1:$AE667,18,FALSE)*$Q360</f>
        <v>41.3154845974226</v>
      </c>
      <c r="AE360" s="79">
        <f>VLOOKUP(B360,'Player Data'!$A1:$AE667,19,FALSE)*$Q360*_xlfn.IFERROR((VLOOKUP(P360,'Settings'!$E$28:$F$33,2,FALSE)+1),1)</f>
        <v>0.519483708320565</v>
      </c>
      <c r="AF360" s="79">
        <f>VLOOKUP(B360,'Player Data'!$A1:$AE667,20,FALSE)*$Q360</f>
        <v>0</v>
      </c>
      <c r="AG360" s="79">
        <f>VLOOKUP(B360,'Player Data'!$A1:$AE667,21,FALSE)*$Q360</f>
        <v>0</v>
      </c>
      <c r="AH360" s="81">
        <f>VLOOKUP(B360,'Player Data'!$A1:$AE667,22,FALSE)</f>
        <v>0</v>
      </c>
      <c r="AI360" s="77"/>
      <c r="AJ360" s="89"/>
      <c r="AK360" s="79"/>
      <c r="AL360" s="79"/>
      <c r="AM360" s="79"/>
      <c r="AN360" s="79"/>
      <c r="AO360" s="79"/>
      <c r="AP360" s="79"/>
      <c r="AQ360" s="82"/>
      <c r="AR360" s="83"/>
      <c r="AS360" s="84"/>
    </row>
    <row r="361" ht="21.25" customHeight="1">
      <c r="A361" s="85">
        <f>RANK(K361,K$1:K$665)</f>
        <v>347</v>
      </c>
      <c r="B361" t="s" s="16">
        <v>550</v>
      </c>
      <c r="C361" t="s" s="69">
        <v>127</v>
      </c>
      <c r="D361" t="s" s="70">
        <f>VLOOKUP(B361,'Player Data'!A1:D667,4,FALSE)</f>
        <v>153</v>
      </c>
      <c r="E361" s="95">
        <f>VLOOKUP(B361,'D'!A1:C213,3,FALSE)</f>
        <v>114</v>
      </c>
      <c r="F361" t="s" s="86">
        <f>VLOOKUP(B361,'Player Data'!A1:B667,2,FALSE)</f>
        <v>154</v>
      </c>
      <c r="G361" s="96">
        <f>VLOOKUP(B361,'Player Data'!A1:D667,3,FALSE)</f>
        <v>23</v>
      </c>
      <c r="H361" s="94">
        <f>_xlfn.IFERROR(VLOOKUP(B361,'ADP'!A1:G665,7,FALSE)/1000000,VLOOKUP(B361,'ADP'!A1:G665,7,FALSE))</f>
        <v>3.85</v>
      </c>
      <c r="I361" s="74">
        <f>IF('Settings'!$E$15="POINTS",((R361*Q361)*'Settings'!$B$12)+(S361*'Settings'!$B$2)+(T361*'Settings'!$B$3)+(U361*'Settings'!$B$4)+(V361*'Settings'!$B$5)+(X361*'Settings'!$B$9)+(AA361*'Settings'!$B$6)+(W361*'Settings'!$B$8)+(AB361*'Settings'!$B$7)+(AC361*'Settings'!$B$14)+(AD361*'Settings'!$B$15)+(AE361*'Settings'!$B$16)+(AF361*'Settings'!$B$17)+(AG361*'Settings'!$B$18)+(U361*'Settings'!$B$13)+(Y361*'Settings'!$B$10)+(Z361*'Settings'!$B$11),VLOOKUP(B361,'Standard Deviations'!A1:C666,3,FALSE))</f>
        <v>219.160442173206</v>
      </c>
      <c r="J361" s="75">
        <f>IF(D361="G",I361/AJ361,I361/Q361)</f>
        <v>3.14287372707426</v>
      </c>
      <c r="K361" s="74">
        <f>VLOOKUP(B361,'D'!A1:F213,6,FALSE)</f>
        <v>-112.379765746876</v>
      </c>
      <c r="L361" s="76">
        <f>_xlfn.IFERROR(K361/H361,"N/A")</f>
        <v>-29.1895495446431</v>
      </c>
      <c r="M361" s="77">
        <f>IF('Settings'!$E$9="YAHOO",VLOOKUP(B361,'ADP'!A1:E665,2,FALSE),IF('Settings'!$E$9="ESPN",VLOOKUP(B361,'ADP'!A1:E665,3,FALSE),IF('Settings'!$E$9="FANTRAX",VLOOKUP(B361,'ADP'!A1:E665,4,FALSE),VLOOKUP(B361,'ADP'!A1:E665,5,FALSE))))</f>
        <v>0</v>
      </c>
      <c r="N361" s="77">
        <f>_xlfn.IFERROR(M361-A361,"N/A")</f>
        <v>-347</v>
      </c>
      <c r="O361" s="77"/>
      <c r="P361" t="s" s="78">
        <f>IF('Settings'!$E$27="ON",VLOOKUP(B361,'ADP'!A1:H665,8,FALSE)," ")</f>
        <v>138</v>
      </c>
      <c r="Q361" s="79">
        <f>IF('Settings'!$E$12="YES",VLOOKUP(B361,'Player Data'!A1:E667,5,FALSE),82)</f>
        <v>69.7325</v>
      </c>
      <c r="R361" s="77">
        <f>VLOOKUP(B361,'Player Data'!$A1:$AE667,6,FALSE)</f>
        <v>19.5150397987183</v>
      </c>
      <c r="S361" s="79">
        <f>VLOOKUP(B361,'Player Data'!$A1:$AE667,7,FALSE)*$Q361*_xlfn.IFERROR((VLOOKUP(P361,'Settings'!$E$28:$F$33,2,FALSE)+1),1)</f>
        <v>10.6093379679817</v>
      </c>
      <c r="T361" s="79">
        <f>VLOOKUP(B361,'Player Data'!$A1:$AE667,8,FALSE)*$Q361*_xlfn.IFERROR((VLOOKUP(P361,'Settings'!$E$28:$F$33,2,FALSE)+1),1)</f>
        <v>20.9463839669893</v>
      </c>
      <c r="U361" s="79">
        <f>SUM(S361:T361)</f>
        <v>31.555721934971</v>
      </c>
      <c r="V361" s="79">
        <f>VLOOKUP(B361,'Player Data'!$A1:$AE667,10,FALSE)*$Q361*_xlfn.IFERROR(((VLOOKUP(P361,'Settings'!$E$28:$F$33,2,FALSE)/2)+1),1)</f>
        <v>88.7121473237015</v>
      </c>
      <c r="W361" s="79">
        <f>VLOOKUP(B361,'Player Data'!$A1:$AE667,11,FALSE)*$Q361*_xlfn.IFERROR((VLOOKUP(P361,'Settings'!$E$28:$F$33,2,FALSE)+1),1)</f>
        <v>1.3531527992858</v>
      </c>
      <c r="X361" s="79">
        <f>VLOOKUP(B361,'Player Data'!$A1:$AE667,12,FALSE)*$Q361*_xlfn.IFERROR((VLOOKUP(P361,'Settings'!$E$28:$F$33,2,FALSE)+1),1)</f>
        <v>5.16908795569355</v>
      </c>
      <c r="Y361" s="79">
        <f>VLOOKUP(B361,'Player Data'!$A1:$AE667,13,FALSE)*$Q361</f>
        <v>0.198049321176367</v>
      </c>
      <c r="Z361" s="79">
        <f>VLOOKUP(B361,'Player Data'!$A1:$AE667,14,FALSE)*$Q361</f>
        <v>0.268678714909332</v>
      </c>
      <c r="AA361" s="79">
        <f>VLOOKUP(B361,'Player Data'!$A1:$AE667,15,FALSE)*$Q361</f>
        <v>92.5822932367719</v>
      </c>
      <c r="AB361" s="79">
        <f>VLOOKUP(B361,'Player Data'!$A1:$AE667,16,FALSE)*$Q361</f>
        <v>90.8367465445159</v>
      </c>
      <c r="AC361" s="79">
        <f>VLOOKUP(B361,'Player Data'!$A1:$AE667,17,FALSE)*$Q361*_xlfn.IFERROR((VLOOKUP(P361,'Settings'!$E$28:$F$33,2,FALSE)+1),1)</f>
        <v>-1.01900941634901</v>
      </c>
      <c r="AD361" s="79">
        <f>VLOOKUP(B361,'Player Data'!$A1:$AE667,18,FALSE)*$Q361</f>
        <v>46.6008921486804</v>
      </c>
      <c r="AE361" s="79">
        <f>VLOOKUP(B361,'Player Data'!$A1:$AE667,19,FALSE)*$Q361*_xlfn.IFERROR((VLOOKUP(P361,'Settings'!$E$28:$F$33,2,FALSE)+1),1)</f>
        <v>1.50074852658303</v>
      </c>
      <c r="AF361" s="79">
        <f>VLOOKUP(B361,'Player Data'!$A1:$AE667,20,FALSE)*$Q361</f>
        <v>0</v>
      </c>
      <c r="AG361" s="79">
        <f>VLOOKUP(B361,'Player Data'!$A1:$AE667,21,FALSE)*$Q361</f>
        <v>0</v>
      </c>
      <c r="AH361" s="81">
        <f>VLOOKUP(B361,'Player Data'!$A1:$AE667,22,FALSE)</f>
        <v>0</v>
      </c>
      <c r="AI361" s="77"/>
      <c r="AJ361" s="89"/>
      <c r="AK361" s="79"/>
      <c r="AL361" s="79"/>
      <c r="AM361" s="79"/>
      <c r="AN361" s="79"/>
      <c r="AO361" s="79"/>
      <c r="AP361" s="79"/>
      <c r="AQ361" s="82"/>
      <c r="AR361" s="83"/>
      <c r="AS361" s="84"/>
    </row>
    <row r="362" ht="21.25" customHeight="1">
      <c r="A362" s="85">
        <f>RANK(K362,K$1:K$665)</f>
        <v>348</v>
      </c>
      <c r="B362" t="s" s="16">
        <v>551</v>
      </c>
      <c r="C362" t="s" s="69">
        <v>127</v>
      </c>
      <c r="D362" t="s" s="70">
        <f>VLOOKUP(B362,'Player Data'!A1:D667,4,FALSE)</f>
        <v>153</v>
      </c>
      <c r="E362" s="95">
        <f>VLOOKUP(B362,'D'!A1:C213,3,FALSE)</f>
        <v>115</v>
      </c>
      <c r="F362" t="s" s="78">
        <f>VLOOKUP(B362,'Player Data'!A1:B667,2,FALSE)</f>
        <v>134</v>
      </c>
      <c r="G362" s="11">
        <f>VLOOKUP(B362,'Player Data'!A1:D667,3,FALSE)</f>
        <v>26</v>
      </c>
      <c r="H362" s="73">
        <f>_xlfn.IFERROR(VLOOKUP(B362,'ADP'!A1:G665,7,FALSE)/1000000,VLOOKUP(B362,'ADP'!A1:G665,7,FALSE))</f>
        <v>5</v>
      </c>
      <c r="I362" s="74">
        <f>IF('Settings'!$E$15="POINTS",((R362*Q362)*'Settings'!$B$12)+(S362*'Settings'!$B$2)+(T362*'Settings'!$B$3)+(U362*'Settings'!$B$4)+(V362*'Settings'!$B$5)+(X362*'Settings'!$B$9)+(AA362*'Settings'!$B$6)+(W362*'Settings'!$B$8)+(AB362*'Settings'!$B$7)+(AC362*'Settings'!$B$14)+(AD362*'Settings'!$B$15)+(AE362*'Settings'!$B$16)+(AF362*'Settings'!$B$17)+(AG362*'Settings'!$B$18)+(U362*'Settings'!$B$13)+(Y362*'Settings'!$B$10)+(Z362*'Settings'!$B$11),VLOOKUP(B362,'Standard Deviations'!A1:C666,3,FALSE))</f>
        <v>219.109457625301</v>
      </c>
      <c r="J362" s="75">
        <f>IF(D362="G",I362/AJ362,I362/Q362)</f>
        <v>2.89741092433206</v>
      </c>
      <c r="K362" s="74">
        <f>VLOOKUP(B362,'D'!A1:F213,6,FALSE)</f>
        <v>-112.430750294781</v>
      </c>
      <c r="L362" s="76">
        <f>_xlfn.IFERROR(K362/H362,"N/A")</f>
        <v>-22.4861500589562</v>
      </c>
      <c r="M362" s="109">
        <f>IF('Settings'!$E$9="YAHOO",VLOOKUP(B362,'ADP'!A1:E665,2,FALSE),IF('Settings'!$E$9="ESPN",VLOOKUP(B362,'ADP'!A1:E665,3,FALSE),IF('Settings'!$E$9="FANTRAX",VLOOKUP(B362,'ADP'!A1:E665,4,FALSE),VLOOKUP(B362,'ADP'!A1:E665,5,FALSE))))</f>
        <v>0</v>
      </c>
      <c r="N362" s="79">
        <f>_xlfn.IFERROR(M362-A362,"N/A")</f>
        <v>-348</v>
      </c>
      <c r="O362" s="77"/>
      <c r="P362" t="s" s="78">
        <f>IF('Settings'!$E$27="ON",VLOOKUP(B362,'ADP'!A1:H665,8,FALSE)," ")</f>
        <v>138</v>
      </c>
      <c r="Q362" s="79">
        <f>IF('Settings'!$E$12="YES",VLOOKUP(B362,'Player Data'!A1:E667,5,FALSE),82)</f>
        <v>75.6225</v>
      </c>
      <c r="R362" s="77">
        <f>VLOOKUP(B362,'Player Data'!$A1:$AE667,6,FALSE)</f>
        <v>19.0589596402534</v>
      </c>
      <c r="S362" s="79">
        <f>VLOOKUP(B362,'Player Data'!$A1:$AE667,7,FALSE)*$Q362*_xlfn.IFERROR((VLOOKUP(P362,'Settings'!$E$28:$F$33,2,FALSE)+1),1)</f>
        <v>4.5678208428259</v>
      </c>
      <c r="T362" s="79">
        <f>VLOOKUP(B362,'Player Data'!$A1:$AE667,8,FALSE)*$Q362*_xlfn.IFERROR((VLOOKUP(P362,'Settings'!$E$28:$F$33,2,FALSE)+1),1)</f>
        <v>21.0580372697557</v>
      </c>
      <c r="U362" s="79">
        <f>SUM(S362:T362)</f>
        <v>25.6258581125816</v>
      </c>
      <c r="V362" s="79">
        <f>VLOOKUP(B362,'Player Data'!$A1:$AE667,10,FALSE)*$Q362*_xlfn.IFERROR(((VLOOKUP(P362,'Settings'!$E$28:$F$33,2,FALSE)/2)+1),1)</f>
        <v>92.8476789060973</v>
      </c>
      <c r="W362" s="79">
        <f>VLOOKUP(B362,'Player Data'!$A1:$AE667,11,FALSE)*$Q362*_xlfn.IFERROR((VLOOKUP(P362,'Settings'!$E$28:$F$33,2,FALSE)+1),1)</f>
        <v>0.259609778970181</v>
      </c>
      <c r="X362" s="79">
        <f>VLOOKUP(B362,'Player Data'!$A1:$AE667,12,FALSE)*$Q362*_xlfn.IFERROR((VLOOKUP(P362,'Settings'!$E$28:$F$33,2,FALSE)+1),1)</f>
        <v>3.12370562180862</v>
      </c>
      <c r="Y362" s="79">
        <f>VLOOKUP(B362,'Player Data'!$A1:$AE667,13,FALSE)*$Q362</f>
        <v>0.0371525720799315</v>
      </c>
      <c r="Z362" s="79">
        <f>VLOOKUP(B362,'Player Data'!$A1:$AE667,14,FALSE)*$Q362</f>
        <v>0.454709167066617</v>
      </c>
      <c r="AA362" s="79">
        <f>VLOOKUP(B362,'Player Data'!$A1:$AE667,15,FALSE)*$Q362</f>
        <v>117.480265760664</v>
      </c>
      <c r="AB362" s="79">
        <f>VLOOKUP(B362,'Player Data'!$A1:$AE667,16,FALSE)*$Q362</f>
        <v>90.66650478493909</v>
      </c>
      <c r="AC362" s="79">
        <f>VLOOKUP(B362,'Player Data'!$A1:$AE667,17,FALSE)*$Q362*_xlfn.IFERROR((VLOOKUP(P362,'Settings'!$E$28:$F$33,2,FALSE)+1),1)</f>
        <v>1.59077054238968</v>
      </c>
      <c r="AD362" s="79">
        <f>VLOOKUP(B362,'Player Data'!$A1:$AE667,18,FALSE)*$Q362</f>
        <v>19.3479869810948</v>
      </c>
      <c r="AE362" s="79">
        <f>VLOOKUP(B362,'Player Data'!$A1:$AE667,19,FALSE)*$Q362*_xlfn.IFERROR((VLOOKUP(P362,'Settings'!$E$28:$F$33,2,FALSE)+1),1)</f>
        <v>0.68248110237461</v>
      </c>
      <c r="AF362" s="79">
        <f>VLOOKUP(B362,'Player Data'!$A1:$AE667,20,FALSE)*$Q362</f>
        <v>0</v>
      </c>
      <c r="AG362" s="79">
        <f>VLOOKUP(B362,'Player Data'!$A1:$AE667,21,FALSE)*$Q362</f>
        <v>0</v>
      </c>
      <c r="AH362" s="81">
        <f>VLOOKUP(B362,'Player Data'!$A1:$AE667,22,FALSE)</f>
        <v>0</v>
      </c>
      <c r="AI362" s="77"/>
      <c r="AJ362" s="79"/>
      <c r="AK362" s="79"/>
      <c r="AL362" s="79"/>
      <c r="AM362" s="79"/>
      <c r="AN362" s="79"/>
      <c r="AO362" s="79"/>
      <c r="AP362" s="79"/>
      <c r="AQ362" s="82"/>
      <c r="AR362" s="83"/>
      <c r="AS362" s="84"/>
    </row>
    <row r="363" ht="21.25" customHeight="1">
      <c r="A363" s="85">
        <f>RANK(K363,K$1:K$665)</f>
        <v>375</v>
      </c>
      <c r="B363" t="s" s="16">
        <v>552</v>
      </c>
      <c r="C363" t="s" s="69">
        <v>127</v>
      </c>
      <c r="D363" t="s" s="70">
        <f>VLOOKUP(B363,'Player Data'!A1:D667,4,FALSE)</f>
        <v>178</v>
      </c>
      <c r="E363" s="102">
        <f>VLOOKUP(B363,'LW'!A1:C152,3,FALSE)</f>
        <v>87</v>
      </c>
      <c r="F363" t="s" s="104">
        <f>VLOOKUP(B363,'Player Data'!A1:B667,2,FALSE)</f>
        <v>281</v>
      </c>
      <c r="G363" s="96">
        <f>VLOOKUP(B363,'Player Data'!A1:D667,3,FALSE)</f>
        <v>23</v>
      </c>
      <c r="H363" s="94">
        <f>_xlfn.IFERROR(VLOOKUP(B363,'ADP'!A1:G665,7,FALSE)/1000000,VLOOKUP(B363,'ADP'!A1:G665,7,FALSE))</f>
        <v>0.925</v>
      </c>
      <c r="I363" s="74">
        <f>IF('Settings'!$E$15="POINTS",((R363*Q363)*'Settings'!$B$12)+(S363*'Settings'!$B$2)+(T363*'Settings'!$B$3)+(U363*'Settings'!$B$4)+(V363*'Settings'!$B$5)+(X363*'Settings'!$B$9)+(AA363*'Settings'!$B$6)+(W363*'Settings'!$B$8)+(AB363*'Settings'!$B$7)+(AC363*'Settings'!$B$14)+(AD363*'Settings'!$B$15)+(AE363*'Settings'!$B$16)+(AF363*'Settings'!$B$17)+(AG363*'Settings'!$B$18)+(Y363*'Settings'!$B$10)+(Z363*'Settings'!$B$11),VLOOKUP(B363,'Standard Deviations'!A1:C666,3,FALSE))</f>
        <v>212.190210641320</v>
      </c>
      <c r="J363" s="75">
        <f>IF(D363="G",I363/AJ363,I363/Q363)</f>
        <v>2.68170882327103</v>
      </c>
      <c r="K363" s="74">
        <f>IF('Settings'!$E$18="C/LW/RW",VLOOKUP(B363,'LW'!A1:F152,6,FALSE),VLOOKUP(B363,'F'!A1:F392,6,FALSE))</f>
        <v>-119.529901124892</v>
      </c>
      <c r="L363" s="76">
        <f>_xlfn.IFERROR(K363/H363,"N/A")</f>
        <v>-129.221514729613</v>
      </c>
      <c r="M363" s="109">
        <f>IF('Settings'!$E$9="YAHOO",VLOOKUP(B363,'ADP'!A1:E665,2,FALSE),IF('Settings'!$E$9="ESPN",VLOOKUP(B363,'ADP'!A1:E665,3,FALSE),IF('Settings'!$E$9="FANTRAX",VLOOKUP(B363,'ADP'!A1:E665,4,FALSE),VLOOKUP(B363,'ADP'!A1:E665,5,FALSE))))</f>
        <v>0</v>
      </c>
      <c r="N363" s="79">
        <f>_xlfn.IFERROR(M363-A363,"N/A")</f>
        <v>-375</v>
      </c>
      <c r="O363" s="77"/>
      <c r="P363" t="s" s="78">
        <f>IF('Settings'!$E$27="ON",VLOOKUP(B363,'ADP'!A1:H665,8,FALSE)," ")</f>
        <v>138</v>
      </c>
      <c r="Q363" s="79">
        <f>IF('Settings'!$E$12="YES",VLOOKUP(B363,'Player Data'!A1:E667,5,FALSE),82)</f>
        <v>79.125</v>
      </c>
      <c r="R363" s="77">
        <f>VLOOKUP(B363,'Player Data'!$A1:$AE667,6,FALSE)</f>
        <v>13.8449896019333</v>
      </c>
      <c r="S363" s="79">
        <f>VLOOKUP(B363,'Player Data'!$A1:$AE667,7,FALSE)*$Q363*_xlfn.IFERROR((VLOOKUP(P363,'Settings'!$E$28:$F$33,2,FALSE)+1),1)</f>
        <v>17.3503179830716</v>
      </c>
      <c r="T363" s="79">
        <f>VLOOKUP(B363,'Player Data'!$A1:$AE667,8,FALSE)*$Q363*_xlfn.IFERROR((VLOOKUP(P363,'Settings'!$E$28:$F$33,2,FALSE)+1),1)</f>
        <v>18.3336486155204</v>
      </c>
      <c r="U363" s="79">
        <f>SUM(S363:T363)</f>
        <v>35.683966598592</v>
      </c>
      <c r="V363" s="79">
        <f>VLOOKUP(B363,'Player Data'!$A1:$AE667,10,FALSE)*$Q363*_xlfn.IFERROR(((VLOOKUP(P363,'Settings'!$E$28:$F$33,2,FALSE)/2)+1),1)</f>
        <v>148.050791426859</v>
      </c>
      <c r="W363" s="79">
        <f>VLOOKUP(B363,'Player Data'!$A1:$AE667,11,FALSE)*$Q363*_xlfn.IFERROR((VLOOKUP(P363,'Settings'!$E$28:$F$33,2,FALSE)+1),1)</f>
        <v>4.73929093453022</v>
      </c>
      <c r="X363" s="79">
        <f>VLOOKUP(B363,'Player Data'!$A1:$AE667,12,FALSE)*$Q363*_xlfn.IFERROR((VLOOKUP(P363,'Settings'!$E$28:$F$33,2,FALSE)+1),1)</f>
        <v>7.51069975393577</v>
      </c>
      <c r="Y363" s="79">
        <f>VLOOKUP(B363,'Player Data'!$A1:$AE667,13,FALSE)*$Q363</f>
        <v>0.00521196764654926</v>
      </c>
      <c r="Z363" s="79">
        <f>VLOOKUP(B363,'Player Data'!$A1:$AE667,14,FALSE)*$Q363</f>
        <v>0.008828433405145931</v>
      </c>
      <c r="AA363" s="79">
        <f>VLOOKUP(B363,'Player Data'!$A1:$AE667,15,FALSE)*$Q363</f>
        <v>50.3916686493758</v>
      </c>
      <c r="AB363" s="79">
        <f>VLOOKUP(B363,'Player Data'!$A1:$AE667,16,FALSE)*$Q363</f>
        <v>88.65583653601951</v>
      </c>
      <c r="AC363" s="79">
        <f>VLOOKUP(B363,'Player Data'!$A1:$AE667,17,FALSE)*$Q363*_xlfn.IFERROR((VLOOKUP(P363,'Settings'!$E$28:$F$33,2,FALSE)+1),1)</f>
        <v>-6.12284426504869</v>
      </c>
      <c r="AD363" s="79">
        <f>VLOOKUP(B363,'Player Data'!$A1:$AE667,18,FALSE)*$Q363</f>
        <v>45.6954920779486</v>
      </c>
      <c r="AE363" s="79">
        <f>VLOOKUP(B363,'Player Data'!$A1:$AE667,19,FALSE)*$Q363*_xlfn.IFERROR((VLOOKUP(P363,'Settings'!$E$28:$F$33,2,FALSE)+1),1)</f>
        <v>1.91867362138779</v>
      </c>
      <c r="AF363" s="79">
        <f>VLOOKUP(B363,'Player Data'!$A1:$AE667,20,FALSE)*$Q363</f>
        <v>300.662152074344</v>
      </c>
      <c r="AG363" s="79">
        <f>VLOOKUP(B363,'Player Data'!$A1:$AE667,21,FALSE)*$Q363</f>
        <v>412.460714037006</v>
      </c>
      <c r="AH363" s="81">
        <f>VLOOKUP(B363,'Player Data'!$A1:$AE667,22,FALSE)</f>
        <v>0.421613394216134</v>
      </c>
      <c r="AI363" s="77"/>
      <c r="AJ363" s="79"/>
      <c r="AK363" s="79"/>
      <c r="AL363" s="79"/>
      <c r="AM363" s="79"/>
      <c r="AN363" s="79"/>
      <c r="AO363" s="79"/>
      <c r="AP363" s="79"/>
      <c r="AQ363" s="82"/>
      <c r="AR363" s="83"/>
      <c r="AS363" s="84"/>
    </row>
    <row r="364" ht="21.25" customHeight="1">
      <c r="A364" s="85">
        <f>RANK(K364,K$1:K$665)</f>
        <v>368</v>
      </c>
      <c r="B364" t="s" s="16">
        <v>553</v>
      </c>
      <c r="C364" t="s" s="69">
        <v>127</v>
      </c>
      <c r="D364" t="s" s="70">
        <f>VLOOKUP(B364,'Player Data'!A1:D667,4,FALSE)</f>
        <v>554</v>
      </c>
      <c r="E364" s="87">
        <f>VLOOKUP(B364,'RW'!A1:C136,3,FALSE)</f>
        <v>77</v>
      </c>
      <c r="F364" t="s" s="86">
        <f>VLOOKUP(B364,'Player Data'!A1:B667,2,FALSE)</f>
        <v>156</v>
      </c>
      <c r="G364" s="11">
        <f>VLOOKUP(B364,'Player Data'!A1:D667,3,FALSE)</f>
        <v>29</v>
      </c>
      <c r="H364" s="73">
        <f>_xlfn.IFERROR(VLOOKUP(B364,'ADP'!A1:G665,7,FALSE)/1000000,VLOOKUP(B364,'ADP'!A1:G665,7,FALSE))</f>
        <v>5.1</v>
      </c>
      <c r="I364" s="74">
        <f>IF('Settings'!$E$15="POINTS",((R364*Q364)*'Settings'!$B$12)+(S364*'Settings'!$B$2)+(T364*'Settings'!$B$3)+(U364*'Settings'!$B$4)+(V364*'Settings'!$B$5)+(X364*'Settings'!$B$9)+(AA364*'Settings'!$B$6)+(W364*'Settings'!$B$8)+(AB364*'Settings'!$B$7)+(AC364*'Settings'!$B$14)+(AD364*'Settings'!$B$15)+(AE364*'Settings'!$B$16)+(AF364*'Settings'!$B$17)+(AG364*'Settings'!$B$18)+(Y364*'Settings'!$B$10)+(Z364*'Settings'!$B$11),VLOOKUP(B364,'Standard Deviations'!A1:C666,3,FALSE))</f>
        <v>212.040273084470</v>
      </c>
      <c r="J364" s="75">
        <f>IF(D364="G",I364/AJ364,I364/Q364)</f>
        <v>2.65240983312343</v>
      </c>
      <c r="K364" s="74">
        <f>IF('Settings'!$E$18="C/LW/RW",VLOOKUP(B364,'RW'!A1:F136,6,FALSE),VLOOKUP(B364,'F'!A1:F392,6,FALSE))</f>
        <v>-117.651620996708</v>
      </c>
      <c r="L364" s="76">
        <f>_xlfn.IFERROR(K364/H364,"N/A")</f>
        <v>-23.0689452934722</v>
      </c>
      <c r="M364" s="109">
        <f>IF('Settings'!$E$9="YAHOO",VLOOKUP(B364,'ADP'!A1:E665,2,FALSE),IF('Settings'!$E$9="ESPN",VLOOKUP(B364,'ADP'!A1:E665,3,FALSE),IF('Settings'!$E$9="FANTRAX",VLOOKUP(B364,'ADP'!A1:E665,4,FALSE),VLOOKUP(B364,'ADP'!A1:E665,5,FALSE))))</f>
        <v>0</v>
      </c>
      <c r="N364" s="79">
        <f>_xlfn.IFERROR(M364-A364,"N/A")</f>
        <v>-368</v>
      </c>
      <c r="O364" s="77"/>
      <c r="P364" t="s" s="78">
        <f>IF('Settings'!$E$27="ON",VLOOKUP(B364,'ADP'!A1:H665,8,FALSE)," ")</f>
        <v>138</v>
      </c>
      <c r="Q364" s="79">
        <f>IF('Settings'!$E$12="YES",VLOOKUP(B364,'Player Data'!A1:E667,5,FALSE),82)</f>
        <v>79.9425</v>
      </c>
      <c r="R364" s="108">
        <f>VLOOKUP(B364,'Player Data'!$A1:$AE667,6,FALSE)</f>
        <v>17.8902432730235</v>
      </c>
      <c r="S364" s="79">
        <f>VLOOKUP(B364,'Player Data'!$A1:$AE667,7,FALSE)*$Q364*_xlfn.IFERROR((VLOOKUP(P364,'Settings'!$E$28:$F$33,2,FALSE)+1),1)</f>
        <v>16.7673141481329</v>
      </c>
      <c r="T364" s="79">
        <f>VLOOKUP(B364,'Player Data'!$A1:$AE667,8,FALSE)*$Q364*_xlfn.IFERROR((VLOOKUP(P364,'Settings'!$E$28:$F$33,2,FALSE)+1),1)</f>
        <v>26.3645782556406</v>
      </c>
      <c r="U364" s="79">
        <f>SUM(S364:T364)</f>
        <v>43.1318924037735</v>
      </c>
      <c r="V364" s="79">
        <f>VLOOKUP(B364,'Player Data'!$A1:$AE667,10,FALSE)*$Q364*_xlfn.IFERROR(((VLOOKUP(P364,'Settings'!$E$28:$F$33,2,FALSE)/2)+1),1)</f>
        <v>114.922783595037</v>
      </c>
      <c r="W364" s="79">
        <f>VLOOKUP(B364,'Player Data'!$A1:$AE667,11,FALSE)*$Q364*_xlfn.IFERROR((VLOOKUP(P364,'Settings'!$E$28:$F$33,2,FALSE)+1),1)</f>
        <v>3.49886788696381</v>
      </c>
      <c r="X364" s="79">
        <f>VLOOKUP(B364,'Player Data'!$A1:$AE667,12,FALSE)*$Q364*_xlfn.IFERROR((VLOOKUP(P364,'Settings'!$E$28:$F$33,2,FALSE)+1),1)</f>
        <v>7.89349810127072</v>
      </c>
      <c r="Y364" s="79">
        <f>VLOOKUP(B364,'Player Data'!$A1:$AE667,13,FALSE)*$Q364</f>
        <v>1.15707209581292</v>
      </c>
      <c r="Z364" s="79">
        <f>VLOOKUP(B364,'Player Data'!$A1:$AE667,14,FALSE)*$Q364</f>
        <v>1.2596666685551</v>
      </c>
      <c r="AA364" s="79">
        <f>VLOOKUP(B364,'Player Data'!$A1:$AE667,15,FALSE)*$Q364</f>
        <v>60.7991939062934</v>
      </c>
      <c r="AB364" s="79">
        <f>VLOOKUP(B364,'Player Data'!$A1:$AE667,16,FALSE)*$Q364</f>
        <v>47.4644013971446</v>
      </c>
      <c r="AC364" s="79">
        <f>VLOOKUP(B364,'Player Data'!$A1:$AE667,17,FALSE)*$Q364*_xlfn.IFERROR((VLOOKUP(P364,'Settings'!$E$28:$F$33,2,FALSE)+1),1)</f>
        <v>-2.7898591021009</v>
      </c>
      <c r="AD364" s="79">
        <f>VLOOKUP(B364,'Player Data'!$A1:$AE667,18,FALSE)*$Q364</f>
        <v>28.4580726668362</v>
      </c>
      <c r="AE364" s="79">
        <f>VLOOKUP(B364,'Player Data'!$A1:$AE667,19,FALSE)*$Q364*_xlfn.IFERROR((VLOOKUP(P364,'Settings'!$E$28:$F$33,2,FALSE)+1),1)</f>
        <v>2.30286761210632</v>
      </c>
      <c r="AF364" s="79">
        <f>VLOOKUP(B364,'Player Data'!$A1:$AE667,20,FALSE)*$Q364</f>
        <v>497.855138295556</v>
      </c>
      <c r="AG364" s="79">
        <f>VLOOKUP(B364,'Player Data'!$A1:$AE667,21,FALSE)*$Q364</f>
        <v>547.980995096040</v>
      </c>
      <c r="AH364" s="81">
        <f>VLOOKUP(B364,'Player Data'!$A1:$AE667,22,FALSE)</f>
        <v>0.476035511109217</v>
      </c>
      <c r="AI364" s="77"/>
      <c r="AJ364" s="79"/>
      <c r="AK364" s="79"/>
      <c r="AL364" s="79"/>
      <c r="AM364" s="79"/>
      <c r="AN364" s="79"/>
      <c r="AO364" s="79"/>
      <c r="AP364" s="79"/>
      <c r="AQ364" s="82"/>
      <c r="AR364" s="83"/>
      <c r="AS364" s="84"/>
    </row>
    <row r="365" ht="21.25" customHeight="1">
      <c r="A365" s="85">
        <f>RANK(K365,K$1:K$665)</f>
        <v>349</v>
      </c>
      <c r="B365" t="s" s="16">
        <v>555</v>
      </c>
      <c r="C365" t="s" s="69">
        <v>127</v>
      </c>
      <c r="D365" t="s" s="70">
        <f>VLOOKUP(B365,'Player Data'!A1:D667,4,FALSE)</f>
        <v>153</v>
      </c>
      <c r="E365" s="95">
        <f>VLOOKUP(B365,'D'!A1:C213,3,FALSE)</f>
        <v>116</v>
      </c>
      <c r="F365" t="s" s="92">
        <f>VLOOKUP(B365,'Player Data'!A1:B667,2,FALSE)</f>
        <v>146</v>
      </c>
      <c r="G365" s="11">
        <f>VLOOKUP(B365,'Player Data'!A1:D667,3,FALSE)</f>
        <v>30</v>
      </c>
      <c r="H365" s="73">
        <f>_xlfn.IFERROR(VLOOKUP(B365,'ADP'!A1:G665,7,FALSE)/1000000,VLOOKUP(B365,'ADP'!A1:G665,7,FALSE))</f>
        <v>3.25</v>
      </c>
      <c r="I365" s="74">
        <f>IF('Settings'!$E$15="POINTS",((R365*Q365)*'Settings'!$B$12)+(S365*'Settings'!$B$2)+(T365*'Settings'!$B$3)+(U365*'Settings'!$B$4)+(V365*'Settings'!$B$5)+(X365*'Settings'!$B$9)+(AA365*'Settings'!$B$6)+(W365*'Settings'!$B$8)+(AB365*'Settings'!$B$7)+(AC365*'Settings'!$B$14)+(AD365*'Settings'!$B$15)+(AE365*'Settings'!$B$16)+(AF365*'Settings'!$B$17)+(AG365*'Settings'!$B$18)+(U365*'Settings'!$B$13)+(Y365*'Settings'!$B$10)+(Z365*'Settings'!$B$11),VLOOKUP(B365,'Standard Deviations'!A1:C666,3,FALSE))</f>
        <v>218.873797111699</v>
      </c>
      <c r="J365" s="75">
        <f>IF(D365="G",I365/AJ365,I365/Q365)</f>
        <v>3.03044371217306</v>
      </c>
      <c r="K365" s="74">
        <f>VLOOKUP(B365,'D'!A1:F213,6,FALSE)</f>
        <v>-112.666410808383</v>
      </c>
      <c r="L365" s="76">
        <f>_xlfn.IFERROR(K365/H365,"N/A")</f>
        <v>-34.6665879410409</v>
      </c>
      <c r="M365" s="109">
        <f>IF('Settings'!$E$9="YAHOO",VLOOKUP(B365,'ADP'!A1:E665,2,FALSE),IF('Settings'!$E$9="ESPN",VLOOKUP(B365,'ADP'!A1:E665,3,FALSE),IF('Settings'!$E$9="FANTRAX",VLOOKUP(B365,'ADP'!A1:E665,4,FALSE),VLOOKUP(B365,'ADP'!A1:E665,5,FALSE))))</f>
        <v>0</v>
      </c>
      <c r="N365" s="79">
        <f>_xlfn.IFERROR(M365-A365,"N/A")</f>
        <v>-349</v>
      </c>
      <c r="O365" s="77"/>
      <c r="P365" t="s" s="78">
        <f>IF('Settings'!$E$27="ON",VLOOKUP(B365,'ADP'!A1:H665,8,FALSE)," ")</f>
        <v>138</v>
      </c>
      <c r="Q365" s="79">
        <f>IF('Settings'!$E$12="YES",VLOOKUP(B365,'Player Data'!A1:E667,5,FALSE),82)</f>
        <v>72.22499999999999</v>
      </c>
      <c r="R365" s="98">
        <f>VLOOKUP(B365,'Player Data'!$A1:$AE667,6,FALSE)</f>
        <v>19.3748278588254</v>
      </c>
      <c r="S365" s="79">
        <f>VLOOKUP(B365,'Player Data'!$A1:$AE667,7,FALSE)*$Q365*_xlfn.IFERROR((VLOOKUP(P365,'Settings'!$E$28:$F$33,2,FALSE)+1),1)</f>
        <v>5.39345635092709</v>
      </c>
      <c r="T365" s="79">
        <f>VLOOKUP(B365,'Player Data'!$A1:$AE667,8,FALSE)*$Q365*_xlfn.IFERROR((VLOOKUP(P365,'Settings'!$E$28:$F$33,2,FALSE)+1),1)</f>
        <v>12.5282432626785</v>
      </c>
      <c r="U365" s="79">
        <f>SUM(S365:T365)</f>
        <v>17.9216996136056</v>
      </c>
      <c r="V365" s="79">
        <f>VLOOKUP(B365,'Player Data'!$A1:$AE667,10,FALSE)*$Q365*_xlfn.IFERROR(((VLOOKUP(P365,'Settings'!$E$28:$F$33,2,FALSE)/2)+1),1)</f>
        <v>83.9072626121025</v>
      </c>
      <c r="W365" s="79">
        <f>VLOOKUP(B365,'Player Data'!$A1:$AE667,11,FALSE)*$Q365*_xlfn.IFERROR((VLOOKUP(P365,'Settings'!$E$28:$F$33,2,FALSE)+1),1)</f>
        <v>0.238421540121968</v>
      </c>
      <c r="X365" s="79">
        <f>VLOOKUP(B365,'Player Data'!$A1:$AE667,12,FALSE)*$Q365*_xlfn.IFERROR((VLOOKUP(P365,'Settings'!$E$28:$F$33,2,FALSE)+1),1)</f>
        <v>0.932827906053497</v>
      </c>
      <c r="Y365" s="79">
        <f>VLOOKUP(B365,'Player Data'!$A1:$AE667,13,FALSE)*$Q365</f>
        <v>0.206004831775259</v>
      </c>
      <c r="Z365" s="79">
        <f>VLOOKUP(B365,'Player Data'!$A1:$AE667,14,FALSE)*$Q365</f>
        <v>0.502408583539122</v>
      </c>
      <c r="AA365" s="79">
        <f>VLOOKUP(B365,'Player Data'!$A1:$AE667,15,FALSE)*$Q365</f>
        <v>116.397290666907</v>
      </c>
      <c r="AB365" s="79">
        <f>VLOOKUP(B365,'Player Data'!$A1:$AE667,16,FALSE)*$Q365</f>
        <v>126.745908269698</v>
      </c>
      <c r="AC365" s="79">
        <f>VLOOKUP(B365,'Player Data'!$A1:$AE667,17,FALSE)*$Q365*_xlfn.IFERROR((VLOOKUP(P365,'Settings'!$E$28:$F$33,2,FALSE)+1),1)</f>
        <v>4.35982677953981</v>
      </c>
      <c r="AD365" s="79">
        <f>VLOOKUP(B365,'Player Data'!$A1:$AE667,18,FALSE)*$Q365</f>
        <v>45.7677708781671</v>
      </c>
      <c r="AE365" s="79">
        <f>VLOOKUP(B365,'Player Data'!$A1:$AE667,19,FALSE)*$Q365*_xlfn.IFERROR((VLOOKUP(P365,'Settings'!$E$28:$F$33,2,FALSE)+1),1)</f>
        <v>0.921063212106101</v>
      </c>
      <c r="AF365" s="79">
        <f>VLOOKUP(B365,'Player Data'!$A1:$AE667,20,FALSE)*$Q365</f>
        <v>0</v>
      </c>
      <c r="AG365" s="79">
        <f>VLOOKUP(B365,'Player Data'!$A1:$AE667,21,FALSE)*$Q365</f>
        <v>0</v>
      </c>
      <c r="AH365" s="81">
        <f>VLOOKUP(B365,'Player Data'!$A1:$AE667,22,FALSE)</f>
        <v>0</v>
      </c>
      <c r="AI365" s="77"/>
      <c r="AJ365" s="79"/>
      <c r="AK365" s="79"/>
      <c r="AL365" s="79"/>
      <c r="AM365" s="79"/>
      <c r="AN365" s="79"/>
      <c r="AO365" s="79"/>
      <c r="AP365" s="79"/>
      <c r="AQ365" s="82"/>
      <c r="AR365" s="83"/>
      <c r="AS365" s="84"/>
    </row>
    <row r="366" ht="21.25" customHeight="1">
      <c r="A366" s="85">
        <f>RANK(K366,K$1:K$665)</f>
        <v>376</v>
      </c>
      <c r="B366" t="s" s="16">
        <v>556</v>
      </c>
      <c r="C366" t="s" s="69">
        <v>127</v>
      </c>
      <c r="D366" t="s" s="70">
        <f>VLOOKUP(B366,'Player Data'!A1:D667,4,FALSE)</f>
        <v>178</v>
      </c>
      <c r="E366" s="102">
        <f>VLOOKUP(B366,'LW'!A1:C152,3,FALSE)</f>
        <v>89</v>
      </c>
      <c r="F366" t="s" s="78">
        <f>VLOOKUP(B366,'Player Data'!A1:B667,2,FALSE)</f>
        <v>261</v>
      </c>
      <c r="G366" s="96">
        <f>VLOOKUP(B366,'Player Data'!A1:D667,3,FALSE)</f>
        <v>23</v>
      </c>
      <c r="H366" s="73">
        <f>_xlfn.IFERROR(VLOOKUP(B366,'ADP'!A1:G665,7,FALSE)/1000000,VLOOKUP(B366,'ADP'!A1:G665,7,FALSE))</f>
        <v>3.425</v>
      </c>
      <c r="I366" s="74">
        <f>IF('Settings'!$E$15="POINTS",((R366*Q366)*'Settings'!$B$12)+(S366*'Settings'!$B$2)+(T366*'Settings'!$B$3)+(U366*'Settings'!$B$4)+(V366*'Settings'!$B$5)+(X366*'Settings'!$B$9)+(AA366*'Settings'!$B$6)+(W366*'Settings'!$B$8)+(AB366*'Settings'!$B$7)+(AC366*'Settings'!$B$14)+(AD366*'Settings'!$B$15)+(AE366*'Settings'!$B$16)+(AF366*'Settings'!$B$17)+(AG366*'Settings'!$B$18)+(Y366*'Settings'!$B$10)+(Z366*'Settings'!$B$11),VLOOKUP(B366,'Standard Deviations'!A1:C666,3,FALSE))</f>
        <v>211.936816323838</v>
      </c>
      <c r="J366" s="75">
        <f>IF(D366="G",I366/AJ366,I366/Q366)</f>
        <v>2.72570016492622</v>
      </c>
      <c r="K366" s="74">
        <f>IF('Settings'!$E$18="C/LW/RW",VLOOKUP(B366,'LW'!A1:F152,6,FALSE),VLOOKUP(B366,'F'!A1:F392,6,FALSE))</f>
        <v>-119.783295442374</v>
      </c>
      <c r="L366" s="76">
        <f>_xlfn.IFERROR(K366/H366,"N/A")</f>
        <v>-34.9732249466785</v>
      </c>
      <c r="M366" s="109">
        <f>IF('Settings'!$E$9="YAHOO",VLOOKUP(B366,'ADP'!A1:E665,2,FALSE),IF('Settings'!$E$9="ESPN",VLOOKUP(B366,'ADP'!A1:E665,3,FALSE),IF('Settings'!$E$9="FANTRAX",VLOOKUP(B366,'ADP'!A1:E665,4,FALSE),VLOOKUP(B366,'ADP'!A1:E665,5,FALSE))))</f>
        <v>0</v>
      </c>
      <c r="N366" s="79">
        <f>_xlfn.IFERROR(M366-A366,"N/A")</f>
        <v>-376</v>
      </c>
      <c r="O366" s="77"/>
      <c r="P366" t="s" s="78">
        <f>IF('Settings'!$E$27="ON",VLOOKUP(B366,'ADP'!A1:H665,8,FALSE)," ")</f>
        <v>138</v>
      </c>
      <c r="Q366" s="79">
        <f>IF('Settings'!$E$12="YES",VLOOKUP(B366,'Player Data'!A1:E667,5,FALSE),82)</f>
        <v>77.755</v>
      </c>
      <c r="R366" s="77">
        <f>VLOOKUP(B366,'Player Data'!$A1:$AE667,6,FALSE)</f>
        <v>16.0358161010958</v>
      </c>
      <c r="S366" s="79">
        <f>VLOOKUP(B366,'Player Data'!$A1:$AE667,7,FALSE)*$Q366*_xlfn.IFERROR((VLOOKUP(P366,'Settings'!$E$28:$F$33,2,FALSE)+1),1)</f>
        <v>16.7306966536314</v>
      </c>
      <c r="T366" s="79">
        <f>VLOOKUP(B366,'Player Data'!$A1:$AE667,8,FALSE)*$Q366*_xlfn.IFERROR((VLOOKUP(P366,'Settings'!$E$28:$F$33,2,FALSE)+1),1)</f>
        <v>39.8603098739009</v>
      </c>
      <c r="U366" s="79">
        <f>SUM(S366:T366)</f>
        <v>56.5910065275323</v>
      </c>
      <c r="V366" s="79">
        <f>VLOOKUP(B366,'Player Data'!$A1:$AE667,10,FALSE)*$Q366*_xlfn.IFERROR(((VLOOKUP(P366,'Settings'!$E$28:$F$33,2,FALSE)/2)+1),1)</f>
        <v>131.045448425392</v>
      </c>
      <c r="W366" s="79">
        <f>VLOOKUP(B366,'Player Data'!$A1:$AE667,11,FALSE)*$Q366*_xlfn.IFERROR((VLOOKUP(P366,'Settings'!$E$28:$F$33,2,FALSE)+1),1)</f>
        <v>2.36823452625958</v>
      </c>
      <c r="X366" s="79">
        <f>VLOOKUP(B366,'Player Data'!$A1:$AE667,12,FALSE)*$Q366*_xlfn.IFERROR((VLOOKUP(P366,'Settings'!$E$28:$F$33,2,FALSE)+1),1)</f>
        <v>13.5762575045708</v>
      </c>
      <c r="Y366" s="79">
        <f>VLOOKUP(B366,'Player Data'!$A1:$AE667,13,FALSE)*$Q366</f>
        <v>0.0211262784094142</v>
      </c>
      <c r="Z366" s="79">
        <f>VLOOKUP(B366,'Player Data'!$A1:$AE667,14,FALSE)*$Q366</f>
        <v>0.126055985952078</v>
      </c>
      <c r="AA366" s="79">
        <f>VLOOKUP(B366,'Player Data'!$A1:$AE667,15,FALSE)*$Q366</f>
        <v>22.3499825586878</v>
      </c>
      <c r="AB366" s="79">
        <f>VLOOKUP(B366,'Player Data'!$A1:$AE667,16,FALSE)*$Q366</f>
        <v>32.7621561470257</v>
      </c>
      <c r="AC366" s="79">
        <f>VLOOKUP(B366,'Player Data'!$A1:$AE667,17,FALSE)*$Q366*_xlfn.IFERROR((VLOOKUP(P366,'Settings'!$E$28:$F$33,2,FALSE)+1),1)</f>
        <v>1.67910521024608</v>
      </c>
      <c r="AD366" s="79">
        <f>VLOOKUP(B366,'Player Data'!$A1:$AE667,18,FALSE)*$Q366</f>
        <v>17.2839360570359</v>
      </c>
      <c r="AE366" s="79">
        <f>VLOOKUP(B366,'Player Data'!$A1:$AE667,19,FALSE)*$Q366*_xlfn.IFERROR((VLOOKUP(P366,'Settings'!$E$28:$F$33,2,FALSE)+1),1)</f>
        <v>2.44819268316196</v>
      </c>
      <c r="AF366" s="79">
        <f>VLOOKUP(B366,'Player Data'!$A1:$AE667,20,FALSE)*$Q366</f>
        <v>4.06974889072125</v>
      </c>
      <c r="AG366" s="79">
        <f>VLOOKUP(B366,'Player Data'!$A1:$AE667,21,FALSE)*$Q366</f>
        <v>9.799097905750671</v>
      </c>
      <c r="AH366" s="81">
        <f>VLOOKUP(B366,'Player Data'!$A1:$AE667,22,FALSE)</f>
        <v>0.293445370797271</v>
      </c>
      <c r="AI366" s="77"/>
      <c r="AJ366" s="79"/>
      <c r="AK366" s="79"/>
      <c r="AL366" s="79"/>
      <c r="AM366" s="79"/>
      <c r="AN366" s="79"/>
      <c r="AO366" s="79"/>
      <c r="AP366" s="79"/>
      <c r="AQ366" s="82"/>
      <c r="AR366" s="83"/>
      <c r="AS366" s="84"/>
    </row>
    <row r="367" ht="21.25" customHeight="1">
      <c r="A367" s="85">
        <f>RANK(K367,K$1:K$665)</f>
        <v>352</v>
      </c>
      <c r="B367" t="s" s="16">
        <v>557</v>
      </c>
      <c r="C367" t="s" s="69">
        <v>127</v>
      </c>
      <c r="D367" t="s" s="70">
        <f>VLOOKUP(B367,'Player Data'!A1:D667,4,FALSE)</f>
        <v>153</v>
      </c>
      <c r="E367" s="95">
        <f>VLOOKUP(B367,'D'!A1:C213,3,FALSE)</f>
        <v>117</v>
      </c>
      <c r="F367" t="s" s="88">
        <f>VLOOKUP(B367,'Player Data'!A1:B667,2,FALSE)</f>
        <v>143</v>
      </c>
      <c r="G367" s="11">
        <f>VLOOKUP(B367,'Player Data'!A1:D667,3,FALSE)</f>
        <v>26</v>
      </c>
      <c r="H367" s="73">
        <f>_xlfn.IFERROR(VLOOKUP(B367,'ADP'!A1:G665,7,FALSE)/1000000,VLOOKUP(B367,'ADP'!A1:G665,7,FALSE))</f>
        <v>2.75</v>
      </c>
      <c r="I367" s="74">
        <f>IF('Settings'!$E$15="POINTS",((R367*Q367)*'Settings'!$B$12)+(S367*'Settings'!$B$2)+(T367*'Settings'!$B$3)+(U367*'Settings'!$B$4)+(V367*'Settings'!$B$5)+(X367*'Settings'!$B$9)+(AA367*'Settings'!$B$6)+(W367*'Settings'!$B$8)+(AB367*'Settings'!$B$7)+(AC367*'Settings'!$B$14)+(AD367*'Settings'!$B$15)+(AE367*'Settings'!$B$16)+(AF367*'Settings'!$B$17)+(AG367*'Settings'!$B$18)+(U367*'Settings'!$B$13)+(Y367*'Settings'!$B$10)+(Z367*'Settings'!$B$11),VLOOKUP(B367,'Standard Deviations'!A1:C666,3,FALSE))</f>
        <v>218.676222897085</v>
      </c>
      <c r="J367" s="75">
        <f>IF(D367="G",I367/AJ367,I367/Q367)</f>
        <v>2.95728207312306</v>
      </c>
      <c r="K367" s="74">
        <f>VLOOKUP(B367,'D'!A1:F213,6,FALSE)</f>
        <v>-112.863985022997</v>
      </c>
      <c r="L367" s="76">
        <f>_xlfn.IFERROR(K367/H367,"N/A")</f>
        <v>-41.0414490992716</v>
      </c>
      <c r="M367" s="109">
        <f>IF('Settings'!$E$9="YAHOO",VLOOKUP(B367,'ADP'!A1:E665,2,FALSE),IF('Settings'!$E$9="ESPN",VLOOKUP(B367,'ADP'!A1:E665,3,FALSE),IF('Settings'!$E$9="FANTRAX",VLOOKUP(B367,'ADP'!A1:E665,4,FALSE),VLOOKUP(B367,'ADP'!A1:E665,5,FALSE))))</f>
        <v>0</v>
      </c>
      <c r="N367" s="79">
        <f>_xlfn.IFERROR(M367-A367,"N/A")</f>
        <v>-352</v>
      </c>
      <c r="O367" s="77"/>
      <c r="P367" t="s" s="78">
        <f>IF('Settings'!$E$27="ON",VLOOKUP(B367,'ADP'!A1:H665,8,FALSE)," ")</f>
        <v>138</v>
      </c>
      <c r="Q367" s="79">
        <f>IF('Settings'!$E$12="YES",VLOOKUP(B367,'Player Data'!A1:E667,5,FALSE),82)</f>
        <v>73.94499999999999</v>
      </c>
      <c r="R367" s="77">
        <f>VLOOKUP(B367,'Player Data'!$A1:$AE667,6,FALSE)</f>
        <v>16.5323665630352</v>
      </c>
      <c r="S367" s="79">
        <f>VLOOKUP(B367,'Player Data'!$A1:$AE667,7,FALSE)*$Q367*_xlfn.IFERROR((VLOOKUP(P367,'Settings'!$E$28:$F$33,2,FALSE)+1),1)</f>
        <v>3.07553180043717</v>
      </c>
      <c r="T367" s="79">
        <f>VLOOKUP(B367,'Player Data'!$A1:$AE667,8,FALSE)*$Q367*_xlfn.IFERROR((VLOOKUP(P367,'Settings'!$E$28:$F$33,2,FALSE)+1),1)</f>
        <v>9.99812728455513</v>
      </c>
      <c r="U367" s="79">
        <f>SUM(S367:T367)</f>
        <v>13.0736590849923</v>
      </c>
      <c r="V367" s="79">
        <f>VLOOKUP(B367,'Player Data'!$A1:$AE667,10,FALSE)*$Q367*_xlfn.IFERROR(((VLOOKUP(P367,'Settings'!$E$28:$F$33,2,FALSE)/2)+1),1)</f>
        <v>66.75083573954571</v>
      </c>
      <c r="W367" s="79">
        <f>VLOOKUP(B367,'Player Data'!$A1:$AE667,11,FALSE)*$Q367*_xlfn.IFERROR((VLOOKUP(P367,'Settings'!$E$28:$F$33,2,FALSE)+1),1)</f>
        <v>0.00221094279833838</v>
      </c>
      <c r="X367" s="79">
        <f>VLOOKUP(B367,'Player Data'!$A1:$AE667,12,FALSE)*$Q367*_xlfn.IFERROR((VLOOKUP(P367,'Settings'!$E$28:$F$33,2,FALSE)+1),1)</f>
        <v>0.014232605850513</v>
      </c>
      <c r="Y367" s="79">
        <f>VLOOKUP(B367,'Player Data'!$A1:$AE667,13,FALSE)*$Q367</f>
        <v>0.0264814235640683</v>
      </c>
      <c r="Z367" s="79">
        <f>VLOOKUP(B367,'Player Data'!$A1:$AE667,14,FALSE)*$Q367</f>
        <v>0.697814130848016</v>
      </c>
      <c r="AA367" s="79">
        <f>VLOOKUP(B367,'Player Data'!$A1:$AE667,15,FALSE)*$Q367</f>
        <v>131.706219740552</v>
      </c>
      <c r="AB367" s="79">
        <f>VLOOKUP(B367,'Player Data'!$A1:$AE667,16,FALSE)*$Q367</f>
        <v>137.612092491574</v>
      </c>
      <c r="AC367" s="79">
        <f>VLOOKUP(B367,'Player Data'!$A1:$AE667,17,FALSE)*$Q367*_xlfn.IFERROR((VLOOKUP(P367,'Settings'!$E$28:$F$33,2,FALSE)+1),1)</f>
        <v>-1.35755240363538</v>
      </c>
      <c r="AD367" s="79">
        <f>VLOOKUP(B367,'Player Data'!$A1:$AE667,18,FALSE)*$Q367</f>
        <v>28.1314251787348</v>
      </c>
      <c r="AE367" s="79">
        <f>VLOOKUP(B367,'Player Data'!$A1:$AE667,19,FALSE)*$Q367*_xlfn.IFERROR((VLOOKUP(P367,'Settings'!$E$28:$F$33,2,FALSE)+1),1)</f>
        <v>0.479025512645292</v>
      </c>
      <c r="AF367" s="79">
        <f>VLOOKUP(B367,'Player Data'!$A1:$AE667,20,FALSE)*$Q367</f>
        <v>0</v>
      </c>
      <c r="AG367" s="79">
        <f>VLOOKUP(B367,'Player Data'!$A1:$AE667,21,FALSE)*$Q367</f>
        <v>0</v>
      </c>
      <c r="AH367" s="81">
        <f>VLOOKUP(B367,'Player Data'!$A1:$AE667,22,FALSE)</f>
        <v>0</v>
      </c>
      <c r="AI367" s="77"/>
      <c r="AJ367" s="89"/>
      <c r="AK367" s="79"/>
      <c r="AL367" s="79"/>
      <c r="AM367" s="79"/>
      <c r="AN367" s="79"/>
      <c r="AO367" s="79"/>
      <c r="AP367" s="79"/>
      <c r="AQ367" s="82"/>
      <c r="AR367" s="83"/>
      <c r="AS367" s="84"/>
    </row>
    <row r="368" ht="21.25" customHeight="1">
      <c r="A368" s="85">
        <f>RANK(K368,K$1:K$665)</f>
        <v>369</v>
      </c>
      <c r="B368" t="s" s="16">
        <v>558</v>
      </c>
      <c r="C368" t="s" s="69">
        <v>127</v>
      </c>
      <c r="D368" t="s" s="70">
        <f>VLOOKUP(B368,'Player Data'!A1:D667,4,FALSE)</f>
        <v>140</v>
      </c>
      <c r="E368" s="90">
        <f>VLOOKUP(B368,'RW'!A1:F136,3,FALSE)</f>
        <v>78</v>
      </c>
      <c r="F368" t="s" s="88">
        <f>VLOOKUP(B368,'Player Data'!A1:B667,2,FALSE)</f>
        <v>304</v>
      </c>
      <c r="G368" s="91">
        <f>VLOOKUP(B368,'Player Data'!A1:D667,3,FALSE)</f>
        <v>34</v>
      </c>
      <c r="H368" s="73">
        <f>_xlfn.IFERROR(VLOOKUP(B368,'ADP'!A1:G665,7,FALSE)/1000000,VLOOKUP(B368,'ADP'!A1:G665,7,FALSE))</f>
        <v>4.75</v>
      </c>
      <c r="I368" s="74">
        <f>IF('Settings'!$E$15="POINTS",((R368*Q368)*'Settings'!$B$12)+(S368*'Settings'!$B$2)+(T368*'Settings'!$B$3)+(U368*'Settings'!$B$4)+(V368*'Settings'!$B$5)+(X368*'Settings'!$B$9)+(AA368*'Settings'!$B$6)+(W368*'Settings'!$B$8)+(AB368*'Settings'!$B$7)+(AC368*'Settings'!$B$14)+(AD368*'Settings'!$B$15)+(AE368*'Settings'!$B$16)+(AF368*'Settings'!$B$17)+(AG368*'Settings'!$B$18)+(Y368*'Settings'!$B$10)+(Z368*'Settings'!$B$11),VLOOKUP(B368,'Standard Deviations'!A1:C666,3,FALSE))</f>
        <v>211.579962735747</v>
      </c>
      <c r="J368" s="75">
        <f>IF(D368="G",I368/AJ368,I368/Q368)</f>
        <v>2.61145350204575</v>
      </c>
      <c r="K368" s="74">
        <f>IF('Settings'!$E$18="C/LW/RW",VLOOKUP(B368,'RW'!A1:F136,6,FALSE),VLOOKUP(B368,'F'!A1:F392,6,FALSE))</f>
        <v>-118.111931345431</v>
      </c>
      <c r="L368" s="76">
        <f>_xlfn.IFERROR(K368/H368,"N/A")</f>
        <v>-24.8656697569328</v>
      </c>
      <c r="M368" s="109">
        <f>IF('Settings'!$E$9="YAHOO",VLOOKUP(B368,'ADP'!A1:E665,2,FALSE),IF('Settings'!$E$9="ESPN",VLOOKUP(B368,'ADP'!A1:E665,3,FALSE),IF('Settings'!$E$9="FANTRAX",VLOOKUP(B368,'ADP'!A1:E665,4,FALSE),VLOOKUP(B368,'ADP'!A1:E665,5,FALSE))))</f>
        <v>0</v>
      </c>
      <c r="N368" s="79">
        <f>_xlfn.IFERROR(M368-A368,"N/A")</f>
        <v>-369</v>
      </c>
      <c r="O368" s="77"/>
      <c r="P368" t="s" s="78">
        <f>IF('Settings'!$E$27="ON",VLOOKUP(B368,'ADP'!A1:H665,8,FALSE)," ")</f>
        <v>138</v>
      </c>
      <c r="Q368" s="79">
        <f>IF('Settings'!$E$12="YES",VLOOKUP(B368,'Player Data'!A1:E667,5,FALSE),82)</f>
        <v>81.02</v>
      </c>
      <c r="R368" s="77">
        <f>VLOOKUP(B368,'Player Data'!$A1:$AE667,6,FALSE)</f>
        <v>17.2303646259669</v>
      </c>
      <c r="S368" s="79">
        <f>VLOOKUP(B368,'Player Data'!$A1:$AE667,7,FALSE)*$Q368*_xlfn.IFERROR((VLOOKUP(P368,'Settings'!$E$28:$F$33,2,FALSE)+1),1)</f>
        <v>17.7975050564959</v>
      </c>
      <c r="T368" s="79">
        <f>VLOOKUP(B368,'Player Data'!$A1:$AE667,8,FALSE)*$Q368*_xlfn.IFERROR((VLOOKUP(P368,'Settings'!$E$28:$F$33,2,FALSE)+1),1)</f>
        <v>31.3495440185426</v>
      </c>
      <c r="U368" s="79">
        <f>SUM(S368:T368)</f>
        <v>49.1470490750385</v>
      </c>
      <c r="V368" s="79">
        <f>VLOOKUP(B368,'Player Data'!$A1:$AE667,10,FALSE)*$Q368*_xlfn.IFERROR(((VLOOKUP(P368,'Settings'!$E$28:$F$33,2,FALSE)/2)+1),1)</f>
        <v>171.876126206872</v>
      </c>
      <c r="W368" s="79">
        <f>VLOOKUP(B368,'Player Data'!$A1:$AE667,11,FALSE)*$Q368*_xlfn.IFERROR((VLOOKUP(P368,'Settings'!$E$28:$F$33,2,FALSE)+1),1)</f>
        <v>4.09400659865845</v>
      </c>
      <c r="X368" s="101">
        <f>VLOOKUP(B368,'Player Data'!$A1:$AE667,12,FALSE)*$Q368*_xlfn.IFERROR((VLOOKUP(P368,'Settings'!$E$28:$F$33,2,FALSE)+1),1)</f>
        <v>10.3739142467878</v>
      </c>
      <c r="Y368" s="79">
        <f>VLOOKUP(B368,'Player Data'!$A1:$AE667,13,FALSE)*$Q368</f>
        <v>0.009415925663900799</v>
      </c>
      <c r="Z368" s="79">
        <f>VLOOKUP(B368,'Player Data'!$A1:$AE667,14,FALSE)*$Q368</f>
        <v>0.0163870325047444</v>
      </c>
      <c r="AA368" s="79">
        <f>VLOOKUP(B368,'Player Data'!$A1:$AE667,15,FALSE)*$Q368</f>
        <v>26.9535136832817</v>
      </c>
      <c r="AB368" s="79">
        <f>VLOOKUP(B368,'Player Data'!$A1:$AE667,16,FALSE)*$Q368</f>
        <v>39.4692348084066</v>
      </c>
      <c r="AC368" s="79">
        <f>VLOOKUP(B368,'Player Data'!$A1:$AE667,17,FALSE)*$Q368*_xlfn.IFERROR((VLOOKUP(P368,'Settings'!$E$28:$F$33,2,FALSE)+1),1)</f>
        <v>1.35723652778031</v>
      </c>
      <c r="AD368" s="79">
        <f>VLOOKUP(B368,'Player Data'!$A1:$AE667,18,FALSE)*$Q368</f>
        <v>24.9668794265963</v>
      </c>
      <c r="AE368" s="79">
        <f>VLOOKUP(B368,'Player Data'!$A1:$AE667,19,FALSE)*$Q368*_xlfn.IFERROR((VLOOKUP(P368,'Settings'!$E$28:$F$33,2,FALSE)+1),1)</f>
        <v>2.70250968979625</v>
      </c>
      <c r="AF368" s="79">
        <f>VLOOKUP(B368,'Player Data'!$A1:$AE667,20,FALSE)*$Q368</f>
        <v>26.7838158214328</v>
      </c>
      <c r="AG368" s="79">
        <f>VLOOKUP(B368,'Player Data'!$A1:$AE667,21,FALSE)*$Q368</f>
        <v>40.3125745319967</v>
      </c>
      <c r="AH368" s="81">
        <f>VLOOKUP(B368,'Player Data'!$A1:$AE667,22,FALSE)</f>
        <v>0.399184154026012</v>
      </c>
      <c r="AI368" s="77"/>
      <c r="AJ368" s="79"/>
      <c r="AK368" s="79"/>
      <c r="AL368" s="79"/>
      <c r="AM368" s="79"/>
      <c r="AN368" s="79"/>
      <c r="AO368" s="79"/>
      <c r="AP368" s="79"/>
      <c r="AQ368" s="82"/>
      <c r="AR368" s="83"/>
      <c r="AS368" s="84"/>
    </row>
    <row r="369" ht="21.25" customHeight="1">
      <c r="A369" s="85">
        <f>RANK(K369,K$1:K$665)</f>
        <v>354</v>
      </c>
      <c r="B369" t="s" s="16">
        <v>559</v>
      </c>
      <c r="C369" t="s" s="69">
        <v>127</v>
      </c>
      <c r="D369" t="s" s="70">
        <f>VLOOKUP(B369,'Player Data'!A1:D667,4,FALSE)</f>
        <v>153</v>
      </c>
      <c r="E369" s="95">
        <f>VLOOKUP(B369,'D'!A1:C213,3,FALSE)</f>
        <v>118</v>
      </c>
      <c r="F369" t="s" s="86">
        <f>VLOOKUP(B369,'Player Data'!A1:B667,2,FALSE)</f>
        <v>154</v>
      </c>
      <c r="G369" s="96">
        <f>VLOOKUP(B369,'Player Data'!A1:D667,3,FALSE)</f>
        <v>24</v>
      </c>
      <c r="H369" s="73">
        <f>_xlfn.IFERROR(VLOOKUP(B369,'ADP'!A1:G665,7,FALSE)/1000000,VLOOKUP(B369,'ADP'!A1:G665,7,FALSE))</f>
        <v>4.285714</v>
      </c>
      <c r="I369" s="74">
        <f>IF('Settings'!$E$15="POINTS",((R369*Q369)*'Settings'!$B$12)+(S369*'Settings'!$B$2)+(T369*'Settings'!$B$3)+(U369*'Settings'!$B$4)+(V369*'Settings'!$B$5)+(X369*'Settings'!$B$9)+(AA369*'Settings'!$B$6)+(W369*'Settings'!$B$8)+(AB369*'Settings'!$B$7)+(AC369*'Settings'!$B$14)+(AD369*'Settings'!$B$15)+(AE369*'Settings'!$B$16)+(AF369*'Settings'!$B$17)+(AG369*'Settings'!$B$18)+(U369*'Settings'!$B$13)+(Y369*'Settings'!$B$10)+(Z369*'Settings'!$B$11),VLOOKUP(B369,'Standard Deviations'!A1:C666,3,FALSE))</f>
        <v>218.322694193426</v>
      </c>
      <c r="J369" s="75">
        <f>IF(D369="G",I369/AJ369,I369/Q369)</f>
        <v>3.25660343367282</v>
      </c>
      <c r="K369" s="74">
        <f>VLOOKUP(B369,'D'!A1:F213,6,FALSE)</f>
        <v>-113.217513726656</v>
      </c>
      <c r="L369" s="76">
        <f>_xlfn.IFERROR(K369/H369,"N/A")</f>
        <v>-26.4174216307145</v>
      </c>
      <c r="M369" s="109">
        <f>IF('Settings'!$E$9="YAHOO",VLOOKUP(B369,'ADP'!A1:E665,2,FALSE),IF('Settings'!$E$9="ESPN",VLOOKUP(B369,'ADP'!A1:E665,3,FALSE),IF('Settings'!$E$9="FANTRAX",VLOOKUP(B369,'ADP'!A1:E665,4,FALSE),VLOOKUP(B369,'ADP'!A1:E665,5,FALSE))))</f>
        <v>0</v>
      </c>
      <c r="N369" s="79">
        <f>_xlfn.IFERROR(M369-A369,"N/A")</f>
        <v>-354</v>
      </c>
      <c r="O369" s="77"/>
      <c r="P369" t="s" s="78">
        <f>IF('Settings'!$E$27="ON",VLOOKUP(B369,'ADP'!A1:H665,8,FALSE)," ")</f>
        <v>138</v>
      </c>
      <c r="Q369" s="79">
        <f>IF('Settings'!$E$12="YES",VLOOKUP(B369,'Player Data'!A1:E667,5,FALSE),82)</f>
        <v>67.04000000000001</v>
      </c>
      <c r="R369" s="77">
        <f>VLOOKUP(B369,'Player Data'!$A1:$AE667,6,FALSE)</f>
        <v>20.388482657757</v>
      </c>
      <c r="S369" s="79">
        <f>VLOOKUP(B369,'Player Data'!$A1:$AE667,7,FALSE)*$Q369*_xlfn.IFERROR((VLOOKUP(P369,'Settings'!$E$28:$F$33,2,FALSE)+1),1)</f>
        <v>2.44570449187827</v>
      </c>
      <c r="T369" s="79">
        <f>VLOOKUP(B369,'Player Data'!$A1:$AE667,8,FALSE)*$Q369*_xlfn.IFERROR((VLOOKUP(P369,'Settings'!$E$28:$F$33,2,FALSE)+1),1)</f>
        <v>12.5759215338383</v>
      </c>
      <c r="U369" s="79">
        <f>SUM(S369:T369)</f>
        <v>15.0216260257166</v>
      </c>
      <c r="V369" s="79">
        <f>VLOOKUP(B369,'Player Data'!$A1:$AE667,10,FALSE)*$Q369*_xlfn.IFERROR(((VLOOKUP(P369,'Settings'!$E$28:$F$33,2,FALSE)/2)+1),1)</f>
        <v>80.6528378609317</v>
      </c>
      <c r="W369" s="79">
        <f>VLOOKUP(B369,'Player Data'!$A1:$AE667,11,FALSE)*$Q369*_xlfn.IFERROR((VLOOKUP(P369,'Settings'!$E$28:$F$33,2,FALSE)+1),1)</f>
        <v>0.0185363567336761</v>
      </c>
      <c r="X369" s="79">
        <f>VLOOKUP(B369,'Player Data'!$A1:$AE667,12,FALSE)*$Q369*_xlfn.IFERROR((VLOOKUP(P369,'Settings'!$E$28:$F$33,2,FALSE)+1),1)</f>
        <v>0.116468744402401</v>
      </c>
      <c r="Y369" s="79">
        <f>VLOOKUP(B369,'Player Data'!$A1:$AE667,13,FALSE)*$Q369</f>
        <v>0.0393833410965381</v>
      </c>
      <c r="Z369" s="79">
        <f>VLOOKUP(B369,'Player Data'!$A1:$AE667,14,FALSE)*$Q369</f>
        <v>0.525794309483112</v>
      </c>
      <c r="AA369" s="79">
        <f>VLOOKUP(B369,'Player Data'!$A1:$AE667,15,FALSE)*$Q369</f>
        <v>123.407997781562</v>
      </c>
      <c r="AB369" s="79">
        <f>VLOOKUP(B369,'Player Data'!$A1:$AE667,16,FALSE)*$Q369</f>
        <v>135.129183428381</v>
      </c>
      <c r="AC369" s="79">
        <f>VLOOKUP(B369,'Player Data'!$A1:$AE667,17,FALSE)*$Q369*_xlfn.IFERROR((VLOOKUP(P369,'Settings'!$E$28:$F$33,2,FALSE)+1),1)</f>
        <v>-0.396074541341172</v>
      </c>
      <c r="AD369" s="79">
        <f>VLOOKUP(B369,'Player Data'!$A1:$AE667,18,FALSE)*$Q369</f>
        <v>31.5638883721677</v>
      </c>
      <c r="AE369" s="79">
        <f>VLOOKUP(B369,'Player Data'!$A1:$AE667,19,FALSE)*$Q369*_xlfn.IFERROR((VLOOKUP(P369,'Settings'!$E$28:$F$33,2,FALSE)+1),1)</f>
        <v>0.345958194914781</v>
      </c>
      <c r="AF369" s="79">
        <f>VLOOKUP(B369,'Player Data'!$A1:$AE667,20,FALSE)*$Q369</f>
        <v>0</v>
      </c>
      <c r="AG369" s="79">
        <f>VLOOKUP(B369,'Player Data'!$A1:$AE667,21,FALSE)*$Q369</f>
        <v>0</v>
      </c>
      <c r="AH369" s="81">
        <f>VLOOKUP(B369,'Player Data'!$A1:$AE667,22,FALSE)</f>
        <v>0</v>
      </c>
      <c r="AI369" s="77"/>
      <c r="AJ369" s="79"/>
      <c r="AK369" s="79"/>
      <c r="AL369" s="79"/>
      <c r="AM369" s="79"/>
      <c r="AN369" s="79"/>
      <c r="AO369" s="79"/>
      <c r="AP369" s="79"/>
      <c r="AQ369" s="82"/>
      <c r="AR369" s="83"/>
      <c r="AS369" s="84"/>
    </row>
    <row r="370" ht="21.25" customHeight="1">
      <c r="A370" s="85">
        <f>RANK(K370,K$1:K$665)</f>
        <v>355</v>
      </c>
      <c r="B370" t="s" s="16">
        <v>560</v>
      </c>
      <c r="C370" t="s" s="69">
        <v>127</v>
      </c>
      <c r="D370" t="s" s="70">
        <f>VLOOKUP(B370,'Player Data'!A1:D667,4,FALSE)</f>
        <v>153</v>
      </c>
      <c r="E370" s="95">
        <f>VLOOKUP(B370,'D'!A1:C213,3,FALSE)</f>
        <v>119</v>
      </c>
      <c r="F370" t="s" s="86">
        <f>VLOOKUP(B370,'Player Data'!A1:B667,2,FALSE)</f>
        <v>129</v>
      </c>
      <c r="G370" s="96">
        <f>VLOOKUP(B370,'Player Data'!A1:D667,3,FALSE)</f>
        <v>24</v>
      </c>
      <c r="H370" s="94">
        <f>_xlfn.IFERROR(VLOOKUP(B370,'ADP'!A1:G665,7,FALSE)/1000000,VLOOKUP(B370,'ADP'!A1:G665,7,FALSE))</f>
        <v>0.95</v>
      </c>
      <c r="I370" s="74">
        <f>IF('Settings'!$E$15="POINTS",((R370*Q370)*'Settings'!$B$12)+(S370*'Settings'!$B$2)+(T370*'Settings'!$B$3)+(U370*'Settings'!$B$4)+(V370*'Settings'!$B$5)+(X370*'Settings'!$B$9)+(AA370*'Settings'!$B$6)+(W370*'Settings'!$B$8)+(AB370*'Settings'!$B$7)+(AC370*'Settings'!$B$14)+(AD370*'Settings'!$B$15)+(AE370*'Settings'!$B$16)+(AF370*'Settings'!$B$17)+(AG370*'Settings'!$B$18)+(U370*'Settings'!$B$13)+(Y370*'Settings'!$B$10)+(Z370*'Settings'!$B$11),VLOOKUP(B370,'Standard Deviations'!A1:C666,3,FALSE))</f>
        <v>218.135904381226</v>
      </c>
      <c r="J370" s="75">
        <f>IF(D370="G",I370/AJ370,I370/Q370)</f>
        <v>3.51053557644299</v>
      </c>
      <c r="K370" s="74">
        <f>VLOOKUP(B370,'D'!A1:F213,6,FALSE)</f>
        <v>-113.404303538856</v>
      </c>
      <c r="L370" s="76">
        <f>_xlfn.IFERROR(K370/H370,"N/A")</f>
        <v>-119.372951093533</v>
      </c>
      <c r="M370" s="109">
        <f>IF('Settings'!$E$9="YAHOO",VLOOKUP(B370,'ADP'!A1:E665,2,FALSE),IF('Settings'!$E$9="ESPN",VLOOKUP(B370,'ADP'!A1:E665,3,FALSE),IF('Settings'!$E$9="FANTRAX",VLOOKUP(B370,'ADP'!A1:E665,4,FALSE),VLOOKUP(B370,'ADP'!A1:E665,5,FALSE))))</f>
        <v>0</v>
      </c>
      <c r="N370" s="79">
        <f>_xlfn.IFERROR(M370-A370,"N/A")</f>
        <v>-355</v>
      </c>
      <c r="O370" s="77"/>
      <c r="P370" t="s" s="78">
        <f>IF('Settings'!$E$27="ON",VLOOKUP(B370,'ADP'!A1:H665,8,FALSE)," ")</f>
        <v>138</v>
      </c>
      <c r="Q370" s="79">
        <f>IF('Settings'!$E$12="YES",VLOOKUP(B370,'Player Data'!A1:E667,5,FALSE),82)</f>
        <v>62.1375</v>
      </c>
      <c r="R370" s="98">
        <f>VLOOKUP(B370,'Player Data'!$A1:$AE667,6,FALSE)</f>
        <v>19.7640101797219</v>
      </c>
      <c r="S370" s="79">
        <f>VLOOKUP(B370,'Player Data'!$A1:$AE667,7,FALSE)*$Q370*_xlfn.IFERROR((VLOOKUP(P370,'Settings'!$E$28:$F$33,2,FALSE)+1),1)</f>
        <v>3.52440826791966</v>
      </c>
      <c r="T370" s="79">
        <f>VLOOKUP(B370,'Player Data'!$A1:$AE667,8,FALSE)*$Q370*_xlfn.IFERROR((VLOOKUP(P370,'Settings'!$E$28:$F$33,2,FALSE)+1),1)</f>
        <v>17.3435775286991</v>
      </c>
      <c r="U370" s="79">
        <f>SUM(S370:T370)</f>
        <v>20.8679857966188</v>
      </c>
      <c r="V370" s="79">
        <f>VLOOKUP(B370,'Player Data'!$A1:$AE667,10,FALSE)*$Q370*_xlfn.IFERROR(((VLOOKUP(P370,'Settings'!$E$28:$F$33,2,FALSE)/2)+1),1)</f>
        <v>76.19444317076329</v>
      </c>
      <c r="W370" s="79">
        <f>VLOOKUP(B370,'Player Data'!$A1:$AE667,11,FALSE)*$Q370*_xlfn.IFERROR((VLOOKUP(P370,'Settings'!$E$28:$F$33,2,FALSE)+1),1)</f>
        <v>0.0796645597823999</v>
      </c>
      <c r="X370" s="79">
        <f>VLOOKUP(B370,'Player Data'!$A1:$AE667,12,FALSE)*$Q370*_xlfn.IFERROR((VLOOKUP(P370,'Settings'!$E$28:$F$33,2,FALSE)+1),1)</f>
        <v>0.737804250765725</v>
      </c>
      <c r="Y370" s="79">
        <f>VLOOKUP(B370,'Player Data'!$A1:$AE667,13,FALSE)*$Q370</f>
        <v>0.0502443502234497</v>
      </c>
      <c r="Z370" s="79">
        <f>VLOOKUP(B370,'Player Data'!$A1:$AE667,14,FALSE)*$Q370</f>
        <v>0.244389920311044</v>
      </c>
      <c r="AA370" s="79">
        <f>VLOOKUP(B370,'Player Data'!$A1:$AE667,15,FALSE)*$Q370</f>
        <v>101.682719270632</v>
      </c>
      <c r="AB370" s="79">
        <f>VLOOKUP(B370,'Player Data'!$A1:$AE667,16,FALSE)*$Q370</f>
        <v>140.031167620876</v>
      </c>
      <c r="AC370" s="79">
        <f>VLOOKUP(B370,'Player Data'!$A1:$AE667,17,FALSE)*$Q370*_xlfn.IFERROR((VLOOKUP(P370,'Settings'!$E$28:$F$33,2,FALSE)+1),1)</f>
        <v>-6.20324140698534</v>
      </c>
      <c r="AD370" s="79">
        <f>VLOOKUP(B370,'Player Data'!$A1:$AE667,18,FALSE)*$Q370</f>
        <v>22.9060387233867</v>
      </c>
      <c r="AE370" s="79">
        <f>VLOOKUP(B370,'Player Data'!$A1:$AE667,19,FALSE)*$Q370*_xlfn.IFERROR((VLOOKUP(P370,'Settings'!$E$28:$F$33,2,FALSE)+1),1)</f>
        <v>0.569104380192848</v>
      </c>
      <c r="AF370" s="79">
        <f>VLOOKUP(B370,'Player Data'!$A1:$AE667,20,FALSE)*$Q370</f>
        <v>0</v>
      </c>
      <c r="AG370" s="79">
        <f>VLOOKUP(B370,'Player Data'!$A1:$AE667,21,FALSE)*$Q370</f>
        <v>0</v>
      </c>
      <c r="AH370" s="81">
        <f>VLOOKUP(B370,'Player Data'!$A1:$AE667,22,FALSE)</f>
        <v>0</v>
      </c>
      <c r="AI370" s="77"/>
      <c r="AJ370" s="79"/>
      <c r="AK370" s="79"/>
      <c r="AL370" s="79"/>
      <c r="AM370" s="79"/>
      <c r="AN370" s="79"/>
      <c r="AO370" s="79"/>
      <c r="AP370" s="79"/>
      <c r="AQ370" s="82"/>
      <c r="AR370" s="83"/>
      <c r="AS370" s="84"/>
    </row>
    <row r="371" ht="21.25" customHeight="1">
      <c r="A371" s="85">
        <f>RANK(K371,K$1:K$665)</f>
        <v>357</v>
      </c>
      <c r="B371" t="s" s="16">
        <v>561</v>
      </c>
      <c r="C371" t="s" s="69">
        <v>127</v>
      </c>
      <c r="D371" t="s" s="70">
        <f>VLOOKUP(B371,'Player Data'!A1:D667,4,FALSE)</f>
        <v>153</v>
      </c>
      <c r="E371" s="95">
        <f>VLOOKUP(B371,'D'!A1:C213,3,FALSE)</f>
        <v>120</v>
      </c>
      <c r="F371" t="s" s="106">
        <f>VLOOKUP(B371,'Player Data'!A1:B667,2,FALSE)</f>
        <v>242</v>
      </c>
      <c r="G371" s="11">
        <f>VLOOKUP(B371,'Player Data'!A1:D667,3,FALSE)</f>
        <v>29</v>
      </c>
      <c r="H371" s="73">
        <f>_xlfn.IFERROR(VLOOKUP(B371,'ADP'!A1:G665,7,FALSE)/1000000,VLOOKUP(B371,'ADP'!A1:G665,7,FALSE))</f>
        <v>5.1</v>
      </c>
      <c r="I371" s="74">
        <f>IF('Settings'!$E$15="POINTS",((R371*Q371)*'Settings'!$B$12)+(S371*'Settings'!$B$2)+(T371*'Settings'!$B$3)+(U371*'Settings'!$B$4)+(V371*'Settings'!$B$5)+(X371*'Settings'!$B$9)+(AA371*'Settings'!$B$6)+(W371*'Settings'!$B$8)+(AB371*'Settings'!$B$7)+(AC371*'Settings'!$B$14)+(AD371*'Settings'!$B$15)+(AE371*'Settings'!$B$16)+(AF371*'Settings'!$B$17)+(AG371*'Settings'!$B$18)+(U371*'Settings'!$B$13)+(Y371*'Settings'!$B$10)+(Z371*'Settings'!$B$11),VLOOKUP(B371,'Standard Deviations'!A1:C666,3,FALSE))</f>
        <v>218.062213764006</v>
      </c>
      <c r="J371" s="75">
        <f>IF(D371="G",I371/AJ371,I371/Q371)</f>
        <v>3.10287380404832</v>
      </c>
      <c r="K371" s="74">
        <f>VLOOKUP(B371,'D'!A1:F213,6,FALSE)</f>
        <v>-113.477994156076</v>
      </c>
      <c r="L371" s="76">
        <f>_xlfn.IFERROR(K371/H371,"N/A")</f>
        <v>-22.2505870894267</v>
      </c>
      <c r="M371" s="109">
        <f>IF('Settings'!$E$9="YAHOO",VLOOKUP(B371,'ADP'!A1:E665,2,FALSE),IF('Settings'!$E$9="ESPN",VLOOKUP(B371,'ADP'!A1:E665,3,FALSE),IF('Settings'!$E$9="FANTRAX",VLOOKUP(B371,'ADP'!A1:E665,4,FALSE),VLOOKUP(B371,'ADP'!A1:E665,5,FALSE))))</f>
        <v>0</v>
      </c>
      <c r="N371" s="79">
        <f>_xlfn.IFERROR(M371-A371,"N/A")</f>
        <v>-357</v>
      </c>
      <c r="O371" s="77"/>
      <c r="P371" t="s" s="78">
        <f>IF('Settings'!$E$27="ON",VLOOKUP(B371,'ADP'!A1:H665,8,FALSE)," ")</f>
        <v>138</v>
      </c>
      <c r="Q371" s="79">
        <f>IF('Settings'!$E$12="YES",VLOOKUP(B371,'Player Data'!A1:E667,5,FALSE),82)</f>
        <v>70.2775</v>
      </c>
      <c r="R371" s="98">
        <f>VLOOKUP(B371,'Player Data'!$A1:$AE667,6,FALSE)</f>
        <v>18.2634041921264</v>
      </c>
      <c r="S371" s="79">
        <f>VLOOKUP(B371,'Player Data'!$A1:$AE667,7,FALSE)*$Q371*_xlfn.IFERROR((VLOOKUP(P371,'Settings'!$E$28:$F$33,2,FALSE)+1),1)</f>
        <v>2.20836224334276</v>
      </c>
      <c r="T371" s="79">
        <f>VLOOKUP(B371,'Player Data'!$A1:$AE667,8,FALSE)*$Q371*_xlfn.IFERROR((VLOOKUP(P371,'Settings'!$E$28:$F$33,2,FALSE)+1),1)</f>
        <v>12.0235819885958</v>
      </c>
      <c r="U371" s="79">
        <f>SUM(S371:T371)</f>
        <v>14.2319442319386</v>
      </c>
      <c r="V371" s="79">
        <f>VLOOKUP(B371,'Player Data'!$A1:$AE667,10,FALSE)*$Q371*_xlfn.IFERROR(((VLOOKUP(P371,'Settings'!$E$28:$F$33,2,FALSE)/2)+1),1)</f>
        <v>87.23408414850191</v>
      </c>
      <c r="W371" s="79">
        <f>VLOOKUP(B371,'Player Data'!$A1:$AE667,11,FALSE)*$Q371*_xlfn.IFERROR((VLOOKUP(P371,'Settings'!$E$28:$F$33,2,FALSE)+1),1)</f>
        <v>0.125585616707092</v>
      </c>
      <c r="X371" s="79">
        <f>VLOOKUP(B371,'Player Data'!$A1:$AE667,12,FALSE)*$Q371*_xlfn.IFERROR((VLOOKUP(P371,'Settings'!$E$28:$F$33,2,FALSE)+1),1)</f>
        <v>0.793841450918239</v>
      </c>
      <c r="Y371" s="79">
        <f>VLOOKUP(B371,'Player Data'!$A1:$AE667,13,FALSE)*$Q371</f>
        <v>0.307864015849113</v>
      </c>
      <c r="Z371" s="79">
        <f>VLOOKUP(B371,'Player Data'!$A1:$AE667,14,FALSE)*$Q371</f>
        <v>1.03326189278493</v>
      </c>
      <c r="AA371" s="79">
        <f>VLOOKUP(B371,'Player Data'!$A1:$AE667,15,FALSE)*$Q371</f>
        <v>118.204955600587</v>
      </c>
      <c r="AB371" s="79">
        <f>VLOOKUP(B371,'Player Data'!$A1:$AE667,16,FALSE)*$Q371</f>
        <v>138.731052456169</v>
      </c>
      <c r="AC371" s="79">
        <f>VLOOKUP(B371,'Player Data'!$A1:$AE667,17,FALSE)*$Q371*_xlfn.IFERROR((VLOOKUP(P371,'Settings'!$E$28:$F$33,2,FALSE)+1),1)</f>
        <v>-2.23664043213847</v>
      </c>
      <c r="AD371" s="79">
        <f>VLOOKUP(B371,'Player Data'!$A1:$AE667,18,FALSE)*$Q371</f>
        <v>29.6612090351472</v>
      </c>
      <c r="AE371" s="79">
        <f>VLOOKUP(B371,'Player Data'!$A1:$AE667,19,FALSE)*$Q371*_xlfn.IFERROR((VLOOKUP(P371,'Settings'!$E$28:$F$33,2,FALSE)+1),1)</f>
        <v>0.320101062629374</v>
      </c>
      <c r="AF371" s="79">
        <f>VLOOKUP(B371,'Player Data'!$A1:$AE667,20,FALSE)*$Q371</f>
        <v>0</v>
      </c>
      <c r="AG371" s="79">
        <f>VLOOKUP(B371,'Player Data'!$A1:$AE667,21,FALSE)*$Q371</f>
        <v>0</v>
      </c>
      <c r="AH371" s="81">
        <f>VLOOKUP(B371,'Player Data'!$A1:$AE667,22,FALSE)</f>
        <v>0</v>
      </c>
      <c r="AI371" s="77"/>
      <c r="AJ371" s="89"/>
      <c r="AK371" s="79"/>
      <c r="AL371" s="79"/>
      <c r="AM371" s="79"/>
      <c r="AN371" s="79"/>
      <c r="AO371" s="79"/>
      <c r="AP371" s="79"/>
      <c r="AQ371" s="82"/>
      <c r="AR371" s="83"/>
      <c r="AS371" s="84"/>
    </row>
    <row r="372" ht="21.25" customHeight="1">
      <c r="A372" s="85">
        <f>RANK(K372,K$1:K$665)</f>
        <v>392</v>
      </c>
      <c r="B372" t="s" s="16">
        <v>562</v>
      </c>
      <c r="C372" t="s" s="69">
        <v>127</v>
      </c>
      <c r="D372" t="s" s="70">
        <f>VLOOKUP(B372,'Player Data'!A1:D667,4,FALSE)</f>
        <v>128</v>
      </c>
      <c r="E372" s="71">
        <f>VLOOKUP(B372,'C'!A1:C206,3,FALSE)</f>
        <v>117</v>
      </c>
      <c r="F372" t="s" s="78">
        <f>VLOOKUP(B372,'Player Data'!A1:B667,2,FALSE)</f>
        <v>194</v>
      </c>
      <c r="G372" s="11">
        <f>VLOOKUP(B372,'Player Data'!A1:D667,3,FALSE)</f>
        <v>29</v>
      </c>
      <c r="H372" s="94">
        <f>_xlfn.IFERROR(VLOOKUP(B372,'ADP'!A1:G665,7,FALSE)/1000000,VLOOKUP(B372,'ADP'!A1:G665,7,FALSE))</f>
        <v>1</v>
      </c>
      <c r="I372" s="74">
        <f>IF('Settings'!$E$15="POINTS",((R372*Q372)*'Settings'!$B$12)+(S372*'Settings'!$B$2)+(T372*'Settings'!$B$3)+(U372*'Settings'!$B$4)+(V372*'Settings'!$B$5)+(X372*'Settings'!$B$9)+(AA372*'Settings'!$B$6)+(W372*'Settings'!$B$8)+(AB372*'Settings'!$B$7)+(AC372*'Settings'!$B$14)+(AD372*'Settings'!$B$15)+(AE372*'Settings'!$B$16)+(AF372*'Settings'!$B$17)+(AG372*'Settings'!$B$18)+(Y372*'Settings'!$B$10)+(Z372*'Settings'!$B$11),VLOOKUP(B372,'Standard Deviations'!A1:C666,3,FALSE))</f>
        <v>205.723477083097</v>
      </c>
      <c r="J372" s="75">
        <f>IF(D372="G",I372/AJ372,I372/Q372)</f>
        <v>2.76733221795934</v>
      </c>
      <c r="K372" s="74">
        <f>IF('Settings'!$E$18="C/LW/RW",VLOOKUP(B372,'C'!A1:F206,6,FALSE),VLOOKUP(B372,'F'!A1:F392,6,FALSE))</f>
        <v>-123.968416998081</v>
      </c>
      <c r="L372" s="76">
        <f>_xlfn.IFERROR(K372/H372,"N/A")</f>
        <v>-123.968416998081</v>
      </c>
      <c r="M372" s="109">
        <f>IF('Settings'!$E$9="YAHOO",VLOOKUP(B372,'ADP'!A1:E665,2,FALSE),IF('Settings'!$E$9="ESPN",VLOOKUP(B372,'ADP'!A1:E665,3,FALSE),IF('Settings'!$E$9="FANTRAX",VLOOKUP(B372,'ADP'!A1:E665,4,FALSE),VLOOKUP(B372,'ADP'!A1:E665,5,FALSE))))</f>
        <v>0</v>
      </c>
      <c r="N372" s="79">
        <f>_xlfn.IFERROR(M372-A372,"N/A")</f>
        <v>-392</v>
      </c>
      <c r="O372" s="77"/>
      <c r="P372" t="s" s="78">
        <f>IF('Settings'!$E$27="ON",VLOOKUP(B372,'ADP'!A1:H665,8,FALSE)," ")</f>
        <v>138</v>
      </c>
      <c r="Q372" s="79">
        <f>IF('Settings'!$E$12="YES",VLOOKUP(B372,'Player Data'!A1:E667,5,FALSE),82)</f>
        <v>74.34</v>
      </c>
      <c r="R372" s="77">
        <f>VLOOKUP(B372,'Player Data'!$A1:$AE667,6,FALSE)</f>
        <v>11.8365700749332</v>
      </c>
      <c r="S372" s="79">
        <f>VLOOKUP(B372,'Player Data'!$A1:$AE667,7,FALSE)*$Q372*_xlfn.IFERROR((VLOOKUP(P372,'Settings'!$E$28:$F$33,2,FALSE)+1),1)</f>
        <v>6.40784404151504</v>
      </c>
      <c r="T372" s="79">
        <f>VLOOKUP(B372,'Player Data'!$A1:$AE667,8,FALSE)*$Q372*_xlfn.IFERROR((VLOOKUP(P372,'Settings'!$E$28:$F$33,2,FALSE)+1),1)</f>
        <v>11.6021371845889</v>
      </c>
      <c r="U372" s="79">
        <f>SUM(S372:T372)</f>
        <v>18.0099812261039</v>
      </c>
      <c r="V372" s="79">
        <f>VLOOKUP(B372,'Player Data'!$A1:$AE667,10,FALSE)*$Q372*_xlfn.IFERROR(((VLOOKUP(P372,'Settings'!$E$28:$F$33,2,FALSE)/2)+1),1)</f>
        <v>79.41108657458381</v>
      </c>
      <c r="W372" s="79">
        <f>VLOOKUP(B372,'Player Data'!$A1:$AE667,11,FALSE)*$Q372*_xlfn.IFERROR((VLOOKUP(P372,'Settings'!$E$28:$F$33,2,FALSE)+1),1)</f>
        <v>0.0639988658629172</v>
      </c>
      <c r="X372" s="79">
        <f>VLOOKUP(B372,'Player Data'!$A1:$AE667,12,FALSE)*$Q372*_xlfn.IFERROR((VLOOKUP(P372,'Settings'!$E$28:$F$33,2,FALSE)+1),1)</f>
        <v>0.152571903362163</v>
      </c>
      <c r="Y372" s="79">
        <f>VLOOKUP(B372,'Player Data'!$A1:$AE667,13,FALSE)*$Q372</f>
        <v>0.560060956760096</v>
      </c>
      <c r="Z372" s="79">
        <f>VLOOKUP(B372,'Player Data'!$A1:$AE667,14,FALSE)*$Q372</f>
        <v>0.821597878010577</v>
      </c>
      <c r="AA372" s="79">
        <f>VLOOKUP(B372,'Player Data'!$A1:$AE667,15,FALSE)*$Q372</f>
        <v>61.9515417754059</v>
      </c>
      <c r="AB372" s="79">
        <f>VLOOKUP(B372,'Player Data'!$A1:$AE667,16,FALSE)*$Q372</f>
        <v>171.412821829421</v>
      </c>
      <c r="AC372" s="79">
        <f>VLOOKUP(B372,'Player Data'!$A1:$AE667,17,FALSE)*$Q372*_xlfn.IFERROR((VLOOKUP(P372,'Settings'!$E$28:$F$33,2,FALSE)+1),1)</f>
        <v>2.21187157988065</v>
      </c>
      <c r="AD372" s="79">
        <f>VLOOKUP(B372,'Player Data'!$A1:$AE667,18,FALSE)*$Q372</f>
        <v>27.290568553911</v>
      </c>
      <c r="AE372" s="79">
        <f>VLOOKUP(B372,'Player Data'!$A1:$AE667,19,FALSE)*$Q372*_xlfn.IFERROR((VLOOKUP(P372,'Settings'!$E$28:$F$33,2,FALSE)+1),1)</f>
        <v>0.966791934983276</v>
      </c>
      <c r="AF372" s="79">
        <f>VLOOKUP(B372,'Player Data'!$A1:$AE667,20,FALSE)*$Q372</f>
        <v>177.564104885927</v>
      </c>
      <c r="AG372" s="79">
        <f>VLOOKUP(B372,'Player Data'!$A1:$AE667,21,FALSE)*$Q372</f>
        <v>181.392244194226</v>
      </c>
      <c r="AH372" s="81">
        <f>VLOOKUP(B372,'Player Data'!$A1:$AE667,22,FALSE)</f>
        <v>0.494667681295916</v>
      </c>
      <c r="AI372" s="77"/>
      <c r="AJ372" s="79"/>
      <c r="AK372" s="79"/>
      <c r="AL372" s="79"/>
      <c r="AM372" s="79"/>
      <c r="AN372" s="79"/>
      <c r="AO372" s="79"/>
      <c r="AP372" s="79"/>
      <c r="AQ372" s="82"/>
      <c r="AR372" s="83"/>
      <c r="AS372" s="84"/>
    </row>
    <row r="373" ht="21.25" customHeight="1">
      <c r="A373" s="85">
        <f>RANK(K373,K$1:K$665)</f>
        <v>393</v>
      </c>
      <c r="B373" t="s" s="16">
        <v>563</v>
      </c>
      <c r="C373" t="s" s="69">
        <v>127</v>
      </c>
      <c r="D373" t="s" s="70">
        <f>VLOOKUP(B373,'Player Data'!A1:D667,4,FALSE)</f>
        <v>128</v>
      </c>
      <c r="E373" s="71">
        <f>VLOOKUP(B373,'C'!A1:C206,3,FALSE)</f>
        <v>118</v>
      </c>
      <c r="F373" t="s" s="103">
        <f>VLOOKUP(B373,'Player Data'!A1:B667,2,FALSE)</f>
        <v>190</v>
      </c>
      <c r="G373" s="91">
        <f>VLOOKUP(B373,'Player Data'!A1:D667,3,FALSE)</f>
        <v>33</v>
      </c>
      <c r="H373" s="73">
        <f>_xlfn.IFERROR(VLOOKUP(B373,'ADP'!A1:G665,7,FALSE)/1000000,VLOOKUP(B373,'ADP'!A1:G665,7,FALSE))</f>
        <v>2.5</v>
      </c>
      <c r="I373" s="74">
        <f>IF('Settings'!$E$15="POINTS",((R373*Q373)*'Settings'!$B$12)+(S373*'Settings'!$B$2)+(T373*'Settings'!$B$3)+(U373*'Settings'!$B$4)+(V373*'Settings'!$B$5)+(X373*'Settings'!$B$9)+(AA373*'Settings'!$B$6)+(W373*'Settings'!$B$8)+(AB373*'Settings'!$B$7)+(AC373*'Settings'!$B$14)+(AD373*'Settings'!$B$15)+(AE373*'Settings'!$B$16)+(AF373*'Settings'!$B$17)+(AG373*'Settings'!$B$18)+(Y373*'Settings'!$B$10)+(Z373*'Settings'!$B$11),VLOOKUP(B373,'Standard Deviations'!A1:C666,3,FALSE))</f>
        <v>205.469509813345</v>
      </c>
      <c r="J373" s="75">
        <f>IF(D373="G",I373/AJ373,I373/Q373)</f>
        <v>2.60211505225069</v>
      </c>
      <c r="K373" s="74">
        <f>IF('Settings'!$E$18="C/LW/RW",VLOOKUP(B373,'C'!A1:F206,6,FALSE),VLOOKUP(B373,'F'!A1:F392,6,FALSE))</f>
        <v>-124.222384267833</v>
      </c>
      <c r="L373" s="76">
        <f>_xlfn.IFERROR(K373/H373,"N/A")</f>
        <v>-49.6889537071332</v>
      </c>
      <c r="M373" s="109">
        <f>IF('Settings'!$E$9="YAHOO",VLOOKUP(B373,'ADP'!A1:E665,2,FALSE),IF('Settings'!$E$9="ESPN",VLOOKUP(B373,'ADP'!A1:E665,3,FALSE),IF('Settings'!$E$9="FANTRAX",VLOOKUP(B373,'ADP'!A1:E665,4,FALSE),VLOOKUP(B373,'ADP'!A1:E665,5,FALSE))))</f>
        <v>0</v>
      </c>
      <c r="N373" s="79">
        <f>_xlfn.IFERROR(M373-A373,"N/A")</f>
        <v>-393</v>
      </c>
      <c r="O373" s="77"/>
      <c r="P373" t="s" s="78">
        <f>IF('Settings'!$E$27="ON",VLOOKUP(B373,'ADP'!A1:H665,8,FALSE)," ")</f>
        <v>138</v>
      </c>
      <c r="Q373" s="79">
        <f>IF('Settings'!$E$12="YES",VLOOKUP(B373,'Player Data'!A1:E667,5,FALSE),82)</f>
        <v>78.96250000000001</v>
      </c>
      <c r="R373" s="77">
        <f>VLOOKUP(B373,'Player Data'!$A1:$AE667,6,FALSE)</f>
        <v>13.5592056721047</v>
      </c>
      <c r="S373" s="79">
        <f>VLOOKUP(B373,'Player Data'!$A1:$AE667,7,FALSE)*$Q373*_xlfn.IFERROR((VLOOKUP(P373,'Settings'!$E$28:$F$33,2,FALSE)+1),1)</f>
        <v>7.64915369194225</v>
      </c>
      <c r="T373" s="79">
        <f>VLOOKUP(B373,'Player Data'!$A1:$AE667,8,FALSE)*$Q373*_xlfn.IFERROR((VLOOKUP(P373,'Settings'!$E$28:$F$33,2,FALSE)+1),1)</f>
        <v>11.5776631096124</v>
      </c>
      <c r="U373" s="79">
        <f>SUM(S373:T373)</f>
        <v>19.2268168015547</v>
      </c>
      <c r="V373" s="79">
        <f>VLOOKUP(B373,'Player Data'!$A1:$AE667,10,FALSE)*$Q373*_xlfn.IFERROR(((VLOOKUP(P373,'Settings'!$E$28:$F$33,2,FALSE)/2)+1),1)</f>
        <v>91.33901801497591</v>
      </c>
      <c r="W373" s="79">
        <f>VLOOKUP(B373,'Player Data'!$A1:$AE667,11,FALSE)*$Q373*_xlfn.IFERROR((VLOOKUP(P373,'Settings'!$E$28:$F$33,2,FALSE)+1),1)</f>
        <v>0.142055379695632</v>
      </c>
      <c r="X373" s="79">
        <f>VLOOKUP(B373,'Player Data'!$A1:$AE667,12,FALSE)*$Q373*_xlfn.IFERROR((VLOOKUP(P373,'Settings'!$E$28:$F$33,2,FALSE)+1),1)</f>
        <v>0.460570351237302</v>
      </c>
      <c r="Y373" s="79">
        <f>VLOOKUP(B373,'Player Data'!$A1:$AE667,13,FALSE)*$Q373</f>
        <v>0.745175745618829</v>
      </c>
      <c r="Z373" s="79">
        <f>VLOOKUP(B373,'Player Data'!$A1:$AE667,14,FALSE)*$Q373</f>
        <v>1.16033741288727</v>
      </c>
      <c r="AA373" s="79">
        <f>VLOOKUP(B373,'Player Data'!$A1:$AE667,15,FALSE)*$Q373</f>
        <v>67.6497386859764</v>
      </c>
      <c r="AB373" s="79">
        <f>VLOOKUP(B373,'Player Data'!$A1:$AE667,16,FALSE)*$Q373</f>
        <v>143.480292235158</v>
      </c>
      <c r="AC373" s="79">
        <f>VLOOKUP(B373,'Player Data'!$A1:$AE667,17,FALSE)*$Q373*_xlfn.IFERROR((VLOOKUP(P373,'Settings'!$E$28:$F$33,2,FALSE)+1),1)</f>
        <v>0.435680808777794</v>
      </c>
      <c r="AD373" s="79">
        <f>VLOOKUP(B373,'Player Data'!$A1:$AE667,18,FALSE)*$Q373</f>
        <v>34.522807331459</v>
      </c>
      <c r="AE373" s="79">
        <f>VLOOKUP(B373,'Player Data'!$A1:$AE667,19,FALSE)*$Q373*_xlfn.IFERROR((VLOOKUP(P373,'Settings'!$E$28:$F$33,2,FALSE)+1),1)</f>
        <v>1.2021328727727</v>
      </c>
      <c r="AF373" s="79">
        <f>VLOOKUP(B373,'Player Data'!$A1:$AE667,20,FALSE)*$Q373</f>
        <v>419.184100103966</v>
      </c>
      <c r="AG373" s="79">
        <f>VLOOKUP(B373,'Player Data'!$A1:$AE667,21,FALSE)*$Q373</f>
        <v>358.621872905378</v>
      </c>
      <c r="AH373" s="81">
        <f>VLOOKUP(B373,'Player Data'!$A1:$AE667,22,FALSE)</f>
        <v>0.538931449037523</v>
      </c>
      <c r="AI373" s="77"/>
      <c r="AJ373" s="79"/>
      <c r="AK373" s="79"/>
      <c r="AL373" s="79"/>
      <c r="AM373" s="79"/>
      <c r="AN373" s="79"/>
      <c r="AO373" s="79"/>
      <c r="AP373" s="79"/>
      <c r="AQ373" s="82"/>
      <c r="AR373" s="83"/>
      <c r="AS373" s="84"/>
    </row>
    <row r="374" ht="21.25" customHeight="1">
      <c r="A374" s="85">
        <f>RANK(K374,K$1:K$665)</f>
        <v>381</v>
      </c>
      <c r="B374" t="s" s="16">
        <v>564</v>
      </c>
      <c r="C374" t="s" s="69">
        <v>127</v>
      </c>
      <c r="D374" t="s" s="70">
        <f>VLOOKUP(B374,'Player Data'!A1:D667,4,FALSE)</f>
        <v>178</v>
      </c>
      <c r="E374" s="102">
        <f>VLOOKUP(B374,'LW'!A1:C152,3,FALSE)</f>
        <v>90</v>
      </c>
      <c r="F374" t="s" s="78">
        <f>VLOOKUP(B374,'Player Data'!A1:B667,2,FALSE)</f>
        <v>134</v>
      </c>
      <c r="G374" s="11">
        <f>VLOOKUP(B374,'Player Data'!A1:D667,3,FALSE)</f>
        <v>29</v>
      </c>
      <c r="H374" s="94">
        <f>_xlfn.IFERROR(VLOOKUP(B374,'ADP'!A1:G665,7,FALSE)/1000000,VLOOKUP(B374,'ADP'!A1:G665,7,FALSE))</f>
        <v>2.5</v>
      </c>
      <c r="I374" s="74">
        <f>IF('Settings'!$E$15="POINTS",((R374*Q374)*'Settings'!$B$12)+(S374*'Settings'!$B$2)+(T374*'Settings'!$B$3)+(U374*'Settings'!$B$4)+(V374*'Settings'!$B$5)+(X374*'Settings'!$B$9)+(AA374*'Settings'!$B$6)+(W374*'Settings'!$B$8)+(AB374*'Settings'!$B$7)+(AC374*'Settings'!$B$14)+(AD374*'Settings'!$B$15)+(AE374*'Settings'!$B$16)+(AF374*'Settings'!$B$17)+(AG374*'Settings'!$B$18)+(Y374*'Settings'!$B$10)+(Z374*'Settings'!$B$11),VLOOKUP(B374,'Standard Deviations'!A1:C666,3,FALSE))</f>
        <v>210.498990517587</v>
      </c>
      <c r="J374" s="75">
        <f>IF(D374="G",I374/AJ374,I374/Q374)</f>
        <v>2.8679313398629</v>
      </c>
      <c r="K374" s="74">
        <f>IF('Settings'!$E$18="C/LW/RW",VLOOKUP(B374,'LW'!A1:F152,6,FALSE),VLOOKUP(B374,'F'!A1:F392,6,FALSE))</f>
        <v>-121.221121248625</v>
      </c>
      <c r="L374" s="76">
        <f>_xlfn.IFERROR(K374/H374,"N/A")</f>
        <v>-48.488448499450</v>
      </c>
      <c r="M374" s="109">
        <f>IF('Settings'!$E$9="YAHOO",VLOOKUP(B374,'ADP'!A1:E665,2,FALSE),IF('Settings'!$E$9="ESPN",VLOOKUP(B374,'ADP'!A1:E665,3,FALSE),IF('Settings'!$E$9="FANTRAX",VLOOKUP(B374,'ADP'!A1:E665,4,FALSE),VLOOKUP(B374,'ADP'!A1:E665,5,FALSE))))</f>
        <v>0</v>
      </c>
      <c r="N374" s="79">
        <f>_xlfn.IFERROR(M374-A374,"N/A")</f>
        <v>-381</v>
      </c>
      <c r="O374" s="77"/>
      <c r="P374" t="s" s="78">
        <f>IF('Settings'!$E$27="ON",VLOOKUP(B374,'ADP'!A1:H665,8,FALSE)," ")</f>
        <v>130</v>
      </c>
      <c r="Q374" s="79">
        <f>IF('Settings'!$E$12="YES",VLOOKUP(B374,'Player Data'!A1:E667,5,FALSE),82)</f>
        <v>73.39749999999999</v>
      </c>
      <c r="R374" s="108">
        <f>VLOOKUP(B374,'Player Data'!$A1:$AE667,6,FALSE)</f>
        <v>17.0232648006024</v>
      </c>
      <c r="S374" s="79">
        <f>VLOOKUP(B374,'Player Data'!$A1:$AE667,7,FALSE)*$Q374*_xlfn.IFERROR((VLOOKUP(P374,'Settings'!$E$28:$F$33,2,FALSE)+1),1)</f>
        <v>15.4169152007393</v>
      </c>
      <c r="T374" s="79">
        <f>VLOOKUP(B374,'Player Data'!$A1:$AE667,8,FALSE)*$Q374*_xlfn.IFERROR((VLOOKUP(P374,'Settings'!$E$28:$F$33,2,FALSE)+1),1)</f>
        <v>37.1208279492484</v>
      </c>
      <c r="U374" s="79">
        <f>SUM(S374:T374)</f>
        <v>52.5377431499877</v>
      </c>
      <c r="V374" s="79">
        <f>VLOOKUP(B374,'Player Data'!$A1:$AE667,10,FALSE)*$Q374*_xlfn.IFERROR(((VLOOKUP(P374,'Settings'!$E$28:$F$33,2,FALSE)/2)+1),1)</f>
        <v>118.782165762895</v>
      </c>
      <c r="W374" s="79">
        <f>VLOOKUP(B374,'Player Data'!$A1:$AE667,11,FALSE)*$Q374*_xlfn.IFERROR((VLOOKUP(P374,'Settings'!$E$28:$F$33,2,FALSE)+1),1)</f>
        <v>3.70681824254088</v>
      </c>
      <c r="X374" s="80">
        <f>VLOOKUP(B374,'Player Data'!$A1:$AE667,12,FALSE)*$Q374*_xlfn.IFERROR((VLOOKUP(P374,'Settings'!$E$28:$F$33,2,FALSE)+1),1)</f>
        <v>16.5439170002344</v>
      </c>
      <c r="Y374" s="79">
        <f>VLOOKUP(B374,'Player Data'!$A1:$AE667,13,FALSE)*$Q374</f>
        <v>0.00292660204528989</v>
      </c>
      <c r="Z374" s="79">
        <f>VLOOKUP(B374,'Player Data'!$A1:$AE667,14,FALSE)*$Q374</f>
        <v>0.00506409380491112</v>
      </c>
      <c r="AA374" s="79">
        <f>VLOOKUP(B374,'Player Data'!$A1:$AE667,15,FALSE)*$Q374</f>
        <v>30.534284391326</v>
      </c>
      <c r="AB374" s="79">
        <f>VLOOKUP(B374,'Player Data'!$A1:$AE667,16,FALSE)*$Q374</f>
        <v>42.5777418906405</v>
      </c>
      <c r="AC374" s="79">
        <f>VLOOKUP(B374,'Player Data'!$A1:$AE667,17,FALSE)*$Q374*_xlfn.IFERROR((VLOOKUP(P374,'Settings'!$E$28:$F$33,2,FALSE)+1),1)</f>
        <v>0.9915956841469939</v>
      </c>
      <c r="AD374" s="79">
        <f>VLOOKUP(B374,'Player Data'!$A1:$AE667,18,FALSE)*$Q374</f>
        <v>28.4235237003523</v>
      </c>
      <c r="AE374" s="79">
        <f>VLOOKUP(B374,'Player Data'!$A1:$AE667,19,FALSE)*$Q374*_xlfn.IFERROR((VLOOKUP(P374,'Settings'!$E$28:$F$33,2,FALSE)+1),1)</f>
        <v>2.30345139256974</v>
      </c>
      <c r="AF374" s="79">
        <f>VLOOKUP(B374,'Player Data'!$A1:$AE667,20,FALSE)*$Q374</f>
        <v>62.4117310339456</v>
      </c>
      <c r="AG374" s="79">
        <f>VLOOKUP(B374,'Player Data'!$A1:$AE667,21,FALSE)*$Q374</f>
        <v>64.8388258733648</v>
      </c>
      <c r="AH374" s="81">
        <f>VLOOKUP(B374,'Player Data'!$A1:$AE667,22,FALSE)</f>
        <v>0.490463323311083</v>
      </c>
      <c r="AI374" s="77"/>
      <c r="AJ374" s="79"/>
      <c r="AK374" s="79"/>
      <c r="AL374" s="79"/>
      <c r="AM374" s="79"/>
      <c r="AN374" s="79"/>
      <c r="AO374" s="79"/>
      <c r="AP374" s="79"/>
      <c r="AQ374" s="82"/>
      <c r="AR374" s="83"/>
      <c r="AS374" s="84"/>
    </row>
    <row r="375" ht="21.25" customHeight="1">
      <c r="A375" s="85">
        <f>RANK(K375,K$1:K$665)</f>
        <v>361</v>
      </c>
      <c r="B375" t="s" s="16">
        <v>565</v>
      </c>
      <c r="C375" t="s" s="69">
        <v>127</v>
      </c>
      <c r="D375" t="s" s="70">
        <f>VLOOKUP(B375,'Player Data'!A1:D667,4,FALSE)</f>
        <v>153</v>
      </c>
      <c r="E375" s="95">
        <f>VLOOKUP(B375,'D'!A1:C213,3,FALSE)</f>
        <v>121</v>
      </c>
      <c r="F375" t="s" s="103">
        <f>VLOOKUP(B375,'Player Data'!A1:B667,2,FALSE)</f>
        <v>225</v>
      </c>
      <c r="G375" s="11">
        <f>VLOOKUP(B375,'Player Data'!A1:D667,3,FALSE)</f>
        <v>28</v>
      </c>
      <c r="H375" s="94">
        <f>_xlfn.IFERROR(VLOOKUP(B375,'ADP'!A1:G665,7,FALSE)/1000000,VLOOKUP(B375,'ADP'!A1:G665,7,FALSE))</f>
        <v>5.875</v>
      </c>
      <c r="I375" s="74">
        <f>IF('Settings'!$E$15="POINTS",((R375*Q375)*'Settings'!$B$12)+(S375*'Settings'!$B$2)+(T375*'Settings'!$B$3)+(U375*'Settings'!$B$4)+(V375*'Settings'!$B$5)+(X375*'Settings'!$B$9)+(AA375*'Settings'!$B$6)+(W375*'Settings'!$B$8)+(AB375*'Settings'!$B$7)+(AC375*'Settings'!$B$14)+(AD375*'Settings'!$B$15)+(AE375*'Settings'!$B$16)+(AF375*'Settings'!$B$17)+(AG375*'Settings'!$B$18)+(U375*'Settings'!$B$13)+(Y375*'Settings'!$B$10)+(Z375*'Settings'!$B$11),VLOOKUP(B375,'Standard Deviations'!A1:C666,3,FALSE))</f>
        <v>217.209861248263</v>
      </c>
      <c r="J375" s="75">
        <f>IF(D375="G",I375/AJ375,I375/Q375)</f>
        <v>2.72988168848164</v>
      </c>
      <c r="K375" s="74">
        <f>VLOOKUP(B375,'D'!A1:F213,6,FALSE)</f>
        <v>-114.330346671819</v>
      </c>
      <c r="L375" s="76">
        <f>_xlfn.IFERROR(K375/H375,"N/A")</f>
        <v>-19.4604845398841</v>
      </c>
      <c r="M375" s="109">
        <f>IF('Settings'!$E$9="YAHOO",VLOOKUP(B375,'ADP'!A1:E665,2,FALSE),IF('Settings'!$E$9="ESPN",VLOOKUP(B375,'ADP'!A1:E665,3,FALSE),IF('Settings'!$E$9="FANTRAX",VLOOKUP(B375,'ADP'!A1:E665,4,FALSE),VLOOKUP(B375,'ADP'!A1:E665,5,FALSE))))</f>
        <v>0</v>
      </c>
      <c r="N375" s="79">
        <f>_xlfn.IFERROR(M375-A375,"N/A")</f>
        <v>-361</v>
      </c>
      <c r="O375" s="77"/>
      <c r="P375" t="s" s="78">
        <f>IF('Settings'!$E$27="ON",VLOOKUP(B375,'ADP'!A1:H665,8,FALSE)," ")</f>
        <v>138</v>
      </c>
      <c r="Q375" s="79">
        <f>IF('Settings'!$E$12="YES",VLOOKUP(B375,'Player Data'!A1:E667,5,FALSE),82)</f>
        <v>79.5675</v>
      </c>
      <c r="R375" s="77">
        <f>VLOOKUP(B375,'Player Data'!$A1:$AE667,6,FALSE)</f>
        <v>20.5163000317698</v>
      </c>
      <c r="S375" s="79">
        <f>VLOOKUP(B375,'Player Data'!$A1:$AE667,7,FALSE)*$Q375*_xlfn.IFERROR((VLOOKUP(P375,'Settings'!$E$28:$F$33,2,FALSE)+1),1)</f>
        <v>5.59848250722382</v>
      </c>
      <c r="T375" s="79">
        <f>VLOOKUP(B375,'Player Data'!$A1:$AE667,8,FALSE)*$Q375*_xlfn.IFERROR((VLOOKUP(P375,'Settings'!$E$28:$F$33,2,FALSE)+1),1)</f>
        <v>18.8326832024852</v>
      </c>
      <c r="U375" s="79">
        <f>SUM(S375:T375)</f>
        <v>24.431165709709</v>
      </c>
      <c r="V375" s="79">
        <f>VLOOKUP(B375,'Player Data'!$A1:$AE667,10,FALSE)*$Q375*_xlfn.IFERROR(((VLOOKUP(P375,'Settings'!$E$28:$F$33,2,FALSE)/2)+1),1)</f>
        <v>107.714968352201</v>
      </c>
      <c r="W375" s="79">
        <f>VLOOKUP(B375,'Player Data'!$A1:$AE667,11,FALSE)*$Q375*_xlfn.IFERROR((VLOOKUP(P375,'Settings'!$E$28:$F$33,2,FALSE)+1),1)</f>
        <v>0.0440639773853117</v>
      </c>
      <c r="X375" s="79">
        <f>VLOOKUP(B375,'Player Data'!$A1:$AE667,12,FALSE)*$Q375*_xlfn.IFERROR((VLOOKUP(P375,'Settings'!$E$28:$F$33,2,FALSE)+1),1)</f>
        <v>0.283883015194461</v>
      </c>
      <c r="Y375" s="79">
        <f>VLOOKUP(B375,'Player Data'!$A1:$AE667,13,FALSE)*$Q375</f>
        <v>0.256655915727133</v>
      </c>
      <c r="Z375" s="79">
        <f>VLOOKUP(B375,'Player Data'!$A1:$AE667,14,FALSE)*$Q375</f>
        <v>1.13952058574653</v>
      </c>
      <c r="AA375" s="79">
        <f>VLOOKUP(B375,'Player Data'!$A1:$AE667,15,FALSE)*$Q375</f>
        <v>122.778450611555</v>
      </c>
      <c r="AB375" s="79">
        <f>VLOOKUP(B375,'Player Data'!$A1:$AE667,16,FALSE)*$Q375</f>
        <v>74.66338798474349</v>
      </c>
      <c r="AC375" s="79">
        <f>VLOOKUP(B375,'Player Data'!$A1:$AE667,17,FALSE)*$Q375*_xlfn.IFERROR((VLOOKUP(P375,'Settings'!$E$28:$F$33,2,FALSE)+1),1)</f>
        <v>2.25403198902761</v>
      </c>
      <c r="AD375" s="79">
        <f>VLOOKUP(B375,'Player Data'!$A1:$AE667,18,FALSE)*$Q375</f>
        <v>37.4599206118523</v>
      </c>
      <c r="AE375" s="79">
        <f>VLOOKUP(B375,'Player Data'!$A1:$AE667,19,FALSE)*$Q375*_xlfn.IFERROR((VLOOKUP(P375,'Settings'!$E$28:$F$33,2,FALSE)+1),1)</f>
        <v>0.997714919090675</v>
      </c>
      <c r="AF375" s="79">
        <f>VLOOKUP(B375,'Player Data'!$A1:$AE667,20,FALSE)*$Q375</f>
        <v>0</v>
      </c>
      <c r="AG375" s="79">
        <f>VLOOKUP(B375,'Player Data'!$A1:$AE667,21,FALSE)*$Q375</f>
        <v>0</v>
      </c>
      <c r="AH375" s="81">
        <f>VLOOKUP(B375,'Player Data'!$A1:$AE667,22,FALSE)</f>
        <v>0</v>
      </c>
      <c r="AI375" s="77"/>
      <c r="AJ375" s="79"/>
      <c r="AK375" s="79"/>
      <c r="AL375" s="79"/>
      <c r="AM375" s="79"/>
      <c r="AN375" s="79"/>
      <c r="AO375" s="79"/>
      <c r="AP375" s="79"/>
      <c r="AQ375" s="82"/>
      <c r="AR375" s="83"/>
      <c r="AS375" s="84"/>
    </row>
    <row r="376" ht="21.25" customHeight="1">
      <c r="A376" s="85">
        <f>RANK(K376,K$1:K$665)</f>
        <v>394</v>
      </c>
      <c r="B376" t="s" s="16">
        <v>566</v>
      </c>
      <c r="C376" t="s" s="69">
        <v>127</v>
      </c>
      <c r="D376" t="s" s="70">
        <f>VLOOKUP(B376,'Player Data'!A1:D667,4,FALSE)</f>
        <v>128</v>
      </c>
      <c r="E376" s="71">
        <f>VLOOKUP(B376,'C'!A1:C206,3,FALSE)</f>
        <v>120</v>
      </c>
      <c r="F376" t="s" s="78">
        <f>VLOOKUP(B376,'Player Data'!A1:B667,2,FALSE)</f>
        <v>134</v>
      </c>
      <c r="G376" s="11">
        <f>VLOOKUP(B376,'Player Data'!A1:D667,3,FALSE)</f>
        <v>25</v>
      </c>
      <c r="H376" s="73">
        <f>_xlfn.IFERROR(VLOOKUP(B376,'ADP'!A1:G665,7,FALSE)/1000000,VLOOKUP(B376,'ADP'!A1:G665,7,FALSE))</f>
        <v>5.75</v>
      </c>
      <c r="I376" s="74">
        <f>IF('Settings'!$E$15="POINTS",((R376*Q376)*'Settings'!$B$12)+(S376*'Settings'!$B$2)+(T376*'Settings'!$B$3)+(U376*'Settings'!$B$4)+(V376*'Settings'!$B$5)+(X376*'Settings'!$B$9)+(AA376*'Settings'!$B$6)+(W376*'Settings'!$B$8)+(AB376*'Settings'!$B$7)+(AC376*'Settings'!$B$14)+(AD376*'Settings'!$B$15)+(AE376*'Settings'!$B$16)+(AF376*'Settings'!$B$17)+(AG376*'Settings'!$B$18)+(Y376*'Settings'!$B$10)+(Z376*'Settings'!$B$11),VLOOKUP(B376,'Standard Deviations'!A1:C666,3,FALSE))</f>
        <v>204.965538609219</v>
      </c>
      <c r="J376" s="75">
        <f>IF(D376="G",I376/AJ376,I376/Q376)</f>
        <v>2.64557003690505</v>
      </c>
      <c r="K376" s="74">
        <f>IF('Settings'!$E$18="C/LW/RW",VLOOKUP(B376,'C'!A1:F206,6,FALSE),VLOOKUP(B376,'F'!A1:F392,6,FALSE))</f>
        <v>-124.726355471959</v>
      </c>
      <c r="L376" s="76">
        <f>_xlfn.IFERROR(K376/H376,"N/A")</f>
        <v>-21.6915400820798</v>
      </c>
      <c r="M376" s="109">
        <f>IF('Settings'!$E$9="YAHOO",VLOOKUP(B376,'ADP'!A1:E665,2,FALSE),IF('Settings'!$E$9="ESPN",VLOOKUP(B376,'ADP'!A1:E665,3,FALSE),IF('Settings'!$E$9="FANTRAX",VLOOKUP(B376,'ADP'!A1:E665,4,FALSE),VLOOKUP(B376,'ADP'!A1:E665,5,FALSE))))</f>
        <v>0</v>
      </c>
      <c r="N376" s="79">
        <f>_xlfn.IFERROR(M376-A376,"N/A")</f>
        <v>-394</v>
      </c>
      <c r="O376" s="77"/>
      <c r="P376" t="s" s="78">
        <f>IF('Settings'!$E$27="ON",VLOOKUP(B376,'ADP'!A1:H665,8,FALSE)," ")</f>
        <v>138</v>
      </c>
      <c r="Q376" s="79">
        <f>IF('Settings'!$E$12="YES",VLOOKUP(B376,'Player Data'!A1:E667,5,FALSE),82)</f>
        <v>77.47499999999999</v>
      </c>
      <c r="R376" s="77">
        <f>VLOOKUP(B376,'Player Data'!$A1:$AE667,6,FALSE)</f>
        <v>16.8462965672436</v>
      </c>
      <c r="S376" s="79">
        <f>VLOOKUP(B376,'Player Data'!$A1:$AE667,7,FALSE)*$Q376*_xlfn.IFERROR((VLOOKUP(P376,'Settings'!$E$28:$F$33,2,FALSE)+1),1)</f>
        <v>16.7443571387623</v>
      </c>
      <c r="T376" s="79">
        <f>VLOOKUP(B376,'Player Data'!$A1:$AE667,8,FALSE)*$Q376*_xlfn.IFERROR((VLOOKUP(P376,'Settings'!$E$28:$F$33,2,FALSE)+1),1)</f>
        <v>38.0947032119737</v>
      </c>
      <c r="U376" s="79">
        <f>SUM(S376:T376)</f>
        <v>54.839060350736</v>
      </c>
      <c r="V376" s="79">
        <f>VLOOKUP(B376,'Player Data'!$A1:$AE667,10,FALSE)*$Q376*_xlfn.IFERROR(((VLOOKUP(P376,'Settings'!$E$28:$F$33,2,FALSE)/2)+1),1)</f>
        <v>127.892000341776</v>
      </c>
      <c r="W376" s="79">
        <f>VLOOKUP(B376,'Player Data'!$A1:$AE667,11,FALSE)*$Q376*_xlfn.IFERROR((VLOOKUP(P376,'Settings'!$E$28:$F$33,2,FALSE)+1),1)</f>
        <v>2.20157461976312</v>
      </c>
      <c r="X376" s="79">
        <f>VLOOKUP(B376,'Player Data'!$A1:$AE667,12,FALSE)*$Q376*_xlfn.IFERROR((VLOOKUP(P376,'Settings'!$E$28:$F$33,2,FALSE)+1),1)</f>
        <v>7.37026309577922</v>
      </c>
      <c r="Y376" s="79">
        <f>VLOOKUP(B376,'Player Data'!$A1:$AE667,13,FALSE)*$Q376</f>
        <v>0.0905628702688942</v>
      </c>
      <c r="Z376" s="79">
        <f>VLOOKUP(B376,'Player Data'!$A1:$AE667,14,FALSE)*$Q376</f>
        <v>0.108691132141868</v>
      </c>
      <c r="AA376" s="79">
        <f>VLOOKUP(B376,'Player Data'!$A1:$AE667,15,FALSE)*$Q376</f>
        <v>27.1475881426383</v>
      </c>
      <c r="AB376" s="79">
        <f>VLOOKUP(B376,'Player Data'!$A1:$AE667,16,FALSE)*$Q376</f>
        <v>32.0337704738558</v>
      </c>
      <c r="AC376" s="79">
        <f>VLOOKUP(B376,'Player Data'!$A1:$AE667,17,FALSE)*$Q376*_xlfn.IFERROR((VLOOKUP(P376,'Settings'!$E$28:$F$33,2,FALSE)+1),1)</f>
        <v>0.719588020331461</v>
      </c>
      <c r="AD376" s="79">
        <f>VLOOKUP(B376,'Player Data'!$A1:$AE667,18,FALSE)*$Q376</f>
        <v>23.7293399876888</v>
      </c>
      <c r="AE376" s="79">
        <f>VLOOKUP(B376,'Player Data'!$A1:$AE667,19,FALSE)*$Q376*_xlfn.IFERROR((VLOOKUP(P376,'Settings'!$E$28:$F$33,2,FALSE)+1),1)</f>
        <v>2.50178536151756</v>
      </c>
      <c r="AF376" s="79">
        <f>VLOOKUP(B376,'Player Data'!$A1:$AE667,20,FALSE)*$Q376</f>
        <v>455.485362289382</v>
      </c>
      <c r="AG376" s="79">
        <f>VLOOKUP(B376,'Player Data'!$A1:$AE667,21,FALSE)*$Q376</f>
        <v>527.759844729194</v>
      </c>
      <c r="AH376" s="81">
        <f>VLOOKUP(B376,'Player Data'!$A1:$AE667,22,FALSE)</f>
        <v>0.463246969360285</v>
      </c>
      <c r="AI376" s="77"/>
      <c r="AJ376" s="79"/>
      <c r="AK376" s="79"/>
      <c r="AL376" s="79"/>
      <c r="AM376" s="79"/>
      <c r="AN376" s="79"/>
      <c r="AO376" s="79"/>
      <c r="AP376" s="79"/>
      <c r="AQ376" s="82"/>
      <c r="AR376" s="83"/>
      <c r="AS376" s="84"/>
    </row>
    <row r="377" ht="21.25" customHeight="1">
      <c r="A377" s="85">
        <f>RANK(K377,K$1:K$665)</f>
        <v>387</v>
      </c>
      <c r="B377" t="s" s="16">
        <v>567</v>
      </c>
      <c r="C377" t="s" s="69">
        <v>127</v>
      </c>
      <c r="D377" t="s" s="70">
        <f>VLOOKUP(B377,'Player Data'!A1:D667,4,FALSE)</f>
        <v>178</v>
      </c>
      <c r="E377" s="102">
        <f>VLOOKUP(B377,'LW'!A1:C152,3,FALSE)</f>
        <v>91</v>
      </c>
      <c r="F377" t="s" s="88">
        <f>VLOOKUP(B377,'Player Data'!A1:B667,2,FALSE)</f>
        <v>304</v>
      </c>
      <c r="G377" s="91">
        <f>VLOOKUP(B377,'Player Data'!A1:D667,3,FALSE)</f>
        <v>32</v>
      </c>
      <c r="H377" s="94">
        <f>_xlfn.IFERROR(VLOOKUP(B377,'ADP'!A1:G665,7,FALSE)/1000000,VLOOKUP(B377,'ADP'!A1:G665,7,FALSE))</f>
        <v>3.5</v>
      </c>
      <c r="I377" s="74">
        <f>IF('Settings'!$E$15="POINTS",((R377*Q377)*'Settings'!$B$12)+(S377*'Settings'!$B$2)+(T377*'Settings'!$B$3)+(U377*'Settings'!$B$4)+(V377*'Settings'!$B$5)+(X377*'Settings'!$B$9)+(AA377*'Settings'!$B$6)+(W377*'Settings'!$B$8)+(AB377*'Settings'!$B$7)+(AC377*'Settings'!$B$14)+(AD377*'Settings'!$B$15)+(AE377*'Settings'!$B$16)+(AF377*'Settings'!$B$17)+(AG377*'Settings'!$B$18)+(Y377*'Settings'!$B$10)+(Z377*'Settings'!$B$11),VLOOKUP(B377,'Standard Deviations'!A1:C666,3,FALSE))</f>
        <v>208.376137071873</v>
      </c>
      <c r="J377" s="75">
        <f>IF(D377="G",I377/AJ377,I377/Q377)</f>
        <v>2.81627432182556</v>
      </c>
      <c r="K377" s="74">
        <f>IF('Settings'!$E$18="C/LW/RW",VLOOKUP(B377,'LW'!A1:F152,6,FALSE),VLOOKUP(B377,'F'!A1:F392,6,FALSE))</f>
        <v>-123.343974694339</v>
      </c>
      <c r="L377" s="76">
        <f>_xlfn.IFERROR(K377/H377,"N/A")</f>
        <v>-35.241135626954</v>
      </c>
      <c r="M377" s="109">
        <f>IF('Settings'!$E$9="YAHOO",VLOOKUP(B377,'ADP'!A1:E665,2,FALSE),IF('Settings'!$E$9="ESPN",VLOOKUP(B377,'ADP'!A1:E665,3,FALSE),IF('Settings'!$E$9="FANTRAX",VLOOKUP(B377,'ADP'!A1:E665,4,FALSE),VLOOKUP(B377,'ADP'!A1:E665,5,FALSE))))</f>
        <v>0</v>
      </c>
      <c r="N377" s="79">
        <f>_xlfn.IFERROR(M377-A377,"N/A")</f>
        <v>-387</v>
      </c>
      <c r="O377" s="77"/>
      <c r="P377" t="s" s="78">
        <f>IF('Settings'!$E$27="ON",VLOOKUP(B377,'ADP'!A1:H665,8,FALSE)," ")</f>
        <v>138</v>
      </c>
      <c r="Q377" s="79">
        <f>IF('Settings'!$E$12="YES",VLOOKUP(B377,'Player Data'!A1:E667,5,FALSE),82)</f>
        <v>73.98999999999999</v>
      </c>
      <c r="R377" s="77">
        <f>VLOOKUP(B377,'Player Data'!$A1:$AE667,6,FALSE)</f>
        <v>14.0428909123642</v>
      </c>
      <c r="S377" s="79">
        <f>VLOOKUP(B377,'Player Data'!$A1:$AE667,7,FALSE)*$Q377*_xlfn.IFERROR((VLOOKUP(P377,'Settings'!$E$28:$F$33,2,FALSE)+1),1)</f>
        <v>9.512519302401831</v>
      </c>
      <c r="T377" s="79">
        <f>VLOOKUP(B377,'Player Data'!$A1:$AE667,8,FALSE)*$Q377*_xlfn.IFERROR((VLOOKUP(P377,'Settings'!$E$28:$F$33,2,FALSE)+1),1)</f>
        <v>12.1268732385158</v>
      </c>
      <c r="U377" s="79">
        <f>SUM(S377:T377)</f>
        <v>21.6393925409176</v>
      </c>
      <c r="V377" s="79">
        <f>VLOOKUP(B377,'Player Data'!$A1:$AE667,10,FALSE)*$Q377*_xlfn.IFERROR(((VLOOKUP(P377,'Settings'!$E$28:$F$33,2,FALSE)/2)+1),1)</f>
        <v>86.2270274095293</v>
      </c>
      <c r="W377" s="79">
        <f>VLOOKUP(B377,'Player Data'!$A1:$AE667,11,FALSE)*$Q377*_xlfn.IFERROR((VLOOKUP(P377,'Settings'!$E$28:$F$33,2,FALSE)+1),1)</f>
        <v>0.0855816674942281</v>
      </c>
      <c r="X377" s="79">
        <f>VLOOKUP(B377,'Player Data'!$A1:$AE667,12,FALSE)*$Q377*_xlfn.IFERROR((VLOOKUP(P377,'Settings'!$E$28:$F$33,2,FALSE)+1),1)</f>
        <v>0.160807560902716</v>
      </c>
      <c r="Y377" s="79">
        <f>VLOOKUP(B377,'Player Data'!$A1:$AE667,13,FALSE)*$Q377</f>
        <v>0.571541643291667</v>
      </c>
      <c r="Z377" s="79">
        <f>VLOOKUP(B377,'Player Data'!$A1:$AE667,14,FALSE)*$Q377</f>
        <v>1.21553206419199</v>
      </c>
      <c r="AA377" s="79">
        <f>VLOOKUP(B377,'Player Data'!$A1:$AE667,15,FALSE)*$Q377</f>
        <v>63.2559174277604</v>
      </c>
      <c r="AB377" s="79">
        <f>VLOOKUP(B377,'Player Data'!$A1:$AE667,16,FALSE)*$Q377</f>
        <v>150.704647360617</v>
      </c>
      <c r="AC377" s="79">
        <f>VLOOKUP(B377,'Player Data'!$A1:$AE667,17,FALSE)*$Q377*_xlfn.IFERROR((VLOOKUP(P377,'Settings'!$E$28:$F$33,2,FALSE)+1),1)</f>
        <v>-1.36565565002475</v>
      </c>
      <c r="AD377" s="79">
        <f>VLOOKUP(B377,'Player Data'!$A1:$AE667,18,FALSE)*$Q377</f>
        <v>38.4253661777851</v>
      </c>
      <c r="AE377" s="79">
        <f>VLOOKUP(B377,'Player Data'!$A1:$AE667,19,FALSE)*$Q377*_xlfn.IFERROR((VLOOKUP(P377,'Settings'!$E$28:$F$33,2,FALSE)+1),1)</f>
        <v>1.44445389999941</v>
      </c>
      <c r="AF377" s="79">
        <f>VLOOKUP(B377,'Player Data'!$A1:$AE667,20,FALSE)*$Q377</f>
        <v>6.97002189538601</v>
      </c>
      <c r="AG377" s="79">
        <f>VLOOKUP(B377,'Player Data'!$A1:$AE667,21,FALSE)*$Q377</f>
        <v>21.6070523552511</v>
      </c>
      <c r="AH377" s="81">
        <f>VLOOKUP(B377,'Player Data'!$A1:$AE667,22,FALSE)</f>
        <v>0.243902571489824</v>
      </c>
      <c r="AI377" s="77"/>
      <c r="AJ377" s="79"/>
      <c r="AK377" s="79"/>
      <c r="AL377" s="79"/>
      <c r="AM377" s="79"/>
      <c r="AN377" s="79"/>
      <c r="AO377" s="79"/>
      <c r="AP377" s="79"/>
      <c r="AQ377" s="82"/>
      <c r="AR377" s="83"/>
      <c r="AS377" s="84"/>
    </row>
    <row r="378" ht="21.25" customHeight="1">
      <c r="A378" s="85">
        <f>RANK(K378,K$1:K$665)</f>
        <v>388</v>
      </c>
      <c r="B378" t="s" s="16">
        <v>568</v>
      </c>
      <c r="C378" t="s" s="69">
        <v>127</v>
      </c>
      <c r="D378" t="s" s="70">
        <f>VLOOKUP(B378,'Player Data'!A1:D667,4,FALSE)</f>
        <v>178</v>
      </c>
      <c r="E378" s="102">
        <f>VLOOKUP(B378,'LW'!A1:C152,3,FALSE)</f>
        <v>92</v>
      </c>
      <c r="F378" t="s" s="86">
        <f>VLOOKUP(B378,'Player Data'!A1:B667,2,FALSE)</f>
        <v>129</v>
      </c>
      <c r="G378" s="91">
        <f>VLOOKUP(B378,'Player Data'!A1:D667,3,FALSE)</f>
        <v>31</v>
      </c>
      <c r="H378" s="73">
        <f>_xlfn.IFERROR(VLOOKUP(B378,'ADP'!A1:G665,7,FALSE)/1000000,VLOOKUP(B378,'ADP'!A1:G665,7,FALSE))</f>
        <v>4</v>
      </c>
      <c r="I378" s="74">
        <f>IF('Settings'!$E$15="POINTS",((R378*Q378)*'Settings'!$B$12)+(S378*'Settings'!$B$2)+(T378*'Settings'!$B$3)+(U378*'Settings'!$B$4)+(V378*'Settings'!$B$5)+(X378*'Settings'!$B$9)+(AA378*'Settings'!$B$6)+(W378*'Settings'!$B$8)+(AB378*'Settings'!$B$7)+(AC378*'Settings'!$B$14)+(AD378*'Settings'!$B$15)+(AE378*'Settings'!$B$16)+(AF378*'Settings'!$B$17)+(AG378*'Settings'!$B$18)+(Y378*'Settings'!$B$10)+(Z378*'Settings'!$B$11),VLOOKUP(B378,'Standard Deviations'!A1:C666,3,FALSE))</f>
        <v>208.206445906116</v>
      </c>
      <c r="J378" s="75">
        <f>IF(D378="G",I378/AJ378,I378/Q378)</f>
        <v>3.04473287619078</v>
      </c>
      <c r="K378" s="74">
        <f>IF('Settings'!$E$18="C/LW/RW",VLOOKUP(B378,'LW'!A1:F152,6,FALSE),VLOOKUP(B378,'F'!A1:F392,6,FALSE))</f>
        <v>-123.513665860096</v>
      </c>
      <c r="L378" s="76">
        <f>_xlfn.IFERROR(K378/H378,"N/A")</f>
        <v>-30.878416465024</v>
      </c>
      <c r="M378" s="77">
        <f>IF('Settings'!$E$9="YAHOO",VLOOKUP(B378,'ADP'!A1:E665,2,FALSE),IF('Settings'!$E$9="ESPN",VLOOKUP(B378,'ADP'!A1:E665,3,FALSE),IF('Settings'!$E$9="FANTRAX",VLOOKUP(B378,'ADP'!A1:E665,4,FALSE),VLOOKUP(B378,'ADP'!A1:E665,5,FALSE))))</f>
        <v>0</v>
      </c>
      <c r="N378" s="77">
        <f>_xlfn.IFERROR(M378-A378,"N/A")</f>
        <v>-388</v>
      </c>
      <c r="O378" s="77"/>
      <c r="P378" t="s" s="78">
        <f>IF('Settings'!$E$27="ON",VLOOKUP(B378,'ADP'!A1:H665,8,FALSE)," ")</f>
        <v>138</v>
      </c>
      <c r="Q378" s="79">
        <f>IF('Settings'!$E$12="YES",VLOOKUP(B378,'Player Data'!A1:E667,5,FALSE),82)</f>
        <v>68.38249999999999</v>
      </c>
      <c r="R378" s="108">
        <f>VLOOKUP(B378,'Player Data'!$A1:$AE667,6,FALSE)</f>
        <v>14.6814860016397</v>
      </c>
      <c r="S378" s="79">
        <f>VLOOKUP(B378,'Player Data'!$A1:$AE667,7,FALSE)*$Q378*_xlfn.IFERROR((VLOOKUP(P378,'Settings'!$E$28:$F$33,2,FALSE)+1),1)</f>
        <v>18.4597881712481</v>
      </c>
      <c r="T378" s="79">
        <f>VLOOKUP(B378,'Player Data'!$A1:$AE667,8,FALSE)*$Q378*_xlfn.IFERROR((VLOOKUP(P378,'Settings'!$E$28:$F$33,2,FALSE)+1),1)</f>
        <v>24.8347227544179</v>
      </c>
      <c r="U378" s="79">
        <f>SUM(S378:T378)</f>
        <v>43.294510925666</v>
      </c>
      <c r="V378" s="79">
        <f>VLOOKUP(B378,'Player Data'!$A1:$AE667,10,FALSE)*$Q378*_xlfn.IFERROR(((VLOOKUP(P378,'Settings'!$E$28:$F$33,2,FALSE)/2)+1),1)</f>
        <v>177.636450543829</v>
      </c>
      <c r="W378" s="79">
        <f>VLOOKUP(B378,'Player Data'!$A1:$AE667,11,FALSE)*$Q378*_xlfn.IFERROR((VLOOKUP(P378,'Settings'!$E$28:$F$33,2,FALSE)+1),1)</f>
        <v>2.50493193101519</v>
      </c>
      <c r="X378" s="79">
        <f>VLOOKUP(B378,'Player Data'!$A1:$AE667,12,FALSE)*$Q378*_xlfn.IFERROR((VLOOKUP(P378,'Settings'!$E$28:$F$33,2,FALSE)+1),1)</f>
        <v>7.28022635539712</v>
      </c>
      <c r="Y378" s="79">
        <f>VLOOKUP(B378,'Player Data'!$A1:$AE667,13,FALSE)*$Q378</f>
        <v>0.0405456141022495</v>
      </c>
      <c r="Z378" s="79">
        <f>VLOOKUP(B378,'Player Data'!$A1:$AE667,14,FALSE)*$Q378</f>
        <v>0.0491430464070681</v>
      </c>
      <c r="AA378" s="79">
        <f>VLOOKUP(B378,'Player Data'!$A1:$AE667,15,FALSE)*$Q378</f>
        <v>44.5446399460357</v>
      </c>
      <c r="AB378" s="79">
        <f>VLOOKUP(B378,'Player Data'!$A1:$AE667,16,FALSE)*$Q378</f>
        <v>32.1763789370179</v>
      </c>
      <c r="AC378" s="79">
        <f>VLOOKUP(B378,'Player Data'!$A1:$AE667,17,FALSE)*$Q378*_xlfn.IFERROR((VLOOKUP(P378,'Settings'!$E$28:$F$33,2,FALSE)+1),1)</f>
        <v>2.47728902837615</v>
      </c>
      <c r="AD378" s="79">
        <f>VLOOKUP(B378,'Player Data'!$A1:$AE667,18,FALSE)*$Q378</f>
        <v>24.221358091508</v>
      </c>
      <c r="AE378" s="79">
        <f>VLOOKUP(B378,'Player Data'!$A1:$AE667,19,FALSE)*$Q378*_xlfn.IFERROR((VLOOKUP(P378,'Settings'!$E$28:$F$33,2,FALSE)+1),1)</f>
        <v>2.98079720255864</v>
      </c>
      <c r="AF378" s="79">
        <f>VLOOKUP(B378,'Player Data'!$A1:$AE667,20,FALSE)*$Q378</f>
        <v>13.8002836824296</v>
      </c>
      <c r="AG378" s="79">
        <f>VLOOKUP(B378,'Player Data'!$A1:$AE667,21,FALSE)*$Q378</f>
        <v>22.9680674021562</v>
      </c>
      <c r="AH378" s="81">
        <f>VLOOKUP(B378,'Player Data'!$A1:$AE667,22,FALSE)</f>
        <v>0.375330502330169</v>
      </c>
      <c r="AI378" s="77"/>
      <c r="AJ378" s="79"/>
      <c r="AK378" s="79"/>
      <c r="AL378" s="79"/>
      <c r="AM378" s="79"/>
      <c r="AN378" s="79"/>
      <c r="AO378" s="79"/>
      <c r="AP378" s="79"/>
      <c r="AQ378" s="82"/>
      <c r="AR378" s="83"/>
      <c r="AS378" s="84"/>
    </row>
    <row r="379" ht="21.25" customHeight="1">
      <c r="A379" s="85">
        <f>RANK(K379,K$1:K$665)</f>
        <v>365</v>
      </c>
      <c r="B379" t="s" s="16">
        <v>569</v>
      </c>
      <c r="C379" t="s" s="69">
        <v>127</v>
      </c>
      <c r="D379" t="s" s="70">
        <f>VLOOKUP(B379,'Player Data'!A1:D667,4,FALSE)</f>
        <v>153</v>
      </c>
      <c r="E379" s="95">
        <f>VLOOKUP(B379,'D'!A1:C213,3,FALSE)</f>
        <v>122</v>
      </c>
      <c r="F379" t="s" s="107">
        <f>VLOOKUP(B379,'Player Data'!A1:B667,2,FALSE)</f>
        <v>279</v>
      </c>
      <c r="G379" s="91">
        <f>VLOOKUP(B379,'Player Data'!A1:D667,3,FALSE)</f>
        <v>32</v>
      </c>
      <c r="H379" s="73">
        <f>_xlfn.IFERROR(VLOOKUP(B379,'ADP'!A1:G665,7,FALSE)/1000000,VLOOKUP(B379,'ADP'!A1:G665,7,FALSE))</f>
        <v>6.5</v>
      </c>
      <c r="I379" s="74">
        <f>IF('Settings'!$E$15="POINTS",((R379*Q379)*'Settings'!$B$12)+(S379*'Settings'!$B$2)+(T379*'Settings'!$B$3)+(U379*'Settings'!$B$4)+(V379*'Settings'!$B$5)+(X379*'Settings'!$B$9)+(AA379*'Settings'!$B$6)+(W379*'Settings'!$B$8)+(AB379*'Settings'!$B$7)+(AC379*'Settings'!$B$14)+(AD379*'Settings'!$B$15)+(AE379*'Settings'!$B$16)+(AF379*'Settings'!$B$17)+(AG379*'Settings'!$B$18)+(U379*'Settings'!$B$13)+(Y379*'Settings'!$B$10)+(Z379*'Settings'!$B$11),VLOOKUP(B379,'Standard Deviations'!A1:C666,3,FALSE))</f>
        <v>214.933504459539</v>
      </c>
      <c r="J379" s="75">
        <f>IF(D379="G",I379/AJ379,I379/Q379)</f>
        <v>2.6452540470698</v>
      </c>
      <c r="K379" s="74">
        <f>VLOOKUP(B379,'D'!A1:F213,6,FALSE)</f>
        <v>-116.606703460543</v>
      </c>
      <c r="L379" s="76">
        <f>_xlfn.IFERROR(K379/H379,"N/A")</f>
        <v>-17.9394928400835</v>
      </c>
      <c r="M379" s="109">
        <f>IF('Settings'!$E$9="YAHOO",VLOOKUP(B379,'ADP'!A1:E665,2,FALSE),IF('Settings'!$E$9="ESPN",VLOOKUP(B379,'ADP'!A1:E665,3,FALSE),IF('Settings'!$E$9="FANTRAX",VLOOKUP(B379,'ADP'!A1:E665,4,FALSE),VLOOKUP(B379,'ADP'!A1:E665,5,FALSE))))</f>
        <v>0</v>
      </c>
      <c r="N379" s="79">
        <f>_xlfn.IFERROR(M379-A379,"N/A")</f>
        <v>-365</v>
      </c>
      <c r="O379" s="77"/>
      <c r="P379" t="s" s="78">
        <f>IF('Settings'!$E$27="ON",VLOOKUP(B379,'ADP'!A1:H665,8,FALSE)," ")</f>
        <v>138</v>
      </c>
      <c r="Q379" s="79">
        <f>IF('Settings'!$E$12="YES",VLOOKUP(B379,'Player Data'!A1:E667,5,FALSE),82)</f>
        <v>81.2525</v>
      </c>
      <c r="R379" s="108">
        <f>VLOOKUP(B379,'Player Data'!$A1:$AE667,6,FALSE)</f>
        <v>21.9859543660843</v>
      </c>
      <c r="S379" s="79">
        <f>VLOOKUP(B379,'Player Data'!$A1:$AE667,7,FALSE)*$Q379*_xlfn.IFERROR((VLOOKUP(P379,'Settings'!$E$28:$F$33,2,FALSE)+1),1)</f>
        <v>5.61515965220429</v>
      </c>
      <c r="T379" s="79">
        <f>VLOOKUP(B379,'Player Data'!$A1:$AE667,8,FALSE)*$Q379*_xlfn.IFERROR((VLOOKUP(P379,'Settings'!$E$28:$F$33,2,FALSE)+1),1)</f>
        <v>27.9350402457424</v>
      </c>
      <c r="U379" s="79">
        <f>SUM(S379:T379)</f>
        <v>33.5501998979467</v>
      </c>
      <c r="V379" s="79">
        <f>VLOOKUP(B379,'Player Data'!$A1:$AE667,10,FALSE)*$Q379*_xlfn.IFERROR(((VLOOKUP(P379,'Settings'!$E$28:$F$33,2,FALSE)/2)+1),1)</f>
        <v>100.073338862560</v>
      </c>
      <c r="W379" s="79">
        <f>VLOOKUP(B379,'Player Data'!$A1:$AE667,11,FALSE)*$Q379*_xlfn.IFERROR((VLOOKUP(P379,'Settings'!$E$28:$F$33,2,FALSE)+1),1)</f>
        <v>1.87072780944003</v>
      </c>
      <c r="X379" s="79">
        <f>VLOOKUP(B379,'Player Data'!$A1:$AE667,12,FALSE)*$Q379*_xlfn.IFERROR((VLOOKUP(P379,'Settings'!$E$28:$F$33,2,FALSE)+1),1)</f>
        <v>9.59533973008892</v>
      </c>
      <c r="Y379" s="79">
        <f>VLOOKUP(B379,'Player Data'!$A1:$AE667,13,FALSE)*$Q379</f>
        <v>0.0237532410970454</v>
      </c>
      <c r="Z379" s="79">
        <f>VLOOKUP(B379,'Player Data'!$A1:$AE667,14,FALSE)*$Q379</f>
        <v>0.510984467027262</v>
      </c>
      <c r="AA379" s="79">
        <f>VLOOKUP(B379,'Player Data'!$A1:$AE667,15,FALSE)*$Q379</f>
        <v>113.776541337087</v>
      </c>
      <c r="AB379" s="79">
        <f>VLOOKUP(B379,'Player Data'!$A1:$AE667,16,FALSE)*$Q379</f>
        <v>46.8509376203812</v>
      </c>
      <c r="AC379" s="79">
        <f>VLOOKUP(B379,'Player Data'!$A1:$AE667,17,FALSE)*$Q379*_xlfn.IFERROR((VLOOKUP(P379,'Settings'!$E$28:$F$33,2,FALSE)+1),1)</f>
        <v>-9.94767839679883</v>
      </c>
      <c r="AD379" s="79">
        <f>VLOOKUP(B379,'Player Data'!$A1:$AE667,18,FALSE)*$Q379</f>
        <v>22.3913559513914</v>
      </c>
      <c r="AE379" s="79">
        <f>VLOOKUP(B379,'Player Data'!$A1:$AE667,19,FALSE)*$Q379*_xlfn.IFERROR((VLOOKUP(P379,'Settings'!$E$28:$F$33,2,FALSE)+1),1)</f>
        <v>0.654500478477581</v>
      </c>
      <c r="AF379" s="79">
        <f>VLOOKUP(B379,'Player Data'!$A1:$AE667,20,FALSE)*$Q379</f>
        <v>0</v>
      </c>
      <c r="AG379" s="79">
        <f>VLOOKUP(B379,'Player Data'!$A1:$AE667,21,FALSE)*$Q379</f>
        <v>0</v>
      </c>
      <c r="AH379" s="81">
        <f>VLOOKUP(B379,'Player Data'!$A1:$AE667,22,FALSE)</f>
        <v>0</v>
      </c>
      <c r="AI379" s="77"/>
      <c r="AJ379" s="79"/>
      <c r="AK379" s="79"/>
      <c r="AL379" s="79"/>
      <c r="AM379" s="79"/>
      <c r="AN379" s="79"/>
      <c r="AO379" s="79"/>
      <c r="AP379" s="79"/>
      <c r="AQ379" s="82"/>
      <c r="AR379" s="83"/>
      <c r="AS379" s="84"/>
    </row>
    <row r="380" ht="21.25" customHeight="1">
      <c r="A380" s="85">
        <f>RANK(K380,K$1:K$665)</f>
        <v>391</v>
      </c>
      <c r="B380" t="s" s="16">
        <v>570</v>
      </c>
      <c r="C380" t="s" s="69">
        <v>127</v>
      </c>
      <c r="D380" t="s" s="70">
        <f>VLOOKUP(B380,'Player Data'!A1:D667,4,FALSE)</f>
        <v>178</v>
      </c>
      <c r="E380" s="102">
        <f>VLOOKUP(B380,'LW'!A1:C152,3,FALSE)</f>
        <v>93</v>
      </c>
      <c r="F380" t="s" s="86">
        <f>VLOOKUP(B380,'Player Data'!A1:B667,2,FALSE)</f>
        <v>154</v>
      </c>
      <c r="G380" s="91">
        <f>VLOOKUP(B380,'Player Data'!A1:D667,3,FALSE)</f>
        <v>32</v>
      </c>
      <c r="H380" s="94">
        <f>_xlfn.IFERROR(VLOOKUP(B380,'ADP'!A1:G665,7,FALSE)/1000000,VLOOKUP(B380,'ADP'!A1:G665,7,FALSE))</f>
        <v>5</v>
      </c>
      <c r="I380" s="74">
        <f>IF('Settings'!$E$15="POINTS",((R380*Q380)*'Settings'!$B$12)+(S380*'Settings'!$B$2)+(T380*'Settings'!$B$3)+(U380*'Settings'!$B$4)+(V380*'Settings'!$B$5)+(X380*'Settings'!$B$9)+(AA380*'Settings'!$B$6)+(W380*'Settings'!$B$8)+(AB380*'Settings'!$B$7)+(AC380*'Settings'!$B$14)+(AD380*'Settings'!$B$15)+(AE380*'Settings'!$B$16)+(AF380*'Settings'!$B$17)+(AG380*'Settings'!$B$18)+(Y380*'Settings'!$B$10)+(Z380*'Settings'!$B$11),VLOOKUP(B380,'Standard Deviations'!A1:C666,3,FALSE))</f>
        <v>207.974219358415</v>
      </c>
      <c r="J380" s="75">
        <f>IF(D380="G",I380/AJ380,I380/Q380)</f>
        <v>2.77031162354278</v>
      </c>
      <c r="K380" s="74">
        <f>IF('Settings'!$E$18="C/LW/RW",VLOOKUP(B380,'LW'!A1:F152,6,FALSE),VLOOKUP(B380,'F'!A1:F392,6,FALSE))</f>
        <v>-123.745892407797</v>
      </c>
      <c r="L380" s="76">
        <f>_xlfn.IFERROR(K380/H380,"N/A")</f>
        <v>-24.7491784815594</v>
      </c>
      <c r="M380" s="77">
        <f>IF('Settings'!$E$9="YAHOO",VLOOKUP(B380,'ADP'!A1:E665,2,FALSE),IF('Settings'!$E$9="ESPN",VLOOKUP(B380,'ADP'!A1:E665,3,FALSE),IF('Settings'!$E$9="FANTRAX",VLOOKUP(B380,'ADP'!A1:E665,4,FALSE),VLOOKUP(B380,'ADP'!A1:E665,5,FALSE))))</f>
        <v>0</v>
      </c>
      <c r="N380" s="77">
        <f>_xlfn.IFERROR(M380-A380,"N/A")</f>
        <v>-391</v>
      </c>
      <c r="O380" s="77"/>
      <c r="P380" t="s" s="78">
        <f>IF('Settings'!$E$27="ON",VLOOKUP(B380,'ADP'!A1:H665,8,FALSE)," ")</f>
        <v>138</v>
      </c>
      <c r="Q380" s="79">
        <f>IF('Settings'!$E$12="YES",VLOOKUP(B380,'Player Data'!A1:E667,5,FALSE),82)</f>
        <v>75.07250000000001</v>
      </c>
      <c r="R380" s="77">
        <f>VLOOKUP(B380,'Player Data'!$A1:$AE667,6,FALSE)</f>
        <v>13.6473135244407</v>
      </c>
      <c r="S380" s="79">
        <f>VLOOKUP(B380,'Player Data'!$A1:$AE667,7,FALSE)*$Q380*_xlfn.IFERROR((VLOOKUP(P380,'Settings'!$E$28:$F$33,2,FALSE)+1),1)</f>
        <v>15.446191444309</v>
      </c>
      <c r="T380" s="79">
        <f>VLOOKUP(B380,'Player Data'!$A1:$AE667,8,FALSE)*$Q380*_xlfn.IFERROR((VLOOKUP(P380,'Settings'!$E$28:$F$33,2,FALSE)+1),1)</f>
        <v>16.304374666311</v>
      </c>
      <c r="U380" s="79">
        <f>SUM(S380:T380)</f>
        <v>31.750566110620</v>
      </c>
      <c r="V380" s="79">
        <f>VLOOKUP(B380,'Player Data'!$A1:$AE667,10,FALSE)*$Q380*_xlfn.IFERROR(((VLOOKUP(P380,'Settings'!$E$28:$F$33,2,FALSE)/2)+1),1)</f>
        <v>156.078235568507</v>
      </c>
      <c r="W380" s="79">
        <f>VLOOKUP(B380,'Player Data'!$A1:$AE667,11,FALSE)*$Q380*_xlfn.IFERROR((VLOOKUP(P380,'Settings'!$E$28:$F$33,2,FALSE)+1),1)</f>
        <v>2.91531162486752</v>
      </c>
      <c r="X380" s="79">
        <f>VLOOKUP(B380,'Player Data'!$A1:$AE667,12,FALSE)*$Q380*_xlfn.IFERROR((VLOOKUP(P380,'Settings'!$E$28:$F$33,2,FALSE)+1),1)</f>
        <v>7.1009769999786</v>
      </c>
      <c r="Y380" s="79">
        <f>VLOOKUP(B380,'Player Data'!$A1:$AE667,13,FALSE)*$Q380</f>
        <v>0.00730588963888274</v>
      </c>
      <c r="Z380" s="79">
        <f>VLOOKUP(B380,'Player Data'!$A1:$AE667,14,FALSE)*$Q380</f>
        <v>0.0123830491664328</v>
      </c>
      <c r="AA380" s="79">
        <f>VLOOKUP(B380,'Player Data'!$A1:$AE667,15,FALSE)*$Q380</f>
        <v>23.7572785554502</v>
      </c>
      <c r="AB380" s="79">
        <f>VLOOKUP(B380,'Player Data'!$A1:$AE667,16,FALSE)*$Q380</f>
        <v>120.671103435525</v>
      </c>
      <c r="AC380" s="79">
        <f>VLOOKUP(B380,'Player Data'!$A1:$AE667,17,FALSE)*$Q380*_xlfn.IFERROR((VLOOKUP(P380,'Settings'!$E$28:$F$33,2,FALSE)+1),1)</f>
        <v>0.410923776747596</v>
      </c>
      <c r="AD380" s="79">
        <f>VLOOKUP(B380,'Player Data'!$A1:$AE667,18,FALSE)*$Q380</f>
        <v>38.5626796526125</v>
      </c>
      <c r="AE380" s="79">
        <f>VLOOKUP(B380,'Player Data'!$A1:$AE667,19,FALSE)*$Q380*_xlfn.IFERROR((VLOOKUP(P380,'Settings'!$E$28:$F$33,2,FALSE)+1),1)</f>
        <v>2.18494774332992</v>
      </c>
      <c r="AF380" s="79">
        <f>VLOOKUP(B380,'Player Data'!$A1:$AE667,20,FALSE)*$Q380</f>
        <v>9.62105761283234</v>
      </c>
      <c r="AG380" s="79">
        <f>VLOOKUP(B380,'Player Data'!$A1:$AE667,21,FALSE)*$Q380</f>
        <v>20.548450366501</v>
      </c>
      <c r="AH380" s="81">
        <f>VLOOKUP(B380,'Player Data'!$A1:$AE667,22,FALSE)</f>
        <v>0.318900050323092</v>
      </c>
      <c r="AI380" s="77"/>
      <c r="AJ380" s="79"/>
      <c r="AK380" s="79"/>
      <c r="AL380" s="79"/>
      <c r="AM380" s="79"/>
      <c r="AN380" s="79"/>
      <c r="AO380" s="79"/>
      <c r="AP380" s="79"/>
      <c r="AQ380" s="82"/>
      <c r="AR380" s="83"/>
      <c r="AS380" s="93"/>
    </row>
    <row r="381" ht="21.25" customHeight="1">
      <c r="A381" s="85">
        <f>RANK(K381,K$1:K$665)</f>
        <v>353</v>
      </c>
      <c r="B381" t="s" s="16">
        <v>571</v>
      </c>
      <c r="C381" t="s" s="69">
        <v>127</v>
      </c>
      <c r="D381" t="s" s="70">
        <f>VLOOKUP(B381,'Player Data'!A1:D667,4,FALSE)</f>
        <v>161</v>
      </c>
      <c r="E381" s="99">
        <f>VLOOKUP(B381,'G'!A1:D65,3,FALSE)</f>
        <v>46</v>
      </c>
      <c r="F381" t="s" s="104">
        <f>VLOOKUP(B381,'Player Data'!A1:B667,2,FALSE)</f>
        <v>333</v>
      </c>
      <c r="G381" s="96">
        <f>VLOOKUP(B381,'Player Data'!A1:D667,3,FALSE)</f>
        <v>27</v>
      </c>
      <c r="H381" s="94">
        <f>_xlfn.IFERROR(VLOOKUP(B381,'ADP'!A1:G665,7,FALSE)/1000000,VLOOKUP(B381,'ADP'!A1:G665,7,FALSE))</f>
        <v>2.35</v>
      </c>
      <c r="I381" s="74">
        <f>IF('Settings'!$E$15="POINTS",(AJ381*'Settings'!$B$29)+(AK381*'Settings'!$B$21)+(AL381*'Settings'!$B$22)+(AN381*'Settings'!$B$24)+(AO381*'Settings'!$B$25)+(AP381*'Settings'!$B$27)+(AM381*'Settings'!$B$23),VLOOKUP(B381,'Standard Deviations'!A1:C666,3,FALSE))</f>
        <v>154.394270679611</v>
      </c>
      <c r="J381" s="75">
        <f>IF(D381="G",I381/AJ381,I381/Q381)</f>
        <v>5.14647568932037</v>
      </c>
      <c r="K381" s="74">
        <f>VLOOKUP(B381,'G'!A1:F65,6,FALSE)</f>
        <v>-113.196743884979</v>
      </c>
      <c r="L381" s="76">
        <f>_xlfn.IFERROR(K381/H381,"N/A")</f>
        <v>-48.1688271850974</v>
      </c>
      <c r="M381" s="109">
        <f>IF('Settings'!$E$9="YAHOO",VLOOKUP(B381,'ADP'!A1:E665,2,FALSE),IF('Settings'!$E$9="ESPN",VLOOKUP(B381,'ADP'!A1:E665,3,FALSE),IF('Settings'!$E$9="FANTRAX",VLOOKUP(B381,'ADP'!A1:E665,4,FALSE),VLOOKUP(B381,'ADP'!A1:E665,5,FALSE))))</f>
        <v>0</v>
      </c>
      <c r="N381" s="79">
        <f>_xlfn.IFERROR(M381-A381,"N/A")</f>
        <v>-353</v>
      </c>
      <c r="O381" s="77"/>
      <c r="P381" t="s" s="78">
        <f>IF('Settings'!$E$27="ON",VLOOKUP(B381,'ADP'!A1:H665,8,FALSE)," ")</f>
        <v>138</v>
      </c>
      <c r="Q381" s="79"/>
      <c r="R381" s="77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81"/>
      <c r="AI381" s="77"/>
      <c r="AJ381" s="89">
        <f>VLOOKUP(B381,'Player Data'!$A1:$AE667,24,FALSE)</f>
        <v>30</v>
      </c>
      <c r="AK381" s="79">
        <f>VLOOKUP(B381,'Player Data'!$A1:$AE667,25,FALSE)*$AJ381*_xlfn.IFERROR((VLOOKUP(P381,'Settings'!$E$28:$F$33,2,FALSE)+1),1)</f>
        <v>10.1450262223695</v>
      </c>
      <c r="AL381" s="79">
        <f>AJ381-AK381-AM381</f>
        <v>16.1049737776305</v>
      </c>
      <c r="AM381" s="79">
        <f>VLOOKUP(B381,'Player Data'!$A1:$AE667,27,FALSE)*$AJ381</f>
        <v>3.75</v>
      </c>
      <c r="AN381" s="79">
        <f>VLOOKUP(B381,'Player Data'!$A1:$AE667,28,FALSE)*AJ381</f>
        <v>0.931508531282268</v>
      </c>
      <c r="AO381" s="79">
        <f>VLOOKUP(B381,'Player Data'!$A1:$AE667,29,FALSE)*$AJ381*_xlfn.IFERROR((VLOOKUP(P381,'Settings'!$E$28:$F$33,2,FALSE)/4)+1,1)</f>
        <v>884.481315951606</v>
      </c>
      <c r="AP381" s="79">
        <f>VLOOKUP(B381,'Player Data'!$A1:$AE667,31,FALSE)*$AJ381*(_xlfn.IFERROR(1-(VLOOKUP(P381,'Settings'!$E$28:$F$33,2,FALSE)/4),1))</f>
        <v>95.01629041860301</v>
      </c>
      <c r="AQ381" s="82">
        <f>1-(AP381/(AO381+AP381))</f>
        <v>0.902994872268538</v>
      </c>
      <c r="AR381" s="83">
        <f>AP381/AJ381</f>
        <v>3.1672096806201</v>
      </c>
      <c r="AS381" s="84"/>
    </row>
    <row r="382" ht="21.25" customHeight="1">
      <c r="A382" s="85">
        <f>RANK(K382,K$1:K$665)</f>
        <v>384</v>
      </c>
      <c r="B382" t="s" s="16">
        <v>572</v>
      </c>
      <c r="C382" t="s" s="69">
        <v>127</v>
      </c>
      <c r="D382" t="s" s="70">
        <f>VLOOKUP(B382,'Player Data'!A1:D667,4,FALSE)</f>
        <v>148</v>
      </c>
      <c r="E382" s="87">
        <f>VLOOKUP(B382,'RW'!A1:C136,3,FALSE)</f>
        <v>79</v>
      </c>
      <c r="F382" t="s" s="103">
        <f>VLOOKUP(B382,'Player Data'!A1:B667,2,FALSE)</f>
        <v>225</v>
      </c>
      <c r="G382" s="11">
        <f>VLOOKUP(B382,'Player Data'!A1:D667,3,FALSE)</f>
        <v>28</v>
      </c>
      <c r="H382" s="73">
        <f>_xlfn.IFERROR(VLOOKUP(B382,'ADP'!A1:G665,7,FALSE)/1000000,VLOOKUP(B382,'ADP'!A1:G665,7,FALSE))</f>
        <v>3.5</v>
      </c>
      <c r="I382" s="74">
        <f>IF('Settings'!$E$15="POINTS",((R382*Q382)*'Settings'!$B$12)+(S382*'Settings'!$B$2)+(T382*'Settings'!$B$3)+(U382*'Settings'!$B$4)+(V382*'Settings'!$B$5)+(X382*'Settings'!$B$9)+(AA382*'Settings'!$B$6)+(W382*'Settings'!$B$8)+(AB382*'Settings'!$B$7)+(AC382*'Settings'!$B$14)+(AD382*'Settings'!$B$15)+(AE382*'Settings'!$B$16)+(AF382*'Settings'!$B$17)+(AG382*'Settings'!$B$18)+(Y382*'Settings'!$B$10)+(Z382*'Settings'!$B$11),VLOOKUP(B382,'Standard Deviations'!A1:C666,3,FALSE))</f>
        <v>207.643482632290</v>
      </c>
      <c r="J382" s="75">
        <f>IF(D382="G",I382/AJ382,I382/Q382)</f>
        <v>2.59659840100403</v>
      </c>
      <c r="K382" s="74">
        <f>IF('Settings'!$E$18="C/LW/RW",VLOOKUP(B382,'RW'!A1:F136,6,FALSE),VLOOKUP(B382,'F'!A1:F392,6,FALSE))</f>
        <v>-122.048411448888</v>
      </c>
      <c r="L382" s="76">
        <f>_xlfn.IFERROR(K382/H382,"N/A")</f>
        <v>-34.8709746996823</v>
      </c>
      <c r="M382" s="109">
        <f>IF('Settings'!$E$9="YAHOO",VLOOKUP(B382,'ADP'!A1:E665,2,FALSE),IF('Settings'!$E$9="ESPN",VLOOKUP(B382,'ADP'!A1:E665,3,FALSE),IF('Settings'!$E$9="FANTRAX",VLOOKUP(B382,'ADP'!A1:E665,4,FALSE),VLOOKUP(B382,'ADP'!A1:E665,5,FALSE))))</f>
        <v>0</v>
      </c>
      <c r="N382" s="79">
        <f>_xlfn.IFERROR(M382-A382,"N/A")</f>
        <v>-384</v>
      </c>
      <c r="O382" s="77"/>
      <c r="P382" t="s" s="78">
        <f>IF('Settings'!$E$27="ON",VLOOKUP(B382,'ADP'!A1:H665,8,FALSE)," ")</f>
        <v>138</v>
      </c>
      <c r="Q382" s="79">
        <f>IF('Settings'!$E$12="YES",VLOOKUP(B382,'Player Data'!A1:E667,5,FALSE),82)</f>
        <v>79.9675</v>
      </c>
      <c r="R382" s="77">
        <f>VLOOKUP(B382,'Player Data'!$A1:$AE667,6,FALSE)</f>
        <v>14.2640148034409</v>
      </c>
      <c r="S382" s="79">
        <f>VLOOKUP(B382,'Player Data'!$A1:$AE667,7,FALSE)*$Q382*_xlfn.IFERROR((VLOOKUP(P382,'Settings'!$E$28:$F$33,2,FALSE)+1),1)</f>
        <v>14.0586514995508</v>
      </c>
      <c r="T382" s="79">
        <f>VLOOKUP(B382,'Player Data'!$A1:$AE667,8,FALSE)*$Q382*_xlfn.IFERROR((VLOOKUP(P382,'Settings'!$E$28:$F$33,2,FALSE)+1),1)</f>
        <v>16.212765549964</v>
      </c>
      <c r="U382" s="79">
        <f>SUM(S382:T382)</f>
        <v>30.2714170495148</v>
      </c>
      <c r="V382" s="79">
        <f>VLOOKUP(B382,'Player Data'!$A1:$AE667,10,FALSE)*$Q382*_xlfn.IFERROR(((VLOOKUP(P382,'Settings'!$E$28:$F$33,2,FALSE)/2)+1),1)</f>
        <v>179.518562212377</v>
      </c>
      <c r="W382" s="79">
        <f>VLOOKUP(B382,'Player Data'!$A1:$AE667,11,FALSE)*$Q382*_xlfn.IFERROR((VLOOKUP(P382,'Settings'!$E$28:$F$33,2,FALSE)+1),1)</f>
        <v>0.657204837596427</v>
      </c>
      <c r="X382" s="79">
        <f>VLOOKUP(B382,'Player Data'!$A1:$AE667,12,FALSE)*$Q382*_xlfn.IFERROR((VLOOKUP(P382,'Settings'!$E$28:$F$33,2,FALSE)+1),1)</f>
        <v>1.10940493362468</v>
      </c>
      <c r="Y382" s="79">
        <f>VLOOKUP(B382,'Player Data'!$A1:$AE667,13,FALSE)*$Q382</f>
        <v>1.11041640439251</v>
      </c>
      <c r="Z382" s="79">
        <f>VLOOKUP(B382,'Player Data'!$A1:$AE667,14,FALSE)*$Q382</f>
        <v>1.84830960218529</v>
      </c>
      <c r="AA382" s="79">
        <f>VLOOKUP(B382,'Player Data'!$A1:$AE667,15,FALSE)*$Q382</f>
        <v>33.1476227567455</v>
      </c>
      <c r="AB382" s="79">
        <f>VLOOKUP(B382,'Player Data'!$A1:$AE667,16,FALSE)*$Q382</f>
        <v>97.36773280931919</v>
      </c>
      <c r="AC382" s="79">
        <f>VLOOKUP(B382,'Player Data'!$A1:$AE667,17,FALSE)*$Q382*_xlfn.IFERROR((VLOOKUP(P382,'Settings'!$E$28:$F$33,2,FALSE)+1),1)</f>
        <v>7.12992816634923</v>
      </c>
      <c r="AD382" s="79">
        <f>VLOOKUP(B382,'Player Data'!$A1:$AE667,18,FALSE)*$Q382</f>
        <v>33.4953329857254</v>
      </c>
      <c r="AE382" s="79">
        <f>VLOOKUP(B382,'Player Data'!$A1:$AE667,19,FALSE)*$Q382*_xlfn.IFERROR((VLOOKUP(P382,'Settings'!$E$28:$F$33,2,FALSE)+1),1)</f>
        <v>2.50541576673672</v>
      </c>
      <c r="AF382" s="79">
        <f>VLOOKUP(B382,'Player Data'!$A1:$AE667,20,FALSE)*$Q382</f>
        <v>6.95362775438795</v>
      </c>
      <c r="AG382" s="79">
        <f>VLOOKUP(B382,'Player Data'!$A1:$AE667,21,FALSE)*$Q382</f>
        <v>7.50210032255257</v>
      </c>
      <c r="AH382" s="81">
        <f>VLOOKUP(B382,'Player Data'!$A1:$AE667,22,FALSE)</f>
        <v>0.481029230584396</v>
      </c>
      <c r="AI382" s="77"/>
      <c r="AJ382" s="79"/>
      <c r="AK382" s="79"/>
      <c r="AL382" s="79"/>
      <c r="AM382" s="79"/>
      <c r="AN382" s="79"/>
      <c r="AO382" s="79"/>
      <c r="AP382" s="79"/>
      <c r="AQ382" s="82"/>
      <c r="AR382" s="83"/>
      <c r="AS382" s="93"/>
    </row>
    <row r="383" ht="21.25" customHeight="1">
      <c r="A383" s="85">
        <f>RANK(K383,K$1:K$665)</f>
        <v>367</v>
      </c>
      <c r="B383" t="s" s="16">
        <v>573</v>
      </c>
      <c r="C383" t="s" s="69">
        <v>127</v>
      </c>
      <c r="D383" t="s" s="70">
        <f>VLOOKUP(B383,'Player Data'!A1:D667,4,FALSE)</f>
        <v>153</v>
      </c>
      <c r="E383" s="95">
        <f>VLOOKUP(B383,'D'!A1:C213,3,FALSE)</f>
        <v>123</v>
      </c>
      <c r="F383" t="s" s="107">
        <f>VLOOKUP(B383,'Player Data'!A1:B667,2,FALSE)</f>
        <v>279</v>
      </c>
      <c r="G383" s="96">
        <f>VLOOKUP(B383,'Player Data'!A1:D667,3,FALSE)</f>
        <v>20</v>
      </c>
      <c r="H383" s="73">
        <f>_xlfn.IFERROR(VLOOKUP(B383,'ADP'!A1:G665,7,FALSE)/1000000,VLOOKUP(B383,'ADP'!A1:G665,7,FALSE))</f>
        <v>0.844</v>
      </c>
      <c r="I383" s="74">
        <f>IF('Settings'!$E$15="POINTS",((R383*Q383)*'Settings'!$B$12)+(S383*'Settings'!$B$2)+(T383*'Settings'!$B$3)+(U383*'Settings'!$B$4)+(V383*'Settings'!$B$5)+(X383*'Settings'!$B$9)+(AA383*'Settings'!$B$6)+(W383*'Settings'!$B$8)+(AB383*'Settings'!$B$7)+(AC383*'Settings'!$B$14)+(AD383*'Settings'!$B$15)+(AE383*'Settings'!$B$16)+(AF383*'Settings'!$B$17)+(AG383*'Settings'!$B$18)+(U383*'Settings'!$B$13)+(Y383*'Settings'!$B$10)+(Z383*'Settings'!$B$11),VLOOKUP(B383,'Standard Deviations'!A1:C666,3,FALSE))</f>
        <v>213.969765018407</v>
      </c>
      <c r="J383" s="75">
        <f>IF(D383="G",I383/AJ383,I383/Q383)</f>
        <v>3.17981520312687</v>
      </c>
      <c r="K383" s="74">
        <f>VLOOKUP(B383,'D'!A1:F213,6,FALSE)</f>
        <v>-117.570442901675</v>
      </c>
      <c r="L383" s="76">
        <f>_xlfn.IFERROR(K383/H383,"N/A")</f>
        <v>-139.301472632316</v>
      </c>
      <c r="M383" s="109">
        <f>IF('Settings'!$E$9="YAHOO",VLOOKUP(B383,'ADP'!A1:E665,2,FALSE),IF('Settings'!$E$9="ESPN",VLOOKUP(B383,'ADP'!A1:E665,3,FALSE),IF('Settings'!$E$9="FANTRAX",VLOOKUP(B383,'ADP'!A1:E665,4,FALSE),VLOOKUP(B383,'ADP'!A1:E665,5,FALSE))))</f>
        <v>0</v>
      </c>
      <c r="N383" s="79">
        <f>_xlfn.IFERROR(M383-A383,"N/A")</f>
        <v>-367</v>
      </c>
      <c r="O383" s="77"/>
      <c r="P383" t="s" s="78">
        <f>IF('Settings'!$E$27="ON",VLOOKUP(B383,'ADP'!A1:H665,8,FALSE)," ")</f>
        <v>138</v>
      </c>
      <c r="Q383" s="79">
        <f>IF('Settings'!$E$12="YES",VLOOKUP(B383,'Player Data'!A1:E667,5,FALSE),82)</f>
        <v>67.29000000000001</v>
      </c>
      <c r="R383" s="98">
        <f>VLOOKUP(B383,'Player Data'!$A1:$AE667,6,FALSE)</f>
        <v>21.1846076974402</v>
      </c>
      <c r="S383" s="79">
        <f>VLOOKUP(B383,'Player Data'!$A1:$AE667,7,FALSE)*$Q383*_xlfn.IFERROR((VLOOKUP(P383,'Settings'!$E$28:$F$33,2,FALSE)+1),1)</f>
        <v>6.16512908176401</v>
      </c>
      <c r="T383" s="79">
        <f>VLOOKUP(B383,'Player Data'!$A1:$AE667,8,FALSE)*$Q383*_xlfn.IFERROR((VLOOKUP(P383,'Settings'!$E$28:$F$33,2,FALSE)+1),1)</f>
        <v>24.2242096156713</v>
      </c>
      <c r="U383" s="79">
        <f>SUM(S383:T383)</f>
        <v>30.3893386974353</v>
      </c>
      <c r="V383" s="79">
        <f>VLOOKUP(B383,'Player Data'!$A1:$AE667,10,FALSE)*$Q383*_xlfn.IFERROR(((VLOOKUP(P383,'Settings'!$E$28:$F$33,2,FALSE)/2)+1),1)</f>
        <v>107.849039511583</v>
      </c>
      <c r="W383" s="79">
        <f>VLOOKUP(B383,'Player Data'!$A1:$AE667,11,FALSE)*$Q383*_xlfn.IFERROR((VLOOKUP(P383,'Settings'!$E$28:$F$33,2,FALSE)+1),1)</f>
        <v>0.854788683563657</v>
      </c>
      <c r="X383" s="101">
        <f>VLOOKUP(B383,'Player Data'!$A1:$AE667,12,FALSE)*$Q383*_xlfn.IFERROR((VLOOKUP(P383,'Settings'!$E$28:$F$33,2,FALSE)+1),1)</f>
        <v>9.521338036158649</v>
      </c>
      <c r="Y383" s="79">
        <f>VLOOKUP(B383,'Player Data'!$A1:$AE667,13,FALSE)*$Q383</f>
        <v>0.0277284047572629</v>
      </c>
      <c r="Z383" s="79">
        <f>VLOOKUP(B383,'Player Data'!$A1:$AE667,14,FALSE)*$Q383</f>
        <v>0.135100405891112</v>
      </c>
      <c r="AA383" s="79">
        <f>VLOOKUP(B383,'Player Data'!$A1:$AE667,15,FALSE)*$Q383</f>
        <v>106.571266519569</v>
      </c>
      <c r="AB383" s="79">
        <f>VLOOKUP(B383,'Player Data'!$A1:$AE667,16,FALSE)*$Q383</f>
        <v>64.936171395164</v>
      </c>
      <c r="AC383" s="79">
        <f>VLOOKUP(B383,'Player Data'!$A1:$AE667,17,FALSE)*$Q383*_xlfn.IFERROR((VLOOKUP(P383,'Settings'!$E$28:$F$33,2,FALSE)+1),1)</f>
        <v>-6.42716239579718</v>
      </c>
      <c r="AD383" s="79">
        <f>VLOOKUP(B383,'Player Data'!$A1:$AE667,18,FALSE)*$Q383</f>
        <v>26.1218520157358</v>
      </c>
      <c r="AE383" s="79">
        <f>VLOOKUP(B383,'Player Data'!$A1:$AE667,19,FALSE)*$Q383*_xlfn.IFERROR((VLOOKUP(P383,'Settings'!$E$28:$F$33,2,FALSE)+1),1)</f>
        <v>0.718604667332406</v>
      </c>
      <c r="AF383" s="79">
        <f>VLOOKUP(B383,'Player Data'!$A1:$AE667,20,FALSE)*$Q383</f>
        <v>0</v>
      </c>
      <c r="AG383" s="79">
        <f>VLOOKUP(B383,'Player Data'!$A1:$AE667,21,FALSE)*$Q383</f>
        <v>0</v>
      </c>
      <c r="AH383" s="81">
        <f>VLOOKUP(B383,'Player Data'!$A1:$AE667,22,FALSE)</f>
        <v>0</v>
      </c>
      <c r="AI383" s="77"/>
      <c r="AJ383" s="79"/>
      <c r="AK383" s="79"/>
      <c r="AL383" s="79"/>
      <c r="AM383" s="79"/>
      <c r="AN383" s="79"/>
      <c r="AO383" s="79"/>
      <c r="AP383" s="79"/>
      <c r="AQ383" s="82"/>
      <c r="AR383" s="83"/>
      <c r="AS383" s="84"/>
    </row>
    <row r="384" ht="21.25" customHeight="1">
      <c r="A384" s="85">
        <f>RANK(K384,K$1:K$665)</f>
        <v>410</v>
      </c>
      <c r="B384" t="s" s="16">
        <v>574</v>
      </c>
      <c r="C384" t="s" s="69">
        <v>127</v>
      </c>
      <c r="D384" t="s" s="70">
        <f>VLOOKUP(B384,'Player Data'!A1:D667,4,FALSE)</f>
        <v>128</v>
      </c>
      <c r="E384" s="71">
        <f>VLOOKUP(B384,'C'!A1:C206,3,FALSE)</f>
        <v>121</v>
      </c>
      <c r="F384" t="s" s="88">
        <f>VLOOKUP(B384,'Player Data'!A1:B667,2,FALSE)</f>
        <v>304</v>
      </c>
      <c r="G384" s="96">
        <f>VLOOKUP(B384,'Player Data'!A1:D667,3,FALSE)</f>
        <v>20</v>
      </c>
      <c r="H384" s="73">
        <f>_xlfn.IFERROR(VLOOKUP(B384,'ADP'!A1:G665,7,FALSE)/1000000,VLOOKUP(B384,'ADP'!A1:G665,7,FALSE))</f>
        <v>0.886667</v>
      </c>
      <c r="I384" s="74">
        <f>IF('Settings'!$E$15="POINTS",((R384*Q384)*'Settings'!$B$12)+(S384*'Settings'!$B$2)+(T384*'Settings'!$B$3)+(U384*'Settings'!$B$4)+(V384*'Settings'!$B$5)+(X384*'Settings'!$B$9)+(AA384*'Settings'!$B$6)+(W384*'Settings'!$B$8)+(AB384*'Settings'!$B$7)+(AC384*'Settings'!$B$14)+(AD384*'Settings'!$B$15)+(AE384*'Settings'!$B$16)+(AF384*'Settings'!$B$17)+(AG384*'Settings'!$B$18)+(Y384*'Settings'!$B$10)+(Z384*'Settings'!$B$11),VLOOKUP(B384,'Standard Deviations'!A1:C666,3,FALSE))</f>
        <v>201.924581686643</v>
      </c>
      <c r="J384" s="75">
        <f>IF(D384="G",I384/AJ384,I384/Q384)</f>
        <v>2.69232775582191</v>
      </c>
      <c r="K384" s="74">
        <f>IF('Settings'!$E$18="C/LW/RW",VLOOKUP(B384,'C'!A1:F206,6,FALSE),VLOOKUP(B384,'F'!A1:F392,6,FALSE))</f>
        <v>-127.767312394535</v>
      </c>
      <c r="L384" s="76">
        <f>_xlfn.IFERROR(K384/H384,"N/A")</f>
        <v>-144.098418453078</v>
      </c>
      <c r="M384" s="109">
        <f>IF('Settings'!$E$9="YAHOO",VLOOKUP(B384,'ADP'!A1:E665,2,FALSE),IF('Settings'!$E$9="ESPN",VLOOKUP(B384,'ADP'!A1:E665,3,FALSE),IF('Settings'!$E$9="FANTRAX",VLOOKUP(B384,'ADP'!A1:E665,4,FALSE),VLOOKUP(B384,'ADP'!A1:E665,5,FALSE))))</f>
        <v>0</v>
      </c>
      <c r="N384" s="79">
        <f>_xlfn.IFERROR(M384-A384,"N/A")</f>
        <v>-410</v>
      </c>
      <c r="O384" s="77"/>
      <c r="P384" t="s" s="78">
        <f>IF('Settings'!$E$27="ON",VLOOKUP(B384,'ADP'!A1:H665,8,FALSE)," ")</f>
        <v>138</v>
      </c>
      <c r="Q384" s="79">
        <f>IF('Settings'!$E$12="YES",VLOOKUP(B384,'Player Data'!A1:E667,5,FALSE),82)</f>
        <v>75</v>
      </c>
      <c r="R384" s="77">
        <f>VLOOKUP(B384,'Player Data'!$A1:$AE667,6,FALSE)</f>
        <v>14.0459177536868</v>
      </c>
      <c r="S384" s="79">
        <f>VLOOKUP(B384,'Player Data'!$A1:$AE667,7,FALSE)*$Q384*_xlfn.IFERROR((VLOOKUP(P384,'Settings'!$E$28:$F$33,2,FALSE)+1),1)</f>
        <v>21.071758568698</v>
      </c>
      <c r="T384" s="79">
        <f>VLOOKUP(B384,'Player Data'!$A1:$AE667,8,FALSE)*$Q384*_xlfn.IFERROR((VLOOKUP(P384,'Settings'!$E$28:$F$33,2,FALSE)+1),1)</f>
        <v>19.8007295431119</v>
      </c>
      <c r="U384" s="79">
        <f>SUM(S384:T384)</f>
        <v>40.8724881118099</v>
      </c>
      <c r="V384" s="79">
        <f>VLOOKUP(B384,'Player Data'!$A1:$AE667,10,FALSE)*$Q384*_xlfn.IFERROR(((VLOOKUP(P384,'Settings'!$E$28:$F$33,2,FALSE)/2)+1),1)</f>
        <v>125.343969994922</v>
      </c>
      <c r="W384" s="79">
        <f>VLOOKUP(B384,'Player Data'!$A1:$AE667,11,FALSE)*$Q384*_xlfn.IFERROR((VLOOKUP(P384,'Settings'!$E$28:$F$33,2,FALSE)+1),1)</f>
        <v>2.67654904322012</v>
      </c>
      <c r="X384" s="79">
        <f>VLOOKUP(B384,'Player Data'!$A1:$AE667,12,FALSE)*$Q384*_xlfn.IFERROR((VLOOKUP(P384,'Settings'!$E$28:$F$33,2,FALSE)+1),1)</f>
        <v>8.62214925155145</v>
      </c>
      <c r="Y384" s="79">
        <f>VLOOKUP(B384,'Player Data'!$A1:$AE667,13,FALSE)*$Q384</f>
        <v>0.0043634429857262</v>
      </c>
      <c r="Z384" s="79">
        <f>VLOOKUP(B384,'Player Data'!$A1:$AE667,14,FALSE)*$Q384</f>
        <v>0.00741806155233459</v>
      </c>
      <c r="AA384" s="79">
        <f>VLOOKUP(B384,'Player Data'!$A1:$AE667,15,FALSE)*$Q384</f>
        <v>44.0791865103452</v>
      </c>
      <c r="AB384" s="79">
        <f>VLOOKUP(B384,'Player Data'!$A1:$AE667,16,FALSE)*$Q384</f>
        <v>57.6386702258237</v>
      </c>
      <c r="AC384" s="79">
        <f>VLOOKUP(B384,'Player Data'!$A1:$AE667,17,FALSE)*$Q384*_xlfn.IFERROR((VLOOKUP(P384,'Settings'!$E$28:$F$33,2,FALSE)+1),1)</f>
        <v>0.244538887248789</v>
      </c>
      <c r="AD384" s="79">
        <f>VLOOKUP(B384,'Player Data'!$A1:$AE667,18,FALSE)*$Q384</f>
        <v>24.8510289754521</v>
      </c>
      <c r="AE384" s="79">
        <f>VLOOKUP(B384,'Player Data'!$A1:$AE667,19,FALSE)*$Q384*_xlfn.IFERROR((VLOOKUP(P384,'Settings'!$E$28:$F$33,2,FALSE)+1),1)</f>
        <v>3.19969745940139</v>
      </c>
      <c r="AF384" s="79">
        <f>VLOOKUP(B384,'Player Data'!$A1:$AE667,20,FALSE)*$Q384</f>
        <v>333.841698431444</v>
      </c>
      <c r="AG384" s="79">
        <f>VLOOKUP(B384,'Player Data'!$A1:$AE667,21,FALSE)*$Q384</f>
        <v>419.116590579268</v>
      </c>
      <c r="AH384" s="81">
        <f>VLOOKUP(B384,'Player Data'!$A1:$AE667,22,FALSE)</f>
        <v>0.44337342891871</v>
      </c>
      <c r="AI384" s="77"/>
      <c r="AJ384" s="79"/>
      <c r="AK384" s="79"/>
      <c r="AL384" s="79"/>
      <c r="AM384" s="79"/>
      <c r="AN384" s="79"/>
      <c r="AO384" s="79"/>
      <c r="AP384" s="79"/>
      <c r="AQ384" s="82"/>
      <c r="AR384" s="83"/>
      <c r="AS384" s="84"/>
    </row>
    <row r="385" ht="21.25" customHeight="1">
      <c r="A385" s="85">
        <f>RANK(K385,K$1:K$665)</f>
        <v>395</v>
      </c>
      <c r="B385" t="s" s="16">
        <v>575</v>
      </c>
      <c r="C385" t="s" s="69">
        <v>127</v>
      </c>
      <c r="D385" t="s" s="70">
        <f>VLOOKUP(B385,'Player Data'!A1:D667,4,FALSE)</f>
        <v>136</v>
      </c>
      <c r="E385" s="87">
        <f>VLOOKUP(B385,'LW'!A1:C152,3,FALSE)</f>
        <v>95</v>
      </c>
      <c r="F385" t="s" s="86">
        <f>VLOOKUP(B385,'Player Data'!A1:B667,2,FALSE)</f>
        <v>149</v>
      </c>
      <c r="G385" s="91">
        <f>VLOOKUP(B385,'Player Data'!A1:D667,3,FALSE)</f>
        <v>31</v>
      </c>
      <c r="H385" s="73">
        <f>_xlfn.IFERROR(VLOOKUP(B385,'ADP'!A1:G665,7,FALSE)/1000000,VLOOKUP(B385,'ADP'!A1:G665,7,FALSE))</f>
        <v>3</v>
      </c>
      <c r="I385" s="74">
        <f>IF('Settings'!$E$15="POINTS",((R385*Q385)*'Settings'!$B$12)+(S385*'Settings'!$B$2)+(T385*'Settings'!$B$3)+(U385*'Settings'!$B$4)+(V385*'Settings'!$B$5)+(X385*'Settings'!$B$9)+(AA385*'Settings'!$B$6)+(W385*'Settings'!$B$8)+(AB385*'Settings'!$B$7)+(AC385*'Settings'!$B$14)+(AD385*'Settings'!$B$15)+(AE385*'Settings'!$B$16)+(AF385*'Settings'!$B$17)+(AG385*'Settings'!$B$18)+(Y385*'Settings'!$B$10)+(Z385*'Settings'!$B$11),VLOOKUP(B385,'Standard Deviations'!A1:C666,3,FALSE))</f>
        <v>206.982312925074</v>
      </c>
      <c r="J385" s="75">
        <f>IF(D385="G",I385/AJ385,I385/Q385)</f>
        <v>2.59092239618306</v>
      </c>
      <c r="K385" s="74">
        <f>IF('Settings'!$E$18="C/LW/RW",VLOOKUP(B385,'LW'!A1:F152,6,FALSE),VLOOKUP(B385,'F'!A1:F392,6,FALSE))</f>
        <v>-124.737798841138</v>
      </c>
      <c r="L385" s="76">
        <f>_xlfn.IFERROR(K385/H385,"N/A")</f>
        <v>-41.5792662803793</v>
      </c>
      <c r="M385" s="77">
        <f>IF('Settings'!$E$9="YAHOO",VLOOKUP(B385,'ADP'!A1:E665,2,FALSE),IF('Settings'!$E$9="ESPN",VLOOKUP(B385,'ADP'!A1:E665,3,FALSE),IF('Settings'!$E$9="FANTRAX",VLOOKUP(B385,'ADP'!A1:E665,4,FALSE),VLOOKUP(B385,'ADP'!A1:E665,5,FALSE))))</f>
        <v>0</v>
      </c>
      <c r="N385" s="77">
        <f>_xlfn.IFERROR(M385-A385,"N/A")</f>
        <v>-395</v>
      </c>
      <c r="O385" s="77"/>
      <c r="P385" t="s" s="78">
        <f>IF('Settings'!$E$27="ON",VLOOKUP(B385,'ADP'!A1:H665,8,FALSE)," ")</f>
        <v>138</v>
      </c>
      <c r="Q385" s="79">
        <f>IF('Settings'!$E$12="YES",VLOOKUP(B385,'Player Data'!A1:E667,5,FALSE),82)</f>
        <v>79.8875</v>
      </c>
      <c r="R385" s="77">
        <f>VLOOKUP(B385,'Player Data'!$A1:$AE667,6,FALSE)</f>
        <v>14.8915787678441</v>
      </c>
      <c r="S385" s="79">
        <f>VLOOKUP(B385,'Player Data'!$A1:$AE667,7,FALSE)*$Q385*_xlfn.IFERROR((VLOOKUP(P385,'Settings'!$E$28:$F$33,2,FALSE)+1),1)</f>
        <v>13.1586779793659</v>
      </c>
      <c r="T385" s="79">
        <f>VLOOKUP(B385,'Player Data'!$A1:$AE667,8,FALSE)*$Q385*_xlfn.IFERROR((VLOOKUP(P385,'Settings'!$E$28:$F$33,2,FALSE)+1),1)</f>
        <v>23.4595940459358</v>
      </c>
      <c r="U385" s="79">
        <f>SUM(S385:T385)</f>
        <v>36.6182720253017</v>
      </c>
      <c r="V385" s="79">
        <f>VLOOKUP(B385,'Player Data'!$A1:$AE667,10,FALSE)*$Q385*_xlfn.IFERROR(((VLOOKUP(P385,'Settings'!$E$28:$F$33,2,FALSE)/2)+1),1)</f>
        <v>182.498346512399</v>
      </c>
      <c r="W385" s="79">
        <f>VLOOKUP(B385,'Player Data'!$A1:$AE667,11,FALSE)*$Q385*_xlfn.IFERROR((VLOOKUP(P385,'Settings'!$E$28:$F$33,2,FALSE)+1),1)</f>
        <v>3.43178570710489</v>
      </c>
      <c r="X385" s="79">
        <f>VLOOKUP(B385,'Player Data'!$A1:$AE667,12,FALSE)*$Q385*_xlfn.IFERROR((VLOOKUP(P385,'Settings'!$E$28:$F$33,2,FALSE)+1),1)</f>
        <v>7.96912203502531</v>
      </c>
      <c r="Y385" s="79">
        <f>VLOOKUP(B385,'Player Data'!$A1:$AE667,13,FALSE)*$Q385</f>
        <v>0.0143908339872203</v>
      </c>
      <c r="Z385" s="79">
        <f>VLOOKUP(B385,'Player Data'!$A1:$AE667,14,FALSE)*$Q385</f>
        <v>0.024955581251189</v>
      </c>
      <c r="AA385" s="79">
        <f>VLOOKUP(B385,'Player Data'!$A1:$AE667,15,FALSE)*$Q385</f>
        <v>28.9737985657927</v>
      </c>
      <c r="AB385" s="79">
        <f>VLOOKUP(B385,'Player Data'!$A1:$AE667,16,FALSE)*$Q385</f>
        <v>82.0312488770206</v>
      </c>
      <c r="AC385" s="79">
        <f>VLOOKUP(B385,'Player Data'!$A1:$AE667,17,FALSE)*$Q385*_xlfn.IFERROR((VLOOKUP(P385,'Settings'!$E$28:$F$33,2,FALSE)+1),1)</f>
        <v>6.46884160420423</v>
      </c>
      <c r="AD385" s="79">
        <f>VLOOKUP(B385,'Player Data'!$A1:$AE667,18,FALSE)*$Q385</f>
        <v>27.9417364296638</v>
      </c>
      <c r="AE385" s="79">
        <f>VLOOKUP(B385,'Player Data'!$A1:$AE667,19,FALSE)*$Q385*_xlfn.IFERROR((VLOOKUP(P385,'Settings'!$E$28:$F$33,2,FALSE)+1),1)</f>
        <v>2.24173515230257</v>
      </c>
      <c r="AF385" s="79">
        <f>VLOOKUP(B385,'Player Data'!$A1:$AE667,20,FALSE)*$Q385</f>
        <v>63.0433411368537</v>
      </c>
      <c r="AG385" s="79">
        <f>VLOOKUP(B385,'Player Data'!$A1:$AE667,21,FALSE)*$Q385</f>
        <v>65.2810325076089</v>
      </c>
      <c r="AH385" s="81">
        <f>VLOOKUP(B385,'Player Data'!$A1:$AE667,22,FALSE)</f>
        <v>0.491281113216438</v>
      </c>
      <c r="AI385" s="77"/>
      <c r="AJ385" s="79"/>
      <c r="AK385" s="79"/>
      <c r="AL385" s="79"/>
      <c r="AM385" s="79"/>
      <c r="AN385" s="79"/>
      <c r="AO385" s="79"/>
      <c r="AP385" s="79"/>
      <c r="AQ385" s="82"/>
      <c r="AR385" s="83"/>
      <c r="AS385" s="84"/>
    </row>
    <row r="386" ht="21.25" customHeight="1">
      <c r="A386" s="85">
        <f>RANK(K386,K$1:K$665)</f>
        <v>397</v>
      </c>
      <c r="B386" t="s" s="16">
        <v>576</v>
      </c>
      <c r="C386" t="s" s="69">
        <v>127</v>
      </c>
      <c r="D386" t="s" s="70">
        <f>VLOOKUP(B386,'Player Data'!A1:D667,4,FALSE)</f>
        <v>178</v>
      </c>
      <c r="E386" s="102">
        <f>VLOOKUP(B386,'LW'!A1:C152,3,FALSE)</f>
        <v>96</v>
      </c>
      <c r="F386" t="s" s="78">
        <f>VLOOKUP(B386,'Player Data'!A1:B667,2,FALSE)</f>
        <v>194</v>
      </c>
      <c r="G386" s="91">
        <f>VLOOKUP(B386,'Player Data'!A1:D667,3,FALSE)</f>
        <v>33</v>
      </c>
      <c r="H386" s="73">
        <f>_xlfn.IFERROR(VLOOKUP(B386,'ADP'!A1:G665,7,FALSE)/1000000,VLOOKUP(B386,'ADP'!A1:G665,7,FALSE))</f>
        <v>6</v>
      </c>
      <c r="I386" s="74">
        <f>IF('Settings'!$E$15="POINTS",((R386*Q386)*'Settings'!$B$12)+(S386*'Settings'!$B$2)+(T386*'Settings'!$B$3)+(U386*'Settings'!$B$4)+(V386*'Settings'!$B$5)+(X386*'Settings'!$B$9)+(AA386*'Settings'!$B$6)+(W386*'Settings'!$B$8)+(AB386*'Settings'!$B$7)+(AC386*'Settings'!$B$14)+(AD386*'Settings'!$B$15)+(AE386*'Settings'!$B$16)+(AF386*'Settings'!$B$17)+(AG386*'Settings'!$B$18)+(Y386*'Settings'!$B$10)+(Z386*'Settings'!$B$11),VLOOKUP(B386,'Standard Deviations'!A1:C666,3,FALSE))</f>
        <v>206.763402619128</v>
      </c>
      <c r="J386" s="75">
        <f>IF(D386="G",I386/AJ386,I386/Q386)</f>
        <v>2.75537583447665</v>
      </c>
      <c r="K386" s="74">
        <f>IF('Settings'!$E$18="C/LW/RW",VLOOKUP(B386,'LW'!A1:F152,6,FALSE),VLOOKUP(B386,'F'!A1:F392,6,FALSE))</f>
        <v>-124.956709147084</v>
      </c>
      <c r="L386" s="76">
        <f>_xlfn.IFERROR(K386/H386,"N/A")</f>
        <v>-20.8261181911807</v>
      </c>
      <c r="M386" s="109">
        <f>IF('Settings'!$E$9="YAHOO",VLOOKUP(B386,'ADP'!A1:E665,2,FALSE),IF('Settings'!$E$9="ESPN",VLOOKUP(B386,'ADP'!A1:E665,3,FALSE),IF('Settings'!$E$9="FANTRAX",VLOOKUP(B386,'ADP'!A1:E665,4,FALSE),VLOOKUP(B386,'ADP'!A1:E665,5,FALSE))))</f>
        <v>0</v>
      </c>
      <c r="N386" s="79">
        <f>_xlfn.IFERROR(M386-A386,"N/A")</f>
        <v>-397</v>
      </c>
      <c r="O386" s="77"/>
      <c r="P386" t="s" s="78">
        <f>IF('Settings'!$E$27="ON",VLOOKUP(B386,'ADP'!A1:H665,8,FALSE)," ")</f>
        <v>138</v>
      </c>
      <c r="Q386" s="79">
        <f>IF('Settings'!$E$12="YES",VLOOKUP(B386,'Player Data'!A1:E667,5,FALSE),82)</f>
        <v>75.04000000000001</v>
      </c>
      <c r="R386" s="77">
        <f>VLOOKUP(B386,'Player Data'!$A1:$AE667,6,FALSE)</f>
        <v>15.747910134953</v>
      </c>
      <c r="S386" s="79">
        <f>VLOOKUP(B386,'Player Data'!$A1:$AE667,7,FALSE)*$Q386*_xlfn.IFERROR((VLOOKUP(P386,'Settings'!$E$28:$F$33,2,FALSE)+1),1)</f>
        <v>12.1747574751955</v>
      </c>
      <c r="T386" s="79">
        <f>VLOOKUP(B386,'Player Data'!$A1:$AE667,8,FALSE)*$Q386*_xlfn.IFERROR((VLOOKUP(P386,'Settings'!$E$28:$F$33,2,FALSE)+1),1)</f>
        <v>22.1213375724552</v>
      </c>
      <c r="U386" s="79">
        <f>SUM(S386:T386)</f>
        <v>34.2960950476507</v>
      </c>
      <c r="V386" s="79">
        <f>VLOOKUP(B386,'Player Data'!$A1:$AE667,10,FALSE)*$Q386*_xlfn.IFERROR(((VLOOKUP(P386,'Settings'!$E$28:$F$33,2,FALSE)/2)+1),1)</f>
        <v>119.866286839579</v>
      </c>
      <c r="W386" s="79">
        <f>VLOOKUP(B386,'Player Data'!$A1:$AE667,11,FALSE)*$Q386*_xlfn.IFERROR((VLOOKUP(P386,'Settings'!$E$28:$F$33,2,FALSE)+1),1)</f>
        <v>1.27633149005184</v>
      </c>
      <c r="X386" s="79">
        <f>VLOOKUP(B386,'Player Data'!$A1:$AE667,12,FALSE)*$Q386*_xlfn.IFERROR((VLOOKUP(P386,'Settings'!$E$28:$F$33,2,FALSE)+1),1)</f>
        <v>4.90368186677664</v>
      </c>
      <c r="Y386" s="79">
        <f>VLOOKUP(B386,'Player Data'!$A1:$AE667,13,FALSE)*$Q386</f>
        <v>0.11435307358067</v>
      </c>
      <c r="Z386" s="79">
        <f>VLOOKUP(B386,'Player Data'!$A1:$AE667,14,FALSE)*$Q386</f>
        <v>0.380544525938949</v>
      </c>
      <c r="AA386" s="79">
        <f>VLOOKUP(B386,'Player Data'!$A1:$AE667,15,FALSE)*$Q386</f>
        <v>51.9615881970799</v>
      </c>
      <c r="AB386" s="79">
        <f>VLOOKUP(B386,'Player Data'!$A1:$AE667,16,FALSE)*$Q386</f>
        <v>92.8035994641054</v>
      </c>
      <c r="AC386" s="79">
        <f>VLOOKUP(B386,'Player Data'!$A1:$AE667,17,FALSE)*$Q386*_xlfn.IFERROR((VLOOKUP(P386,'Settings'!$E$28:$F$33,2,FALSE)+1),1)</f>
        <v>4.2174270331108</v>
      </c>
      <c r="AD386" s="79">
        <f>VLOOKUP(B386,'Player Data'!$A1:$AE667,18,FALSE)*$Q386</f>
        <v>23.9880981578048</v>
      </c>
      <c r="AE386" s="79">
        <f>VLOOKUP(B386,'Player Data'!$A1:$AE667,19,FALSE)*$Q386*_xlfn.IFERROR((VLOOKUP(P386,'Settings'!$E$28:$F$33,2,FALSE)+1),1)</f>
        <v>1.83688261779439</v>
      </c>
      <c r="AF386" s="79">
        <f>VLOOKUP(B386,'Player Data'!$A1:$AE667,20,FALSE)*$Q386</f>
        <v>2.41169033403415</v>
      </c>
      <c r="AG386" s="79">
        <f>VLOOKUP(B386,'Player Data'!$A1:$AE667,21,FALSE)*$Q386</f>
        <v>15.019894456381</v>
      </c>
      <c r="AH386" s="81">
        <f>VLOOKUP(B386,'Player Data'!$A1:$AE667,22,FALSE)</f>
        <v>0.138351754188193</v>
      </c>
      <c r="AI386" s="77"/>
      <c r="AJ386" s="89"/>
      <c r="AK386" s="79"/>
      <c r="AL386" s="79"/>
      <c r="AM386" s="79"/>
      <c r="AN386" s="79"/>
      <c r="AO386" s="79"/>
      <c r="AP386" s="79"/>
      <c r="AQ386" s="82"/>
      <c r="AR386" s="83"/>
      <c r="AS386" s="84"/>
    </row>
    <row r="387" ht="21.25" customHeight="1">
      <c r="A387" s="85">
        <f>RANK(K387,K$1:K$665)</f>
        <v>386</v>
      </c>
      <c r="B387" t="s" s="16">
        <v>577</v>
      </c>
      <c r="C387" t="s" s="69">
        <v>127</v>
      </c>
      <c r="D387" t="s" s="70">
        <f>VLOOKUP(B387,'Player Data'!A1:D667,4,FALSE)</f>
        <v>140</v>
      </c>
      <c r="E387" s="90">
        <f>VLOOKUP(B387,'RW'!A1:F136,3,FALSE)</f>
        <v>80</v>
      </c>
      <c r="F387" t="s" s="92">
        <f>VLOOKUP(B387,'Player Data'!A1:B667,2,FALSE)</f>
        <v>170</v>
      </c>
      <c r="G387" s="91">
        <f>VLOOKUP(B387,'Player Data'!A1:D667,3,FALSE)</f>
        <v>33</v>
      </c>
      <c r="H387" s="94">
        <f>_xlfn.IFERROR(VLOOKUP(B387,'ADP'!A1:G665,7,FALSE)/1000000,VLOOKUP(B387,'ADP'!A1:G665,7,FALSE))</f>
        <v>3.75</v>
      </c>
      <c r="I387" s="74">
        <f>IF('Settings'!$E$15="POINTS",((R387*Q387)*'Settings'!$B$12)+(S387*'Settings'!$B$2)+(T387*'Settings'!$B$3)+(U387*'Settings'!$B$4)+(V387*'Settings'!$B$5)+(X387*'Settings'!$B$9)+(AA387*'Settings'!$B$6)+(W387*'Settings'!$B$8)+(AB387*'Settings'!$B$7)+(AC387*'Settings'!$B$14)+(AD387*'Settings'!$B$15)+(AE387*'Settings'!$B$16)+(AF387*'Settings'!$B$17)+(AG387*'Settings'!$B$18)+(Y387*'Settings'!$B$10)+(Z387*'Settings'!$B$11),VLOOKUP(B387,'Standard Deviations'!A1:C666,3,FALSE))</f>
        <v>206.385533746930</v>
      </c>
      <c r="J387" s="75">
        <f>IF(D387="G",I387/AJ387,I387/Q387)</f>
        <v>2.65225899565546</v>
      </c>
      <c r="K387" s="74">
        <f>IF('Settings'!$E$18="C/LW/RW",VLOOKUP(B387,'RW'!A1:F136,6,FALSE),VLOOKUP(B387,'F'!A1:F392,6,FALSE))</f>
        <v>-123.306360334248</v>
      </c>
      <c r="L387" s="76">
        <f>_xlfn.IFERROR(K387/H387,"N/A")</f>
        <v>-32.8816960891328</v>
      </c>
      <c r="M387" s="109">
        <f>IF('Settings'!$E$9="YAHOO",VLOOKUP(B387,'ADP'!A1:E665,2,FALSE),IF('Settings'!$E$9="ESPN",VLOOKUP(B387,'ADP'!A1:E665,3,FALSE),IF('Settings'!$E$9="FANTRAX",VLOOKUP(B387,'ADP'!A1:E665,4,FALSE),VLOOKUP(B387,'ADP'!A1:E665,5,FALSE))))</f>
        <v>0</v>
      </c>
      <c r="N387" s="79">
        <f>_xlfn.IFERROR(M387-A387,"N/A")</f>
        <v>-386</v>
      </c>
      <c r="O387" s="77"/>
      <c r="P387" t="s" s="78">
        <f>IF('Settings'!$E$27="ON",VLOOKUP(B387,'ADP'!A1:H665,8,FALSE)," ")</f>
        <v>138</v>
      </c>
      <c r="Q387" s="79">
        <f>IF('Settings'!$E$12="YES",VLOOKUP(B387,'Player Data'!A1:E667,5,FALSE),82)</f>
        <v>77.815</v>
      </c>
      <c r="R387" s="77">
        <f>VLOOKUP(B387,'Player Data'!$A1:$AE667,6,FALSE)</f>
        <v>16.3786660286965</v>
      </c>
      <c r="S387" s="79">
        <f>VLOOKUP(B387,'Player Data'!$A1:$AE667,7,FALSE)*$Q387*_xlfn.IFERROR((VLOOKUP(P387,'Settings'!$E$28:$F$33,2,FALSE)+1),1)</f>
        <v>15.6560828473095</v>
      </c>
      <c r="T387" s="79">
        <f>VLOOKUP(B387,'Player Data'!$A1:$AE667,8,FALSE)*$Q387*_xlfn.IFERROR((VLOOKUP(P387,'Settings'!$E$28:$F$33,2,FALSE)+1),1)</f>
        <v>24.455077016237</v>
      </c>
      <c r="U387" s="79">
        <f>SUM(S387:T387)</f>
        <v>40.1111598635465</v>
      </c>
      <c r="V387" s="79">
        <f>VLOOKUP(B387,'Player Data'!$A1:$AE667,10,FALSE)*$Q387*_xlfn.IFERROR(((VLOOKUP(P387,'Settings'!$E$28:$F$33,2,FALSE)/2)+1),1)</f>
        <v>157.974965092576</v>
      </c>
      <c r="W387" s="79">
        <f>VLOOKUP(B387,'Player Data'!$A1:$AE667,11,FALSE)*$Q387*_xlfn.IFERROR((VLOOKUP(P387,'Settings'!$E$28:$F$33,2,FALSE)+1),1)</f>
        <v>1.58893278562126</v>
      </c>
      <c r="X387" s="79">
        <f>VLOOKUP(B387,'Player Data'!$A1:$AE667,12,FALSE)*$Q387*_xlfn.IFERROR((VLOOKUP(P387,'Settings'!$E$28:$F$33,2,FALSE)+1),1)</f>
        <v>4.79935873220238</v>
      </c>
      <c r="Y387" s="79">
        <f>VLOOKUP(B387,'Player Data'!$A1:$AE667,13,FALSE)*$Q387</f>
        <v>1.44534978641136</v>
      </c>
      <c r="Z387" s="79">
        <f>VLOOKUP(B387,'Player Data'!$A1:$AE667,14,FALSE)*$Q387</f>
        <v>1.88570218535565</v>
      </c>
      <c r="AA387" s="79">
        <f>VLOOKUP(B387,'Player Data'!$A1:$AE667,15,FALSE)*$Q387</f>
        <v>32.1180301507047</v>
      </c>
      <c r="AB387" s="79">
        <f>VLOOKUP(B387,'Player Data'!$A1:$AE667,16,FALSE)*$Q387</f>
        <v>61.6454354979344</v>
      </c>
      <c r="AC387" s="79">
        <f>VLOOKUP(B387,'Player Data'!$A1:$AE667,17,FALSE)*$Q387*_xlfn.IFERROR((VLOOKUP(P387,'Settings'!$E$28:$F$33,2,FALSE)+1),1)</f>
        <v>1.08797435620553</v>
      </c>
      <c r="AD387" s="79">
        <f>VLOOKUP(B387,'Player Data'!$A1:$AE667,18,FALSE)*$Q387</f>
        <v>18.2477488029886</v>
      </c>
      <c r="AE387" s="79">
        <f>VLOOKUP(B387,'Player Data'!$A1:$AE667,19,FALSE)*$Q387*_xlfn.IFERROR((VLOOKUP(P387,'Settings'!$E$28:$F$33,2,FALSE)+1),1)</f>
        <v>2.55911674709794</v>
      </c>
      <c r="AF387" s="79">
        <f>VLOOKUP(B387,'Player Data'!$A1:$AE667,20,FALSE)*$Q387</f>
        <v>7.05778993920129</v>
      </c>
      <c r="AG387" s="79">
        <f>VLOOKUP(B387,'Player Data'!$A1:$AE667,21,FALSE)*$Q387</f>
        <v>9.46527409959017</v>
      </c>
      <c r="AH387" s="81">
        <f>VLOOKUP(B387,'Player Data'!$A1:$AE667,22,FALSE)</f>
        <v>0.427147768878193</v>
      </c>
      <c r="AI387" s="77"/>
      <c r="AJ387" s="79"/>
      <c r="AK387" s="79"/>
      <c r="AL387" s="79"/>
      <c r="AM387" s="79"/>
      <c r="AN387" s="79"/>
      <c r="AO387" s="79"/>
      <c r="AP387" s="79"/>
      <c r="AQ387" s="82"/>
      <c r="AR387" s="83"/>
      <c r="AS387" s="84"/>
    </row>
    <row r="388" ht="21.25" customHeight="1">
      <c r="A388" s="85">
        <f>RANK(K388,K$1:K$665)</f>
        <v>415</v>
      </c>
      <c r="B388" t="s" s="16">
        <v>578</v>
      </c>
      <c r="C388" t="s" s="69">
        <v>127</v>
      </c>
      <c r="D388" t="s" s="70">
        <f>VLOOKUP(B388,'Player Data'!A1:D667,4,FALSE)</f>
        <v>128</v>
      </c>
      <c r="E388" s="71">
        <f>VLOOKUP(B388,'C'!A1:C206,3,FALSE)</f>
        <v>123</v>
      </c>
      <c r="F388" t="s" s="106">
        <f>VLOOKUP(B388,'Player Data'!A1:B667,2,FALSE)</f>
        <v>242</v>
      </c>
      <c r="G388" s="91">
        <f>VLOOKUP(B388,'Player Data'!A1:D667,3,FALSE)</f>
        <v>31</v>
      </c>
      <c r="H388" s="73">
        <f>_xlfn.IFERROR(VLOOKUP(B388,'ADP'!A1:G665,7,FALSE)/1000000,VLOOKUP(B388,'ADP'!A1:G665,7,FALSE))</f>
        <v>7.75</v>
      </c>
      <c r="I388" s="74">
        <f>IF('Settings'!$E$15="POINTS",((R388*Q388)*'Settings'!$B$12)+(S388*'Settings'!$B$2)+(T388*'Settings'!$B$3)+(U388*'Settings'!$B$4)+(V388*'Settings'!$B$5)+(X388*'Settings'!$B$9)+(AA388*'Settings'!$B$6)+(W388*'Settings'!$B$8)+(AB388*'Settings'!$B$7)+(AC388*'Settings'!$B$14)+(AD388*'Settings'!$B$15)+(AE388*'Settings'!$B$16)+(AF388*'Settings'!$B$17)+(AG388*'Settings'!$B$18)+(Y388*'Settings'!$B$10)+(Z388*'Settings'!$B$11),VLOOKUP(B388,'Standard Deviations'!A1:C666,3,FALSE))</f>
        <v>200.794579632484</v>
      </c>
      <c r="J388" s="75">
        <f>IF(D388="G",I388/AJ388,I388/Q388)</f>
        <v>2.95188473861566</v>
      </c>
      <c r="K388" s="74">
        <f>IF('Settings'!$E$18="C/LW/RW",VLOOKUP(B388,'C'!A1:F206,6,FALSE),VLOOKUP(B388,'F'!A1:F392,6,FALSE))</f>
        <v>-128.897314448694</v>
      </c>
      <c r="L388" s="76">
        <f>_xlfn.IFERROR(K388/H388,"N/A")</f>
        <v>-16.631911541767</v>
      </c>
      <c r="M388" s="109">
        <f>IF('Settings'!$E$9="YAHOO",VLOOKUP(B388,'ADP'!A1:E665,2,FALSE),IF('Settings'!$E$9="ESPN",VLOOKUP(B388,'ADP'!A1:E665,3,FALSE),IF('Settings'!$E$9="FANTRAX",VLOOKUP(B388,'ADP'!A1:E665,4,FALSE),VLOOKUP(B388,'ADP'!A1:E665,5,FALSE))))</f>
        <v>0</v>
      </c>
      <c r="N388" s="79">
        <f>_xlfn.IFERROR(M388-A388,"N/A")</f>
        <v>-415</v>
      </c>
      <c r="O388" s="77"/>
      <c r="P388" t="s" s="78">
        <f>IF('Settings'!$E$27="ON",VLOOKUP(B388,'ADP'!A1:H665,8,FALSE)," ")</f>
        <v>130</v>
      </c>
      <c r="Q388" s="79">
        <f>IF('Settings'!$E$12="YES",VLOOKUP(B388,'Player Data'!A1:E667,5,FALSE),82)</f>
        <v>68.02249999999999</v>
      </c>
      <c r="R388" s="77">
        <f>VLOOKUP(B388,'Player Data'!$A1:$AE667,6,FALSE)</f>
        <v>17.7104292900921</v>
      </c>
      <c r="S388" s="79">
        <f>VLOOKUP(B388,'Player Data'!$A1:$AE667,7,FALSE)*$Q388*_xlfn.IFERROR((VLOOKUP(P388,'Settings'!$E$28:$F$33,2,FALSE)+1),1)</f>
        <v>11.2067631614855</v>
      </c>
      <c r="T388" s="79">
        <f>VLOOKUP(B388,'Player Data'!$A1:$AE667,8,FALSE)*$Q388*_xlfn.IFERROR((VLOOKUP(P388,'Settings'!$E$28:$F$33,2,FALSE)+1),1)</f>
        <v>24.889329326474</v>
      </c>
      <c r="U388" s="79">
        <f>SUM(S388:T388)</f>
        <v>36.0960924879595</v>
      </c>
      <c r="V388" s="79">
        <f>VLOOKUP(B388,'Player Data'!$A1:$AE667,10,FALSE)*$Q388*_xlfn.IFERROR(((VLOOKUP(P388,'Settings'!$E$28:$F$33,2,FALSE)/2)+1),1)</f>
        <v>170.309607826863</v>
      </c>
      <c r="W388" s="79">
        <f>VLOOKUP(B388,'Player Data'!$A1:$AE667,11,FALSE)*$Q388*_xlfn.IFERROR((VLOOKUP(P388,'Settings'!$E$28:$F$33,2,FALSE)+1),1)</f>
        <v>2.26314194962143</v>
      </c>
      <c r="X388" s="79">
        <f>VLOOKUP(B388,'Player Data'!$A1:$AE667,12,FALSE)*$Q388*_xlfn.IFERROR((VLOOKUP(P388,'Settings'!$E$28:$F$33,2,FALSE)+1),1)</f>
        <v>5.32709695937905</v>
      </c>
      <c r="Y388" s="79">
        <f>VLOOKUP(B388,'Player Data'!$A1:$AE667,13,FALSE)*$Q388</f>
        <v>0.15121736866327</v>
      </c>
      <c r="Z388" s="79">
        <f>VLOOKUP(B388,'Player Data'!$A1:$AE667,14,FALSE)*$Q388</f>
        <v>1.89366774169625</v>
      </c>
      <c r="AA388" s="79">
        <f>VLOOKUP(B388,'Player Data'!$A1:$AE667,15,FALSE)*$Q388</f>
        <v>38.3265576672064</v>
      </c>
      <c r="AB388" s="79">
        <f>VLOOKUP(B388,'Player Data'!$A1:$AE667,16,FALSE)*$Q388</f>
        <v>52.6888937124698</v>
      </c>
      <c r="AC388" s="79">
        <f>VLOOKUP(B388,'Player Data'!$A1:$AE667,17,FALSE)*$Q388*_xlfn.IFERROR((VLOOKUP(P388,'Settings'!$E$28:$F$33,2,FALSE)+1),1)</f>
        <v>-1.91335387984471</v>
      </c>
      <c r="AD388" s="79">
        <f>VLOOKUP(B388,'Player Data'!$A1:$AE667,18,FALSE)*$Q388</f>
        <v>29.4969429367233</v>
      </c>
      <c r="AE388" s="79">
        <f>VLOOKUP(B388,'Player Data'!$A1:$AE667,19,FALSE)*$Q388*_xlfn.IFERROR((VLOOKUP(P388,'Settings'!$E$28:$F$33,2,FALSE)+1),1)</f>
        <v>1.62441501952017</v>
      </c>
      <c r="AF388" s="79">
        <f>VLOOKUP(B388,'Player Data'!$A1:$AE667,20,FALSE)*$Q388</f>
        <v>623.404159505344</v>
      </c>
      <c r="AG388" s="79">
        <f>VLOOKUP(B388,'Player Data'!$A1:$AE667,21,FALSE)*$Q388</f>
        <v>532.711480040783</v>
      </c>
      <c r="AH388" s="81">
        <f>VLOOKUP(B388,'Player Data'!$A1:$AE667,22,FALSE)</f>
        <v>0.53922301384149</v>
      </c>
      <c r="AI388" s="77"/>
      <c r="AJ388" s="79"/>
      <c r="AK388" s="79"/>
      <c r="AL388" s="79"/>
      <c r="AM388" s="79"/>
      <c r="AN388" s="79"/>
      <c r="AO388" s="79"/>
      <c r="AP388" s="79"/>
      <c r="AQ388" s="82"/>
      <c r="AR388" s="83"/>
      <c r="AS388" s="84"/>
    </row>
    <row r="389" ht="21.25" customHeight="1">
      <c r="A389" s="85">
        <f>RANK(K389,K$1:K$665)</f>
        <v>373</v>
      </c>
      <c r="B389" t="s" s="16">
        <v>579</v>
      </c>
      <c r="C389" t="s" s="69">
        <v>127</v>
      </c>
      <c r="D389" t="s" s="70">
        <f>VLOOKUP(B389,'Player Data'!A1:D667,4,FALSE)</f>
        <v>153</v>
      </c>
      <c r="E389" s="95">
        <f>VLOOKUP(B389,'D'!A1:C213,3,FALSE)</f>
        <v>124</v>
      </c>
      <c r="F389" t="s" s="103">
        <f>VLOOKUP(B389,'Player Data'!A1:B667,2,FALSE)</f>
        <v>227</v>
      </c>
      <c r="G389" s="91">
        <f>VLOOKUP(B389,'Player Data'!A1:D667,3,FALSE)</f>
        <v>31</v>
      </c>
      <c r="H389" s="73">
        <f>_xlfn.IFERROR(VLOOKUP(B389,'ADP'!A1:G665,7,FALSE)/1000000,VLOOKUP(B389,'ADP'!A1:G665,7,FALSE))</f>
        <v>3.2</v>
      </c>
      <c r="I389" s="74">
        <f>IF('Settings'!$E$15="POINTS",((R389*Q389)*'Settings'!$B$12)+(S389*'Settings'!$B$2)+(T389*'Settings'!$B$3)+(U389*'Settings'!$B$4)+(V389*'Settings'!$B$5)+(X389*'Settings'!$B$9)+(AA389*'Settings'!$B$6)+(W389*'Settings'!$B$8)+(AB389*'Settings'!$B$7)+(AC389*'Settings'!$B$14)+(AD389*'Settings'!$B$15)+(AE389*'Settings'!$B$16)+(AF389*'Settings'!$B$17)+(AG389*'Settings'!$B$18)+(U389*'Settings'!$B$13)+(Y389*'Settings'!$B$10)+(Z389*'Settings'!$B$11),VLOOKUP(B389,'Standard Deviations'!A1:C666,3,FALSE))</f>
        <v>212.678540199669</v>
      </c>
      <c r="J389" s="75">
        <f>IF(D389="G",I389/AJ389,I389/Q389)</f>
        <v>2.62923155148559</v>
      </c>
      <c r="K389" s="74">
        <f>VLOOKUP(B389,'D'!A1:F213,6,FALSE)</f>
        <v>-118.861667720413</v>
      </c>
      <c r="L389" s="76">
        <f>_xlfn.IFERROR(K389/H389,"N/A")</f>
        <v>-37.1442711626291</v>
      </c>
      <c r="M389" s="77">
        <f>IF('Settings'!$E$9="YAHOO",VLOOKUP(B389,'ADP'!A1:E665,2,FALSE),IF('Settings'!$E$9="ESPN",VLOOKUP(B389,'ADP'!A1:E665,3,FALSE),IF('Settings'!$E$9="FANTRAX",VLOOKUP(B389,'ADP'!A1:E665,4,FALSE),VLOOKUP(B389,'ADP'!A1:E665,5,FALSE))))</f>
        <v>0</v>
      </c>
      <c r="N389" s="77">
        <f>_xlfn.IFERROR(M389-A389,"N/A")</f>
        <v>-373</v>
      </c>
      <c r="O389" s="77"/>
      <c r="P389" t="s" s="78">
        <f>IF('Settings'!$E$27="ON",VLOOKUP(B389,'ADP'!A1:H665,8,FALSE)," ")</f>
        <v>138</v>
      </c>
      <c r="Q389" s="79">
        <f>IF('Settings'!$E$12="YES",VLOOKUP(B389,'Player Data'!A1:E667,5,FALSE),82)</f>
        <v>80.89</v>
      </c>
      <c r="R389" s="108">
        <f>VLOOKUP(B389,'Player Data'!$A1:$AE667,6,FALSE)</f>
        <v>17.0298281324985</v>
      </c>
      <c r="S389" s="79">
        <f>VLOOKUP(B389,'Player Data'!$A1:$AE667,7,FALSE)*$Q389*_xlfn.IFERROR((VLOOKUP(P389,'Settings'!$E$28:$F$33,2,FALSE)+1),1)</f>
        <v>8.799420563840631</v>
      </c>
      <c r="T389" s="79">
        <f>VLOOKUP(B389,'Player Data'!$A1:$AE667,8,FALSE)*$Q389*_xlfn.IFERROR((VLOOKUP(P389,'Settings'!$E$28:$F$33,2,FALSE)+1),1)</f>
        <v>30.2632253525065</v>
      </c>
      <c r="U389" s="79">
        <f>SUM(S389:T389)</f>
        <v>39.0626459163471</v>
      </c>
      <c r="V389" s="79">
        <f>VLOOKUP(B389,'Player Data'!$A1:$AE667,10,FALSE)*$Q389*_xlfn.IFERROR(((VLOOKUP(P389,'Settings'!$E$28:$F$33,2,FALSE)/2)+1),1)</f>
        <v>121.341447106130</v>
      </c>
      <c r="W389" s="79">
        <f>VLOOKUP(B389,'Player Data'!$A1:$AE667,11,FALSE)*$Q389*_xlfn.IFERROR((VLOOKUP(P389,'Settings'!$E$28:$F$33,2,FALSE)+1),1)</f>
        <v>2.25360503250572</v>
      </c>
      <c r="X389" s="101">
        <f>VLOOKUP(B389,'Player Data'!$A1:$AE667,12,FALSE)*$Q389*_xlfn.IFERROR((VLOOKUP(P389,'Settings'!$E$28:$F$33,2,FALSE)+1),1)</f>
        <v>16.4648160262512</v>
      </c>
      <c r="Y389" s="79">
        <f>VLOOKUP(B389,'Player Data'!$A1:$AE667,13,FALSE)*$Q389</f>
        <v>0.219297202725385</v>
      </c>
      <c r="Z389" s="79">
        <f>VLOOKUP(B389,'Player Data'!$A1:$AE667,14,FALSE)*$Q389</f>
        <v>0.262657115335604</v>
      </c>
      <c r="AA389" s="79">
        <f>VLOOKUP(B389,'Player Data'!$A1:$AE667,15,FALSE)*$Q389</f>
        <v>77.4695410372735</v>
      </c>
      <c r="AB389" s="79">
        <f>VLOOKUP(B389,'Player Data'!$A1:$AE667,16,FALSE)*$Q389</f>
        <v>49.0575948332993</v>
      </c>
      <c r="AC389" s="79">
        <f>VLOOKUP(B389,'Player Data'!$A1:$AE667,17,FALSE)*$Q389*_xlfn.IFERROR((VLOOKUP(P389,'Settings'!$E$28:$F$33,2,FALSE)+1),1)</f>
        <v>-0.247552160500321</v>
      </c>
      <c r="AD389" s="79">
        <f>VLOOKUP(B389,'Player Data'!$A1:$AE667,18,FALSE)*$Q389</f>
        <v>20.3565686172179</v>
      </c>
      <c r="AE389" s="79">
        <f>VLOOKUP(B389,'Player Data'!$A1:$AE667,19,FALSE)*$Q389*_xlfn.IFERROR((VLOOKUP(P389,'Settings'!$E$28:$F$33,2,FALSE)+1),1)</f>
        <v>1.52481275031157</v>
      </c>
      <c r="AF389" s="79">
        <f>VLOOKUP(B389,'Player Data'!$A1:$AE667,20,FALSE)*$Q389</f>
        <v>0</v>
      </c>
      <c r="AG389" s="79">
        <f>VLOOKUP(B389,'Player Data'!$A1:$AE667,21,FALSE)*$Q389</f>
        <v>0</v>
      </c>
      <c r="AH389" s="81">
        <f>VLOOKUP(B389,'Player Data'!$A1:$AE667,22,FALSE)</f>
        <v>0</v>
      </c>
      <c r="AI389" s="77"/>
      <c r="AJ389" s="89"/>
      <c r="AK389" s="79"/>
      <c r="AL389" s="79"/>
      <c r="AM389" s="79"/>
      <c r="AN389" s="79"/>
      <c r="AO389" s="79"/>
      <c r="AP389" s="79"/>
      <c r="AQ389" s="82"/>
      <c r="AR389" s="83"/>
      <c r="AS389" s="84"/>
    </row>
    <row r="390" ht="21.25" customHeight="1">
      <c r="A390" s="85">
        <f>RANK(K390,K$1:K$665)</f>
        <v>416</v>
      </c>
      <c r="B390" t="s" s="16">
        <v>580</v>
      </c>
      <c r="C390" t="s" s="69">
        <v>127</v>
      </c>
      <c r="D390" t="s" s="70">
        <f>VLOOKUP(B390,'Player Data'!A1:D667,4,FALSE)</f>
        <v>128</v>
      </c>
      <c r="E390" s="71">
        <f>VLOOKUP(B390,'C'!A1:C206,3,FALSE)</f>
        <v>124</v>
      </c>
      <c r="F390" t="s" s="88">
        <f>VLOOKUP(B390,'Player Data'!A1:B667,2,FALSE)</f>
        <v>141</v>
      </c>
      <c r="G390" s="11">
        <f>VLOOKUP(B390,'Player Data'!A1:D667,3,FALSE)</f>
        <v>27</v>
      </c>
      <c r="H390" s="94">
        <f>_xlfn.IFERROR(VLOOKUP(B390,'ADP'!A1:G665,7,FALSE)/1000000,VLOOKUP(B390,'ADP'!A1:G665,7,FALSE))</f>
        <v>0.8</v>
      </c>
      <c r="I390" s="74">
        <f>IF('Settings'!$E$15="POINTS",((R390*Q390)*'Settings'!$B$12)+(S390*'Settings'!$B$2)+(T390*'Settings'!$B$3)+(U390*'Settings'!$B$4)+(V390*'Settings'!$B$5)+(X390*'Settings'!$B$9)+(AA390*'Settings'!$B$6)+(W390*'Settings'!$B$8)+(AB390*'Settings'!$B$7)+(AC390*'Settings'!$B$14)+(AD390*'Settings'!$B$15)+(AE390*'Settings'!$B$16)+(AF390*'Settings'!$B$17)+(AG390*'Settings'!$B$18)+(Y390*'Settings'!$B$10)+(Z390*'Settings'!$B$11),VLOOKUP(B390,'Standard Deviations'!A1:C666,3,FALSE))</f>
        <v>200.373583362108</v>
      </c>
      <c r="J390" s="75">
        <f>IF(D390="G",I390/AJ390,I390/Q390)</f>
        <v>2.66445375302826</v>
      </c>
      <c r="K390" s="74">
        <f>IF('Settings'!$E$18="C/LW/RW",VLOOKUP(B390,'C'!A1:F206,6,FALSE),VLOOKUP(B390,'F'!A1:F392,6,FALSE))</f>
        <v>-129.318310719070</v>
      </c>
      <c r="L390" s="76">
        <f>_xlfn.IFERROR(K390/H390,"N/A")</f>
        <v>-161.647888398838</v>
      </c>
      <c r="M390" s="109">
        <f>IF('Settings'!$E$9="YAHOO",VLOOKUP(B390,'ADP'!A1:E665,2,FALSE),IF('Settings'!$E$9="ESPN",VLOOKUP(B390,'ADP'!A1:E665,3,FALSE),IF('Settings'!$E$9="FANTRAX",VLOOKUP(B390,'ADP'!A1:E665,4,FALSE),VLOOKUP(B390,'ADP'!A1:E665,5,FALSE))))</f>
        <v>0</v>
      </c>
      <c r="N390" s="79">
        <f>_xlfn.IFERROR(M390-A390,"N/A")</f>
        <v>-416</v>
      </c>
      <c r="O390" s="77"/>
      <c r="P390" t="s" s="78">
        <f>IF('Settings'!$E$27="ON",VLOOKUP(B390,'ADP'!A1:H665,8,FALSE)," ")</f>
        <v>138</v>
      </c>
      <c r="Q390" s="79">
        <f>IF('Settings'!$E$12="YES",VLOOKUP(B390,'Player Data'!A1:E667,5,FALSE),82)</f>
        <v>75.2025</v>
      </c>
      <c r="R390" s="98">
        <f>VLOOKUP(B390,'Player Data'!$A1:$AE667,6,FALSE)</f>
        <v>13.1794684523064</v>
      </c>
      <c r="S390" s="79">
        <f>VLOOKUP(B390,'Player Data'!$A1:$AE667,7,FALSE)*$Q390*_xlfn.IFERROR((VLOOKUP(P390,'Settings'!$E$28:$F$33,2,FALSE)+1),1)</f>
        <v>9.931708254735531</v>
      </c>
      <c r="T390" s="79">
        <f>VLOOKUP(B390,'Player Data'!$A1:$AE667,8,FALSE)*$Q390*_xlfn.IFERROR((VLOOKUP(P390,'Settings'!$E$28:$F$33,2,FALSE)+1),1)</f>
        <v>14.7586653865997</v>
      </c>
      <c r="U390" s="79">
        <f>SUM(S390:T390)</f>
        <v>24.6903736413352</v>
      </c>
      <c r="V390" s="79">
        <f>VLOOKUP(B390,'Player Data'!$A1:$AE667,10,FALSE)*$Q390*_xlfn.IFERROR(((VLOOKUP(P390,'Settings'!$E$28:$F$33,2,FALSE)/2)+1),1)</f>
        <v>151.901704269848</v>
      </c>
      <c r="W390" s="79">
        <f>VLOOKUP(B390,'Player Data'!$A1:$AE667,11,FALSE)*$Q390*_xlfn.IFERROR((VLOOKUP(P390,'Settings'!$E$28:$F$33,2,FALSE)+1),1)</f>
        <v>0.388679562829417</v>
      </c>
      <c r="X390" s="79">
        <f>VLOOKUP(B390,'Player Data'!$A1:$AE667,12,FALSE)*$Q390*_xlfn.IFERROR((VLOOKUP(P390,'Settings'!$E$28:$F$33,2,FALSE)+1),1)</f>
        <v>0.83659179314768</v>
      </c>
      <c r="Y390" s="79">
        <f>VLOOKUP(B390,'Player Data'!$A1:$AE667,13,FALSE)*$Q390</f>
        <v>0.00400749116923569</v>
      </c>
      <c r="Z390" s="79">
        <f>VLOOKUP(B390,'Player Data'!$A1:$AE667,14,FALSE)*$Q390</f>
        <v>0.00685274778688348</v>
      </c>
      <c r="AA390" s="79">
        <f>VLOOKUP(B390,'Player Data'!$A1:$AE667,15,FALSE)*$Q390</f>
        <v>32.2386596260114</v>
      </c>
      <c r="AB390" s="79">
        <f>VLOOKUP(B390,'Player Data'!$A1:$AE667,16,FALSE)*$Q390</f>
        <v>137.747185571983</v>
      </c>
      <c r="AC390" s="79">
        <f>VLOOKUP(B390,'Player Data'!$A1:$AE667,17,FALSE)*$Q390*_xlfn.IFERROR((VLOOKUP(P390,'Settings'!$E$28:$F$33,2,FALSE)+1),1)</f>
        <v>1.99240685488058</v>
      </c>
      <c r="AD390" s="79">
        <f>VLOOKUP(B390,'Player Data'!$A1:$AE667,18,FALSE)*$Q390</f>
        <v>56.9394532503617</v>
      </c>
      <c r="AE390" s="79">
        <f>VLOOKUP(B390,'Player Data'!$A1:$AE667,19,FALSE)*$Q390*_xlfn.IFERROR((VLOOKUP(P390,'Settings'!$E$28:$F$33,2,FALSE)+1),1)</f>
        <v>1.56485606164946</v>
      </c>
      <c r="AF390" s="79">
        <f>VLOOKUP(B390,'Player Data'!$A1:$AE667,20,FALSE)*$Q390</f>
        <v>7.60161352840546</v>
      </c>
      <c r="AG390" s="79">
        <f>VLOOKUP(B390,'Player Data'!$A1:$AE667,21,FALSE)*$Q390</f>
        <v>10.4501697384728</v>
      </c>
      <c r="AH390" s="81">
        <f>VLOOKUP(B390,'Player Data'!$A1:$AE667,22,FALSE)</f>
        <v>0.421100420718713</v>
      </c>
      <c r="AI390" s="77"/>
      <c r="AJ390" s="79"/>
      <c r="AK390" s="79"/>
      <c r="AL390" s="79"/>
      <c r="AM390" s="79"/>
      <c r="AN390" s="79"/>
      <c r="AO390" s="79"/>
      <c r="AP390" s="79"/>
      <c r="AQ390" s="82"/>
      <c r="AR390" s="83"/>
      <c r="AS390" s="84"/>
    </row>
    <row r="391" ht="21.25" customHeight="1">
      <c r="A391" s="85">
        <f>RANK(K391,K$1:K$665)</f>
        <v>403</v>
      </c>
      <c r="B391" t="s" s="16">
        <v>581</v>
      </c>
      <c r="C391" t="s" s="69">
        <v>127</v>
      </c>
      <c r="D391" t="s" s="70">
        <f>VLOOKUP(B391,'Player Data'!A1:D667,4,FALSE)</f>
        <v>136</v>
      </c>
      <c r="E391" s="87">
        <f>VLOOKUP(B391,'LW'!A1:C152,3,FALSE)</f>
        <v>97</v>
      </c>
      <c r="F391" t="s" s="78">
        <f>VLOOKUP(B391,'Player Data'!A1:B667,2,FALSE)</f>
        <v>194</v>
      </c>
      <c r="G391" s="91">
        <f>VLOOKUP(B391,'Player Data'!A1:D667,3,FALSE)</f>
        <v>33</v>
      </c>
      <c r="H391" s="73">
        <f>_xlfn.IFERROR(VLOOKUP(B391,'ADP'!A1:G665,7,FALSE)/1000000,VLOOKUP(B391,'ADP'!A1:G665,7,FALSE))</f>
        <v>3.15</v>
      </c>
      <c r="I391" s="74">
        <f>IF('Settings'!$E$15="POINTS",((R391*Q391)*'Settings'!$B$12)+(S391*'Settings'!$B$2)+(T391*'Settings'!$B$3)+(U391*'Settings'!$B$4)+(V391*'Settings'!$B$5)+(X391*'Settings'!$B$9)+(AA391*'Settings'!$B$6)+(W391*'Settings'!$B$8)+(AB391*'Settings'!$B$7)+(AC391*'Settings'!$B$14)+(AD391*'Settings'!$B$15)+(AE391*'Settings'!$B$16)+(AF391*'Settings'!$B$17)+(AG391*'Settings'!$B$18)+(Y391*'Settings'!$B$10)+(Z391*'Settings'!$B$11),VLOOKUP(B391,'Standard Deviations'!A1:C666,3,FALSE))</f>
        <v>205.405401194184</v>
      </c>
      <c r="J391" s="75">
        <f>IF(D391="G",I391/AJ391,I391/Q391)</f>
        <v>2.55829370026384</v>
      </c>
      <c r="K391" s="74">
        <f>IF('Settings'!$E$18="C/LW/RW",VLOOKUP(B391,'LW'!A1:F152,6,FALSE),VLOOKUP(B391,'F'!A1:F392,6,FALSE))</f>
        <v>-126.314710572028</v>
      </c>
      <c r="L391" s="76">
        <f>_xlfn.IFERROR(K391/H391,"N/A")</f>
        <v>-40.0999081181041</v>
      </c>
      <c r="M391" s="109">
        <f>IF('Settings'!$E$9="YAHOO",VLOOKUP(B391,'ADP'!A1:E665,2,FALSE),IF('Settings'!$E$9="ESPN",VLOOKUP(B391,'ADP'!A1:E665,3,FALSE),IF('Settings'!$E$9="FANTRAX",VLOOKUP(B391,'ADP'!A1:E665,4,FALSE),VLOOKUP(B391,'ADP'!A1:E665,5,FALSE))))</f>
        <v>0</v>
      </c>
      <c r="N391" s="79">
        <f>_xlfn.IFERROR(M391-A391,"N/A")</f>
        <v>-403</v>
      </c>
      <c r="O391" s="77"/>
      <c r="P391" t="s" s="78">
        <f>IF('Settings'!$E$27="ON",VLOOKUP(B391,'ADP'!A1:H665,8,FALSE)," ")</f>
        <v>138</v>
      </c>
      <c r="Q391" s="79">
        <f>IF('Settings'!$E$12="YES",VLOOKUP(B391,'Player Data'!A1:E667,5,FALSE),82)</f>
        <v>80.29000000000001</v>
      </c>
      <c r="R391" s="108">
        <f>VLOOKUP(B391,'Player Data'!$A1:$AE667,6,FALSE)</f>
        <v>15.6240981737687</v>
      </c>
      <c r="S391" s="79">
        <f>VLOOKUP(B391,'Player Data'!$A1:$AE667,7,FALSE)*$Q391*_xlfn.IFERROR((VLOOKUP(P391,'Settings'!$E$28:$F$33,2,FALSE)+1),1)</f>
        <v>11.703492977476</v>
      </c>
      <c r="T391" s="79">
        <f>VLOOKUP(B391,'Player Data'!$A1:$AE667,8,FALSE)*$Q391*_xlfn.IFERROR((VLOOKUP(P391,'Settings'!$E$28:$F$33,2,FALSE)+1),1)</f>
        <v>17.534717127719</v>
      </c>
      <c r="U391" s="79">
        <f>SUM(S391:T391)</f>
        <v>29.238210105195</v>
      </c>
      <c r="V391" s="79">
        <f>VLOOKUP(B391,'Player Data'!$A1:$AE667,10,FALSE)*$Q391*_xlfn.IFERROR(((VLOOKUP(P391,'Settings'!$E$28:$F$33,2,FALSE)/2)+1),1)</f>
        <v>146.012564529863</v>
      </c>
      <c r="W391" s="79">
        <f>VLOOKUP(B391,'Player Data'!$A1:$AE667,11,FALSE)*$Q391*_xlfn.IFERROR((VLOOKUP(P391,'Settings'!$E$28:$F$33,2,FALSE)+1),1)</f>
        <v>1.16931337460582</v>
      </c>
      <c r="X391" s="79">
        <f>VLOOKUP(B391,'Player Data'!$A1:$AE667,12,FALSE)*$Q391*_xlfn.IFERROR((VLOOKUP(P391,'Settings'!$E$28:$F$33,2,FALSE)+1),1)</f>
        <v>3.34096769211175</v>
      </c>
      <c r="Y391" s="79">
        <f>VLOOKUP(B391,'Player Data'!$A1:$AE667,13,FALSE)*$Q391</f>
        <v>1.06724187592034</v>
      </c>
      <c r="Z391" s="79">
        <f>VLOOKUP(B391,'Player Data'!$A1:$AE667,14,FALSE)*$Q391</f>
        <v>1.93869002334994</v>
      </c>
      <c r="AA391" s="79">
        <f>VLOOKUP(B391,'Player Data'!$A1:$AE667,15,FALSE)*$Q391</f>
        <v>49.126098840733</v>
      </c>
      <c r="AB391" s="79">
        <f>VLOOKUP(B391,'Player Data'!$A1:$AE667,16,FALSE)*$Q391</f>
        <v>87.5638948802998</v>
      </c>
      <c r="AC391" s="79">
        <f>VLOOKUP(B391,'Player Data'!$A1:$AE667,17,FALSE)*$Q391*_xlfn.IFERROR((VLOOKUP(P391,'Settings'!$E$28:$F$33,2,FALSE)+1),1)</f>
        <v>3.9829429881174</v>
      </c>
      <c r="AD391" s="79">
        <f>VLOOKUP(B391,'Player Data'!$A1:$AE667,18,FALSE)*$Q391</f>
        <v>46.4028584569556</v>
      </c>
      <c r="AE391" s="79">
        <f>VLOOKUP(B391,'Player Data'!$A1:$AE667,19,FALSE)*$Q391*_xlfn.IFERROR((VLOOKUP(P391,'Settings'!$E$28:$F$33,2,FALSE)+1),1)</f>
        <v>1.7657799641269</v>
      </c>
      <c r="AF391" s="79">
        <f>VLOOKUP(B391,'Player Data'!$A1:$AE667,20,FALSE)*$Q391</f>
        <v>483.913001373989</v>
      </c>
      <c r="AG391" s="79">
        <f>VLOOKUP(B391,'Player Data'!$A1:$AE667,21,FALSE)*$Q391</f>
        <v>405.664444112298</v>
      </c>
      <c r="AH391" s="81">
        <f>VLOOKUP(B391,'Player Data'!$A1:$AE667,22,FALSE)</f>
        <v>0.543980744823694</v>
      </c>
      <c r="AI391" s="77"/>
      <c r="AJ391" s="79"/>
      <c r="AK391" s="79"/>
      <c r="AL391" s="79"/>
      <c r="AM391" s="79"/>
      <c r="AN391" s="79"/>
      <c r="AO391" s="79"/>
      <c r="AP391" s="79"/>
      <c r="AQ391" s="82"/>
      <c r="AR391" s="83"/>
      <c r="AS391" s="84"/>
    </row>
    <row r="392" ht="21.25" customHeight="1">
      <c r="A392" s="85">
        <f>RANK(K392,K$1:K$665)</f>
        <v>374</v>
      </c>
      <c r="B392" t="s" s="16">
        <v>582</v>
      </c>
      <c r="C392" t="s" s="69">
        <v>127</v>
      </c>
      <c r="D392" t="s" s="70">
        <f>VLOOKUP(B392,'Player Data'!A1:D667,4,FALSE)</f>
        <v>153</v>
      </c>
      <c r="E392" s="95">
        <f>VLOOKUP(B392,'D'!A1:C213,3,FALSE)</f>
        <v>125</v>
      </c>
      <c r="F392" t="s" s="78">
        <f>VLOOKUP(B392,'Player Data'!A1:B667,2,FALSE)</f>
        <v>216</v>
      </c>
      <c r="G392" s="11">
        <f>VLOOKUP(B392,'Player Data'!A1:D667,3,FALSE)</f>
        <v>27</v>
      </c>
      <c r="H392" s="73">
        <f>_xlfn.IFERROR(VLOOKUP(B392,'ADP'!A1:G665,7,FALSE)/1000000,VLOOKUP(B392,'ADP'!A1:G665,7,FALSE))</f>
        <v>2.75</v>
      </c>
      <c r="I392" s="74">
        <f>IF('Settings'!$E$15="POINTS",((R392*Q392)*'Settings'!$B$12)+(S392*'Settings'!$B$2)+(T392*'Settings'!$B$3)+(U392*'Settings'!$B$4)+(V392*'Settings'!$B$5)+(X392*'Settings'!$B$9)+(AA392*'Settings'!$B$6)+(W392*'Settings'!$B$8)+(AB392*'Settings'!$B$7)+(AC392*'Settings'!$B$14)+(AD392*'Settings'!$B$15)+(AE392*'Settings'!$B$16)+(AF392*'Settings'!$B$17)+(AG392*'Settings'!$B$18)+(U392*'Settings'!$B$13)+(Y392*'Settings'!$B$10)+(Z392*'Settings'!$B$11),VLOOKUP(B392,'Standard Deviations'!A1:C666,3,FALSE))</f>
        <v>212.229865079855</v>
      </c>
      <c r="J392" s="75">
        <f>IF(D392="G",I392/AJ392,I392/Q392)</f>
        <v>2.91364449587939</v>
      </c>
      <c r="K392" s="74">
        <f>VLOOKUP(B392,'D'!A1:F213,6,FALSE)</f>
        <v>-119.310342840227</v>
      </c>
      <c r="L392" s="76">
        <f>_xlfn.IFERROR(K392/H392,"N/A")</f>
        <v>-43.385579214628</v>
      </c>
      <c r="M392" s="109">
        <f>IF('Settings'!$E$9="YAHOO",VLOOKUP(B392,'ADP'!A1:E665,2,FALSE),IF('Settings'!$E$9="ESPN",VLOOKUP(B392,'ADP'!A1:E665,3,FALSE),IF('Settings'!$E$9="FANTRAX",VLOOKUP(B392,'ADP'!A1:E665,4,FALSE),VLOOKUP(B392,'ADP'!A1:E665,5,FALSE))))</f>
        <v>0</v>
      </c>
      <c r="N392" s="79">
        <f>_xlfn.IFERROR(M392-A392,"N/A")</f>
        <v>-374</v>
      </c>
      <c r="O392" s="77"/>
      <c r="P392" t="s" s="78">
        <f>IF('Settings'!$E$27="ON",VLOOKUP(B392,'ADP'!A1:H665,8,FALSE)," ")</f>
        <v>138</v>
      </c>
      <c r="Q392" s="79">
        <f>IF('Settings'!$E$12="YES",VLOOKUP(B392,'Player Data'!A1:E667,5,FALSE),82)</f>
        <v>72.84</v>
      </c>
      <c r="R392" s="77">
        <f>VLOOKUP(B392,'Player Data'!$A1:$AE667,6,FALSE)</f>
        <v>16.9880937003959</v>
      </c>
      <c r="S392" s="79">
        <f>VLOOKUP(B392,'Player Data'!$A1:$AE667,7,FALSE)*$Q392*_xlfn.IFERROR((VLOOKUP(P392,'Settings'!$E$28:$F$33,2,FALSE)+1),1)</f>
        <v>4.94961180981592</v>
      </c>
      <c r="T392" s="79">
        <f>VLOOKUP(B392,'Player Data'!$A1:$AE667,8,FALSE)*$Q392*_xlfn.IFERROR((VLOOKUP(P392,'Settings'!$E$28:$F$33,2,FALSE)+1),1)</f>
        <v>12.3479512505388</v>
      </c>
      <c r="U392" s="79">
        <f>SUM(S392:T392)</f>
        <v>17.2975630603547</v>
      </c>
      <c r="V392" s="79">
        <f>VLOOKUP(B392,'Player Data'!$A1:$AE667,10,FALSE)*$Q392*_xlfn.IFERROR(((VLOOKUP(P392,'Settings'!$E$28:$F$33,2,FALSE)/2)+1),1)</f>
        <v>73.29162400359991</v>
      </c>
      <c r="W392" s="79">
        <f>VLOOKUP(B392,'Player Data'!$A1:$AE667,11,FALSE)*$Q392*_xlfn.IFERROR((VLOOKUP(P392,'Settings'!$E$28:$F$33,2,FALSE)+1),1)</f>
        <v>0.0226855188125533</v>
      </c>
      <c r="X392" s="79">
        <f>VLOOKUP(B392,'Player Data'!$A1:$AE667,12,FALSE)*$Q392*_xlfn.IFERROR((VLOOKUP(P392,'Settings'!$E$28:$F$33,2,FALSE)+1),1)</f>
        <v>0.145406507481147</v>
      </c>
      <c r="Y392" s="79">
        <f>VLOOKUP(B392,'Player Data'!$A1:$AE667,13,FALSE)*$Q392</f>
        <v>0.114580303612126</v>
      </c>
      <c r="Z392" s="79">
        <f>VLOOKUP(B392,'Player Data'!$A1:$AE667,14,FALSE)*$Q392</f>
        <v>0.468041232840626</v>
      </c>
      <c r="AA392" s="79">
        <f>VLOOKUP(B392,'Player Data'!$A1:$AE667,15,FALSE)*$Q392</f>
        <v>113.315178299434</v>
      </c>
      <c r="AB392" s="79">
        <f>VLOOKUP(B392,'Player Data'!$A1:$AE667,16,FALSE)*$Q392</f>
        <v>127.373013588637</v>
      </c>
      <c r="AC392" s="79">
        <f>VLOOKUP(B392,'Player Data'!$A1:$AE667,17,FALSE)*$Q392*_xlfn.IFERROR((VLOOKUP(P392,'Settings'!$E$28:$F$33,2,FALSE)+1),1)</f>
        <v>2.28777347277128</v>
      </c>
      <c r="AD392" s="79">
        <f>VLOOKUP(B392,'Player Data'!$A1:$AE667,18,FALSE)*$Q392</f>
        <v>32.6522492003762</v>
      </c>
      <c r="AE392" s="79">
        <f>VLOOKUP(B392,'Player Data'!$A1:$AE667,19,FALSE)*$Q392*_xlfn.IFERROR((VLOOKUP(P392,'Settings'!$E$28:$F$33,2,FALSE)+1),1)</f>
        <v>0.752842336124658</v>
      </c>
      <c r="AF392" s="79">
        <f>VLOOKUP(B392,'Player Data'!$A1:$AE667,20,FALSE)*$Q392</f>
        <v>0</v>
      </c>
      <c r="AG392" s="79">
        <f>VLOOKUP(B392,'Player Data'!$A1:$AE667,21,FALSE)*$Q392</f>
        <v>0</v>
      </c>
      <c r="AH392" s="81">
        <f>VLOOKUP(B392,'Player Data'!$A1:$AE667,22,FALSE)</f>
        <v>0</v>
      </c>
      <c r="AI392" s="77"/>
      <c r="AJ392" s="89"/>
      <c r="AK392" s="79"/>
      <c r="AL392" s="79"/>
      <c r="AM392" s="79"/>
      <c r="AN392" s="79"/>
      <c r="AO392" s="79"/>
      <c r="AP392" s="79"/>
      <c r="AQ392" s="82"/>
      <c r="AR392" s="83"/>
      <c r="AS392" s="84"/>
    </row>
    <row r="393" ht="21.25" customHeight="1">
      <c r="A393" s="85">
        <f>RANK(K393,K$1:K$665)</f>
        <v>405</v>
      </c>
      <c r="B393" t="s" s="16">
        <v>583</v>
      </c>
      <c r="C393" t="s" s="69">
        <v>127</v>
      </c>
      <c r="D393" t="s" s="70">
        <f>VLOOKUP(B393,'Player Data'!A1:D667,4,FALSE)</f>
        <v>178</v>
      </c>
      <c r="E393" s="102">
        <f>VLOOKUP(B393,'LW'!A1:C152,3,FALSE)</f>
        <v>98</v>
      </c>
      <c r="F393" t="s" s="86">
        <f>VLOOKUP(B393,'Player Data'!A1:B667,2,FALSE)</f>
        <v>154</v>
      </c>
      <c r="G393" s="11">
        <f>VLOOKUP(B393,'Player Data'!A1:D667,3,FALSE)</f>
        <v>27</v>
      </c>
      <c r="H393" s="94">
        <f>_xlfn.IFERROR(VLOOKUP(B393,'ADP'!A1:G665,7,FALSE)/1000000,VLOOKUP(B393,'ADP'!A1:G665,7,FALSE))</f>
        <v>3</v>
      </c>
      <c r="I393" s="74">
        <f>IF('Settings'!$E$15="POINTS",((R393*Q393)*'Settings'!$B$12)+(S393*'Settings'!$B$2)+(T393*'Settings'!$B$3)+(U393*'Settings'!$B$4)+(V393*'Settings'!$B$5)+(X393*'Settings'!$B$9)+(AA393*'Settings'!$B$6)+(W393*'Settings'!$B$8)+(AB393*'Settings'!$B$7)+(AC393*'Settings'!$B$14)+(AD393*'Settings'!$B$15)+(AE393*'Settings'!$B$16)+(AF393*'Settings'!$B$17)+(AG393*'Settings'!$B$18)+(Y393*'Settings'!$B$10)+(Z393*'Settings'!$B$11),VLOOKUP(B393,'Standard Deviations'!A1:C666,3,FALSE))</f>
        <v>204.979489073020</v>
      </c>
      <c r="J393" s="75">
        <f>IF(D393="G",I393/AJ393,I393/Q393)</f>
        <v>2.74706991085228</v>
      </c>
      <c r="K393" s="74">
        <f>IF('Settings'!$E$18="C/LW/RW",VLOOKUP(B393,'LW'!A1:F152,6,FALSE),VLOOKUP(B393,'F'!A1:F392,6,FALSE))</f>
        <v>-126.740622693192</v>
      </c>
      <c r="L393" s="76">
        <f>_xlfn.IFERROR(K393/H393,"N/A")</f>
        <v>-42.246874231064</v>
      </c>
      <c r="M393" s="109">
        <f>IF('Settings'!$E$9="YAHOO",VLOOKUP(B393,'ADP'!A1:E665,2,FALSE),IF('Settings'!$E$9="ESPN",VLOOKUP(B393,'ADP'!A1:E665,3,FALSE),IF('Settings'!$E$9="FANTRAX",VLOOKUP(B393,'ADP'!A1:E665,4,FALSE),VLOOKUP(B393,'ADP'!A1:E665,5,FALSE))))</f>
        <v>0</v>
      </c>
      <c r="N393" s="79">
        <f>_xlfn.IFERROR(M393-A393,"N/A")</f>
        <v>-405</v>
      </c>
      <c r="O393" s="77"/>
      <c r="P393" t="s" s="78">
        <f>IF('Settings'!$E$27="ON",VLOOKUP(B393,'ADP'!A1:H665,8,FALSE)," ")</f>
        <v>138</v>
      </c>
      <c r="Q393" s="79">
        <f>IF('Settings'!$E$12="YES",VLOOKUP(B393,'Player Data'!A1:E667,5,FALSE),82)</f>
        <v>74.61750000000001</v>
      </c>
      <c r="R393" s="108">
        <f>VLOOKUP(B393,'Player Data'!$A1:$AE667,6,FALSE)</f>
        <v>15.0434146063908</v>
      </c>
      <c r="S393" s="79">
        <f>VLOOKUP(B393,'Player Data'!$A1:$AE667,7,FALSE)*$Q393*_xlfn.IFERROR((VLOOKUP(P393,'Settings'!$E$28:$F$33,2,FALSE)+1),1)</f>
        <v>9.45818700538929</v>
      </c>
      <c r="T393" s="79">
        <f>VLOOKUP(B393,'Player Data'!$A1:$AE667,8,FALSE)*$Q393*_xlfn.IFERROR((VLOOKUP(P393,'Settings'!$E$28:$F$33,2,FALSE)+1),1)</f>
        <v>14.6843582751274</v>
      </c>
      <c r="U393" s="79">
        <f>SUM(S393:T393)</f>
        <v>24.1425452805167</v>
      </c>
      <c r="V393" s="79">
        <f>VLOOKUP(B393,'Player Data'!$A1:$AE667,10,FALSE)*$Q393*_xlfn.IFERROR(((VLOOKUP(P393,'Settings'!$E$28:$F$33,2,FALSE)/2)+1),1)</f>
        <v>109.819310268290</v>
      </c>
      <c r="W393" s="79">
        <f>VLOOKUP(B393,'Player Data'!$A1:$AE667,11,FALSE)*$Q393*_xlfn.IFERROR((VLOOKUP(P393,'Settings'!$E$28:$F$33,2,FALSE)+1),1)</f>
        <v>0.316869287555487</v>
      </c>
      <c r="X393" s="79">
        <f>VLOOKUP(B393,'Player Data'!$A1:$AE667,12,FALSE)*$Q393*_xlfn.IFERROR((VLOOKUP(P393,'Settings'!$E$28:$F$33,2,FALSE)+1),1)</f>
        <v>1.12665763606921</v>
      </c>
      <c r="Y393" s="79">
        <f>VLOOKUP(B393,'Player Data'!$A1:$AE667,13,FALSE)*$Q393</f>
        <v>0.113936949422668</v>
      </c>
      <c r="Z393" s="79">
        <f>VLOOKUP(B393,'Player Data'!$A1:$AE667,14,FALSE)*$Q393</f>
        <v>0.917543085984459</v>
      </c>
      <c r="AA393" s="79">
        <f>VLOOKUP(B393,'Player Data'!$A1:$AE667,15,FALSE)*$Q393</f>
        <v>59.2284788355611</v>
      </c>
      <c r="AB393" s="79">
        <f>VLOOKUP(B393,'Player Data'!$A1:$AE667,16,FALSE)*$Q393</f>
        <v>130.834109791163</v>
      </c>
      <c r="AC393" s="79">
        <f>VLOOKUP(B393,'Player Data'!$A1:$AE667,17,FALSE)*$Q393*_xlfn.IFERROR((VLOOKUP(P393,'Settings'!$E$28:$F$33,2,FALSE)+1),1)</f>
        <v>-0.467803228581517</v>
      </c>
      <c r="AD393" s="79">
        <f>VLOOKUP(B393,'Player Data'!$A1:$AE667,18,FALSE)*$Q393</f>
        <v>50.2023228643976</v>
      </c>
      <c r="AE393" s="79">
        <f>VLOOKUP(B393,'Player Data'!$A1:$AE667,19,FALSE)*$Q393*_xlfn.IFERROR((VLOOKUP(P393,'Settings'!$E$28:$F$33,2,FALSE)+1),1)</f>
        <v>1.33791196541409</v>
      </c>
      <c r="AF393" s="79">
        <f>VLOOKUP(B393,'Player Data'!$A1:$AE667,20,FALSE)*$Q393</f>
        <v>13.9205158925833</v>
      </c>
      <c r="AG393" s="79">
        <f>VLOOKUP(B393,'Player Data'!$A1:$AE667,21,FALSE)*$Q393</f>
        <v>37.9560144388313</v>
      </c>
      <c r="AH393" s="81">
        <f>VLOOKUP(B393,'Player Data'!$A1:$AE667,22,FALSE)</f>
        <v>0.26833937820536</v>
      </c>
      <c r="AI393" s="77"/>
      <c r="AJ393" s="89"/>
      <c r="AK393" s="79"/>
      <c r="AL393" s="79"/>
      <c r="AM393" s="79"/>
      <c r="AN393" s="79"/>
      <c r="AO393" s="79"/>
      <c r="AP393" s="79"/>
      <c r="AQ393" s="82"/>
      <c r="AR393" s="83"/>
      <c r="AS393" s="84"/>
    </row>
    <row r="394" ht="21.25" customHeight="1">
      <c r="A394" s="85">
        <f>RANK(K394,K$1:K$665)</f>
        <v>377</v>
      </c>
      <c r="B394" t="s" s="16">
        <v>584</v>
      </c>
      <c r="C394" t="s" s="69">
        <v>127</v>
      </c>
      <c r="D394" t="s" s="70">
        <f>VLOOKUP(B394,'Player Data'!A1:D667,4,FALSE)</f>
        <v>153</v>
      </c>
      <c r="E394" s="95">
        <f>VLOOKUP(B394,'D'!A1:C213,3,FALSE)</f>
        <v>126</v>
      </c>
      <c r="F394" t="s" s="104">
        <f>VLOOKUP(B394,'Player Data'!A1:B667,2,FALSE)</f>
        <v>271</v>
      </c>
      <c r="G394" s="91">
        <f>VLOOKUP(B394,'Player Data'!A1:D667,3,FALSE)</f>
        <v>33</v>
      </c>
      <c r="H394" s="73">
        <f>_xlfn.IFERROR(VLOOKUP(B394,'ADP'!A1:G665,7,FALSE)/1000000,VLOOKUP(B394,'ADP'!A1:G665,7,FALSE))</f>
        <v>6.5</v>
      </c>
      <c r="I394" s="74">
        <f>IF('Settings'!$E$15="POINTS",((R394*Q394)*'Settings'!$B$12)+(S394*'Settings'!$B$2)+(T394*'Settings'!$B$3)+(U394*'Settings'!$B$4)+(V394*'Settings'!$B$5)+(X394*'Settings'!$B$9)+(AA394*'Settings'!$B$6)+(W394*'Settings'!$B$8)+(AB394*'Settings'!$B$7)+(AC394*'Settings'!$B$14)+(AD394*'Settings'!$B$15)+(AE394*'Settings'!$B$16)+(AF394*'Settings'!$B$17)+(AG394*'Settings'!$B$18)+(U394*'Settings'!$B$13)+(Y394*'Settings'!$B$10)+(Z394*'Settings'!$B$11),VLOOKUP(B394,'Standard Deviations'!A1:C666,3,FALSE))</f>
        <v>211.659685653361</v>
      </c>
      <c r="J394" s="75">
        <f>IF(D394="G",I394/AJ394,I394/Q394)</f>
        <v>2.75849974786082</v>
      </c>
      <c r="K394" s="74">
        <f>VLOOKUP(B394,'D'!A1:F213,6,FALSE)</f>
        <v>-119.880522266721</v>
      </c>
      <c r="L394" s="76">
        <f>_xlfn.IFERROR(K394/H394,"N/A")</f>
        <v>-18.4431572718032</v>
      </c>
      <c r="M394" s="109">
        <f>IF('Settings'!$E$9="YAHOO",VLOOKUP(B394,'ADP'!A1:E665,2,FALSE),IF('Settings'!$E$9="ESPN",VLOOKUP(B394,'ADP'!A1:E665,3,FALSE),IF('Settings'!$E$9="FANTRAX",VLOOKUP(B394,'ADP'!A1:E665,4,FALSE),VLOOKUP(B394,'ADP'!A1:E665,5,FALSE))))</f>
        <v>0</v>
      </c>
      <c r="N394" s="79">
        <f>_xlfn.IFERROR(M394-A394,"N/A")</f>
        <v>-377</v>
      </c>
      <c r="O394" s="77"/>
      <c r="P394" t="s" s="78">
        <f>IF('Settings'!$E$27="ON",VLOOKUP(B394,'ADP'!A1:H665,8,FALSE)," ")</f>
        <v>138</v>
      </c>
      <c r="Q394" s="79">
        <f>IF('Settings'!$E$12="YES",VLOOKUP(B394,'Player Data'!A1:E667,5,FALSE),82)</f>
        <v>76.73</v>
      </c>
      <c r="R394" s="108">
        <f>VLOOKUP(B394,'Player Data'!$A1:$AE667,6,FALSE)</f>
        <v>19.389802292107</v>
      </c>
      <c r="S394" s="79">
        <f>VLOOKUP(B394,'Player Data'!$A1:$AE667,7,FALSE)*$Q394*_xlfn.IFERROR((VLOOKUP(P394,'Settings'!$E$28:$F$33,2,FALSE)+1),1)</f>
        <v>4.33769657784893</v>
      </c>
      <c r="T394" s="79">
        <f>VLOOKUP(B394,'Player Data'!$A1:$AE667,8,FALSE)*$Q394*_xlfn.IFERROR((VLOOKUP(P394,'Settings'!$E$28:$F$33,2,FALSE)+1),1)</f>
        <v>20.1296241599779</v>
      </c>
      <c r="U394" s="79">
        <f>SUM(S394:T394)</f>
        <v>24.4673207378268</v>
      </c>
      <c r="V394" s="79">
        <f>VLOOKUP(B394,'Player Data'!$A1:$AE667,10,FALSE)*$Q394*_xlfn.IFERROR(((VLOOKUP(P394,'Settings'!$E$28:$F$33,2,FALSE)/2)+1),1)</f>
        <v>123.757444782292</v>
      </c>
      <c r="W394" s="79">
        <f>VLOOKUP(B394,'Player Data'!$A1:$AE667,11,FALSE)*$Q394*_xlfn.IFERROR((VLOOKUP(P394,'Settings'!$E$28:$F$33,2,FALSE)+1),1)</f>
        <v>0</v>
      </c>
      <c r="X394" s="79">
        <f>VLOOKUP(B394,'Player Data'!$A1:$AE667,12,FALSE)*$Q394*_xlfn.IFERROR((VLOOKUP(P394,'Settings'!$E$28:$F$33,2,FALSE)+1),1)</f>
        <v>0</v>
      </c>
      <c r="Y394" s="79">
        <f>VLOOKUP(B394,'Player Data'!$A1:$AE667,13,FALSE)*$Q394</f>
        <v>0.045819836849342</v>
      </c>
      <c r="Z394" s="79">
        <f>VLOOKUP(B394,'Player Data'!$A1:$AE667,14,FALSE)*$Q394</f>
        <v>0.210085325782422</v>
      </c>
      <c r="AA394" s="79">
        <f>VLOOKUP(B394,'Player Data'!$A1:$AE667,15,FALSE)*$Q394</f>
        <v>116.635774934488</v>
      </c>
      <c r="AB394" s="79">
        <f>VLOOKUP(B394,'Player Data'!$A1:$AE667,16,FALSE)*$Q394</f>
        <v>72.412622008702</v>
      </c>
      <c r="AC394" s="79">
        <f>VLOOKUP(B394,'Player Data'!$A1:$AE667,17,FALSE)*$Q394*_xlfn.IFERROR((VLOOKUP(P394,'Settings'!$E$28:$F$33,2,FALSE)+1),1)</f>
        <v>-5.82285299481678</v>
      </c>
      <c r="AD394" s="79">
        <f>VLOOKUP(B394,'Player Data'!$A1:$AE667,18,FALSE)*$Q394</f>
        <v>41.6913382266409</v>
      </c>
      <c r="AE394" s="79">
        <f>VLOOKUP(B394,'Player Data'!$A1:$AE667,19,FALSE)*$Q394*_xlfn.IFERROR((VLOOKUP(P394,'Settings'!$E$28:$F$33,2,FALSE)+1),1)</f>
        <v>0.522233046692925</v>
      </c>
      <c r="AF394" s="79">
        <f>VLOOKUP(B394,'Player Data'!$A1:$AE667,20,FALSE)*$Q394</f>
        <v>0</v>
      </c>
      <c r="AG394" s="79">
        <f>VLOOKUP(B394,'Player Data'!$A1:$AE667,21,FALSE)*$Q394</f>
        <v>0</v>
      </c>
      <c r="AH394" s="81">
        <f>VLOOKUP(B394,'Player Data'!$A1:$AE667,22,FALSE)</f>
        <v>0</v>
      </c>
      <c r="AI394" s="77"/>
      <c r="AJ394" s="79"/>
      <c r="AK394" s="79"/>
      <c r="AL394" s="79"/>
      <c r="AM394" s="79"/>
      <c r="AN394" s="79"/>
      <c r="AO394" s="79"/>
      <c r="AP394" s="79"/>
      <c r="AQ394" s="82"/>
      <c r="AR394" s="83"/>
      <c r="AS394" s="84"/>
    </row>
    <row r="395" ht="21.25" customHeight="1">
      <c r="A395" s="85">
        <f>RANK(K395,K$1:K$665)</f>
        <v>408</v>
      </c>
      <c r="B395" t="s" s="16">
        <v>585</v>
      </c>
      <c r="C395" t="s" s="69">
        <v>127</v>
      </c>
      <c r="D395" t="s" s="70">
        <f>VLOOKUP(B395,'Player Data'!A1:D667,4,FALSE)</f>
        <v>178</v>
      </c>
      <c r="E395" s="102">
        <f>VLOOKUP(B395,'LW'!A1:C152,3,FALSE)</f>
        <v>99</v>
      </c>
      <c r="F395" t="s" s="78">
        <f>VLOOKUP(B395,'Player Data'!A1:B667,2,FALSE)</f>
        <v>244</v>
      </c>
      <c r="G395" s="91">
        <f>VLOOKUP(B395,'Player Data'!A1:D667,3,FALSE)</f>
        <v>32</v>
      </c>
      <c r="H395" s="94">
        <f>_xlfn.IFERROR(VLOOKUP(B395,'ADP'!A1:G665,7,FALSE)/1000000,VLOOKUP(B395,'ADP'!A1:G665,7,FALSE))</f>
        <v>6</v>
      </c>
      <c r="I395" s="74">
        <f>IF('Settings'!$E$15="POINTS",((R395*Q395)*'Settings'!$B$12)+(S395*'Settings'!$B$2)+(T395*'Settings'!$B$3)+(U395*'Settings'!$B$4)+(V395*'Settings'!$B$5)+(X395*'Settings'!$B$9)+(AA395*'Settings'!$B$6)+(W395*'Settings'!$B$8)+(AB395*'Settings'!$B$7)+(AC395*'Settings'!$B$14)+(AD395*'Settings'!$B$15)+(AE395*'Settings'!$B$16)+(AF395*'Settings'!$B$17)+(AG395*'Settings'!$B$18)+(Y395*'Settings'!$B$10)+(Z395*'Settings'!$B$11),VLOOKUP(B395,'Standard Deviations'!A1:C666,3,FALSE))</f>
        <v>204.330252340538</v>
      </c>
      <c r="J395" s="75">
        <f>IF(D395="G",I395/AJ395,I395/Q395)</f>
        <v>3.08364840355462</v>
      </c>
      <c r="K395" s="74">
        <f>IF('Settings'!$E$18="C/LW/RW",VLOOKUP(B395,'LW'!A1:F152,6,FALSE),VLOOKUP(B395,'F'!A1:F392,6,FALSE))</f>
        <v>-127.389859425674</v>
      </c>
      <c r="L395" s="76">
        <f>_xlfn.IFERROR(K395/H395,"N/A")</f>
        <v>-21.2316432376123</v>
      </c>
      <c r="M395" s="109">
        <f>IF('Settings'!$E$9="YAHOO",VLOOKUP(B395,'ADP'!A1:E665,2,FALSE),IF('Settings'!$E$9="ESPN",VLOOKUP(B395,'ADP'!A1:E665,3,FALSE),IF('Settings'!$E$9="FANTRAX",VLOOKUP(B395,'ADP'!A1:E665,4,FALSE),VLOOKUP(B395,'ADP'!A1:E665,5,FALSE))))</f>
        <v>0</v>
      </c>
      <c r="N395" s="79">
        <f>_xlfn.IFERROR(M395-A395,"N/A")</f>
        <v>-408</v>
      </c>
      <c r="O395" s="77"/>
      <c r="P395" t="s" s="78">
        <f>IF('Settings'!$E$27="ON",VLOOKUP(B395,'ADP'!A1:H665,8,FALSE)," ")</f>
        <v>138</v>
      </c>
      <c r="Q395" s="79">
        <f>IF('Settings'!$E$12="YES",VLOOKUP(B395,'Player Data'!A1:E667,5,FALSE),82)</f>
        <v>66.2625</v>
      </c>
      <c r="R395" s="77">
        <f>VLOOKUP(B395,'Player Data'!$A1:$AE667,6,FALSE)</f>
        <v>17.2218101060184</v>
      </c>
      <c r="S395" s="79">
        <f>VLOOKUP(B395,'Player Data'!$A1:$AE667,7,FALSE)*$Q395*_xlfn.IFERROR((VLOOKUP(P395,'Settings'!$E$28:$F$33,2,FALSE)+1),1)</f>
        <v>16.9878896981588</v>
      </c>
      <c r="T395" s="79">
        <f>VLOOKUP(B395,'Player Data'!$A1:$AE667,8,FALSE)*$Q395*_xlfn.IFERROR((VLOOKUP(P395,'Settings'!$E$28:$F$33,2,FALSE)+1),1)</f>
        <v>24.9656101976023</v>
      </c>
      <c r="U395" s="79">
        <f>SUM(S395:T395)</f>
        <v>41.9534998957611</v>
      </c>
      <c r="V395" s="79">
        <f>VLOOKUP(B395,'Player Data'!$A1:$AE667,10,FALSE)*$Q395*_xlfn.IFERROR(((VLOOKUP(P395,'Settings'!$E$28:$F$33,2,FALSE)/2)+1),1)</f>
        <v>169.079963692071</v>
      </c>
      <c r="W395" s="79">
        <f>VLOOKUP(B395,'Player Data'!$A1:$AE667,11,FALSE)*$Q395*_xlfn.IFERROR((VLOOKUP(P395,'Settings'!$E$28:$F$33,2,FALSE)+1),1)</f>
        <v>5.0580305325035</v>
      </c>
      <c r="X395" s="80">
        <f>VLOOKUP(B395,'Player Data'!$A1:$AE667,12,FALSE)*$Q395*_xlfn.IFERROR((VLOOKUP(P395,'Settings'!$E$28:$F$33,2,FALSE)+1),1)</f>
        <v>12.2808388286618</v>
      </c>
      <c r="Y395" s="79">
        <f>VLOOKUP(B395,'Player Data'!$A1:$AE667,13,FALSE)*$Q395</f>
        <v>0.00309836937046115</v>
      </c>
      <c r="Z395" s="79">
        <f>VLOOKUP(B395,'Player Data'!$A1:$AE667,14,FALSE)*$Q395</f>
        <v>0.00531692401246071</v>
      </c>
      <c r="AA395" s="79">
        <f>VLOOKUP(B395,'Player Data'!$A1:$AE667,15,FALSE)*$Q395</f>
        <v>32.1812070418724</v>
      </c>
      <c r="AB395" s="79">
        <f>VLOOKUP(B395,'Player Data'!$A1:$AE667,16,FALSE)*$Q395</f>
        <v>49.9484697327972</v>
      </c>
      <c r="AC395" s="79">
        <f>VLOOKUP(B395,'Player Data'!$A1:$AE667,17,FALSE)*$Q395*_xlfn.IFERROR((VLOOKUP(P395,'Settings'!$E$28:$F$33,2,FALSE)+1),1)</f>
        <v>-3.97092883198642</v>
      </c>
      <c r="AD395" s="79">
        <f>VLOOKUP(B395,'Player Data'!$A1:$AE667,18,FALSE)*$Q395</f>
        <v>31.4791622827749</v>
      </c>
      <c r="AE395" s="79">
        <f>VLOOKUP(B395,'Player Data'!$A1:$AE667,19,FALSE)*$Q395*_xlfn.IFERROR((VLOOKUP(P395,'Settings'!$E$28:$F$33,2,FALSE)+1),1)</f>
        <v>2.19543409269005</v>
      </c>
      <c r="AF395" s="79">
        <f>VLOOKUP(B395,'Player Data'!$A1:$AE667,20,FALSE)*$Q395</f>
        <v>15.9912081832594</v>
      </c>
      <c r="AG395" s="79">
        <f>VLOOKUP(B395,'Player Data'!$A1:$AE667,21,FALSE)*$Q395</f>
        <v>17.8311437864695</v>
      </c>
      <c r="AH395" s="81">
        <f>VLOOKUP(B395,'Player Data'!$A1:$AE667,22,FALSE)</f>
        <v>0.472800005084555</v>
      </c>
      <c r="AI395" s="77"/>
      <c r="AJ395" s="89"/>
      <c r="AK395" s="79"/>
      <c r="AL395" s="79"/>
      <c r="AM395" s="79"/>
      <c r="AN395" s="79"/>
      <c r="AO395" s="79"/>
      <c r="AP395" s="79"/>
      <c r="AQ395" s="82"/>
      <c r="AR395" s="83"/>
      <c r="AS395" s="84"/>
    </row>
    <row r="396" ht="21.25" customHeight="1">
      <c r="A396" s="85">
        <f>RANK(K396,K$1:K$665)</f>
        <v>366</v>
      </c>
      <c r="B396" t="s" s="16">
        <v>586</v>
      </c>
      <c r="C396" t="s" s="69">
        <v>127</v>
      </c>
      <c r="D396" t="s" s="70">
        <f>VLOOKUP(B396,'Player Data'!A1:D667,4,FALSE)</f>
        <v>161</v>
      </c>
      <c r="E396" s="99">
        <f>VLOOKUP(B396,'G'!A1:D65,3,FALSE)</f>
        <v>47</v>
      </c>
      <c r="F396" t="s" s="86">
        <f>VLOOKUP(B396,'Player Data'!A1:B667,2,FALSE)</f>
        <v>275</v>
      </c>
      <c r="G396" s="91">
        <f>VLOOKUP(B396,'Player Data'!A1:D667,3,FALSE)</f>
        <v>39</v>
      </c>
      <c r="H396" s="94">
        <f>_xlfn.IFERROR(VLOOKUP(B396,'ADP'!A1:G665,7,FALSE)/1000000,VLOOKUP(B396,'ADP'!A1:G665,7,FALSE))</f>
        <v>2.5</v>
      </c>
      <c r="I396" s="74">
        <f>IF('Settings'!$E$15="POINTS",(AJ396*'Settings'!$B$29)+(AK396*'Settings'!$B$21)+(AL396*'Settings'!$B$22)+(AN396*'Settings'!$B$24)+(AO396*'Settings'!$B$25)+(AP396*'Settings'!$B$27)+(AM396*'Settings'!$B$23),VLOOKUP(B396,'Standard Deviations'!A1:C666,3,FALSE))</f>
        <v>150.816828995031</v>
      </c>
      <c r="J396" s="75">
        <f>IF(D396="G",I396/AJ396,I396/Q396)</f>
        <v>5.0272276331677</v>
      </c>
      <c r="K396" s="74">
        <f>VLOOKUP(B396,'G'!A1:F65,6,FALSE)</f>
        <v>-116.774185569559</v>
      </c>
      <c r="L396" s="76">
        <f>_xlfn.IFERROR(K396/H396,"N/A")</f>
        <v>-46.7096742278236</v>
      </c>
      <c r="M396" s="77">
        <f>IF('Settings'!$E$9="YAHOO",VLOOKUP(B396,'ADP'!A1:E665,2,FALSE),IF('Settings'!$E$9="ESPN",VLOOKUP(B396,'ADP'!A1:E665,3,FALSE),IF('Settings'!$E$9="FANTRAX",VLOOKUP(B396,'ADP'!A1:E665,4,FALSE),VLOOKUP(B396,'ADP'!A1:E665,5,FALSE))))</f>
        <v>0</v>
      </c>
      <c r="N396" s="77">
        <f>_xlfn.IFERROR(M396-A396,"N/A")</f>
        <v>-366</v>
      </c>
      <c r="O396" s="77"/>
      <c r="P396" t="s" s="78">
        <f>IF('Settings'!$E$27="ON",VLOOKUP(B396,'ADP'!A1:H665,8,FALSE)," ")</f>
        <v>138</v>
      </c>
      <c r="Q396" s="79"/>
      <c r="R396" s="77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81"/>
      <c r="AI396" s="77"/>
      <c r="AJ396" s="89">
        <f>VLOOKUP(B396,'Player Data'!$A1:$AE667,24,FALSE)</f>
        <v>30</v>
      </c>
      <c r="AK396" s="79">
        <f>VLOOKUP(B396,'Player Data'!$A1:$AE667,25,FALSE)*$AJ396*_xlfn.IFERROR((VLOOKUP(P396,'Settings'!$E$28:$F$33,2,FALSE)+1),1)</f>
        <v>14.5043349271655</v>
      </c>
      <c r="AL396" s="79">
        <f>AJ396-AK396-AM396</f>
        <v>11.7456650728345</v>
      </c>
      <c r="AM396" s="79">
        <f>VLOOKUP(B396,'Player Data'!$A1:$AE667,27,FALSE)*$AJ396</f>
        <v>3.75</v>
      </c>
      <c r="AN396" s="79">
        <f>VLOOKUP(B396,'Player Data'!$A1:$AE667,28,FALSE)*AJ396</f>
        <v>1.92604459059732</v>
      </c>
      <c r="AO396" s="79">
        <f>VLOOKUP(B396,'Player Data'!$A1:$AE667,29,FALSE)*$AJ396*_xlfn.IFERROR((VLOOKUP(P396,'Settings'!$E$28:$F$33,2,FALSE)/4)+1,1)</f>
        <v>756.775163627277</v>
      </c>
      <c r="AP396" s="79">
        <f>VLOOKUP(B396,'Player Data'!$A1:$AE667,31,FALSE)*$AJ396*(_xlfn.IFERROR(1-(VLOOKUP(P396,'Settings'!$E$28:$F$33,2,FALSE)/4),1))</f>
        <v>80.976523039992</v>
      </c>
      <c r="AQ396" s="82">
        <f>1-(AP396/(AO396+AP396))</f>
        <v>0.903340662479438</v>
      </c>
      <c r="AR396" s="83">
        <f>AP396/AJ396</f>
        <v>2.6992174346664</v>
      </c>
      <c r="AS396" s="84"/>
    </row>
    <row r="397" ht="21.25" customHeight="1">
      <c r="A397" s="85">
        <f>RANK(K397,K$1:K$665)</f>
        <v>378</v>
      </c>
      <c r="B397" t="s" s="16">
        <v>587</v>
      </c>
      <c r="C397" t="s" s="69">
        <v>127</v>
      </c>
      <c r="D397" t="s" s="70">
        <f>VLOOKUP(B397,'Player Data'!A1:D667,4,FALSE)</f>
        <v>153</v>
      </c>
      <c r="E397" s="95">
        <f>VLOOKUP(B397,'D'!A1:C213,3,FALSE)</f>
        <v>127</v>
      </c>
      <c r="F397" t="s" s="78">
        <f>VLOOKUP(B397,'Player Data'!A1:B667,2,FALSE)</f>
        <v>261</v>
      </c>
      <c r="G397" s="91">
        <f>VLOOKUP(B397,'Player Data'!A1:D667,3,FALSE)</f>
        <v>35</v>
      </c>
      <c r="H397" s="94">
        <f>_xlfn.IFERROR(VLOOKUP(B397,'ADP'!A1:G665,7,FALSE)/1000000,VLOOKUP(B397,'ADP'!A1:G665,7,FALSE))</f>
        <v>3.1</v>
      </c>
      <c r="I397" s="74">
        <f>IF('Settings'!$E$15="POINTS",((R397*Q397)*'Settings'!$B$12)+(S397*'Settings'!$B$2)+(T397*'Settings'!$B$3)+(U397*'Settings'!$B$4)+(V397*'Settings'!$B$5)+(X397*'Settings'!$B$9)+(AA397*'Settings'!$B$6)+(W397*'Settings'!$B$8)+(AB397*'Settings'!$B$7)+(AC397*'Settings'!$B$14)+(AD397*'Settings'!$B$15)+(AE397*'Settings'!$B$16)+(AF397*'Settings'!$B$17)+(AG397*'Settings'!$B$18)+(U397*'Settings'!$B$13)+(Y397*'Settings'!$B$10)+(Z397*'Settings'!$B$11),VLOOKUP(B397,'Standard Deviations'!A1:C666,3,FALSE))</f>
        <v>210.836208832747</v>
      </c>
      <c r="J397" s="75">
        <f>IF(D397="G",I397/AJ397,I397/Q397)</f>
        <v>2.63314860537963</v>
      </c>
      <c r="K397" s="74">
        <f>VLOOKUP(B397,'D'!A1:F213,6,FALSE)</f>
        <v>-120.703999087335</v>
      </c>
      <c r="L397" s="76">
        <f>_xlfn.IFERROR(K397/H397,"N/A")</f>
        <v>-38.9367738991403</v>
      </c>
      <c r="M397" s="109">
        <f>IF('Settings'!$E$9="YAHOO",VLOOKUP(B397,'ADP'!A1:E665,2,FALSE),IF('Settings'!$E$9="ESPN",VLOOKUP(B397,'ADP'!A1:E665,3,FALSE),IF('Settings'!$E$9="FANTRAX",VLOOKUP(B397,'ADP'!A1:E665,4,FALSE),VLOOKUP(B397,'ADP'!A1:E665,5,FALSE))))</f>
        <v>0</v>
      </c>
      <c r="N397" s="79">
        <f>_xlfn.IFERROR(M397-A397,"N/A")</f>
        <v>-378</v>
      </c>
      <c r="O397" s="77"/>
      <c r="P397" t="s" s="78">
        <f>IF('Settings'!$E$27="ON",VLOOKUP(B397,'ADP'!A1:H665,8,FALSE)," ")</f>
        <v>138</v>
      </c>
      <c r="Q397" s="79">
        <f>IF('Settings'!$E$12="YES",VLOOKUP(B397,'Player Data'!A1:E667,5,FALSE),82)</f>
        <v>80.06999999999999</v>
      </c>
      <c r="R397" s="77">
        <f>VLOOKUP(B397,'Player Data'!$A1:$AE667,6,FALSE)</f>
        <v>18.5775476229138</v>
      </c>
      <c r="S397" s="79">
        <f>VLOOKUP(B397,'Player Data'!$A1:$AE667,7,FALSE)*$Q397*_xlfn.IFERROR((VLOOKUP(P397,'Settings'!$E$28:$F$33,2,FALSE)+1),1)</f>
        <v>1.95806731660871</v>
      </c>
      <c r="T397" s="79">
        <f>VLOOKUP(B397,'Player Data'!$A1:$AE667,8,FALSE)*$Q397*_xlfn.IFERROR((VLOOKUP(P397,'Settings'!$E$28:$F$33,2,FALSE)+1),1)</f>
        <v>12.1983730021552</v>
      </c>
      <c r="U397" s="79">
        <f>SUM(S397:T397)</f>
        <v>14.1564403187639</v>
      </c>
      <c r="V397" s="79">
        <f>VLOOKUP(B397,'Player Data'!$A1:$AE667,10,FALSE)*$Q397*_xlfn.IFERROR(((VLOOKUP(P397,'Settings'!$E$28:$F$33,2,FALSE)/2)+1),1)</f>
        <v>72.1656107007247</v>
      </c>
      <c r="W397" s="79">
        <f>VLOOKUP(B397,'Player Data'!$A1:$AE667,11,FALSE)*$Q397*_xlfn.IFERROR((VLOOKUP(P397,'Settings'!$E$28:$F$33,2,FALSE)+1),1)</f>
        <v>0.0165490818046872</v>
      </c>
      <c r="X397" s="79">
        <f>VLOOKUP(B397,'Player Data'!$A1:$AE667,12,FALSE)*$Q397*_xlfn.IFERROR((VLOOKUP(P397,'Settings'!$E$28:$F$33,2,FALSE)+1),1)</f>
        <v>0.127604383888203</v>
      </c>
      <c r="Y397" s="79">
        <f>VLOOKUP(B397,'Player Data'!$A1:$AE667,13,FALSE)*$Q397</f>
        <v>0.0194814360049257</v>
      </c>
      <c r="Z397" s="79">
        <f>VLOOKUP(B397,'Player Data'!$A1:$AE667,14,FALSE)*$Q397</f>
        <v>0.233279921041868</v>
      </c>
      <c r="AA397" s="79">
        <f>VLOOKUP(B397,'Player Data'!$A1:$AE667,15,FALSE)*$Q397</f>
        <v>148.450570326907</v>
      </c>
      <c r="AB397" s="79">
        <f>VLOOKUP(B397,'Player Data'!$A1:$AE667,16,FALSE)*$Q397</f>
        <v>99.36151084511501</v>
      </c>
      <c r="AC397" s="79">
        <f>VLOOKUP(B397,'Player Data'!$A1:$AE667,17,FALSE)*$Q397*_xlfn.IFERROR((VLOOKUP(P397,'Settings'!$E$28:$F$33,2,FALSE)+1),1)</f>
        <v>5.7651222838992</v>
      </c>
      <c r="AD397" s="79">
        <f>VLOOKUP(B397,'Player Data'!$A1:$AE667,18,FALSE)*$Q397</f>
        <v>61.0132190947931</v>
      </c>
      <c r="AE397" s="79">
        <f>VLOOKUP(B397,'Player Data'!$A1:$AE667,19,FALSE)*$Q397*_xlfn.IFERROR((VLOOKUP(P397,'Settings'!$E$28:$F$33,2,FALSE)+1),1)</f>
        <v>0.286522801584567</v>
      </c>
      <c r="AF397" s="79">
        <f>VLOOKUP(B397,'Player Data'!$A1:$AE667,20,FALSE)*$Q397</f>
        <v>0</v>
      </c>
      <c r="AG397" s="79">
        <f>VLOOKUP(B397,'Player Data'!$A1:$AE667,21,FALSE)*$Q397</f>
        <v>0</v>
      </c>
      <c r="AH397" s="81">
        <f>VLOOKUP(B397,'Player Data'!$A1:$AE667,22,FALSE)</f>
        <v>0</v>
      </c>
      <c r="AI397" s="77"/>
      <c r="AJ397" s="79"/>
      <c r="AK397" s="79"/>
      <c r="AL397" s="79"/>
      <c r="AM397" s="79"/>
      <c r="AN397" s="79"/>
      <c r="AO397" s="79"/>
      <c r="AP397" s="79"/>
      <c r="AQ397" s="82"/>
      <c r="AR397" s="83"/>
      <c r="AS397" s="84"/>
    </row>
    <row r="398" ht="21.25" customHeight="1">
      <c r="A398" s="85">
        <f>RANK(K398,K$1:K$665)</f>
        <v>379</v>
      </c>
      <c r="B398" t="s" s="16">
        <v>588</v>
      </c>
      <c r="C398" t="s" s="69">
        <v>127</v>
      </c>
      <c r="D398" t="s" s="70">
        <f>VLOOKUP(B398,'Player Data'!A1:D667,4,FALSE)</f>
        <v>153</v>
      </c>
      <c r="E398" s="95">
        <f>VLOOKUP(B398,'D'!A1:C213,3,FALSE)</f>
        <v>128</v>
      </c>
      <c r="F398" t="s" s="88">
        <f>VLOOKUP(B398,'Player Data'!A1:B667,2,FALSE)</f>
        <v>141</v>
      </c>
      <c r="G398" s="96">
        <f>VLOOKUP(B398,'Player Data'!A1:D667,3,FALSE)</f>
        <v>24</v>
      </c>
      <c r="H398" s="73">
        <f>_xlfn.IFERROR(VLOOKUP(B398,'ADP'!A1:G665,7,FALSE)/1000000,VLOOKUP(B398,'ADP'!A1:G665,7,FALSE))</f>
        <v>3.375</v>
      </c>
      <c r="I398" s="74">
        <f>IF('Settings'!$E$15="POINTS",((R398*Q398)*'Settings'!$B$12)+(S398*'Settings'!$B$2)+(T398*'Settings'!$B$3)+(U398*'Settings'!$B$4)+(V398*'Settings'!$B$5)+(X398*'Settings'!$B$9)+(AA398*'Settings'!$B$6)+(W398*'Settings'!$B$8)+(AB398*'Settings'!$B$7)+(AC398*'Settings'!$B$14)+(AD398*'Settings'!$B$15)+(AE398*'Settings'!$B$16)+(AF398*'Settings'!$B$17)+(AG398*'Settings'!$B$18)+(U398*'Settings'!$B$13)+(Y398*'Settings'!$B$10)+(Z398*'Settings'!$B$11),VLOOKUP(B398,'Standard Deviations'!A1:C666,3,FALSE))</f>
        <v>210.739106249195</v>
      </c>
      <c r="J398" s="75">
        <f>IF(D398="G",I398/AJ398,I398/Q398)</f>
        <v>2.70959956604558</v>
      </c>
      <c r="K398" s="74">
        <f>VLOOKUP(B398,'D'!A1:F213,6,FALSE)</f>
        <v>-120.801101670887</v>
      </c>
      <c r="L398" s="76">
        <f>_xlfn.IFERROR(K398/H398,"N/A")</f>
        <v>-35.7929190135961</v>
      </c>
      <c r="M398" s="109">
        <f>IF('Settings'!$E$9="YAHOO",VLOOKUP(B398,'ADP'!A1:E665,2,FALSE),IF('Settings'!$E$9="ESPN",VLOOKUP(B398,'ADP'!A1:E665,3,FALSE),IF('Settings'!$E$9="FANTRAX",VLOOKUP(B398,'ADP'!A1:E665,4,FALSE),VLOOKUP(B398,'ADP'!A1:E665,5,FALSE))))</f>
        <v>0</v>
      </c>
      <c r="N398" s="79">
        <f>_xlfn.IFERROR(M398-A398,"N/A")</f>
        <v>-379</v>
      </c>
      <c r="O398" s="77"/>
      <c r="P398" t="s" s="78">
        <f>IF('Settings'!$E$27="ON",VLOOKUP(B398,'ADP'!A1:H665,8,FALSE)," ")</f>
        <v>138</v>
      </c>
      <c r="Q398" s="79">
        <f>IF('Settings'!$E$12="YES",VLOOKUP(B398,'Player Data'!A1:E667,5,FALSE),82)</f>
        <v>77.77500000000001</v>
      </c>
      <c r="R398" s="108">
        <f>VLOOKUP(B398,'Player Data'!$A1:$AE667,6,FALSE)</f>
        <v>19.3031139715181</v>
      </c>
      <c r="S398" s="79">
        <f>VLOOKUP(B398,'Player Data'!$A1:$AE667,7,FALSE)*$Q398*_xlfn.IFERROR((VLOOKUP(P398,'Settings'!$E$28:$F$33,2,FALSE)+1),1)</f>
        <v>5.17791695583696</v>
      </c>
      <c r="T398" s="79">
        <f>VLOOKUP(B398,'Player Data'!$A1:$AE667,8,FALSE)*$Q398*_xlfn.IFERROR((VLOOKUP(P398,'Settings'!$E$28:$F$33,2,FALSE)+1),1)</f>
        <v>19.1797767470978</v>
      </c>
      <c r="U398" s="79">
        <f>SUM(S398:T398)</f>
        <v>24.3576937029348</v>
      </c>
      <c r="V398" s="79">
        <f>VLOOKUP(B398,'Player Data'!$A1:$AE667,10,FALSE)*$Q398*_xlfn.IFERROR(((VLOOKUP(P398,'Settings'!$E$28:$F$33,2,FALSE)/2)+1),1)</f>
        <v>76.1063010379841</v>
      </c>
      <c r="W398" s="79">
        <f>VLOOKUP(B398,'Player Data'!$A1:$AE667,11,FALSE)*$Q398*_xlfn.IFERROR((VLOOKUP(P398,'Settings'!$E$28:$F$33,2,FALSE)+1),1)</f>
        <v>0.641001824030195</v>
      </c>
      <c r="X398" s="79">
        <f>VLOOKUP(B398,'Player Data'!$A1:$AE667,12,FALSE)*$Q398*_xlfn.IFERROR((VLOOKUP(P398,'Settings'!$E$28:$F$33,2,FALSE)+1),1)</f>
        <v>3.0390665739788</v>
      </c>
      <c r="Y398" s="79">
        <f>VLOOKUP(B398,'Player Data'!$A1:$AE667,13,FALSE)*$Q398</f>
        <v>0.0256946335704429</v>
      </c>
      <c r="Z398" s="79">
        <f>VLOOKUP(B398,'Player Data'!$A1:$AE667,14,FALSE)*$Q398</f>
        <v>0.939942111483857</v>
      </c>
      <c r="AA398" s="79">
        <f>VLOOKUP(B398,'Player Data'!$A1:$AE667,15,FALSE)*$Q398</f>
        <v>111.412914927127</v>
      </c>
      <c r="AB398" s="79">
        <f>VLOOKUP(B398,'Player Data'!$A1:$AE667,16,FALSE)*$Q398</f>
        <v>92.3894383439272</v>
      </c>
      <c r="AC398" s="79">
        <f>VLOOKUP(B398,'Player Data'!$A1:$AE667,17,FALSE)*$Q398*_xlfn.IFERROR((VLOOKUP(P398,'Settings'!$E$28:$F$33,2,FALSE)+1),1)</f>
        <v>-1.59885652220608</v>
      </c>
      <c r="AD398" s="79">
        <f>VLOOKUP(B398,'Player Data'!$A1:$AE667,18,FALSE)*$Q398</f>
        <v>32.6628317738193</v>
      </c>
      <c r="AE398" s="79">
        <f>VLOOKUP(B398,'Player Data'!$A1:$AE667,19,FALSE)*$Q398*_xlfn.IFERROR((VLOOKUP(P398,'Settings'!$E$28:$F$33,2,FALSE)+1),1)</f>
        <v>0.81584099404003</v>
      </c>
      <c r="AF398" s="79">
        <f>VLOOKUP(B398,'Player Data'!$A1:$AE667,20,FALSE)*$Q398</f>
        <v>0</v>
      </c>
      <c r="AG398" s="79">
        <f>VLOOKUP(B398,'Player Data'!$A1:$AE667,21,FALSE)*$Q398</f>
        <v>0</v>
      </c>
      <c r="AH398" s="81">
        <f>VLOOKUP(B398,'Player Data'!$A1:$AE667,22,FALSE)</f>
        <v>0</v>
      </c>
      <c r="AI398" s="77"/>
      <c r="AJ398" s="79"/>
      <c r="AK398" s="79"/>
      <c r="AL398" s="79"/>
      <c r="AM398" s="79"/>
      <c r="AN398" s="79"/>
      <c r="AO398" s="79"/>
      <c r="AP398" s="79"/>
      <c r="AQ398" s="82"/>
      <c r="AR398" s="83"/>
      <c r="AS398" s="84"/>
    </row>
    <row r="399" ht="21.25" customHeight="1">
      <c r="A399" s="85">
        <f>RANK(K399,K$1:K$665)</f>
        <v>412</v>
      </c>
      <c r="B399" t="s" s="16">
        <v>589</v>
      </c>
      <c r="C399" t="s" s="69">
        <v>127</v>
      </c>
      <c r="D399" t="s" s="70">
        <f>VLOOKUP(B399,'Player Data'!A1:D667,4,FALSE)</f>
        <v>178</v>
      </c>
      <c r="E399" s="102">
        <f>VLOOKUP(B399,'LW'!A1:C152,3,FALSE)</f>
        <v>100</v>
      </c>
      <c r="F399" t="s" s="88">
        <f>VLOOKUP(B399,'Player Data'!A1:B667,2,FALSE)</f>
        <v>304</v>
      </c>
      <c r="G399" s="96">
        <f>VLOOKUP(B399,'Player Data'!A1:D667,3,FALSE)</f>
        <v>23</v>
      </c>
      <c r="H399" s="94">
        <f>_xlfn.IFERROR(VLOOKUP(B399,'ADP'!A1:G665,7,FALSE)/1000000,VLOOKUP(B399,'ADP'!A1:G665,7,FALSE))</f>
        <v>0.859167</v>
      </c>
      <c r="I399" s="74">
        <f>IF('Settings'!$E$15="POINTS",((R399*Q399)*'Settings'!$B$12)+(S399*'Settings'!$B$2)+(T399*'Settings'!$B$3)+(U399*'Settings'!$B$4)+(V399*'Settings'!$B$5)+(X399*'Settings'!$B$9)+(AA399*'Settings'!$B$6)+(W399*'Settings'!$B$8)+(AB399*'Settings'!$B$7)+(AC399*'Settings'!$B$14)+(AD399*'Settings'!$B$15)+(AE399*'Settings'!$B$16)+(AF399*'Settings'!$B$17)+(AG399*'Settings'!$B$18)+(Y399*'Settings'!$B$10)+(Z399*'Settings'!$B$11),VLOOKUP(B399,'Standard Deviations'!A1:C666,3,FALSE))</f>
        <v>203.743635861770</v>
      </c>
      <c r="J399" s="75">
        <f>IF(D399="G",I399/AJ399,I399/Q399)</f>
        <v>2.66053324447336</v>
      </c>
      <c r="K399" s="74">
        <f>IF('Settings'!$E$18="C/LW/RW",VLOOKUP(B399,'LW'!A1:F152,6,FALSE),VLOOKUP(B399,'F'!A1:F392,6,FALSE))</f>
        <v>-127.976475904442</v>
      </c>
      <c r="L399" s="76">
        <f>_xlfn.IFERROR(K399/H399,"N/A")</f>
        <v>-148.954133369231</v>
      </c>
      <c r="M399" s="109">
        <f>IF('Settings'!$E$9="YAHOO",VLOOKUP(B399,'ADP'!A1:E665,2,FALSE),IF('Settings'!$E$9="ESPN",VLOOKUP(B399,'ADP'!A1:E665,3,FALSE),IF('Settings'!$E$9="FANTRAX",VLOOKUP(B399,'ADP'!A1:E665,4,FALSE),VLOOKUP(B399,'ADP'!A1:E665,5,FALSE))))</f>
        <v>0</v>
      </c>
      <c r="N399" s="79">
        <f>_xlfn.IFERROR(M399-A399,"N/A")</f>
        <v>-412</v>
      </c>
      <c r="O399" s="77"/>
      <c r="P399" t="s" s="78">
        <f>IF('Settings'!$E$27="ON",VLOOKUP(B399,'ADP'!A1:H665,8,FALSE)," ")</f>
        <v>138</v>
      </c>
      <c r="Q399" s="79">
        <f>IF('Settings'!$E$12="YES",VLOOKUP(B399,'Player Data'!A1:E667,5,FALSE),82)</f>
        <v>76.58</v>
      </c>
      <c r="R399" s="77">
        <f>VLOOKUP(B399,'Player Data'!$A1:$AE667,6,FALSE)</f>
        <v>11.3612049259015</v>
      </c>
      <c r="S399" s="79">
        <f>VLOOKUP(B399,'Player Data'!$A1:$AE667,7,FALSE)*$Q399*_xlfn.IFERROR((VLOOKUP(P399,'Settings'!$E$28:$F$33,2,FALSE)+1),1)</f>
        <v>10.3237081963142</v>
      </c>
      <c r="T399" s="79">
        <f>VLOOKUP(B399,'Player Data'!$A1:$AE667,8,FALSE)*$Q399*_xlfn.IFERROR((VLOOKUP(P399,'Settings'!$E$28:$F$33,2,FALSE)+1),1)</f>
        <v>9.88218731875423</v>
      </c>
      <c r="U399" s="79">
        <f>SUM(S399:T399)</f>
        <v>20.2058955150684</v>
      </c>
      <c r="V399" s="79">
        <f>VLOOKUP(B399,'Player Data'!$A1:$AE667,10,FALSE)*$Q399*_xlfn.IFERROR(((VLOOKUP(P399,'Settings'!$E$28:$F$33,2,FALSE)/2)+1),1)</f>
        <v>100.603065233661</v>
      </c>
      <c r="W399" s="79">
        <f>VLOOKUP(B399,'Player Data'!$A1:$AE667,11,FALSE)*$Q399*_xlfn.IFERROR((VLOOKUP(P399,'Settings'!$E$28:$F$33,2,FALSE)+1),1)</f>
        <v>0.0704777382558615</v>
      </c>
      <c r="X399" s="79">
        <f>VLOOKUP(B399,'Player Data'!$A1:$AE667,12,FALSE)*$Q399*_xlfn.IFERROR((VLOOKUP(P399,'Settings'!$E$28:$F$33,2,FALSE)+1),1)</f>
        <v>0.164107351534236</v>
      </c>
      <c r="Y399" s="79">
        <f>VLOOKUP(B399,'Player Data'!$A1:$AE667,13,FALSE)*$Q399</f>
        <v>0.172316583028408</v>
      </c>
      <c r="Z399" s="79">
        <f>VLOOKUP(B399,'Player Data'!$A1:$AE667,14,FALSE)*$Q399</f>
        <v>0.293950422830865</v>
      </c>
      <c r="AA399" s="79">
        <f>VLOOKUP(B399,'Player Data'!$A1:$AE667,15,FALSE)*$Q399</f>
        <v>28.6330428763833</v>
      </c>
      <c r="AB399" s="79">
        <f>VLOOKUP(B399,'Player Data'!$A1:$AE667,16,FALSE)*$Q399</f>
        <v>188.564898818866</v>
      </c>
      <c r="AC399" s="79">
        <f>VLOOKUP(B399,'Player Data'!$A1:$AE667,17,FALSE)*$Q399*_xlfn.IFERROR((VLOOKUP(P399,'Settings'!$E$28:$F$33,2,FALSE)+1),1)</f>
        <v>-1.09666228357891</v>
      </c>
      <c r="AD399" s="79">
        <f>VLOOKUP(B399,'Player Data'!$A1:$AE667,18,FALSE)*$Q399</f>
        <v>24.6741727473441</v>
      </c>
      <c r="AE399" s="79">
        <f>VLOOKUP(B399,'Player Data'!$A1:$AE667,19,FALSE)*$Q399*_xlfn.IFERROR((VLOOKUP(P399,'Settings'!$E$28:$F$33,2,FALSE)+1),1)</f>
        <v>1.56763104416059</v>
      </c>
      <c r="AF399" s="79">
        <f>VLOOKUP(B399,'Player Data'!$A1:$AE667,20,FALSE)*$Q399</f>
        <v>39.1407266008832</v>
      </c>
      <c r="AG399" s="79">
        <f>VLOOKUP(B399,'Player Data'!$A1:$AE667,21,FALSE)*$Q399</f>
        <v>43.9139859424545</v>
      </c>
      <c r="AH399" s="81">
        <f>VLOOKUP(B399,'Player Data'!$A1:$AE667,22,FALSE)</f>
        <v>0.471264367816092</v>
      </c>
      <c r="AI399" s="77"/>
      <c r="AJ399" s="89"/>
      <c r="AK399" s="79"/>
      <c r="AL399" s="79"/>
      <c r="AM399" s="79"/>
      <c r="AN399" s="79"/>
      <c r="AO399" s="79"/>
      <c r="AP399" s="79"/>
      <c r="AQ399" s="82"/>
      <c r="AR399" s="83"/>
      <c r="AS399" s="84"/>
    </row>
    <row r="400" ht="21.25" customHeight="1">
      <c r="A400" s="85">
        <f>RANK(K400,K$1:K$665)</f>
        <v>413</v>
      </c>
      <c r="B400" t="s" s="16">
        <v>590</v>
      </c>
      <c r="C400" t="s" s="69">
        <v>127</v>
      </c>
      <c r="D400" t="s" s="70">
        <f>VLOOKUP(B400,'Player Data'!A1:D667,4,FALSE)</f>
        <v>178</v>
      </c>
      <c r="E400" s="102">
        <f>VLOOKUP(B400,'LW'!A1:C152,3,FALSE)</f>
        <v>101</v>
      </c>
      <c r="F400" t="s" s="92">
        <f>VLOOKUP(B400,'Player Data'!A1:B667,2,FALSE)</f>
        <v>146</v>
      </c>
      <c r="G400" s="96">
        <f>VLOOKUP(B400,'Player Data'!A1:D667,3,FALSE)</f>
        <v>23</v>
      </c>
      <c r="H400" s="94">
        <f>_xlfn.IFERROR(VLOOKUP(B400,'ADP'!A1:G665,7,FALSE)/1000000,VLOOKUP(B400,'ADP'!A1:G665,7,FALSE))</f>
        <v>1.1</v>
      </c>
      <c r="I400" s="74">
        <f>IF('Settings'!$E$15="POINTS",((R400*Q400)*'Settings'!$B$12)+(S400*'Settings'!$B$2)+(T400*'Settings'!$B$3)+(U400*'Settings'!$B$4)+(V400*'Settings'!$B$5)+(X400*'Settings'!$B$9)+(AA400*'Settings'!$B$6)+(W400*'Settings'!$B$8)+(AB400*'Settings'!$B$7)+(AC400*'Settings'!$B$14)+(AD400*'Settings'!$B$15)+(AE400*'Settings'!$B$16)+(AF400*'Settings'!$B$17)+(AG400*'Settings'!$B$18)+(Y400*'Settings'!$B$10)+(Z400*'Settings'!$B$11),VLOOKUP(B400,'Standard Deviations'!A1:C666,3,FALSE))</f>
        <v>203.716579047016</v>
      </c>
      <c r="J400" s="75">
        <f>IF(D400="G",I400/AJ400,I400/Q400)</f>
        <v>2.84371424249891</v>
      </c>
      <c r="K400" s="74">
        <f>IF('Settings'!$E$18="C/LW/RW",VLOOKUP(B400,'LW'!A1:F152,6,FALSE),VLOOKUP(B400,'F'!A1:F392,6,FALSE))</f>
        <v>-128.003532719196</v>
      </c>
      <c r="L400" s="76">
        <f>_xlfn.IFERROR(K400/H400,"N/A")</f>
        <v>-116.366847926542</v>
      </c>
      <c r="M400" s="109">
        <f>IF('Settings'!$E$9="YAHOO",VLOOKUP(B400,'ADP'!A1:E665,2,FALSE),IF('Settings'!$E$9="ESPN",VLOOKUP(B400,'ADP'!A1:E665,3,FALSE),IF('Settings'!$E$9="FANTRAX",VLOOKUP(B400,'ADP'!A1:E665,4,FALSE),VLOOKUP(B400,'ADP'!A1:E665,5,FALSE))))</f>
        <v>0</v>
      </c>
      <c r="N400" s="79">
        <f>_xlfn.IFERROR(M400-A400,"N/A")</f>
        <v>-413</v>
      </c>
      <c r="O400" s="77"/>
      <c r="P400" t="s" s="78">
        <f>IF('Settings'!$E$27="ON",VLOOKUP(B400,'ADP'!A1:H665,8,FALSE)," ")</f>
        <v>138</v>
      </c>
      <c r="Q400" s="79">
        <f>IF('Settings'!$E$12="YES",VLOOKUP(B400,'Player Data'!A1:E667,5,FALSE),82)</f>
        <v>71.6375</v>
      </c>
      <c r="R400" s="98">
        <f>VLOOKUP(B400,'Player Data'!$A1:$AE667,6,FALSE)</f>
        <v>14.2805132075785</v>
      </c>
      <c r="S400" s="79">
        <f>VLOOKUP(B400,'Player Data'!$A1:$AE667,7,FALSE)*$Q400*_xlfn.IFERROR((VLOOKUP(P400,'Settings'!$E$28:$F$33,2,FALSE)+1),1)</f>
        <v>21.2915929147962</v>
      </c>
      <c r="T400" s="79">
        <f>VLOOKUP(B400,'Player Data'!$A1:$AE667,8,FALSE)*$Q400*_xlfn.IFERROR((VLOOKUP(P400,'Settings'!$E$28:$F$33,2,FALSE)+1),1)</f>
        <v>16.7410714489687</v>
      </c>
      <c r="U400" s="79">
        <f>SUM(S400:T400)</f>
        <v>38.0326643637649</v>
      </c>
      <c r="V400" s="79">
        <f>VLOOKUP(B400,'Player Data'!$A1:$AE667,10,FALSE)*$Q400*_xlfn.IFERROR(((VLOOKUP(P400,'Settings'!$E$28:$F$33,2,FALSE)/2)+1),1)</f>
        <v>133.010200624962</v>
      </c>
      <c r="W400" s="79">
        <f>VLOOKUP(B400,'Player Data'!$A1:$AE667,11,FALSE)*$Q400*_xlfn.IFERROR((VLOOKUP(P400,'Settings'!$E$28:$F$33,2,FALSE)+1),1)</f>
        <v>1.13162197713155</v>
      </c>
      <c r="X400" s="79">
        <f>VLOOKUP(B400,'Player Data'!$A1:$AE667,12,FALSE)*$Q400*_xlfn.IFERROR((VLOOKUP(P400,'Settings'!$E$28:$F$33,2,FALSE)+1),1)</f>
        <v>2.80131551108811</v>
      </c>
      <c r="Y400" s="79">
        <f>VLOOKUP(B400,'Player Data'!$A1:$AE667,13,FALSE)*$Q400</f>
        <v>0.002486597626902</v>
      </c>
      <c r="Z400" s="79">
        <f>VLOOKUP(B400,'Player Data'!$A1:$AE667,14,FALSE)*$Q400</f>
        <v>0.00422429043260126</v>
      </c>
      <c r="AA400" s="79">
        <f>VLOOKUP(B400,'Player Data'!$A1:$AE667,15,FALSE)*$Q400</f>
        <v>22.4009198049034</v>
      </c>
      <c r="AB400" s="79">
        <f>VLOOKUP(B400,'Player Data'!$A1:$AE667,16,FALSE)*$Q400</f>
        <v>91.32555911032991</v>
      </c>
      <c r="AC400" s="79">
        <f>VLOOKUP(B400,'Player Data'!$A1:$AE667,17,FALSE)*$Q400*_xlfn.IFERROR((VLOOKUP(P400,'Settings'!$E$28:$F$33,2,FALSE)+1),1)</f>
        <v>6.22131234408164</v>
      </c>
      <c r="AD400" s="79">
        <f>VLOOKUP(B400,'Player Data'!$A1:$AE667,18,FALSE)*$Q400</f>
        <v>35.5172672937616</v>
      </c>
      <c r="AE400" s="79">
        <f>VLOOKUP(B400,'Player Data'!$A1:$AE667,19,FALSE)*$Q400*_xlfn.IFERROR((VLOOKUP(P400,'Settings'!$E$28:$F$33,2,FALSE)+1),1)</f>
        <v>3.63605481994615</v>
      </c>
      <c r="AF400" s="79">
        <f>VLOOKUP(B400,'Player Data'!$A1:$AE667,20,FALSE)*$Q400</f>
        <v>0.0394284365618671</v>
      </c>
      <c r="AG400" s="79">
        <f>VLOOKUP(B400,'Player Data'!$A1:$AE667,21,FALSE)*$Q400</f>
        <v>0.490676526525925</v>
      </c>
      <c r="AH400" s="81">
        <f>VLOOKUP(B400,'Player Data'!$A1:$AE667,22,FALSE)</f>
        <v>0.0743785463395808</v>
      </c>
      <c r="AI400" s="77"/>
      <c r="AJ400" s="79"/>
      <c r="AK400" s="79"/>
      <c r="AL400" s="79"/>
      <c r="AM400" s="79"/>
      <c r="AN400" s="79"/>
      <c r="AO400" s="79"/>
      <c r="AP400" s="79"/>
      <c r="AQ400" s="82"/>
      <c r="AR400" s="83"/>
      <c r="AS400" s="84"/>
    </row>
    <row r="401" ht="21.25" customHeight="1">
      <c r="A401" s="85">
        <f>RANK(K401,K$1:K$665)</f>
        <v>382</v>
      </c>
      <c r="B401" t="s" s="16">
        <v>591</v>
      </c>
      <c r="C401" t="s" s="69">
        <v>127</v>
      </c>
      <c r="D401" t="s" s="70">
        <f>VLOOKUP(B401,'Player Data'!A1:D667,4,FALSE)</f>
        <v>153</v>
      </c>
      <c r="E401" s="95">
        <f>VLOOKUP(B401,'D'!A1:C213,3,FALSE)</f>
        <v>129</v>
      </c>
      <c r="F401" t="s" s="78">
        <f>VLOOKUP(B401,'Player Data'!A1:B667,2,FALSE)</f>
        <v>244</v>
      </c>
      <c r="G401" s="96">
        <f>VLOOKUP(B401,'Player Data'!A1:D667,3,FALSE)</f>
        <v>23</v>
      </c>
      <c r="H401" s="73">
        <f>_xlfn.IFERROR(VLOOKUP(B401,'ADP'!A1:G665,7,FALSE)/1000000,VLOOKUP(B401,'ADP'!A1:G665,7,FALSE))</f>
        <v>4.6</v>
      </c>
      <c r="I401" s="74">
        <f>IF('Settings'!$E$15="POINTS",((R401*Q401)*'Settings'!$B$12)+(S401*'Settings'!$B$2)+(T401*'Settings'!$B$3)+(U401*'Settings'!$B$4)+(V401*'Settings'!$B$5)+(X401*'Settings'!$B$9)+(AA401*'Settings'!$B$6)+(W401*'Settings'!$B$8)+(AB401*'Settings'!$B$7)+(AC401*'Settings'!$B$14)+(AD401*'Settings'!$B$15)+(AE401*'Settings'!$B$16)+(AF401*'Settings'!$B$17)+(AG401*'Settings'!$B$18)+(U401*'Settings'!$B$13)+(Y401*'Settings'!$B$10)+(Z401*'Settings'!$B$11),VLOOKUP(B401,'Standard Deviations'!A1:C666,3,FALSE))</f>
        <v>210.241658670445</v>
      </c>
      <c r="J401" s="75">
        <f>IF(D401="G",I401/AJ401,I401/Q401)</f>
        <v>2.8228882369903</v>
      </c>
      <c r="K401" s="74">
        <f>VLOOKUP(B401,'D'!A1:F213,6,FALSE)</f>
        <v>-121.298549249637</v>
      </c>
      <c r="L401" s="76">
        <f>_xlfn.IFERROR(K401/H401,"N/A")</f>
        <v>-26.3692498368776</v>
      </c>
      <c r="M401" s="109">
        <f>IF('Settings'!$E$9="YAHOO",VLOOKUP(B401,'ADP'!A1:E665,2,FALSE),IF('Settings'!$E$9="ESPN",VLOOKUP(B401,'ADP'!A1:E665,3,FALSE),IF('Settings'!$E$9="FANTRAX",VLOOKUP(B401,'ADP'!A1:E665,4,FALSE),VLOOKUP(B401,'ADP'!A1:E665,5,FALSE))))</f>
        <v>0</v>
      </c>
      <c r="N401" s="79">
        <f>_xlfn.IFERROR(M401-A401,"N/A")</f>
        <v>-382</v>
      </c>
      <c r="O401" s="77"/>
      <c r="P401" t="s" s="78">
        <f>IF('Settings'!$E$27="ON",VLOOKUP(B401,'ADP'!A1:H665,8,FALSE)," ")</f>
        <v>138</v>
      </c>
      <c r="Q401" s="79">
        <f>IF('Settings'!$E$12="YES",VLOOKUP(B401,'Player Data'!A1:E667,5,FALSE),82)</f>
        <v>74.47750000000001</v>
      </c>
      <c r="R401" s="77">
        <f>VLOOKUP(B401,'Player Data'!$A1:$AE667,6,FALSE)</f>
        <v>21.7218772267429</v>
      </c>
      <c r="S401" s="79">
        <f>VLOOKUP(B401,'Player Data'!$A1:$AE667,7,FALSE)*$Q401*_xlfn.IFERROR((VLOOKUP(P401,'Settings'!$E$28:$F$33,2,FALSE)+1),1)</f>
        <v>3.66944862364442</v>
      </c>
      <c r="T401" s="79">
        <f>VLOOKUP(B401,'Player Data'!$A1:$AE667,8,FALSE)*$Q401*_xlfn.IFERROR((VLOOKUP(P401,'Settings'!$E$28:$F$33,2,FALSE)+1),1)</f>
        <v>17.5454273751725</v>
      </c>
      <c r="U401" s="79">
        <f>SUM(S401:T401)</f>
        <v>21.2148759988169</v>
      </c>
      <c r="V401" s="79">
        <f>VLOOKUP(B401,'Player Data'!$A1:$AE667,10,FALSE)*$Q401*_xlfn.IFERROR(((VLOOKUP(P401,'Settings'!$E$28:$F$33,2,FALSE)/2)+1),1)</f>
        <v>79.51934384443381</v>
      </c>
      <c r="W401" s="79">
        <f>VLOOKUP(B401,'Player Data'!$A1:$AE667,11,FALSE)*$Q401*_xlfn.IFERROR((VLOOKUP(P401,'Settings'!$E$28:$F$33,2,FALSE)+1),1)</f>
        <v>0.218603128116559</v>
      </c>
      <c r="X401" s="79">
        <f>VLOOKUP(B401,'Player Data'!$A1:$AE667,12,FALSE)*$Q401*_xlfn.IFERROR((VLOOKUP(P401,'Settings'!$E$28:$F$33,2,FALSE)+1),1)</f>
        <v>2.66067817838382</v>
      </c>
      <c r="Y401" s="79">
        <f>VLOOKUP(B401,'Player Data'!$A1:$AE667,13,FALSE)*$Q401</f>
        <v>0.0534135550867193</v>
      </c>
      <c r="Z401" s="79">
        <f>VLOOKUP(B401,'Player Data'!$A1:$AE667,14,FALSE)*$Q401</f>
        <v>0.223887556587792</v>
      </c>
      <c r="AA401" s="79">
        <f>VLOOKUP(B401,'Player Data'!$A1:$AE667,15,FALSE)*$Q401</f>
        <v>143.267071515229</v>
      </c>
      <c r="AB401" s="79">
        <f>VLOOKUP(B401,'Player Data'!$A1:$AE667,16,FALSE)*$Q401</f>
        <v>68.7907560081392</v>
      </c>
      <c r="AC401" s="79">
        <f>VLOOKUP(B401,'Player Data'!$A1:$AE667,17,FALSE)*$Q401*_xlfn.IFERROR((VLOOKUP(P401,'Settings'!$E$28:$F$33,2,FALSE)+1),1)</f>
        <v>-4.50336918203923</v>
      </c>
      <c r="AD401" s="79">
        <f>VLOOKUP(B401,'Player Data'!$A1:$AE667,18,FALSE)*$Q401</f>
        <v>34.2587375312018</v>
      </c>
      <c r="AE401" s="79">
        <f>VLOOKUP(B401,'Player Data'!$A1:$AE667,19,FALSE)*$Q401*_xlfn.IFERROR((VLOOKUP(P401,'Settings'!$E$28:$F$33,2,FALSE)+1),1)</f>
        <v>0.474222093082972</v>
      </c>
      <c r="AF401" s="79">
        <f>VLOOKUP(B401,'Player Data'!$A1:$AE667,20,FALSE)*$Q401</f>
        <v>0</v>
      </c>
      <c r="AG401" s="79">
        <f>VLOOKUP(B401,'Player Data'!$A1:$AE667,21,FALSE)*$Q401</f>
        <v>0</v>
      </c>
      <c r="AH401" s="81">
        <f>VLOOKUP(B401,'Player Data'!$A1:$AE667,22,FALSE)</f>
        <v>0</v>
      </c>
      <c r="AI401" s="77"/>
      <c r="AJ401" s="79"/>
      <c r="AK401" s="79"/>
      <c r="AL401" s="79"/>
      <c r="AM401" s="79"/>
      <c r="AN401" s="79"/>
      <c r="AO401" s="79"/>
      <c r="AP401" s="79"/>
      <c r="AQ401" s="82"/>
      <c r="AR401" s="83"/>
      <c r="AS401" s="84"/>
    </row>
    <row r="402" ht="21.25" customHeight="1">
      <c r="A402" s="85">
        <f>RANK(K402,K$1:K$665)</f>
        <v>404</v>
      </c>
      <c r="B402" t="s" s="16">
        <v>592</v>
      </c>
      <c r="C402" t="s" s="69">
        <v>127</v>
      </c>
      <c r="D402" t="s" s="70">
        <f>VLOOKUP(B402,'Player Data'!A1:D667,4,FALSE)</f>
        <v>148</v>
      </c>
      <c r="E402" s="87">
        <f>VLOOKUP(B402,'RW'!A1:C136,3,FALSE)</f>
        <v>81</v>
      </c>
      <c r="F402" t="s" s="78">
        <f>VLOOKUP(B402,'Player Data'!A1:B667,2,FALSE)</f>
        <v>194</v>
      </c>
      <c r="G402" s="91">
        <f>VLOOKUP(B402,'Player Data'!A1:D667,3,FALSE)</f>
        <v>31</v>
      </c>
      <c r="H402" s="73">
        <f>_xlfn.IFERROR(VLOOKUP(B402,'ADP'!A1:G665,7,FALSE)/1000000,VLOOKUP(B402,'ADP'!A1:G665,7,FALSE))</f>
        <v>2.75</v>
      </c>
      <c r="I402" s="74">
        <f>IF('Settings'!$E$15="POINTS",((R402*Q402)*'Settings'!$B$12)+(S402*'Settings'!$B$2)+(T402*'Settings'!$B$3)+(U402*'Settings'!$B$4)+(V402*'Settings'!$B$5)+(X402*'Settings'!$B$9)+(AA402*'Settings'!$B$6)+(W402*'Settings'!$B$8)+(AB402*'Settings'!$B$7)+(AC402*'Settings'!$B$14)+(AD402*'Settings'!$B$15)+(AE402*'Settings'!$B$16)+(AF402*'Settings'!$B$17)+(AG402*'Settings'!$B$18)+(Y402*'Settings'!$B$10)+(Z402*'Settings'!$B$11),VLOOKUP(B402,'Standard Deviations'!A1:C666,3,FALSE))</f>
        <v>202.974280827381</v>
      </c>
      <c r="J402" s="75">
        <f>IF(D402="G",I402/AJ402,I402/Q402)</f>
        <v>2.76899533886813</v>
      </c>
      <c r="K402" s="74">
        <f>IF('Settings'!$E$18="C/LW/RW",VLOOKUP(B402,'RW'!A1:F136,6,FALSE),VLOOKUP(B402,'F'!A1:F392,6,FALSE))</f>
        <v>-126.717613253797</v>
      </c>
      <c r="L402" s="76">
        <f>_xlfn.IFERROR(K402/H402,"N/A")</f>
        <v>-46.0791320922898</v>
      </c>
      <c r="M402" s="109">
        <f>IF('Settings'!$E$9="YAHOO",VLOOKUP(B402,'ADP'!A1:E665,2,FALSE),IF('Settings'!$E$9="ESPN",VLOOKUP(B402,'ADP'!A1:E665,3,FALSE),IF('Settings'!$E$9="FANTRAX",VLOOKUP(B402,'ADP'!A1:E665,4,FALSE),VLOOKUP(B402,'ADP'!A1:E665,5,FALSE))))</f>
        <v>0</v>
      </c>
      <c r="N402" s="79">
        <f>_xlfn.IFERROR(M402-A402,"N/A")</f>
        <v>-404</v>
      </c>
      <c r="O402" s="77"/>
      <c r="P402" t="s" s="78">
        <f>IF('Settings'!$E$27="ON",VLOOKUP(B402,'ADP'!A1:H665,8,FALSE)," ")</f>
        <v>138</v>
      </c>
      <c r="Q402" s="79">
        <f>IF('Settings'!$E$12="YES",VLOOKUP(B402,'Player Data'!A1:E667,5,FALSE),82)</f>
        <v>73.30249999999999</v>
      </c>
      <c r="R402" s="98">
        <f>VLOOKUP(B402,'Player Data'!$A1:$AE667,6,FALSE)</f>
        <v>14.483167423397</v>
      </c>
      <c r="S402" s="79">
        <f>VLOOKUP(B402,'Player Data'!$A1:$AE667,7,FALSE)*$Q402*_xlfn.IFERROR((VLOOKUP(P402,'Settings'!$E$28:$F$33,2,FALSE)+1),1)</f>
        <v>12.2517003493688</v>
      </c>
      <c r="T402" s="79">
        <f>VLOOKUP(B402,'Player Data'!$A1:$AE667,8,FALSE)*$Q402*_xlfn.IFERROR((VLOOKUP(P402,'Settings'!$E$28:$F$33,2,FALSE)+1),1)</f>
        <v>20.8836756749444</v>
      </c>
      <c r="U402" s="79">
        <f>SUM(S402:T402)</f>
        <v>33.1353760243132</v>
      </c>
      <c r="V402" s="79">
        <f>VLOOKUP(B402,'Player Data'!$A1:$AE667,10,FALSE)*$Q402*_xlfn.IFERROR(((VLOOKUP(P402,'Settings'!$E$28:$F$33,2,FALSE)/2)+1),1)</f>
        <v>124.882802088358</v>
      </c>
      <c r="W402" s="79">
        <f>VLOOKUP(B402,'Player Data'!$A1:$AE667,11,FALSE)*$Q402*_xlfn.IFERROR((VLOOKUP(P402,'Settings'!$E$28:$F$33,2,FALSE)+1),1)</f>
        <v>2.54745638697432</v>
      </c>
      <c r="X402" s="79">
        <f>VLOOKUP(B402,'Player Data'!$A1:$AE667,12,FALSE)*$Q402*_xlfn.IFERROR((VLOOKUP(P402,'Settings'!$E$28:$F$33,2,FALSE)+1),1)</f>
        <v>7.04582253050266</v>
      </c>
      <c r="Y402" s="79">
        <f>VLOOKUP(B402,'Player Data'!$A1:$AE667,13,FALSE)*$Q402</f>
        <v>0.00689263960137713</v>
      </c>
      <c r="Z402" s="79">
        <f>VLOOKUP(B402,'Player Data'!$A1:$AE667,14,FALSE)*$Q402</f>
        <v>0.011937209577941</v>
      </c>
      <c r="AA402" s="79">
        <f>VLOOKUP(B402,'Player Data'!$A1:$AE667,15,FALSE)*$Q402</f>
        <v>27.6454484942171</v>
      </c>
      <c r="AB402" s="79">
        <f>VLOOKUP(B402,'Player Data'!$A1:$AE667,16,FALSE)*$Q402</f>
        <v>120.019308354822</v>
      </c>
      <c r="AC402" s="79">
        <f>VLOOKUP(B402,'Player Data'!$A1:$AE667,17,FALSE)*$Q402*_xlfn.IFERROR((VLOOKUP(P402,'Settings'!$E$28:$F$33,2,FALSE)+1),1)</f>
        <v>7.31152802985707</v>
      </c>
      <c r="AD402" s="79">
        <f>VLOOKUP(B402,'Player Data'!$A1:$AE667,18,FALSE)*$Q402</f>
        <v>33.4917074046479</v>
      </c>
      <c r="AE402" s="79">
        <f>VLOOKUP(B402,'Player Data'!$A1:$AE667,19,FALSE)*$Q402*_xlfn.IFERROR((VLOOKUP(P402,'Settings'!$E$28:$F$33,2,FALSE)+1),1)</f>
        <v>1.84849147558233</v>
      </c>
      <c r="AF402" s="79">
        <f>VLOOKUP(B402,'Player Data'!$A1:$AE667,20,FALSE)*$Q402</f>
        <v>53.6494251262452</v>
      </c>
      <c r="AG402" s="79">
        <f>VLOOKUP(B402,'Player Data'!$A1:$AE667,21,FALSE)*$Q402</f>
        <v>65.86698164179521</v>
      </c>
      <c r="AH402" s="81">
        <f>VLOOKUP(B402,'Player Data'!$A1:$AE667,22,FALSE)</f>
        <v>0.448887534163983</v>
      </c>
      <c r="AI402" s="77"/>
      <c r="AJ402" s="89"/>
      <c r="AK402" s="79"/>
      <c r="AL402" s="79"/>
      <c r="AM402" s="79"/>
      <c r="AN402" s="79"/>
      <c r="AO402" s="79"/>
      <c r="AP402" s="79"/>
      <c r="AQ402" s="82"/>
      <c r="AR402" s="83"/>
      <c r="AS402" s="84"/>
    </row>
    <row r="403" ht="21.25" customHeight="1">
      <c r="A403" s="85">
        <f>RANK(K403,K$1:K$665)</f>
        <v>426</v>
      </c>
      <c r="B403" t="s" s="16">
        <v>593</v>
      </c>
      <c r="C403" t="s" s="69">
        <v>127</v>
      </c>
      <c r="D403" t="s" s="70">
        <f>VLOOKUP(B403,'Player Data'!A1:D667,4,FALSE)</f>
        <v>128</v>
      </c>
      <c r="E403" s="71">
        <f>VLOOKUP(B403,'C'!A1:C206,3,FALSE)</f>
        <v>126</v>
      </c>
      <c r="F403" t="s" s="86">
        <f>VLOOKUP(B403,'Player Data'!A1:B667,2,FALSE)</f>
        <v>192</v>
      </c>
      <c r="G403" s="96">
        <f>VLOOKUP(B403,'Player Data'!A1:D667,3,FALSE)</f>
        <v>23</v>
      </c>
      <c r="H403" s="73">
        <f>_xlfn.IFERROR(VLOOKUP(B403,'ADP'!A1:G665,7,FALSE)/1000000,VLOOKUP(B403,'ADP'!A1:G665,7,FALSE))</f>
        <v>2.1</v>
      </c>
      <c r="I403" s="74">
        <f>IF('Settings'!$E$15="POINTS",((R403*Q403)*'Settings'!$B$12)+(S403*'Settings'!$B$2)+(T403*'Settings'!$B$3)+(U403*'Settings'!$B$4)+(V403*'Settings'!$B$5)+(X403*'Settings'!$B$9)+(AA403*'Settings'!$B$6)+(W403*'Settings'!$B$8)+(AB403*'Settings'!$B$7)+(AC403*'Settings'!$B$14)+(AD403*'Settings'!$B$15)+(AE403*'Settings'!$B$16)+(AF403*'Settings'!$B$17)+(AG403*'Settings'!$B$18)+(Y403*'Settings'!$B$10)+(Z403*'Settings'!$B$11),VLOOKUP(B403,'Standard Deviations'!A1:C666,3,FALSE))</f>
        <v>197.332986209653</v>
      </c>
      <c r="J403" s="75">
        <f>IF(D403="G",I403/AJ403,I403/Q403)</f>
        <v>2.49236484003351</v>
      </c>
      <c r="K403" s="74">
        <f>IF('Settings'!$E$18="C/LW/RW",VLOOKUP(B403,'C'!A1:F206,6,FALSE),VLOOKUP(B403,'F'!A1:F392,6,FALSE))</f>
        <v>-132.358907871525</v>
      </c>
      <c r="L403" s="76">
        <f>_xlfn.IFERROR(K403/H403,"N/A")</f>
        <v>-63.0280513673929</v>
      </c>
      <c r="M403" s="109">
        <f>IF('Settings'!$E$9="YAHOO",VLOOKUP(B403,'ADP'!A1:E665,2,FALSE),IF('Settings'!$E$9="ESPN",VLOOKUP(B403,'ADP'!A1:E665,3,FALSE),IF('Settings'!$E$9="FANTRAX",VLOOKUP(B403,'ADP'!A1:E665,4,FALSE),VLOOKUP(B403,'ADP'!A1:E665,5,FALSE))))</f>
        <v>0</v>
      </c>
      <c r="N403" s="79">
        <f>_xlfn.IFERROR(M403-A403,"N/A")</f>
        <v>-426</v>
      </c>
      <c r="O403" s="77"/>
      <c r="P403" t="s" s="78">
        <f>IF('Settings'!$E$27="ON",VLOOKUP(B403,'ADP'!A1:H665,8,FALSE)," ")</f>
        <v>130</v>
      </c>
      <c r="Q403" s="79">
        <f>IF('Settings'!$E$12="YES",VLOOKUP(B403,'Player Data'!A1:E667,5,FALSE),82)</f>
        <v>79.175</v>
      </c>
      <c r="R403" s="77">
        <f>VLOOKUP(B403,'Player Data'!$A1:$AE667,6,FALSE)</f>
        <v>16.3700698458297</v>
      </c>
      <c r="S403" s="79">
        <f>VLOOKUP(B403,'Player Data'!$A1:$AE667,7,FALSE)*$Q403*_xlfn.IFERROR((VLOOKUP(P403,'Settings'!$E$28:$F$33,2,FALSE)+1),1)</f>
        <v>18.9559619053714</v>
      </c>
      <c r="T403" s="79">
        <f>VLOOKUP(B403,'Player Data'!$A1:$AE667,8,FALSE)*$Q403*_xlfn.IFERROR((VLOOKUP(P403,'Settings'!$E$28:$F$33,2,FALSE)+1),1)</f>
        <v>18.727343592140</v>
      </c>
      <c r="U403" s="79">
        <f>SUM(S403:T403)</f>
        <v>37.6833054975114</v>
      </c>
      <c r="V403" s="79">
        <f>VLOOKUP(B403,'Player Data'!$A1:$AE667,10,FALSE)*$Q403*_xlfn.IFERROR(((VLOOKUP(P403,'Settings'!$E$28:$F$33,2,FALSE)/2)+1),1)</f>
        <v>147.591434495218</v>
      </c>
      <c r="W403" s="79">
        <f>VLOOKUP(B403,'Player Data'!$A1:$AE667,11,FALSE)*$Q403*_xlfn.IFERROR((VLOOKUP(P403,'Settings'!$E$28:$F$33,2,FALSE)+1),1)</f>
        <v>2.14988879862867</v>
      </c>
      <c r="X403" s="79">
        <f>VLOOKUP(B403,'Player Data'!$A1:$AE667,12,FALSE)*$Q403*_xlfn.IFERROR((VLOOKUP(P403,'Settings'!$E$28:$F$33,2,FALSE)+1),1)</f>
        <v>5.94073440565591</v>
      </c>
      <c r="Y403" s="79">
        <f>VLOOKUP(B403,'Player Data'!$A1:$AE667,13,FALSE)*$Q403</f>
        <v>1.21915732134306</v>
      </c>
      <c r="Z403" s="79">
        <f>VLOOKUP(B403,'Player Data'!$A1:$AE667,14,FALSE)*$Q403</f>
        <v>2.42592638638088</v>
      </c>
      <c r="AA403" s="79">
        <f>VLOOKUP(B403,'Player Data'!$A1:$AE667,15,FALSE)*$Q403</f>
        <v>41.2080248771293</v>
      </c>
      <c r="AB403" s="79">
        <f>VLOOKUP(B403,'Player Data'!$A1:$AE667,16,FALSE)*$Q403</f>
        <v>50.4320320055845</v>
      </c>
      <c r="AC403" s="79">
        <f>VLOOKUP(B403,'Player Data'!$A1:$AE667,17,FALSE)*$Q403*_xlfn.IFERROR((VLOOKUP(P403,'Settings'!$E$28:$F$33,2,FALSE)+1),1)</f>
        <v>-3.46674686907772</v>
      </c>
      <c r="AD403" s="79">
        <f>VLOOKUP(B403,'Player Data'!$A1:$AE667,18,FALSE)*$Q403</f>
        <v>32.9737873473411</v>
      </c>
      <c r="AE403" s="79">
        <f>VLOOKUP(B403,'Player Data'!$A1:$AE667,19,FALSE)*$Q403*_xlfn.IFERROR((VLOOKUP(P403,'Settings'!$E$28:$F$33,2,FALSE)+1),1)</f>
        <v>2.69008860800196</v>
      </c>
      <c r="AF403" s="79">
        <f>VLOOKUP(B403,'Player Data'!$A1:$AE667,20,FALSE)*$Q403</f>
        <v>367.464289548749</v>
      </c>
      <c r="AG403" s="79">
        <f>VLOOKUP(B403,'Player Data'!$A1:$AE667,21,FALSE)*$Q403</f>
        <v>483.995667054420</v>
      </c>
      <c r="AH403" s="81">
        <f>VLOOKUP(B403,'Player Data'!$A1:$AE667,22,FALSE)</f>
        <v>0.431569666546291</v>
      </c>
      <c r="AI403" s="77"/>
      <c r="AJ403" s="89"/>
      <c r="AK403" s="79"/>
      <c r="AL403" s="79"/>
      <c r="AM403" s="79"/>
      <c r="AN403" s="79"/>
      <c r="AO403" s="79"/>
      <c r="AP403" s="79"/>
      <c r="AQ403" s="82"/>
      <c r="AR403" s="83"/>
      <c r="AS403" s="84"/>
    </row>
    <row r="404" ht="21.25" customHeight="1">
      <c r="A404" s="85">
        <f>RANK(K404,K$1:K$665)</f>
        <v>385</v>
      </c>
      <c r="B404" t="s" s="16">
        <v>594</v>
      </c>
      <c r="C404" t="s" s="69">
        <v>127</v>
      </c>
      <c r="D404" t="s" s="70">
        <f>VLOOKUP(B404,'Player Data'!A1:D667,4,FALSE)</f>
        <v>153</v>
      </c>
      <c r="E404" s="95">
        <f>VLOOKUP(B404,'D'!A1:C213,3,FALSE)</f>
        <v>130</v>
      </c>
      <c r="F404" t="s" s="92">
        <f>VLOOKUP(B404,'Player Data'!A1:B667,2,FALSE)</f>
        <v>170</v>
      </c>
      <c r="G404" s="11">
        <f>VLOOKUP(B404,'Player Data'!A1:D667,3,FALSE)</f>
        <v>26</v>
      </c>
      <c r="H404" s="73">
        <f>_xlfn.IFERROR(VLOOKUP(B404,'ADP'!A1:G665,7,FALSE)/1000000,VLOOKUP(B404,'ADP'!A1:G665,7,FALSE))</f>
        <v>4.5</v>
      </c>
      <c r="I404" s="74">
        <f>IF('Settings'!$E$15="POINTS",((R404*Q404)*'Settings'!$B$12)+(S404*'Settings'!$B$2)+(T404*'Settings'!$B$3)+(U404*'Settings'!$B$4)+(V404*'Settings'!$B$5)+(X404*'Settings'!$B$9)+(AA404*'Settings'!$B$6)+(W404*'Settings'!$B$8)+(AB404*'Settings'!$B$7)+(AC404*'Settings'!$B$14)+(AD404*'Settings'!$B$15)+(AE404*'Settings'!$B$16)+(AF404*'Settings'!$B$17)+(AG404*'Settings'!$B$18)+(U404*'Settings'!$B$13)+(Y404*'Settings'!$B$10)+(Z404*'Settings'!$B$11),VLOOKUP(B404,'Standard Deviations'!A1:C666,3,FALSE))</f>
        <v>209.214770532038</v>
      </c>
      <c r="J404" s="75">
        <f>IF(D404="G",I404/AJ404,I404/Q404)</f>
        <v>2.68387505894023</v>
      </c>
      <c r="K404" s="74">
        <f>VLOOKUP(B404,'D'!A1:F213,6,FALSE)</f>
        <v>-122.325437388044</v>
      </c>
      <c r="L404" s="76">
        <f>_xlfn.IFERROR(K404/H404,"N/A")</f>
        <v>-27.1834305306764</v>
      </c>
      <c r="M404" s="109">
        <f>IF('Settings'!$E$9="YAHOO",VLOOKUP(B404,'ADP'!A1:E665,2,FALSE),IF('Settings'!$E$9="ESPN",VLOOKUP(B404,'ADP'!A1:E665,3,FALSE),IF('Settings'!$E$9="FANTRAX",VLOOKUP(B404,'ADP'!A1:E665,4,FALSE),VLOOKUP(B404,'ADP'!A1:E665,5,FALSE))))</f>
        <v>0</v>
      </c>
      <c r="N404" s="79">
        <f>_xlfn.IFERROR(M404-A404,"N/A")</f>
        <v>-385</v>
      </c>
      <c r="O404" s="77"/>
      <c r="P404" t="s" s="78">
        <f>IF('Settings'!$E$27="ON",VLOOKUP(B404,'ADP'!A1:H665,8,FALSE)," ")</f>
        <v>138</v>
      </c>
      <c r="Q404" s="79">
        <f>IF('Settings'!$E$12="YES",VLOOKUP(B404,'Player Data'!A1:E667,5,FALSE),82)</f>
        <v>77.9525</v>
      </c>
      <c r="R404" s="77">
        <f>VLOOKUP(B404,'Player Data'!$A1:$AE667,6,FALSE)</f>
        <v>19.3274127760988</v>
      </c>
      <c r="S404" s="79">
        <f>VLOOKUP(B404,'Player Data'!$A1:$AE667,7,FALSE)*$Q404*_xlfn.IFERROR((VLOOKUP(P404,'Settings'!$E$28:$F$33,2,FALSE)+1),1)</f>
        <v>2.95362890834751</v>
      </c>
      <c r="T404" s="79">
        <f>VLOOKUP(B404,'Player Data'!$A1:$AE667,8,FALSE)*$Q404*_xlfn.IFERROR((VLOOKUP(P404,'Settings'!$E$28:$F$33,2,FALSE)+1),1)</f>
        <v>15.5040301874684</v>
      </c>
      <c r="U404" s="79">
        <f>SUM(S404:T404)</f>
        <v>18.4576590958159</v>
      </c>
      <c r="V404" s="79">
        <f>VLOOKUP(B404,'Player Data'!$A1:$AE667,10,FALSE)*$Q404*_xlfn.IFERROR(((VLOOKUP(P404,'Settings'!$E$28:$F$33,2,FALSE)/2)+1),1)</f>
        <v>79.48833984041261</v>
      </c>
      <c r="W404" s="79">
        <f>VLOOKUP(B404,'Player Data'!$A1:$AE667,11,FALSE)*$Q404*_xlfn.IFERROR((VLOOKUP(P404,'Settings'!$E$28:$F$33,2,FALSE)+1),1)</f>
        <v>0.0111730621427073</v>
      </c>
      <c r="X404" s="79">
        <f>VLOOKUP(B404,'Player Data'!$A1:$AE667,12,FALSE)*$Q404*_xlfn.IFERROR((VLOOKUP(P404,'Settings'!$E$28:$F$33,2,FALSE)+1),1)</f>
        <v>0.0715911303414679</v>
      </c>
      <c r="Y404" s="79">
        <f>VLOOKUP(B404,'Player Data'!$A1:$AE667,13,FALSE)*$Q404</f>
        <v>0.0323414061594883</v>
      </c>
      <c r="Z404" s="79">
        <f>VLOOKUP(B404,'Player Data'!$A1:$AE667,14,FALSE)*$Q404</f>
        <v>0.440315743320127</v>
      </c>
      <c r="AA404" s="79">
        <f>VLOOKUP(B404,'Player Data'!$A1:$AE667,15,FALSE)*$Q404</f>
        <v>116.484364916728</v>
      </c>
      <c r="AB404" s="79">
        <f>VLOOKUP(B404,'Player Data'!$A1:$AE667,16,FALSE)*$Q404</f>
        <v>113.502861475247</v>
      </c>
      <c r="AC404" s="79">
        <f>VLOOKUP(B404,'Player Data'!$A1:$AE667,17,FALSE)*$Q404*_xlfn.IFERROR((VLOOKUP(P404,'Settings'!$E$28:$F$33,2,FALSE)+1),1)</f>
        <v>3.71258681224824</v>
      </c>
      <c r="AD404" s="79">
        <f>VLOOKUP(B404,'Player Data'!$A1:$AE667,18,FALSE)*$Q404</f>
        <v>43.2816658854612</v>
      </c>
      <c r="AE404" s="79">
        <f>VLOOKUP(B404,'Player Data'!$A1:$AE667,19,FALSE)*$Q404*_xlfn.IFERROR((VLOOKUP(P404,'Settings'!$E$28:$F$33,2,FALSE)+1),1)</f>
        <v>0.482795171549804</v>
      </c>
      <c r="AF404" s="79">
        <f>VLOOKUP(B404,'Player Data'!$A1:$AE667,20,FALSE)*$Q404</f>
        <v>0</v>
      </c>
      <c r="AG404" s="79">
        <f>VLOOKUP(B404,'Player Data'!$A1:$AE667,21,FALSE)*$Q404</f>
        <v>0</v>
      </c>
      <c r="AH404" s="81">
        <f>VLOOKUP(B404,'Player Data'!$A1:$AE667,22,FALSE)</f>
        <v>0</v>
      </c>
      <c r="AI404" s="77"/>
      <c r="AJ404" s="79"/>
      <c r="AK404" s="79"/>
      <c r="AL404" s="79"/>
      <c r="AM404" s="79"/>
      <c r="AN404" s="79"/>
      <c r="AO404" s="79"/>
      <c r="AP404" s="79"/>
      <c r="AQ404" s="82"/>
      <c r="AR404" s="83"/>
      <c r="AS404" s="84"/>
    </row>
    <row r="405" ht="21.25" customHeight="1">
      <c r="A405" s="85">
        <f>RANK(K405,K$1:K$665)</f>
        <v>430</v>
      </c>
      <c r="B405" t="s" s="16">
        <v>595</v>
      </c>
      <c r="C405" t="s" s="69">
        <v>127</v>
      </c>
      <c r="D405" t="s" s="70">
        <f>VLOOKUP(B405,'Player Data'!A1:D667,4,FALSE)</f>
        <v>128</v>
      </c>
      <c r="E405" s="71">
        <f>VLOOKUP(B405,'C'!A1:C206,3,FALSE)</f>
        <v>129</v>
      </c>
      <c r="F405" t="s" s="104">
        <f>VLOOKUP(B405,'Player Data'!A1:B667,2,FALSE)</f>
        <v>333</v>
      </c>
      <c r="G405" s="91">
        <f>VLOOKUP(B405,'Player Data'!A1:D667,3,FALSE)</f>
        <v>31</v>
      </c>
      <c r="H405" s="73">
        <f>_xlfn.IFERROR(VLOOKUP(B405,'ADP'!A1:G665,7,FALSE)/1000000,VLOOKUP(B405,'ADP'!A1:G665,7,FALSE))</f>
        <v>3.641667</v>
      </c>
      <c r="I405" s="74">
        <f>IF('Settings'!$E$15="POINTS",((R405*Q405)*'Settings'!$B$12)+(S405*'Settings'!$B$2)+(T405*'Settings'!$B$3)+(U405*'Settings'!$B$4)+(V405*'Settings'!$B$5)+(X405*'Settings'!$B$9)+(AA405*'Settings'!$B$6)+(W405*'Settings'!$B$8)+(AB405*'Settings'!$B$7)+(AC405*'Settings'!$B$14)+(AD405*'Settings'!$B$15)+(AE405*'Settings'!$B$16)+(AF405*'Settings'!$B$17)+(AG405*'Settings'!$B$18)+(Y405*'Settings'!$B$10)+(Z405*'Settings'!$B$11),VLOOKUP(B405,'Standard Deviations'!A1:C666,3,FALSE))</f>
        <v>196.608833930105</v>
      </c>
      <c r="J405" s="75">
        <f>IF(D405="G",I405/AJ405,I405/Q405)</f>
        <v>2.4160839807079</v>
      </c>
      <c r="K405" s="74">
        <f>IF('Settings'!$E$18="C/LW/RW",VLOOKUP(B405,'C'!A1:F206,6,FALSE),VLOOKUP(B405,'F'!A1:F392,6,FALSE))</f>
        <v>-133.083060151073</v>
      </c>
      <c r="L405" s="76">
        <f>_xlfn.IFERROR(K405/H405,"N/A")</f>
        <v>-36.5445440648673</v>
      </c>
      <c r="M405" s="109">
        <f>IF('Settings'!$E$9="YAHOO",VLOOKUP(B405,'ADP'!A1:E665,2,FALSE),IF('Settings'!$E$9="ESPN",VLOOKUP(B405,'ADP'!A1:E665,3,FALSE),IF('Settings'!$E$9="FANTRAX",VLOOKUP(B405,'ADP'!A1:E665,4,FALSE),VLOOKUP(B405,'ADP'!A1:E665,5,FALSE))))</f>
        <v>0</v>
      </c>
      <c r="N405" s="79">
        <f>_xlfn.IFERROR(M405-A405,"N/A")</f>
        <v>-430</v>
      </c>
      <c r="O405" s="77"/>
      <c r="P405" t="s" s="78">
        <f>IF('Settings'!$E$27="ON",VLOOKUP(B405,'ADP'!A1:H665,8,FALSE)," ")</f>
        <v>138</v>
      </c>
      <c r="Q405" s="79">
        <f>IF('Settings'!$E$12="YES",VLOOKUP(B405,'Player Data'!A1:E667,5,FALSE),82)</f>
        <v>81.375</v>
      </c>
      <c r="R405" s="77">
        <f>VLOOKUP(B405,'Player Data'!$A1:$AE667,6,FALSE)</f>
        <v>12.4683421966015</v>
      </c>
      <c r="S405" s="79">
        <f>VLOOKUP(B405,'Player Data'!$A1:$AE667,7,FALSE)*$Q405*_xlfn.IFERROR((VLOOKUP(P405,'Settings'!$E$28:$F$33,2,FALSE)+1),1)</f>
        <v>6.39035454089143</v>
      </c>
      <c r="T405" s="79">
        <f>VLOOKUP(B405,'Player Data'!$A1:$AE667,8,FALSE)*$Q405*_xlfn.IFERROR((VLOOKUP(P405,'Settings'!$E$28:$F$33,2,FALSE)+1),1)</f>
        <v>12.0235748582887</v>
      </c>
      <c r="U405" s="79">
        <f>SUM(S405:T405)</f>
        <v>18.4139293991801</v>
      </c>
      <c r="V405" s="79">
        <f>VLOOKUP(B405,'Player Data'!$A1:$AE667,10,FALSE)*$Q405*_xlfn.IFERROR(((VLOOKUP(P405,'Settings'!$E$28:$F$33,2,FALSE)/2)+1),1)</f>
        <v>70.48075691828829</v>
      </c>
      <c r="W405" s="79">
        <f>VLOOKUP(B405,'Player Data'!$A1:$AE667,11,FALSE)*$Q405*_xlfn.IFERROR((VLOOKUP(P405,'Settings'!$E$28:$F$33,2,FALSE)+1),1)</f>
        <v>0.0608463569659527</v>
      </c>
      <c r="X405" s="79">
        <f>VLOOKUP(B405,'Player Data'!$A1:$AE667,12,FALSE)*$Q405*_xlfn.IFERROR((VLOOKUP(P405,'Settings'!$E$28:$F$33,2,FALSE)+1),1)</f>
        <v>0.121927279184968</v>
      </c>
      <c r="Y405" s="79">
        <f>VLOOKUP(B405,'Player Data'!$A1:$AE667,13,FALSE)*$Q405</f>
        <v>0.622253162045042</v>
      </c>
      <c r="Z405" s="79">
        <f>VLOOKUP(B405,'Player Data'!$A1:$AE667,14,FALSE)*$Q405</f>
        <v>1.27133057474249</v>
      </c>
      <c r="AA405" s="79">
        <f>VLOOKUP(B405,'Player Data'!$A1:$AE667,15,FALSE)*$Q405</f>
        <v>70.6382463985824</v>
      </c>
      <c r="AB405" s="79">
        <f>VLOOKUP(B405,'Player Data'!$A1:$AE667,16,FALSE)*$Q405</f>
        <v>143.911124483828</v>
      </c>
      <c r="AC405" s="79">
        <f>VLOOKUP(B405,'Player Data'!$A1:$AE667,17,FALSE)*$Q405*_xlfn.IFERROR((VLOOKUP(P405,'Settings'!$E$28:$F$33,2,FALSE)+1),1)</f>
        <v>1.4739318386475</v>
      </c>
      <c r="AD405" s="79">
        <f>VLOOKUP(B405,'Player Data'!$A1:$AE667,18,FALSE)*$Q405</f>
        <v>47.4240037945971</v>
      </c>
      <c r="AE405" s="79">
        <f>VLOOKUP(B405,'Player Data'!$A1:$AE667,19,FALSE)*$Q405*_xlfn.IFERROR((VLOOKUP(P405,'Settings'!$E$28:$F$33,2,FALSE)+1),1)</f>
        <v>0.682554566784277</v>
      </c>
      <c r="AF405" s="79">
        <f>VLOOKUP(B405,'Player Data'!$A1:$AE667,20,FALSE)*$Q405</f>
        <v>299.743231072905</v>
      </c>
      <c r="AG405" s="79">
        <f>VLOOKUP(B405,'Player Data'!$A1:$AE667,21,FALSE)*$Q405</f>
        <v>301.612350002055</v>
      </c>
      <c r="AH405" s="81">
        <f>VLOOKUP(B405,'Player Data'!$A1:$AE667,22,FALSE)</f>
        <v>0.498445912046073</v>
      </c>
      <c r="AI405" s="77"/>
      <c r="AJ405" s="89"/>
      <c r="AK405" s="79"/>
      <c r="AL405" s="79"/>
      <c r="AM405" s="79"/>
      <c r="AN405" s="79"/>
      <c r="AO405" s="79"/>
      <c r="AP405" s="79"/>
      <c r="AQ405" s="82"/>
      <c r="AR405" s="83"/>
      <c r="AS405" s="84"/>
    </row>
    <row r="406" ht="21.25" customHeight="1">
      <c r="A406" s="85">
        <f>RANK(K406,K$1:K$665)</f>
        <v>417</v>
      </c>
      <c r="B406" t="s" s="16">
        <v>596</v>
      </c>
      <c r="C406" t="s" s="69">
        <v>127</v>
      </c>
      <c r="D406" t="s" s="70">
        <f>VLOOKUP(B406,'Player Data'!A1:D667,4,FALSE)</f>
        <v>178</v>
      </c>
      <c r="E406" s="102">
        <f>VLOOKUP(B406,'LW'!A1:C152,3,FALSE)</f>
        <v>103</v>
      </c>
      <c r="F406" t="s" s="107">
        <f>VLOOKUP(B406,'Player Data'!A1:B667,2,FALSE)</f>
        <v>279</v>
      </c>
      <c r="G406" s="96">
        <f>VLOOKUP(B406,'Player Data'!A1:D667,3,FALSE)</f>
        <v>20</v>
      </c>
      <c r="H406" s="73">
        <f>_xlfn.IFERROR(VLOOKUP(B406,'ADP'!A1:G665,7,FALSE)/1000000,VLOOKUP(B406,'ADP'!A1:G665,7,FALSE))</f>
        <v>0.95</v>
      </c>
      <c r="I406" s="74">
        <f>IF('Settings'!$E$15="POINTS",((R406*Q406)*'Settings'!$B$12)+(S406*'Settings'!$B$2)+(T406*'Settings'!$B$3)+(U406*'Settings'!$B$4)+(V406*'Settings'!$B$5)+(X406*'Settings'!$B$9)+(AA406*'Settings'!$B$6)+(W406*'Settings'!$B$8)+(AB406*'Settings'!$B$7)+(AC406*'Settings'!$B$14)+(AD406*'Settings'!$B$15)+(AE406*'Settings'!$B$16)+(AF406*'Settings'!$B$17)+(AG406*'Settings'!$B$18)+(Y406*'Settings'!$B$10)+(Z406*'Settings'!$B$11),VLOOKUP(B406,'Standard Deviations'!A1:C666,3,FALSE))</f>
        <v>201.673374562980</v>
      </c>
      <c r="J406" s="75">
        <f>IF(D406="G",I406/AJ406,I406/Q406)</f>
        <v>2.8010190911525</v>
      </c>
      <c r="K406" s="74">
        <f>IF('Settings'!$E$18="C/LW/RW",VLOOKUP(B406,'LW'!A1:F152,6,FALSE),VLOOKUP(B406,'F'!A1:F392,6,FALSE))</f>
        <v>-130.046737203232</v>
      </c>
      <c r="L406" s="76">
        <f>_xlfn.IFERROR(K406/H406,"N/A")</f>
        <v>-136.891302319192</v>
      </c>
      <c r="M406" s="109">
        <f>IF('Settings'!$E$9="YAHOO",VLOOKUP(B406,'ADP'!A1:E665,2,FALSE),IF('Settings'!$E$9="ESPN",VLOOKUP(B406,'ADP'!A1:E665,3,FALSE),IF('Settings'!$E$9="FANTRAX",VLOOKUP(B406,'ADP'!A1:E665,4,FALSE),VLOOKUP(B406,'ADP'!A1:E665,5,FALSE))))</f>
        <v>0</v>
      </c>
      <c r="N406" s="79">
        <f>_xlfn.IFERROR(M406-A406,"N/A")</f>
        <v>-417</v>
      </c>
      <c r="O406" s="77"/>
      <c r="P406" t="s" s="78">
        <f>IF('Settings'!$E$27="ON",VLOOKUP(B406,'ADP'!A1:H665,8,FALSE)," ")</f>
        <v>138</v>
      </c>
      <c r="Q406" s="79">
        <f>IF('Settings'!$E$12="YES",VLOOKUP(B406,'Player Data'!A1:E667,5,FALSE),82)</f>
        <v>72</v>
      </c>
      <c r="R406" s="77">
        <f>VLOOKUP(B406,'Player Data'!$A1:$AE667,6,FALSE)</f>
        <v>16</v>
      </c>
      <c r="S406" s="79">
        <f>VLOOKUP(B406,'Player Data'!$A1:$AE667,7,FALSE)*$Q406*_xlfn.IFERROR((VLOOKUP(P406,'Settings'!$E$28:$F$33,2,FALSE)+1),1)</f>
        <v>16.9736630342177</v>
      </c>
      <c r="T406" s="79">
        <f>VLOOKUP(B406,'Player Data'!$A1:$AE667,8,FALSE)*$Q406*_xlfn.IFERROR((VLOOKUP(P406,'Settings'!$E$28:$F$33,2,FALSE)+1),1)</f>
        <v>19.7753694894377</v>
      </c>
      <c r="U406" s="79">
        <f>SUM(S406:T406)</f>
        <v>36.7490325236554</v>
      </c>
      <c r="V406" s="79">
        <f>VLOOKUP(B406,'Player Data'!$A1:$AE667,10,FALSE)*$Q406*_xlfn.IFERROR(((VLOOKUP(P406,'Settings'!$E$28:$F$33,2,FALSE)/2)+1),1)</f>
        <v>135.093289431555</v>
      </c>
      <c r="W406" s="79">
        <f>VLOOKUP(B406,'Player Data'!$A1:$AE667,11,FALSE)*$Q406*_xlfn.IFERROR((VLOOKUP(P406,'Settings'!$E$28:$F$33,2,FALSE)+1),1)</f>
        <v>3.95058969156045</v>
      </c>
      <c r="X406" s="79">
        <f>VLOOKUP(B406,'Player Data'!$A1:$AE667,12,FALSE)*$Q406*_xlfn.IFERROR((VLOOKUP(P406,'Settings'!$E$28:$F$33,2,FALSE)+1),1)</f>
        <v>8.553271546047529</v>
      </c>
      <c r="Y406" s="79">
        <f>VLOOKUP(B406,'Player Data'!$A1:$AE667,13,FALSE)*$Q406</f>
        <v>0</v>
      </c>
      <c r="Z406" s="79">
        <f>VLOOKUP(B406,'Player Data'!$A1:$AE667,14,FALSE)*$Q406</f>
        <v>0</v>
      </c>
      <c r="AA406" s="79">
        <f>VLOOKUP(B406,'Player Data'!$A1:$AE667,15,FALSE)*$Q406</f>
        <v>31.2585365853659</v>
      </c>
      <c r="AB406" s="79">
        <f>VLOOKUP(B406,'Player Data'!$A1:$AE667,16,FALSE)*$Q406</f>
        <v>85.18265303524269</v>
      </c>
      <c r="AC406" s="79">
        <f>VLOOKUP(B406,'Player Data'!$A1:$AE667,17,FALSE)*$Q406*_xlfn.IFERROR((VLOOKUP(P406,'Settings'!$E$28:$F$33,2,FALSE)+1),1)</f>
        <v>-6.05486329779735</v>
      </c>
      <c r="AD406" s="79">
        <f>VLOOKUP(B406,'Player Data'!$A1:$AE667,18,FALSE)*$Q406</f>
        <v>29.0928166836123</v>
      </c>
      <c r="AE406" s="79">
        <f>VLOOKUP(B406,'Player Data'!$A1:$AE667,19,FALSE)*$Q406*_xlfn.IFERROR((VLOOKUP(P406,'Settings'!$E$28:$F$33,2,FALSE)+1),1)</f>
        <v>1.97844251374966</v>
      </c>
      <c r="AF406" s="79">
        <f>VLOOKUP(B406,'Player Data'!$A1:$AE667,20,FALSE)*$Q406</f>
        <v>0</v>
      </c>
      <c r="AG406" s="79">
        <f>VLOOKUP(B406,'Player Data'!$A1:$AE667,21,FALSE)*$Q406</f>
        <v>0</v>
      </c>
      <c r="AH406" s="81">
        <f>VLOOKUP(B406,'Player Data'!$A1:$AE667,22,FALSE)</f>
        <v>0</v>
      </c>
      <c r="AI406" s="77"/>
      <c r="AJ406" s="79"/>
      <c r="AK406" s="79"/>
      <c r="AL406" s="79"/>
      <c r="AM406" s="79"/>
      <c r="AN406" s="79"/>
      <c r="AO406" s="79"/>
      <c r="AP406" s="79"/>
      <c r="AQ406" s="82"/>
      <c r="AR406" s="83"/>
      <c r="AS406" s="84"/>
    </row>
    <row r="407" ht="21.25" customHeight="1">
      <c r="A407" s="85">
        <f>RANK(K407,K$1:K$665)</f>
        <v>434</v>
      </c>
      <c r="B407" t="s" s="16">
        <v>597</v>
      </c>
      <c r="C407" t="s" s="69">
        <v>127</v>
      </c>
      <c r="D407" t="s" s="70">
        <f>VLOOKUP(B407,'Player Data'!A1:D667,4,FALSE)</f>
        <v>128</v>
      </c>
      <c r="E407" s="71">
        <f>VLOOKUP(B407,'C'!A1:C206,3,FALSE)</f>
        <v>130</v>
      </c>
      <c r="F407" t="s" s="104">
        <f>VLOOKUP(B407,'Player Data'!A1:B667,2,FALSE)</f>
        <v>281</v>
      </c>
      <c r="G407" s="91">
        <f>VLOOKUP(B407,'Player Data'!A1:D667,3,FALSE)</f>
        <v>31</v>
      </c>
      <c r="H407" s="94">
        <f>_xlfn.IFERROR(VLOOKUP(B407,'ADP'!A1:G665,7,FALSE)/1000000,VLOOKUP(B407,'ADP'!A1:G665,7,FALSE))</f>
        <v>2.5</v>
      </c>
      <c r="I407" s="74">
        <f>IF('Settings'!$E$15="POINTS",((R407*Q407)*'Settings'!$B$12)+(S407*'Settings'!$B$2)+(T407*'Settings'!$B$3)+(U407*'Settings'!$B$4)+(V407*'Settings'!$B$5)+(X407*'Settings'!$B$9)+(AA407*'Settings'!$B$6)+(W407*'Settings'!$B$8)+(AB407*'Settings'!$B$7)+(AC407*'Settings'!$B$14)+(AD407*'Settings'!$B$15)+(AE407*'Settings'!$B$16)+(AF407*'Settings'!$B$17)+(AG407*'Settings'!$B$18)+(Y407*'Settings'!$B$10)+(Z407*'Settings'!$B$11),VLOOKUP(B407,'Standard Deviations'!A1:C666,3,FALSE))</f>
        <v>195.941400999213</v>
      </c>
      <c r="J407" s="75">
        <f>IF(D407="G",I407/AJ407,I407/Q407)</f>
        <v>2.56241411055956</v>
      </c>
      <c r="K407" s="74">
        <f>IF('Settings'!$E$18="C/LW/RW",VLOOKUP(B407,'C'!A1:F206,6,FALSE),VLOOKUP(B407,'F'!A1:F392,6,FALSE))</f>
        <v>-133.750493081965</v>
      </c>
      <c r="L407" s="76">
        <f>_xlfn.IFERROR(K407/H407,"N/A")</f>
        <v>-53.500197232786</v>
      </c>
      <c r="M407" s="109">
        <f>IF('Settings'!$E$9="YAHOO",VLOOKUP(B407,'ADP'!A1:E665,2,FALSE),IF('Settings'!$E$9="ESPN",VLOOKUP(B407,'ADP'!A1:E665,3,FALSE),IF('Settings'!$E$9="FANTRAX",VLOOKUP(B407,'ADP'!A1:E665,4,FALSE),VLOOKUP(B407,'ADP'!A1:E665,5,FALSE))))</f>
        <v>0</v>
      </c>
      <c r="N407" s="79">
        <f>_xlfn.IFERROR(M407-A407,"N/A")</f>
        <v>-434</v>
      </c>
      <c r="O407" s="77"/>
      <c r="P407" t="s" s="78">
        <f>IF('Settings'!$E$27="ON",VLOOKUP(B407,'ADP'!A1:H665,8,FALSE)," ")</f>
        <v>138</v>
      </c>
      <c r="Q407" s="79">
        <f>IF('Settings'!$E$12="YES",VLOOKUP(B407,'Player Data'!A1:E667,5,FALSE),82)</f>
        <v>76.4675</v>
      </c>
      <c r="R407" s="77">
        <f>VLOOKUP(B407,'Player Data'!$A1:$AE667,6,FALSE)</f>
        <v>13.1954522010846</v>
      </c>
      <c r="S407" s="79">
        <f>VLOOKUP(B407,'Player Data'!$A1:$AE667,7,FALSE)*$Q407*_xlfn.IFERROR((VLOOKUP(P407,'Settings'!$E$28:$F$33,2,FALSE)+1),1)</f>
        <v>8.57954285257189</v>
      </c>
      <c r="T407" s="79">
        <f>VLOOKUP(B407,'Player Data'!$A1:$AE667,8,FALSE)*$Q407*_xlfn.IFERROR((VLOOKUP(P407,'Settings'!$E$28:$F$33,2,FALSE)+1),1)</f>
        <v>9.560130282024829</v>
      </c>
      <c r="U407" s="79">
        <f>SUM(S407:T407)</f>
        <v>18.1396731345967</v>
      </c>
      <c r="V407" s="79">
        <f>VLOOKUP(B407,'Player Data'!$A1:$AE667,10,FALSE)*$Q407*_xlfn.IFERROR(((VLOOKUP(P407,'Settings'!$E$28:$F$33,2,FALSE)/2)+1),1)</f>
        <v>100.627014373914</v>
      </c>
      <c r="W407" s="79">
        <f>VLOOKUP(B407,'Player Data'!$A1:$AE667,11,FALSE)*$Q407*_xlfn.IFERROR((VLOOKUP(P407,'Settings'!$E$28:$F$33,2,FALSE)+1),1)</f>
        <v>0.082467116738066</v>
      </c>
      <c r="X407" s="79">
        <f>VLOOKUP(B407,'Player Data'!$A1:$AE667,12,FALSE)*$Q407*_xlfn.IFERROR((VLOOKUP(P407,'Settings'!$E$28:$F$33,2,FALSE)+1),1)</f>
        <v>0.158684900053919</v>
      </c>
      <c r="Y407" s="79">
        <f>VLOOKUP(B407,'Player Data'!$A1:$AE667,13,FALSE)*$Q407</f>
        <v>0.320001101795245</v>
      </c>
      <c r="Z407" s="79">
        <f>VLOOKUP(B407,'Player Data'!$A1:$AE667,14,FALSE)*$Q407</f>
        <v>0.993230366440483</v>
      </c>
      <c r="AA407" s="79">
        <f>VLOOKUP(B407,'Player Data'!$A1:$AE667,15,FALSE)*$Q407</f>
        <v>41.5986504583303</v>
      </c>
      <c r="AB407" s="79">
        <f>VLOOKUP(B407,'Player Data'!$A1:$AE667,16,FALSE)*$Q407</f>
        <v>166.498489990392</v>
      </c>
      <c r="AC407" s="79">
        <f>VLOOKUP(B407,'Player Data'!$A1:$AE667,17,FALSE)*$Q407*_xlfn.IFERROR((VLOOKUP(P407,'Settings'!$E$28:$F$33,2,FALSE)+1),1)</f>
        <v>-8.014842102561611</v>
      </c>
      <c r="AD407" s="79">
        <f>VLOOKUP(B407,'Player Data'!$A1:$AE667,18,FALSE)*$Q407</f>
        <v>41.0572266152198</v>
      </c>
      <c r="AE407" s="79">
        <f>VLOOKUP(B407,'Player Data'!$A1:$AE667,19,FALSE)*$Q407*_xlfn.IFERROR((VLOOKUP(P407,'Settings'!$E$28:$F$33,2,FALSE)+1),1)</f>
        <v>0.94876316220007</v>
      </c>
      <c r="AF407" s="79">
        <f>VLOOKUP(B407,'Player Data'!$A1:$AE667,20,FALSE)*$Q407</f>
        <v>397.181252754632</v>
      </c>
      <c r="AG407" s="79">
        <f>VLOOKUP(B407,'Player Data'!$A1:$AE667,21,FALSE)*$Q407</f>
        <v>412.262324129461</v>
      </c>
      <c r="AH407" s="81">
        <f>VLOOKUP(B407,'Player Data'!$A1:$AE667,22,FALSE)</f>
        <v>0.49068429733368</v>
      </c>
      <c r="AI407" s="77"/>
      <c r="AJ407" s="79"/>
      <c r="AK407" s="79"/>
      <c r="AL407" s="79"/>
      <c r="AM407" s="79"/>
      <c r="AN407" s="79"/>
      <c r="AO407" s="79"/>
      <c r="AP407" s="79"/>
      <c r="AQ407" s="82"/>
      <c r="AR407" s="83"/>
      <c r="AS407" s="84"/>
    </row>
    <row r="408" ht="21.25" customHeight="1">
      <c r="A408" s="85">
        <f>RANK(K408,K$1:K$665)</f>
        <v>389</v>
      </c>
      <c r="B408" t="s" s="16">
        <v>598</v>
      </c>
      <c r="C408" t="s" s="69">
        <v>127</v>
      </c>
      <c r="D408" t="s" s="70">
        <f>VLOOKUP(B408,'Player Data'!A1:D667,4,FALSE)</f>
        <v>153</v>
      </c>
      <c r="E408" s="95">
        <f>VLOOKUP(B408,'D'!A1:C213,3,FALSE)</f>
        <v>131</v>
      </c>
      <c r="F408" t="s" s="86">
        <f>VLOOKUP(B408,'Player Data'!A1:B667,2,FALSE)</f>
        <v>165</v>
      </c>
      <c r="G408" s="11">
        <f>VLOOKUP(B408,'Player Data'!A1:D667,3,FALSE)</f>
        <v>26</v>
      </c>
      <c r="H408" s="94">
        <f>_xlfn.IFERROR(VLOOKUP(B408,'ADP'!A1:G665,7,FALSE)/1000000,VLOOKUP(B408,'ADP'!A1:G665,7,FALSE))</f>
        <v>2.5</v>
      </c>
      <c r="I408" s="74">
        <f>IF('Settings'!$E$15="POINTS",((R408*Q408)*'Settings'!$B$12)+(S408*'Settings'!$B$2)+(T408*'Settings'!$B$3)+(U408*'Settings'!$B$4)+(V408*'Settings'!$B$5)+(X408*'Settings'!$B$9)+(AA408*'Settings'!$B$6)+(W408*'Settings'!$B$8)+(AB408*'Settings'!$B$7)+(AC408*'Settings'!$B$14)+(AD408*'Settings'!$B$15)+(AE408*'Settings'!$B$16)+(AF408*'Settings'!$B$17)+(AG408*'Settings'!$B$18)+(U408*'Settings'!$B$13)+(Y408*'Settings'!$B$10)+(Z408*'Settings'!$B$11),VLOOKUP(B408,'Standard Deviations'!A1:C666,3,FALSE))</f>
        <v>207.900104111124</v>
      </c>
      <c r="J408" s="75">
        <f>IF(D408="G",I408/AJ408,I408/Q408)</f>
        <v>2.75720439124862</v>
      </c>
      <c r="K408" s="74">
        <f>VLOOKUP(B408,'D'!A1:F213,6,FALSE)</f>
        <v>-123.640103808958</v>
      </c>
      <c r="L408" s="76">
        <f>_xlfn.IFERROR(K408/H408,"N/A")</f>
        <v>-49.4560415235832</v>
      </c>
      <c r="M408" s="109">
        <f>IF('Settings'!$E$9="YAHOO",VLOOKUP(B408,'ADP'!A1:E665,2,FALSE),IF('Settings'!$E$9="ESPN",VLOOKUP(B408,'ADP'!A1:E665,3,FALSE),IF('Settings'!$E$9="FANTRAX",VLOOKUP(B408,'ADP'!A1:E665,4,FALSE),VLOOKUP(B408,'ADP'!A1:E665,5,FALSE))))</f>
        <v>0</v>
      </c>
      <c r="N408" s="79">
        <f>_xlfn.IFERROR(M408-A408,"N/A")</f>
        <v>-389</v>
      </c>
      <c r="O408" s="77"/>
      <c r="P408" t="s" s="78">
        <f>IF('Settings'!$E$27="ON",VLOOKUP(B408,'ADP'!A1:H665,8,FALSE)," ")</f>
        <v>138</v>
      </c>
      <c r="Q408" s="79">
        <f>IF('Settings'!$E$12="YES",VLOOKUP(B408,'Player Data'!A1:E667,5,FALSE),82)</f>
        <v>75.4025</v>
      </c>
      <c r="R408" s="98">
        <f>VLOOKUP(B408,'Player Data'!$A1:$AE667,6,FALSE)</f>
        <v>18.3537764399129</v>
      </c>
      <c r="S408" s="79">
        <f>VLOOKUP(B408,'Player Data'!$A1:$AE667,7,FALSE)*$Q408*_xlfn.IFERROR((VLOOKUP(P408,'Settings'!$E$28:$F$33,2,FALSE)+1),1)</f>
        <v>3.74832714276322</v>
      </c>
      <c r="T408" s="79">
        <f>VLOOKUP(B408,'Player Data'!$A1:$AE667,8,FALSE)*$Q408*_xlfn.IFERROR((VLOOKUP(P408,'Settings'!$E$28:$F$33,2,FALSE)+1),1)</f>
        <v>16.2237655893462</v>
      </c>
      <c r="U408" s="79">
        <f>SUM(S408:T408)</f>
        <v>19.9720927321094</v>
      </c>
      <c r="V408" s="79">
        <f>VLOOKUP(B408,'Player Data'!$A1:$AE667,10,FALSE)*$Q408*_xlfn.IFERROR(((VLOOKUP(P408,'Settings'!$E$28:$F$33,2,FALSE)/2)+1),1)</f>
        <v>99.53183068781151</v>
      </c>
      <c r="W408" s="79">
        <f>VLOOKUP(B408,'Player Data'!$A1:$AE667,11,FALSE)*$Q408*_xlfn.IFERROR((VLOOKUP(P408,'Settings'!$E$28:$F$33,2,FALSE)+1),1)</f>
        <v>0.0192244870591381</v>
      </c>
      <c r="X408" s="79">
        <f>VLOOKUP(B408,'Player Data'!$A1:$AE667,12,FALSE)*$Q408*_xlfn.IFERROR((VLOOKUP(P408,'Settings'!$E$28:$F$33,2,FALSE)+1),1)</f>
        <v>0.162739872756758</v>
      </c>
      <c r="Y408" s="79">
        <f>VLOOKUP(B408,'Player Data'!$A1:$AE667,13,FALSE)*$Q408</f>
        <v>0.023162663563694</v>
      </c>
      <c r="Z408" s="79">
        <f>VLOOKUP(B408,'Player Data'!$A1:$AE667,14,FALSE)*$Q408</f>
        <v>0.11438390344553</v>
      </c>
      <c r="AA408" s="79">
        <f>VLOOKUP(B408,'Player Data'!$A1:$AE667,15,FALSE)*$Q408</f>
        <v>124.394157845092</v>
      </c>
      <c r="AB408" s="79">
        <f>VLOOKUP(B408,'Player Data'!$A1:$AE667,16,FALSE)*$Q408</f>
        <v>86.33157553602859</v>
      </c>
      <c r="AC408" s="79">
        <f>VLOOKUP(B408,'Player Data'!$A1:$AE667,17,FALSE)*$Q408*_xlfn.IFERROR((VLOOKUP(P408,'Settings'!$E$28:$F$33,2,FALSE)+1),1)</f>
        <v>2.25330556562288</v>
      </c>
      <c r="AD408" s="79">
        <f>VLOOKUP(B408,'Player Data'!$A1:$AE667,18,FALSE)*$Q408</f>
        <v>35.9084153636224</v>
      </c>
      <c r="AE408" s="79">
        <f>VLOOKUP(B408,'Player Data'!$A1:$AE667,19,FALSE)*$Q408*_xlfn.IFERROR((VLOOKUP(P408,'Settings'!$E$28:$F$33,2,FALSE)+1),1)</f>
        <v>0.530736210513867</v>
      </c>
      <c r="AF408" s="79">
        <f>VLOOKUP(B408,'Player Data'!$A1:$AE667,20,FALSE)*$Q408</f>
        <v>0</v>
      </c>
      <c r="AG408" s="79">
        <f>VLOOKUP(B408,'Player Data'!$A1:$AE667,21,FALSE)*$Q408</f>
        <v>0</v>
      </c>
      <c r="AH408" s="81">
        <f>VLOOKUP(B408,'Player Data'!$A1:$AE667,22,FALSE)</f>
        <v>0</v>
      </c>
      <c r="AI408" s="77"/>
      <c r="AJ408" s="89"/>
      <c r="AK408" s="79"/>
      <c r="AL408" s="79"/>
      <c r="AM408" s="79"/>
      <c r="AN408" s="79"/>
      <c r="AO408" s="79"/>
      <c r="AP408" s="79"/>
      <c r="AQ408" s="82"/>
      <c r="AR408" s="83"/>
      <c r="AS408" s="84"/>
    </row>
    <row r="409" ht="21.25" customHeight="1">
      <c r="A409" s="85">
        <f>RANK(K409,K$1:K$665)</f>
        <v>419</v>
      </c>
      <c r="B409" t="s" s="16">
        <v>599</v>
      </c>
      <c r="C409" t="s" s="69">
        <v>127</v>
      </c>
      <c r="D409" t="s" s="70">
        <f>VLOOKUP(B409,'Player Data'!A1:D667,4,FALSE)</f>
        <v>136</v>
      </c>
      <c r="E409" s="87">
        <f>VLOOKUP(B409,'LW'!A1:C152,3,FALSE)</f>
        <v>104</v>
      </c>
      <c r="F409" t="s" s="78">
        <f>VLOOKUP(B409,'Player Data'!A1:B667,2,FALSE)</f>
        <v>168</v>
      </c>
      <c r="G409" s="96">
        <f>VLOOKUP(B409,'Player Data'!A1:D667,3,FALSE)</f>
        <v>22</v>
      </c>
      <c r="H409" t="s" s="86">
        <f>_xlfn.IFERROR(VLOOKUP(B409,'ADP'!A1:G665,7,FALSE)/1000000,VLOOKUP(B409,'ADP'!A1:G665,7,FALSE))</f>
        <v>157</v>
      </c>
      <c r="I409" s="74">
        <f>IF('Settings'!$E$15="POINTS",((R409*Q409)*'Settings'!$B$12)+(S409*'Settings'!$B$2)+(T409*'Settings'!$B$3)+(U409*'Settings'!$B$4)+(V409*'Settings'!$B$5)+(X409*'Settings'!$B$9)+(AA409*'Settings'!$B$6)+(W409*'Settings'!$B$8)+(AB409*'Settings'!$B$7)+(AC409*'Settings'!$B$14)+(AD409*'Settings'!$B$15)+(AE409*'Settings'!$B$16)+(AF409*'Settings'!$B$17)+(AG409*'Settings'!$B$18)+(Y409*'Settings'!$B$10)+(Z409*'Settings'!$B$11),VLOOKUP(B409,'Standard Deviations'!A1:C666,3,FALSE))</f>
        <v>200.811298848854</v>
      </c>
      <c r="J409" s="75">
        <f>IF(D409="G",I409/AJ409,I409/Q409)</f>
        <v>2.76162138278009</v>
      </c>
      <c r="K409" s="74">
        <f>IF('Settings'!$E$18="C/LW/RW",VLOOKUP(B409,'LW'!A1:F152,6,FALSE),VLOOKUP(B409,'F'!A1:F392,6,FALSE))</f>
        <v>-130.908812917358</v>
      </c>
      <c r="L409" t="s" s="97">
        <f>_xlfn.IFERROR(K409/H409,"N/A")</f>
        <v>158</v>
      </c>
      <c r="M409" s="109">
        <f>IF('Settings'!$E$9="YAHOO",VLOOKUP(B409,'ADP'!A1:E665,2,FALSE),IF('Settings'!$E$9="ESPN",VLOOKUP(B409,'ADP'!A1:E665,3,FALSE),IF('Settings'!$E$9="FANTRAX",VLOOKUP(B409,'ADP'!A1:E665,4,FALSE),VLOOKUP(B409,'ADP'!A1:E665,5,FALSE))))</f>
        <v>0</v>
      </c>
      <c r="N409" s="79">
        <f>_xlfn.IFERROR(M409-A409,"N/A")</f>
        <v>-419</v>
      </c>
      <c r="O409" s="77"/>
      <c r="P409" t="s" s="78">
        <f>IF('Settings'!$E$27="ON",VLOOKUP(B409,'ADP'!A1:H665,8,FALSE)," ")</f>
        <v>138</v>
      </c>
      <c r="Q409" s="79">
        <f>IF('Settings'!$E$12="YES",VLOOKUP(B409,'Player Data'!A1:E667,5,FALSE),82)</f>
        <v>72.715</v>
      </c>
      <c r="R409" s="98">
        <f>VLOOKUP(B409,'Player Data'!$A1:$AE667,6,FALSE)</f>
        <v>15.1703224022207</v>
      </c>
      <c r="S409" s="79">
        <f>VLOOKUP(B409,'Player Data'!$A1:$AE667,7,FALSE)*$Q409*_xlfn.IFERROR((VLOOKUP(P409,'Settings'!$E$28:$F$33,2,FALSE)+1),1)</f>
        <v>18.710895965665</v>
      </c>
      <c r="T409" s="79">
        <f>VLOOKUP(B409,'Player Data'!$A1:$AE667,8,FALSE)*$Q409*_xlfn.IFERROR((VLOOKUP(P409,'Settings'!$E$28:$F$33,2,FALSE)+1),1)</f>
        <v>26.5654874594672</v>
      </c>
      <c r="U409" s="79">
        <f>SUM(S409:T409)</f>
        <v>45.2763834251322</v>
      </c>
      <c r="V409" s="79">
        <f>VLOOKUP(B409,'Player Data'!$A1:$AE667,10,FALSE)*$Q409*_xlfn.IFERROR(((VLOOKUP(P409,'Settings'!$E$28:$F$33,2,FALSE)/2)+1),1)</f>
        <v>152.271853847296</v>
      </c>
      <c r="W409" s="79">
        <f>VLOOKUP(B409,'Player Data'!$A1:$AE667,11,FALSE)*$Q409*_xlfn.IFERROR((VLOOKUP(P409,'Settings'!$E$28:$F$33,2,FALSE)+1),1)</f>
        <v>4.50205033194441</v>
      </c>
      <c r="X409" s="79">
        <f>VLOOKUP(B409,'Player Data'!$A1:$AE667,12,FALSE)*$Q409*_xlfn.IFERROR((VLOOKUP(P409,'Settings'!$E$28:$F$33,2,FALSE)+1),1)</f>
        <v>11.0924594748737</v>
      </c>
      <c r="Y409" s="79">
        <f>VLOOKUP(B409,'Player Data'!$A1:$AE667,13,FALSE)*$Q409</f>
        <v>0.00138240118428657</v>
      </c>
      <c r="Z409" s="79">
        <f>VLOOKUP(B409,'Player Data'!$A1:$AE667,14,FALSE)*$Q409</f>
        <v>0.00232159631735782</v>
      </c>
      <c r="AA409" s="79">
        <f>VLOOKUP(B409,'Player Data'!$A1:$AE667,15,FALSE)*$Q409</f>
        <v>28.3438446673471</v>
      </c>
      <c r="AB409" s="79">
        <f>VLOOKUP(B409,'Player Data'!$A1:$AE667,16,FALSE)*$Q409</f>
        <v>43.0635316482356</v>
      </c>
      <c r="AC409" s="79">
        <f>VLOOKUP(B409,'Player Data'!$A1:$AE667,17,FALSE)*$Q409*_xlfn.IFERROR((VLOOKUP(P409,'Settings'!$E$28:$F$33,2,FALSE)+1),1)</f>
        <v>3.88829430513722</v>
      </c>
      <c r="AD409" s="79">
        <f>VLOOKUP(B409,'Player Data'!$A1:$AE667,18,FALSE)*$Q409</f>
        <v>19.6265237587117</v>
      </c>
      <c r="AE409" s="79">
        <f>VLOOKUP(B409,'Player Data'!$A1:$AE667,19,FALSE)*$Q409*_xlfn.IFERROR((VLOOKUP(P409,'Settings'!$E$28:$F$33,2,FALSE)+1),1)</f>
        <v>3.11024783092142</v>
      </c>
      <c r="AF409" s="79">
        <f>VLOOKUP(B409,'Player Data'!$A1:$AE667,20,FALSE)*$Q409</f>
        <v>29.9056234581822</v>
      </c>
      <c r="AG409" s="79">
        <f>VLOOKUP(B409,'Player Data'!$A1:$AE667,21,FALSE)*$Q409</f>
        <v>67.6693094062927</v>
      </c>
      <c r="AH409" s="81">
        <f>VLOOKUP(B409,'Player Data'!$A1:$AE667,22,FALSE)</f>
        <v>0.306488793589221</v>
      </c>
      <c r="AI409" s="77"/>
      <c r="AJ409" s="89"/>
      <c r="AK409" s="79"/>
      <c r="AL409" s="79"/>
      <c r="AM409" s="79"/>
      <c r="AN409" s="79"/>
      <c r="AO409" s="79"/>
      <c r="AP409" s="79"/>
      <c r="AQ409" s="82"/>
      <c r="AR409" s="83"/>
      <c r="AS409" s="93"/>
    </row>
    <row r="410" ht="21.25" customHeight="1">
      <c r="A410" s="85">
        <f>RANK(K410,K$1:K$665)</f>
        <v>423</v>
      </c>
      <c r="B410" t="s" s="16">
        <v>600</v>
      </c>
      <c r="C410" t="s" s="69">
        <v>127</v>
      </c>
      <c r="D410" t="s" s="70">
        <f>VLOOKUP(B410,'Player Data'!A1:D667,4,FALSE)</f>
        <v>178</v>
      </c>
      <c r="E410" s="102">
        <f>VLOOKUP(B410,'LW'!A1:C152,3,FALSE)</f>
        <v>105</v>
      </c>
      <c r="F410" t="s" s="103">
        <f>VLOOKUP(B410,'Player Data'!A1:B667,2,FALSE)</f>
        <v>227</v>
      </c>
      <c r="G410" s="11">
        <f>VLOOKUP(B410,'Player Data'!A1:D667,3,FALSE)</f>
        <v>29</v>
      </c>
      <c r="H410" s="73">
        <f>_xlfn.IFERROR(VLOOKUP(B410,'ADP'!A1:G665,7,FALSE)/1000000,VLOOKUP(B410,'ADP'!A1:G665,7,FALSE))</f>
        <v>2</v>
      </c>
      <c r="I410" s="74">
        <f>IF('Settings'!$E$15="POINTS",((R410*Q410)*'Settings'!$B$12)+(S410*'Settings'!$B$2)+(T410*'Settings'!$B$3)+(U410*'Settings'!$B$4)+(V410*'Settings'!$B$5)+(X410*'Settings'!$B$9)+(AA410*'Settings'!$B$6)+(W410*'Settings'!$B$8)+(AB410*'Settings'!$B$7)+(AC410*'Settings'!$B$14)+(AD410*'Settings'!$B$15)+(AE410*'Settings'!$B$16)+(AF410*'Settings'!$B$17)+(AG410*'Settings'!$B$18)+(Y410*'Settings'!$B$10)+(Z410*'Settings'!$B$11),VLOOKUP(B410,'Standard Deviations'!A1:C666,3,FALSE))</f>
        <v>200.312589475842</v>
      </c>
      <c r="J410" s="75">
        <f>IF(D410="G",I410/AJ410,I410/Q410)</f>
        <v>2.90634538033069</v>
      </c>
      <c r="K410" s="74">
        <f>IF('Settings'!$E$18="C/LW/RW",VLOOKUP(B410,'LW'!A1:F152,6,FALSE),VLOOKUP(B410,'F'!A1:F392,6,FALSE))</f>
        <v>-131.407522290370</v>
      </c>
      <c r="L410" s="76">
        <f>_xlfn.IFERROR(K410/H410,"N/A")</f>
        <v>-65.703761145185</v>
      </c>
      <c r="M410" s="109">
        <f>IF('Settings'!$E$9="YAHOO",VLOOKUP(B410,'ADP'!A1:E665,2,FALSE),IF('Settings'!$E$9="ESPN",VLOOKUP(B410,'ADP'!A1:E665,3,FALSE),IF('Settings'!$E$9="FANTRAX",VLOOKUP(B410,'ADP'!A1:E665,4,FALSE),VLOOKUP(B410,'ADP'!A1:E665,5,FALSE))))</f>
        <v>0</v>
      </c>
      <c r="N410" s="79">
        <f>_xlfn.IFERROR(M410-A410,"N/A")</f>
        <v>-423</v>
      </c>
      <c r="O410" s="77"/>
      <c r="P410" t="s" s="78">
        <f>IF('Settings'!$E$27="ON",VLOOKUP(B410,'ADP'!A1:H665,8,FALSE)," ")</f>
        <v>138</v>
      </c>
      <c r="Q410" s="79">
        <f>IF('Settings'!$E$12="YES",VLOOKUP(B410,'Player Data'!A1:E667,5,FALSE),82)</f>
        <v>68.9225</v>
      </c>
      <c r="R410" s="98">
        <f>VLOOKUP(B410,'Player Data'!$A1:$AE667,6,FALSE)</f>
        <v>12.2792238489529</v>
      </c>
      <c r="S410" s="79">
        <f>VLOOKUP(B410,'Player Data'!$A1:$AE667,7,FALSE)*$Q410*_xlfn.IFERROR((VLOOKUP(P410,'Settings'!$E$28:$F$33,2,FALSE)+1),1)</f>
        <v>13.2595350996689</v>
      </c>
      <c r="T410" s="79">
        <f>VLOOKUP(B410,'Player Data'!$A1:$AE667,8,FALSE)*$Q410*_xlfn.IFERROR((VLOOKUP(P410,'Settings'!$E$28:$F$33,2,FALSE)+1),1)</f>
        <v>9.8837112813556</v>
      </c>
      <c r="U410" s="79">
        <f>SUM(S410:T410)</f>
        <v>23.1432463810245</v>
      </c>
      <c r="V410" s="79">
        <f>VLOOKUP(B410,'Player Data'!$A1:$AE667,10,FALSE)*$Q410*_xlfn.IFERROR(((VLOOKUP(P410,'Settings'!$E$28:$F$33,2,FALSE)/2)+1),1)</f>
        <v>125.453554891548</v>
      </c>
      <c r="W410" s="79">
        <f>VLOOKUP(B410,'Player Data'!$A1:$AE667,11,FALSE)*$Q410*_xlfn.IFERROR((VLOOKUP(P410,'Settings'!$E$28:$F$33,2,FALSE)+1),1)</f>
        <v>0.0303299828966121</v>
      </c>
      <c r="X410" s="79">
        <f>VLOOKUP(B410,'Player Data'!$A1:$AE667,12,FALSE)*$Q410*_xlfn.IFERROR((VLOOKUP(P410,'Settings'!$E$28:$F$33,2,FALSE)+1),1)</f>
        <v>0.0697074303984624</v>
      </c>
      <c r="Y410" s="79">
        <f>VLOOKUP(B410,'Player Data'!$A1:$AE667,13,FALSE)*$Q410</f>
        <v>0.0221494781558871</v>
      </c>
      <c r="Z410" s="79">
        <f>VLOOKUP(B410,'Player Data'!$A1:$AE667,14,FALSE)*$Q410</f>
        <v>0.0372942041558519</v>
      </c>
      <c r="AA410" s="79">
        <f>VLOOKUP(B410,'Player Data'!$A1:$AE667,15,FALSE)*$Q410</f>
        <v>29.8277379812386</v>
      </c>
      <c r="AB410" s="79">
        <f>VLOOKUP(B410,'Player Data'!$A1:$AE667,16,FALSE)*$Q410</f>
        <v>154.261300840026</v>
      </c>
      <c r="AC410" s="79">
        <f>VLOOKUP(B410,'Player Data'!$A1:$AE667,17,FALSE)*$Q410*_xlfn.IFERROR((VLOOKUP(P410,'Settings'!$E$28:$F$33,2,FALSE)+1),1)</f>
        <v>3.77386055961272</v>
      </c>
      <c r="AD410" s="79">
        <f>VLOOKUP(B410,'Player Data'!$A1:$AE667,18,FALSE)*$Q410</f>
        <v>28.7926359318087</v>
      </c>
      <c r="AE410" s="79">
        <f>VLOOKUP(B410,'Player Data'!$A1:$AE667,19,FALSE)*$Q410*_xlfn.IFERROR((VLOOKUP(P410,'Settings'!$E$28:$F$33,2,FALSE)+1),1)</f>
        <v>2.29768631201261</v>
      </c>
      <c r="AF410" s="79">
        <f>VLOOKUP(B410,'Player Data'!$A1:$AE667,20,FALSE)*$Q410</f>
        <v>6.98034164168044</v>
      </c>
      <c r="AG410" s="79">
        <f>VLOOKUP(B410,'Player Data'!$A1:$AE667,21,FALSE)*$Q410</f>
        <v>13.0262137772459</v>
      </c>
      <c r="AH410" s="81">
        <f>VLOOKUP(B410,'Player Data'!$A1:$AE667,22,FALSE)</f>
        <v>0.348902721908689</v>
      </c>
      <c r="AI410" s="77"/>
      <c r="AJ410" s="79"/>
      <c r="AK410" s="79"/>
      <c r="AL410" s="79"/>
      <c r="AM410" s="79"/>
      <c r="AN410" s="79"/>
      <c r="AO410" s="79"/>
      <c r="AP410" s="79"/>
      <c r="AQ410" s="82"/>
      <c r="AR410" s="83"/>
      <c r="AS410" s="84"/>
    </row>
    <row r="411" ht="21.25" customHeight="1">
      <c r="A411" s="85">
        <f>RANK(K411,K$1:K$665)</f>
        <v>380</v>
      </c>
      <c r="B411" t="s" s="16">
        <v>601</v>
      </c>
      <c r="C411" t="s" s="69">
        <v>127</v>
      </c>
      <c r="D411" t="s" s="70">
        <f>VLOOKUP(B411,'Player Data'!A1:D667,4,FALSE)</f>
        <v>161</v>
      </c>
      <c r="E411" s="99">
        <f>VLOOKUP(B411,'G'!A1:D65,3,FALSE)</f>
        <v>48</v>
      </c>
      <c r="F411" t="s" s="104">
        <f>VLOOKUP(B411,'Player Data'!A1:B667,2,FALSE)</f>
        <v>277</v>
      </c>
      <c r="G411" s="96">
        <f>VLOOKUP(B411,'Player Data'!A1:D667,3,FALSE)</f>
        <v>24</v>
      </c>
      <c r="H411" s="94">
        <f>_xlfn.IFERROR(VLOOKUP(B411,'ADP'!A1:G665,7,FALSE)/1000000,VLOOKUP(B411,'ADP'!A1:G665,7,FALSE))</f>
        <v>0.89</v>
      </c>
      <c r="I411" s="74">
        <f>IF('Settings'!$E$15="POINTS",(AJ411*'Settings'!$B$29)+(AK411*'Settings'!$B$21)+(AL411*'Settings'!$B$22)+(AN411*'Settings'!$B$24)+(AO411*'Settings'!$B$25)+(AP411*'Settings'!$B$27)+(AM411*'Settings'!$B$23),VLOOKUP(B411,'Standard Deviations'!A1:C666,3,FALSE))</f>
        <v>146.404911673193</v>
      </c>
      <c r="J411" s="75">
        <f>IF(D411="G",I411/AJ411,I411/Q411)</f>
        <v>5.22874684547118</v>
      </c>
      <c r="K411" s="74">
        <f>VLOOKUP(B411,'G'!A1:F65,6,FALSE)</f>
        <v>-121.186102891397</v>
      </c>
      <c r="L411" s="76">
        <f>_xlfn.IFERROR(K411/H411,"N/A")</f>
        <v>-136.164160552131</v>
      </c>
      <c r="M411" s="109">
        <f>IF('Settings'!$E$9="YAHOO",VLOOKUP(B411,'ADP'!A1:E665,2,FALSE),IF('Settings'!$E$9="ESPN",VLOOKUP(B411,'ADP'!A1:E665,3,FALSE),IF('Settings'!$E$9="FANTRAX",VLOOKUP(B411,'ADP'!A1:E665,4,FALSE),VLOOKUP(B411,'ADP'!A1:E665,5,FALSE))))</f>
        <v>0</v>
      </c>
      <c r="N411" s="79">
        <f>_xlfn.IFERROR(M411-A411,"N/A")</f>
        <v>-380</v>
      </c>
      <c r="O411" s="77"/>
      <c r="P411" t="s" s="78">
        <f>IF('Settings'!$E$27="ON",VLOOKUP(B411,'ADP'!A1:H665,8,FALSE)," ")</f>
        <v>138</v>
      </c>
      <c r="Q411" s="79"/>
      <c r="R411" s="77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81"/>
      <c r="AI411" s="77"/>
      <c r="AJ411" s="89">
        <f>VLOOKUP(B411,'Player Data'!$A1:$AE667,24,FALSE)</f>
        <v>28</v>
      </c>
      <c r="AK411" s="79">
        <f>VLOOKUP(B411,'Player Data'!$A1:$AE667,25,FALSE)*$AJ411*_xlfn.IFERROR((VLOOKUP(P411,'Settings'!$E$28:$F$33,2,FALSE)+1),1)</f>
        <v>12.1518184930279</v>
      </c>
      <c r="AL411" s="79">
        <f>AJ411-AK411-AM411</f>
        <v>12.3481815069721</v>
      </c>
      <c r="AM411" s="79">
        <f>VLOOKUP(B411,'Player Data'!$A1:$AE667,27,FALSE)*$AJ411</f>
        <v>3.5</v>
      </c>
      <c r="AN411" s="79">
        <f>VLOOKUP(B411,'Player Data'!$A1:$AE667,28,FALSE)*AJ411</f>
        <v>0.922341938039281</v>
      </c>
      <c r="AO411" s="79">
        <f>VLOOKUP(B411,'Player Data'!$A1:$AE667,29,FALSE)*$AJ411*_xlfn.IFERROR((VLOOKUP(P411,'Settings'!$E$28:$F$33,2,FALSE)/4)+1,1)</f>
        <v>804.148454758239</v>
      </c>
      <c r="AP411" s="79">
        <f>VLOOKUP(B411,'Player Data'!$A1:$AE667,31,FALSE)*$AJ411*(_xlfn.IFERROR(1-(VLOOKUP(P411,'Settings'!$E$28:$F$33,2,FALSE)/4),1))</f>
        <v>87.3686791200748</v>
      </c>
      <c r="AQ411" s="82">
        <f>1-(AP411/(AO411+AP411))</f>
        <v>0.902</v>
      </c>
      <c r="AR411" s="83">
        <f>AP411/AJ411</f>
        <v>3.1203099685741</v>
      </c>
      <c r="AS411" s="84"/>
    </row>
    <row r="412" ht="21.25" customHeight="1">
      <c r="A412" s="85">
        <f>RANK(K412,K$1:K$665)</f>
        <v>425</v>
      </c>
      <c r="B412" t="s" s="16">
        <v>602</v>
      </c>
      <c r="C412" t="s" s="69">
        <v>127</v>
      </c>
      <c r="D412" t="s" s="70">
        <f>VLOOKUP(B412,'Player Data'!A1:D667,4,FALSE)</f>
        <v>136</v>
      </c>
      <c r="E412" s="87">
        <f>VLOOKUP(B412,'LW'!A1:C152,3,FALSE)</f>
        <v>106</v>
      </c>
      <c r="F412" t="s" s="78">
        <f>VLOOKUP(B412,'Player Data'!A1:B667,2,FALSE)</f>
        <v>168</v>
      </c>
      <c r="G412" s="91">
        <f>VLOOKUP(B412,'Player Data'!A1:D667,3,FALSE)</f>
        <v>31</v>
      </c>
      <c r="H412" s="94">
        <f>_xlfn.IFERROR(VLOOKUP(B412,'ADP'!A1:G665,7,FALSE)/1000000,VLOOKUP(B412,'ADP'!A1:G665,7,FALSE))</f>
        <v>2</v>
      </c>
      <c r="I412" s="74">
        <f>IF('Settings'!$E$15="POINTS",((R412*Q412)*'Settings'!$B$12)+(S412*'Settings'!$B$2)+(T412*'Settings'!$B$3)+(U412*'Settings'!$B$4)+(V412*'Settings'!$B$5)+(X412*'Settings'!$B$9)+(AA412*'Settings'!$B$6)+(W412*'Settings'!$B$8)+(AB412*'Settings'!$B$7)+(AC412*'Settings'!$B$14)+(AD412*'Settings'!$B$15)+(AE412*'Settings'!$B$16)+(AF412*'Settings'!$B$17)+(AG412*'Settings'!$B$18)+(Y412*'Settings'!$B$10)+(Z412*'Settings'!$B$11),VLOOKUP(B412,'Standard Deviations'!A1:C666,3,FALSE))</f>
        <v>199.789336074108</v>
      </c>
      <c r="J412" s="75">
        <f>IF(D412="G",I412/AJ412,I412/Q412)</f>
        <v>2.49947563349211</v>
      </c>
      <c r="K412" s="74">
        <f>IF('Settings'!$E$18="C/LW/RW",VLOOKUP(B412,'LW'!A1:F152,6,FALSE),VLOOKUP(B412,'F'!A1:F392,6,FALSE))</f>
        <v>-131.930775692104</v>
      </c>
      <c r="L412" s="76">
        <f>_xlfn.IFERROR(K412/H412,"N/A")</f>
        <v>-65.965387846052</v>
      </c>
      <c r="M412" s="109">
        <f>IF('Settings'!$E$9="YAHOO",VLOOKUP(B412,'ADP'!A1:E665,2,FALSE),IF('Settings'!$E$9="ESPN",VLOOKUP(B412,'ADP'!A1:E665,3,FALSE),IF('Settings'!$E$9="FANTRAX",VLOOKUP(B412,'ADP'!A1:E665,4,FALSE),VLOOKUP(B412,'ADP'!A1:E665,5,FALSE))))</f>
        <v>0</v>
      </c>
      <c r="N412" s="79">
        <f>_xlfn.IFERROR(M412-A412,"N/A")</f>
        <v>-425</v>
      </c>
      <c r="O412" s="77"/>
      <c r="P412" t="s" s="78">
        <f>IF('Settings'!$E$27="ON",VLOOKUP(B412,'ADP'!A1:H665,8,FALSE)," ")</f>
        <v>138</v>
      </c>
      <c r="Q412" s="79">
        <f>IF('Settings'!$E$12="YES",VLOOKUP(B412,'Player Data'!A1:E667,5,FALSE),82)</f>
        <v>79.9325</v>
      </c>
      <c r="R412" s="77">
        <f>VLOOKUP(B412,'Player Data'!$A1:$AE667,6,FALSE)</f>
        <v>14.7716272020997</v>
      </c>
      <c r="S412" s="79">
        <f>VLOOKUP(B412,'Player Data'!$A1:$AE667,7,FALSE)*$Q412*_xlfn.IFERROR((VLOOKUP(P412,'Settings'!$E$28:$F$33,2,FALSE)+1),1)</f>
        <v>11.7917952284519</v>
      </c>
      <c r="T412" s="79">
        <f>VLOOKUP(B412,'Player Data'!$A1:$AE667,8,FALSE)*$Q412*_xlfn.IFERROR((VLOOKUP(P412,'Settings'!$E$28:$F$33,2,FALSE)+1),1)</f>
        <v>21.8230372876245</v>
      </c>
      <c r="U412" s="79">
        <f>SUM(S412:T412)</f>
        <v>33.6148325160764</v>
      </c>
      <c r="V412" s="79">
        <f>VLOOKUP(B412,'Player Data'!$A1:$AE667,10,FALSE)*$Q412*_xlfn.IFERROR(((VLOOKUP(P412,'Settings'!$E$28:$F$33,2,FALSE)/2)+1),1)</f>
        <v>105.622494604089</v>
      </c>
      <c r="W412" s="79">
        <f>VLOOKUP(B412,'Player Data'!$A1:$AE667,11,FALSE)*$Q412*_xlfn.IFERROR((VLOOKUP(P412,'Settings'!$E$28:$F$33,2,FALSE)+1),1)</f>
        <v>2.1958047857523</v>
      </c>
      <c r="X412" s="79">
        <f>VLOOKUP(B412,'Player Data'!$A1:$AE667,12,FALSE)*$Q412*_xlfn.IFERROR((VLOOKUP(P412,'Settings'!$E$28:$F$33,2,FALSE)+1),1)</f>
        <v>5.21574269774216</v>
      </c>
      <c r="Y412" s="79">
        <f>VLOOKUP(B412,'Player Data'!$A1:$AE667,13,FALSE)*$Q412</f>
        <v>0.857986272625443</v>
      </c>
      <c r="Z412" s="79">
        <f>VLOOKUP(B412,'Player Data'!$A1:$AE667,14,FALSE)*$Q412</f>
        <v>1.17910954702261</v>
      </c>
      <c r="AA412" s="79">
        <f>VLOOKUP(B412,'Player Data'!$A1:$AE667,15,FALSE)*$Q412</f>
        <v>46.0505896308552</v>
      </c>
      <c r="AB412" s="79">
        <f>VLOOKUP(B412,'Player Data'!$A1:$AE667,16,FALSE)*$Q412</f>
        <v>99.6796481510378</v>
      </c>
      <c r="AC412" s="79">
        <f>VLOOKUP(B412,'Player Data'!$A1:$AE667,17,FALSE)*$Q412*_xlfn.IFERROR((VLOOKUP(P412,'Settings'!$E$28:$F$33,2,FALSE)+1),1)</f>
        <v>3.58708113253713</v>
      </c>
      <c r="AD412" s="79">
        <f>VLOOKUP(B412,'Player Data'!$A1:$AE667,18,FALSE)*$Q412</f>
        <v>36.1815025626302</v>
      </c>
      <c r="AE412" s="79">
        <f>VLOOKUP(B412,'Player Data'!$A1:$AE667,19,FALSE)*$Q412*_xlfn.IFERROR((VLOOKUP(P412,'Settings'!$E$28:$F$33,2,FALSE)+1),1)</f>
        <v>1.96010953186115</v>
      </c>
      <c r="AF412" s="79">
        <f>VLOOKUP(B412,'Player Data'!$A1:$AE667,20,FALSE)*$Q412</f>
        <v>157.324398220063</v>
      </c>
      <c r="AG412" s="79">
        <f>VLOOKUP(B412,'Player Data'!$A1:$AE667,21,FALSE)*$Q412</f>
        <v>245.941269292096</v>
      </c>
      <c r="AH412" s="81">
        <f>VLOOKUP(B412,'Player Data'!$A1:$AE667,22,FALSE)</f>
        <v>0.390125941517993</v>
      </c>
      <c r="AI412" s="77"/>
      <c r="AJ412" s="79"/>
      <c r="AK412" s="79"/>
      <c r="AL412" s="79"/>
      <c r="AM412" s="79"/>
      <c r="AN412" s="79"/>
      <c r="AO412" s="79"/>
      <c r="AP412" s="79"/>
      <c r="AQ412" s="82"/>
      <c r="AR412" s="83"/>
      <c r="AS412" s="84"/>
    </row>
    <row r="413" ht="21.25" customHeight="1">
      <c r="A413" s="85">
        <f>RANK(K413,K$1:K$665)</f>
        <v>439</v>
      </c>
      <c r="B413" t="s" s="16">
        <v>603</v>
      </c>
      <c r="C413" t="s" s="69">
        <v>127</v>
      </c>
      <c r="D413" t="s" s="70">
        <f>VLOOKUP(B413,'Player Data'!A1:D667,4,FALSE)</f>
        <v>128</v>
      </c>
      <c r="E413" s="71">
        <f>VLOOKUP(B413,'C'!A1:C206,3,FALSE)</f>
        <v>131</v>
      </c>
      <c r="F413" t="s" s="100">
        <f>VLOOKUP(B413,'Player Data'!A1:B667,2,FALSE)</f>
        <v>172</v>
      </c>
      <c r="G413" s="91">
        <f>VLOOKUP(B413,'Player Data'!A1:D667,3,FALSE)</f>
        <v>32</v>
      </c>
      <c r="H413" s="73">
        <f>_xlfn.IFERROR(VLOOKUP(B413,'ADP'!A1:G665,7,FALSE)/1000000,VLOOKUP(B413,'ADP'!A1:G665,7,FALSE))</f>
        <v>2</v>
      </c>
      <c r="I413" s="74">
        <f>IF('Settings'!$E$15="POINTS",((R413*Q413)*'Settings'!$B$12)+(S413*'Settings'!$B$2)+(T413*'Settings'!$B$3)+(U413*'Settings'!$B$4)+(V413*'Settings'!$B$5)+(X413*'Settings'!$B$9)+(AA413*'Settings'!$B$6)+(W413*'Settings'!$B$8)+(AB413*'Settings'!$B$7)+(AC413*'Settings'!$B$14)+(AD413*'Settings'!$B$15)+(AE413*'Settings'!$B$16)+(AF413*'Settings'!$B$17)+(AG413*'Settings'!$B$18)+(Y413*'Settings'!$B$10)+(Z413*'Settings'!$B$11),VLOOKUP(B413,'Standard Deviations'!A1:C666,3,FALSE))</f>
        <v>194.612764386130</v>
      </c>
      <c r="J413" s="75">
        <f>IF(D413="G",I413/AJ413,I413/Q413)</f>
        <v>2.7663505953963</v>
      </c>
      <c r="K413" s="74">
        <f>IF('Settings'!$E$18="C/LW/RW",VLOOKUP(B413,'C'!A1:F206,6,FALSE),VLOOKUP(B413,'F'!A1:F392,6,FALSE))</f>
        <v>-135.079129695048</v>
      </c>
      <c r="L413" s="76">
        <f>_xlfn.IFERROR(K413/H413,"N/A")</f>
        <v>-67.53956484752401</v>
      </c>
      <c r="M413" s="109">
        <f>IF('Settings'!$E$9="YAHOO",VLOOKUP(B413,'ADP'!A1:E665,2,FALSE),IF('Settings'!$E$9="ESPN",VLOOKUP(B413,'ADP'!A1:E665,3,FALSE),IF('Settings'!$E$9="FANTRAX",VLOOKUP(B413,'ADP'!A1:E665,4,FALSE),VLOOKUP(B413,'ADP'!A1:E665,5,FALSE))))</f>
        <v>0</v>
      </c>
      <c r="N413" s="79">
        <f>_xlfn.IFERROR(M413-A413,"N/A")</f>
        <v>-439</v>
      </c>
      <c r="O413" s="77"/>
      <c r="P413" t="s" s="78">
        <f>IF('Settings'!$E$27="ON",VLOOKUP(B413,'ADP'!A1:H665,8,FALSE)," ")</f>
        <v>138</v>
      </c>
      <c r="Q413" s="79">
        <f>IF('Settings'!$E$12="YES",VLOOKUP(B413,'Player Data'!A1:E667,5,FALSE),82)</f>
        <v>70.34999999999999</v>
      </c>
      <c r="R413" s="77">
        <f>VLOOKUP(B413,'Player Data'!$A1:$AE667,6,FALSE)</f>
        <v>12.1965751417279</v>
      </c>
      <c r="S413" s="79">
        <f>VLOOKUP(B413,'Player Data'!$A1:$AE667,7,FALSE)*$Q413*_xlfn.IFERROR((VLOOKUP(P413,'Settings'!$E$28:$F$33,2,FALSE)+1),1)</f>
        <v>6.2911144681248</v>
      </c>
      <c r="T413" s="79">
        <f>VLOOKUP(B413,'Player Data'!$A1:$AE667,8,FALSE)*$Q413*_xlfn.IFERROR((VLOOKUP(P413,'Settings'!$E$28:$F$33,2,FALSE)+1),1)</f>
        <v>5.55197442620781</v>
      </c>
      <c r="U413" s="79">
        <f>SUM(S413:T413)</f>
        <v>11.8430888943326</v>
      </c>
      <c r="V413" s="79">
        <f>VLOOKUP(B413,'Player Data'!$A1:$AE667,10,FALSE)*$Q413*_xlfn.IFERROR(((VLOOKUP(P413,'Settings'!$E$28:$F$33,2,FALSE)/2)+1),1)</f>
        <v>72.14985463247569</v>
      </c>
      <c r="W413" s="79">
        <f>VLOOKUP(B413,'Player Data'!$A1:$AE667,11,FALSE)*$Q413*_xlfn.IFERROR((VLOOKUP(P413,'Settings'!$E$28:$F$33,2,FALSE)+1),1)</f>
        <v>0.0548733615581352</v>
      </c>
      <c r="X413" s="79">
        <f>VLOOKUP(B413,'Player Data'!$A1:$AE667,12,FALSE)*$Q413*_xlfn.IFERROR((VLOOKUP(P413,'Settings'!$E$28:$F$33,2,FALSE)+1),1)</f>
        <v>0.12655729418292</v>
      </c>
      <c r="Y413" s="79">
        <f>VLOOKUP(B413,'Player Data'!$A1:$AE667,13,FALSE)*$Q413</f>
        <v>0.104774315383293</v>
      </c>
      <c r="Z413" s="79">
        <f>VLOOKUP(B413,'Player Data'!$A1:$AE667,14,FALSE)*$Q413</f>
        <v>0.921366333087636</v>
      </c>
      <c r="AA413" s="79">
        <f>VLOOKUP(B413,'Player Data'!$A1:$AE667,15,FALSE)*$Q413</f>
        <v>83.30808605160141</v>
      </c>
      <c r="AB413" s="79">
        <f>VLOOKUP(B413,'Player Data'!$A1:$AE667,16,FALSE)*$Q413</f>
        <v>147.396418673317</v>
      </c>
      <c r="AC413" s="79">
        <f>VLOOKUP(B413,'Player Data'!$A1:$AE667,17,FALSE)*$Q413*_xlfn.IFERROR((VLOOKUP(P413,'Settings'!$E$28:$F$33,2,FALSE)+1),1)</f>
        <v>-1.61075155510472</v>
      </c>
      <c r="AD413" s="79">
        <f>VLOOKUP(B413,'Player Data'!$A1:$AE667,18,FALSE)*$Q413</f>
        <v>18.2268168415623</v>
      </c>
      <c r="AE413" s="79">
        <f>VLOOKUP(B413,'Player Data'!$A1:$AE667,19,FALSE)*$Q413*_xlfn.IFERROR((VLOOKUP(P413,'Settings'!$E$28:$F$33,2,FALSE)+1),1)</f>
        <v>0.932613066888921</v>
      </c>
      <c r="AF413" s="79">
        <f>VLOOKUP(B413,'Player Data'!$A1:$AE667,20,FALSE)*$Q413</f>
        <v>344.162298437210</v>
      </c>
      <c r="AG413" s="79">
        <f>VLOOKUP(B413,'Player Data'!$A1:$AE667,21,FALSE)*$Q413</f>
        <v>294.868491825758</v>
      </c>
      <c r="AH413" s="81">
        <f>VLOOKUP(B413,'Player Data'!$A1:$AE667,22,FALSE)</f>
        <v>0.538569195227014</v>
      </c>
      <c r="AI413" s="77"/>
      <c r="AJ413" s="89"/>
      <c r="AK413" s="79"/>
      <c r="AL413" s="79"/>
      <c r="AM413" s="79"/>
      <c r="AN413" s="79"/>
      <c r="AO413" s="79"/>
      <c r="AP413" s="79"/>
      <c r="AQ413" s="82"/>
      <c r="AR413" s="83"/>
      <c r="AS413" s="84"/>
    </row>
    <row r="414" ht="21.25" customHeight="1">
      <c r="A414" s="85">
        <f>RANK(K414,K$1:K$665)</f>
        <v>396</v>
      </c>
      <c r="B414" t="s" s="16">
        <v>604</v>
      </c>
      <c r="C414" t="s" s="69">
        <v>127</v>
      </c>
      <c r="D414" t="s" s="70">
        <f>VLOOKUP(B414,'Player Data'!A1:D667,4,FALSE)</f>
        <v>153</v>
      </c>
      <c r="E414" s="95">
        <f>VLOOKUP(B414,'D'!A1:C213,3,FALSE)</f>
        <v>132</v>
      </c>
      <c r="F414" t="s" s="78">
        <f>VLOOKUP(B414,'Player Data'!A1:B667,2,FALSE)</f>
        <v>168</v>
      </c>
      <c r="G414" s="11">
        <f>VLOOKUP(B414,'Player Data'!A1:D667,3,FALSE)</f>
        <v>25</v>
      </c>
      <c r="H414" s="94">
        <f>_xlfn.IFERROR(VLOOKUP(B414,'ADP'!A1:G665,7,FALSE)/1000000,VLOOKUP(B414,'ADP'!A1:G665,7,FALSE))</f>
        <v>1.4</v>
      </c>
      <c r="I414" s="74">
        <f>IF('Settings'!$E$15="POINTS",((R414*Q414)*'Settings'!$B$12)+(S414*'Settings'!$B$2)+(T414*'Settings'!$B$3)+(U414*'Settings'!$B$4)+(V414*'Settings'!$B$5)+(X414*'Settings'!$B$9)+(AA414*'Settings'!$B$6)+(W414*'Settings'!$B$8)+(AB414*'Settings'!$B$7)+(AC414*'Settings'!$B$14)+(AD414*'Settings'!$B$15)+(AE414*'Settings'!$B$16)+(AF414*'Settings'!$B$17)+(AG414*'Settings'!$B$18)+(U414*'Settings'!$B$13)+(Y414*'Settings'!$B$10)+(Z414*'Settings'!$B$11),VLOOKUP(B414,'Standard Deviations'!A1:C666,3,FALSE))</f>
        <v>206.598131073905</v>
      </c>
      <c r="J414" s="75">
        <f>IF(D414="G",I414/AJ414,I414/Q414)</f>
        <v>2.86911962051043</v>
      </c>
      <c r="K414" s="74">
        <f>VLOOKUP(B414,'D'!A1:F213,6,FALSE)</f>
        <v>-124.942076846177</v>
      </c>
      <c r="L414" s="76">
        <f>_xlfn.IFERROR(K414/H414,"N/A")</f>
        <v>-89.2443406044121</v>
      </c>
      <c r="M414" s="109">
        <f>IF('Settings'!$E$9="YAHOO",VLOOKUP(B414,'ADP'!A1:E665,2,FALSE),IF('Settings'!$E$9="ESPN",VLOOKUP(B414,'ADP'!A1:E665,3,FALSE),IF('Settings'!$E$9="FANTRAX",VLOOKUP(B414,'ADP'!A1:E665,4,FALSE),VLOOKUP(B414,'ADP'!A1:E665,5,FALSE))))</f>
        <v>0</v>
      </c>
      <c r="N414" s="79">
        <f>_xlfn.IFERROR(M414-A414,"N/A")</f>
        <v>-396</v>
      </c>
      <c r="O414" s="77"/>
      <c r="P414" t="s" s="78">
        <f>IF('Settings'!$E$27="ON",VLOOKUP(B414,'ADP'!A1:H665,8,FALSE)," ")</f>
        <v>138</v>
      </c>
      <c r="Q414" s="79">
        <f>IF('Settings'!$E$12="YES",VLOOKUP(B414,'Player Data'!A1:E667,5,FALSE),82)</f>
        <v>72.00749999999999</v>
      </c>
      <c r="R414" s="98">
        <f>VLOOKUP(B414,'Player Data'!$A1:$AE667,6,FALSE)</f>
        <v>19.4312150780859</v>
      </c>
      <c r="S414" s="79">
        <f>VLOOKUP(B414,'Player Data'!$A1:$AE667,7,FALSE)*$Q414*_xlfn.IFERROR((VLOOKUP(P414,'Settings'!$E$28:$F$33,2,FALSE)+1),1)</f>
        <v>2.55256691036308</v>
      </c>
      <c r="T414" s="79">
        <f>VLOOKUP(B414,'Player Data'!$A1:$AE667,8,FALSE)*$Q414*_xlfn.IFERROR((VLOOKUP(P414,'Settings'!$E$28:$F$33,2,FALSE)+1),1)</f>
        <v>16.8059732116881</v>
      </c>
      <c r="U414" s="79">
        <f>SUM(S414:T414)</f>
        <v>19.3585401220512</v>
      </c>
      <c r="V414" s="79">
        <f>VLOOKUP(B414,'Player Data'!$A1:$AE667,10,FALSE)*$Q414*_xlfn.IFERROR(((VLOOKUP(P414,'Settings'!$E$28:$F$33,2,FALSE)/2)+1),1)</f>
        <v>87.9444516521441</v>
      </c>
      <c r="W414" s="79">
        <f>VLOOKUP(B414,'Player Data'!$A1:$AE667,11,FALSE)*$Q414*_xlfn.IFERROR((VLOOKUP(P414,'Settings'!$E$28:$F$33,2,FALSE)+1),1)</f>
        <v>0.010808036105467</v>
      </c>
      <c r="X414" s="79">
        <f>VLOOKUP(B414,'Player Data'!$A1:$AE667,12,FALSE)*$Q414*_xlfn.IFERROR((VLOOKUP(P414,'Settings'!$E$28:$F$33,2,FALSE)+1),1)</f>
        <v>0.100273702711804</v>
      </c>
      <c r="Y414" s="79">
        <f>VLOOKUP(B414,'Player Data'!$A1:$AE667,13,FALSE)*$Q414</f>
        <v>0.0342287883631735</v>
      </c>
      <c r="Z414" s="79">
        <f>VLOOKUP(B414,'Player Data'!$A1:$AE667,14,FALSE)*$Q414</f>
        <v>0.45850463270405</v>
      </c>
      <c r="AA414" s="79">
        <f>VLOOKUP(B414,'Player Data'!$A1:$AE667,15,FALSE)*$Q414</f>
        <v>126.015730483948</v>
      </c>
      <c r="AB414" s="79">
        <f>VLOOKUP(B414,'Player Data'!$A1:$AE667,16,FALSE)*$Q414</f>
        <v>89.58125038010181</v>
      </c>
      <c r="AC414" s="79">
        <f>VLOOKUP(B414,'Player Data'!$A1:$AE667,17,FALSE)*$Q414*_xlfn.IFERROR((VLOOKUP(P414,'Settings'!$E$28:$F$33,2,FALSE)+1),1)</f>
        <v>3.48095699533999</v>
      </c>
      <c r="AD414" s="79">
        <f>VLOOKUP(B414,'Player Data'!$A1:$AE667,18,FALSE)*$Q414</f>
        <v>36.1551218143787</v>
      </c>
      <c r="AE414" s="79">
        <f>VLOOKUP(B414,'Player Data'!$A1:$AE667,19,FALSE)*$Q414*_xlfn.IFERROR((VLOOKUP(P414,'Settings'!$E$28:$F$33,2,FALSE)+1),1)</f>
        <v>0.424304411226863</v>
      </c>
      <c r="AF414" s="79">
        <f>VLOOKUP(B414,'Player Data'!$A1:$AE667,20,FALSE)*$Q414</f>
        <v>0</v>
      </c>
      <c r="AG414" s="79">
        <f>VLOOKUP(B414,'Player Data'!$A1:$AE667,21,FALSE)*$Q414</f>
        <v>0</v>
      </c>
      <c r="AH414" s="81">
        <f>VLOOKUP(B414,'Player Data'!$A1:$AE667,22,FALSE)</f>
        <v>0</v>
      </c>
      <c r="AI414" s="77"/>
      <c r="AJ414" s="79"/>
      <c r="AK414" s="79"/>
      <c r="AL414" s="79"/>
      <c r="AM414" s="79"/>
      <c r="AN414" s="79"/>
      <c r="AO414" s="79"/>
      <c r="AP414" s="79"/>
      <c r="AQ414" s="82"/>
      <c r="AR414" s="83"/>
      <c r="AS414" s="84"/>
    </row>
    <row r="415" ht="21.25" customHeight="1">
      <c r="A415" s="85">
        <f>RANK(K415,K$1:K$665)</f>
        <v>398</v>
      </c>
      <c r="B415" t="s" s="16">
        <v>605</v>
      </c>
      <c r="C415" t="s" s="69">
        <v>127</v>
      </c>
      <c r="D415" t="s" s="70">
        <f>VLOOKUP(B415,'Player Data'!A1:D667,4,FALSE)</f>
        <v>153</v>
      </c>
      <c r="E415" s="95">
        <f>VLOOKUP(B415,'D'!A1:C213,3,FALSE)</f>
        <v>133</v>
      </c>
      <c r="F415" t="s" s="103">
        <f>VLOOKUP(B415,'Player Data'!A1:B667,2,FALSE)</f>
        <v>190</v>
      </c>
      <c r="G415" s="91">
        <f>VLOOKUP(B415,'Player Data'!A1:D667,3,FALSE)</f>
        <v>31</v>
      </c>
      <c r="H415" s="73">
        <f>_xlfn.IFERROR(VLOOKUP(B415,'ADP'!A1:G665,7,FALSE)/1000000,VLOOKUP(B415,'ADP'!A1:G665,7,FALSE))</f>
        <v>3.5</v>
      </c>
      <c r="I415" s="74">
        <f>IF('Settings'!$E$15="POINTS",((R415*Q415)*'Settings'!$B$12)+(S415*'Settings'!$B$2)+(T415*'Settings'!$B$3)+(U415*'Settings'!$B$4)+(V415*'Settings'!$B$5)+(X415*'Settings'!$B$9)+(AA415*'Settings'!$B$6)+(W415*'Settings'!$B$8)+(AB415*'Settings'!$B$7)+(AC415*'Settings'!$B$14)+(AD415*'Settings'!$B$15)+(AE415*'Settings'!$B$16)+(AF415*'Settings'!$B$17)+(AG415*'Settings'!$B$18)+(U415*'Settings'!$B$13)+(Y415*'Settings'!$B$10)+(Z415*'Settings'!$B$11),VLOOKUP(B415,'Standard Deviations'!A1:C666,3,FALSE))</f>
        <v>206.188458346101</v>
      </c>
      <c r="J415" s="75">
        <f>IF(D415="G",I415/AJ415,I415/Q415)</f>
        <v>2.83800913039608</v>
      </c>
      <c r="K415" s="74">
        <f>VLOOKUP(B415,'D'!A1:F213,6,FALSE)</f>
        <v>-125.351749573981</v>
      </c>
      <c r="L415" s="76">
        <f>_xlfn.IFERROR(K415/H415,"N/A")</f>
        <v>-35.814785592566</v>
      </c>
      <c r="M415" s="109">
        <f>IF('Settings'!$E$9="YAHOO",VLOOKUP(B415,'ADP'!A1:E665,2,FALSE),IF('Settings'!$E$9="ESPN",VLOOKUP(B415,'ADP'!A1:E665,3,FALSE),IF('Settings'!$E$9="FANTRAX",VLOOKUP(B415,'ADP'!A1:E665,4,FALSE),VLOOKUP(B415,'ADP'!A1:E665,5,FALSE))))</f>
        <v>0</v>
      </c>
      <c r="N415" s="79">
        <f>_xlfn.IFERROR(M415-A415,"N/A")</f>
        <v>-398</v>
      </c>
      <c r="O415" s="77"/>
      <c r="P415" t="s" s="78">
        <f>IF('Settings'!$E$27="ON",VLOOKUP(B415,'ADP'!A1:H665,8,FALSE)," ")</f>
        <v>138</v>
      </c>
      <c r="Q415" s="79">
        <f>IF('Settings'!$E$12="YES",VLOOKUP(B415,'Player Data'!A1:E667,5,FALSE),82)</f>
        <v>72.6525</v>
      </c>
      <c r="R415" s="108">
        <f>VLOOKUP(B415,'Player Data'!$A1:$AE667,6,FALSE)</f>
        <v>17.563462996171</v>
      </c>
      <c r="S415" s="79">
        <f>VLOOKUP(B415,'Player Data'!$A1:$AE667,7,FALSE)*$Q415*_xlfn.IFERROR((VLOOKUP(P415,'Settings'!$E$28:$F$33,2,FALSE)+1),1)</f>
        <v>2.70464712251685</v>
      </c>
      <c r="T415" s="79">
        <f>VLOOKUP(B415,'Player Data'!$A1:$AE667,8,FALSE)*$Q415*_xlfn.IFERROR((VLOOKUP(P415,'Settings'!$E$28:$F$33,2,FALSE)+1),1)</f>
        <v>11.9311585061942</v>
      </c>
      <c r="U415" s="79">
        <f>SUM(S415:T415)</f>
        <v>14.6358056287111</v>
      </c>
      <c r="V415" s="79">
        <f>VLOOKUP(B415,'Player Data'!$A1:$AE667,10,FALSE)*$Q415*_xlfn.IFERROR(((VLOOKUP(P415,'Settings'!$E$28:$F$33,2,FALSE)/2)+1),1)</f>
        <v>71.97034179193589</v>
      </c>
      <c r="W415" s="79">
        <f>VLOOKUP(B415,'Player Data'!$A1:$AE667,11,FALSE)*$Q415*_xlfn.IFERROR((VLOOKUP(P415,'Settings'!$E$28:$F$33,2,FALSE)+1),1)</f>
        <v>0.00935800859391173</v>
      </c>
      <c r="X415" s="79">
        <f>VLOOKUP(B415,'Player Data'!$A1:$AE667,12,FALSE)*$Q415*_xlfn.IFERROR((VLOOKUP(P415,'Settings'!$E$28:$F$33,2,FALSE)+1),1)</f>
        <v>0.06317260593419829</v>
      </c>
      <c r="Y415" s="79">
        <f>VLOOKUP(B415,'Player Data'!$A1:$AE667,13,FALSE)*$Q415</f>
        <v>0.0286271152976574</v>
      </c>
      <c r="Z415" s="79">
        <f>VLOOKUP(B415,'Player Data'!$A1:$AE667,14,FALSE)*$Q415</f>
        <v>0.300114957628605</v>
      </c>
      <c r="AA415" s="79">
        <f>VLOOKUP(B415,'Player Data'!$A1:$AE667,15,FALSE)*$Q415</f>
        <v>140.398888242894</v>
      </c>
      <c r="AB415" s="79">
        <f>VLOOKUP(B415,'Player Data'!$A1:$AE667,16,FALSE)*$Q415</f>
        <v>97.787765063382</v>
      </c>
      <c r="AC415" s="79">
        <f>VLOOKUP(B415,'Player Data'!$A1:$AE667,17,FALSE)*$Q415*_xlfn.IFERROR((VLOOKUP(P415,'Settings'!$E$28:$F$33,2,FALSE)+1),1)</f>
        <v>0.746748540026453</v>
      </c>
      <c r="AD415" s="79">
        <f>VLOOKUP(B415,'Player Data'!$A1:$AE667,18,FALSE)*$Q415</f>
        <v>45.8135258965831</v>
      </c>
      <c r="AE415" s="79">
        <f>VLOOKUP(B415,'Player Data'!$A1:$AE667,19,FALSE)*$Q415*_xlfn.IFERROR((VLOOKUP(P415,'Settings'!$E$28:$F$33,2,FALSE)+1),1)</f>
        <v>0.425059470128391</v>
      </c>
      <c r="AF415" s="79">
        <f>VLOOKUP(B415,'Player Data'!$A1:$AE667,20,FALSE)*$Q415</f>
        <v>0</v>
      </c>
      <c r="AG415" s="79">
        <f>VLOOKUP(B415,'Player Data'!$A1:$AE667,21,FALSE)*$Q415</f>
        <v>0</v>
      </c>
      <c r="AH415" s="81">
        <f>VLOOKUP(B415,'Player Data'!$A1:$AE667,22,FALSE)</f>
        <v>0</v>
      </c>
      <c r="AI415" s="77"/>
      <c r="AJ415" s="79"/>
      <c r="AK415" s="79"/>
      <c r="AL415" s="79"/>
      <c r="AM415" s="79"/>
      <c r="AN415" s="79"/>
      <c r="AO415" s="79"/>
      <c r="AP415" s="79"/>
      <c r="AQ415" s="82"/>
      <c r="AR415" s="83"/>
      <c r="AS415" s="84"/>
    </row>
    <row r="416" ht="21.25" customHeight="1">
      <c r="A416" s="85">
        <f>RANK(K416,K$1:K$665)</f>
        <v>400</v>
      </c>
      <c r="B416" t="s" s="16">
        <v>606</v>
      </c>
      <c r="C416" t="s" s="69">
        <v>127</v>
      </c>
      <c r="D416" t="s" s="70">
        <f>VLOOKUP(B416,'Player Data'!A1:D667,4,FALSE)</f>
        <v>153</v>
      </c>
      <c r="E416" s="95">
        <f>VLOOKUP(B416,'D'!A1:C213,3,FALSE)</f>
        <v>134</v>
      </c>
      <c r="F416" t="s" s="104">
        <f>VLOOKUP(B416,'Player Data'!A1:B667,2,FALSE)</f>
        <v>271</v>
      </c>
      <c r="G416" s="96">
        <f>VLOOKUP(B416,'Player Data'!A1:D667,3,FALSE)</f>
        <v>23</v>
      </c>
      <c r="H416" s="73">
        <f>_xlfn.IFERROR(VLOOKUP(B416,'ADP'!A1:G665,7,FALSE)/1000000,VLOOKUP(B416,'ADP'!A1:G665,7,FALSE))</f>
        <v>4.580917</v>
      </c>
      <c r="I416" s="74">
        <f>IF('Settings'!$E$15="POINTS",((R416*Q416)*'Settings'!$B$12)+(S416*'Settings'!$B$2)+(T416*'Settings'!$B$3)+(U416*'Settings'!$B$4)+(V416*'Settings'!$B$5)+(X416*'Settings'!$B$9)+(AA416*'Settings'!$B$6)+(W416*'Settings'!$B$8)+(AB416*'Settings'!$B$7)+(AC416*'Settings'!$B$14)+(AD416*'Settings'!$B$15)+(AE416*'Settings'!$B$16)+(AF416*'Settings'!$B$17)+(AG416*'Settings'!$B$18)+(U416*'Settings'!$B$13)+(Y416*'Settings'!$B$10)+(Z416*'Settings'!$B$11),VLOOKUP(B416,'Standard Deviations'!A1:C666,3,FALSE))</f>
        <v>205.851491341154</v>
      </c>
      <c r="J416" s="75">
        <f>IF(D416="G",I416/AJ416,I416/Q416)</f>
        <v>2.85904849084936</v>
      </c>
      <c r="K416" s="74">
        <f>VLOOKUP(B416,'D'!A1:F213,6,FALSE)</f>
        <v>-125.688716578928</v>
      </c>
      <c r="L416" s="76">
        <f>_xlfn.IFERROR(K416/H416,"N/A")</f>
        <v>-27.4374577358481</v>
      </c>
      <c r="M416" s="109">
        <f>IF('Settings'!$E$9="YAHOO",VLOOKUP(B416,'ADP'!A1:E665,2,FALSE),IF('Settings'!$E$9="ESPN",VLOOKUP(B416,'ADP'!A1:E665,3,FALSE),IF('Settings'!$E$9="FANTRAX",VLOOKUP(B416,'ADP'!A1:E665,4,FALSE),VLOOKUP(B416,'ADP'!A1:E665,5,FALSE))))</f>
        <v>0</v>
      </c>
      <c r="N416" s="79">
        <f>_xlfn.IFERROR(M416-A416,"N/A")</f>
        <v>-400</v>
      </c>
      <c r="O416" s="77"/>
      <c r="P416" t="s" s="78">
        <f>IF('Settings'!$E$27="ON",VLOOKUP(B416,'ADP'!A1:H665,8,FALSE)," ")</f>
        <v>138</v>
      </c>
      <c r="Q416" s="79">
        <f>IF('Settings'!$E$12="YES",VLOOKUP(B416,'Player Data'!A1:E667,5,FALSE),82)</f>
        <v>72</v>
      </c>
      <c r="R416" s="98">
        <f>VLOOKUP(B416,'Player Data'!$A1:$AE667,6,FALSE)</f>
        <v>19.0053453527803</v>
      </c>
      <c r="S416" s="79">
        <f>VLOOKUP(B416,'Player Data'!$A1:$AE667,7,FALSE)*$Q416*_xlfn.IFERROR((VLOOKUP(P416,'Settings'!$E$28:$F$33,2,FALSE)+1),1)</f>
        <v>4.46643701108616</v>
      </c>
      <c r="T416" s="79">
        <f>VLOOKUP(B416,'Player Data'!$A1:$AE667,8,FALSE)*$Q416*_xlfn.IFERROR((VLOOKUP(P416,'Settings'!$E$28:$F$33,2,FALSE)+1),1)</f>
        <v>23.4197431185043</v>
      </c>
      <c r="U416" s="79">
        <f>SUM(S416:T416)</f>
        <v>27.8861801295905</v>
      </c>
      <c r="V416" s="79">
        <f>VLOOKUP(B416,'Player Data'!$A1:$AE667,10,FALSE)*$Q416*_xlfn.IFERROR(((VLOOKUP(P416,'Settings'!$E$28:$F$33,2,FALSE)/2)+1),1)</f>
        <v>92.47331089044501</v>
      </c>
      <c r="W416" s="79">
        <f>VLOOKUP(B416,'Player Data'!$A1:$AE667,11,FALSE)*$Q416*_xlfn.IFERROR((VLOOKUP(P416,'Settings'!$E$28:$F$33,2,FALSE)+1),1)</f>
        <v>1.03915026197562</v>
      </c>
      <c r="X416" s="79">
        <f>VLOOKUP(B416,'Player Data'!$A1:$AE667,12,FALSE)*$Q416*_xlfn.IFERROR((VLOOKUP(P416,'Settings'!$E$28:$F$33,2,FALSE)+1),1)</f>
        <v>9.181737246642481</v>
      </c>
      <c r="Y416" s="79">
        <f>VLOOKUP(B416,'Player Data'!$A1:$AE667,13,FALSE)*$Q416</f>
        <v>0.0207535458582265</v>
      </c>
      <c r="Z416" s="79">
        <f>VLOOKUP(B416,'Player Data'!$A1:$AE667,14,FALSE)*$Q416</f>
        <v>0.0991370307260549</v>
      </c>
      <c r="AA416" s="79">
        <f>VLOOKUP(B416,'Player Data'!$A1:$AE667,15,FALSE)*$Q416</f>
        <v>94.1224176447631</v>
      </c>
      <c r="AB416" s="79">
        <f>VLOOKUP(B416,'Player Data'!$A1:$AE667,16,FALSE)*$Q416</f>
        <v>86.14393885543031</v>
      </c>
      <c r="AC416" s="79">
        <f>VLOOKUP(B416,'Player Data'!$A1:$AE667,17,FALSE)*$Q416*_xlfn.IFERROR((VLOOKUP(P416,'Settings'!$E$28:$F$33,2,FALSE)+1),1)</f>
        <v>5.09230632489407</v>
      </c>
      <c r="AD416" s="79">
        <f>VLOOKUP(B416,'Player Data'!$A1:$AE667,18,FALSE)*$Q416</f>
        <v>20.3630036384865</v>
      </c>
      <c r="AE416" s="79">
        <f>VLOOKUP(B416,'Player Data'!$A1:$AE667,19,FALSE)*$Q416*_xlfn.IFERROR((VLOOKUP(P416,'Settings'!$E$28:$F$33,2,FALSE)+1),1)</f>
        <v>0.537732634429278</v>
      </c>
      <c r="AF416" s="79">
        <f>VLOOKUP(B416,'Player Data'!$A1:$AE667,20,FALSE)*$Q416</f>
        <v>0</v>
      </c>
      <c r="AG416" s="79">
        <f>VLOOKUP(B416,'Player Data'!$A1:$AE667,21,FALSE)*$Q416</f>
        <v>0</v>
      </c>
      <c r="AH416" s="81">
        <f>VLOOKUP(B416,'Player Data'!$A1:$AE667,22,FALSE)</f>
        <v>0</v>
      </c>
      <c r="AI416" s="77"/>
      <c r="AJ416" s="79"/>
      <c r="AK416" s="79"/>
      <c r="AL416" s="79"/>
      <c r="AM416" s="79"/>
      <c r="AN416" s="79"/>
      <c r="AO416" s="79"/>
      <c r="AP416" s="79"/>
      <c r="AQ416" s="82"/>
      <c r="AR416" s="83"/>
      <c r="AS416" s="84"/>
    </row>
    <row r="417" ht="21.25" customHeight="1">
      <c r="A417" s="85">
        <f>RANK(K417,K$1:K$665)</f>
        <v>421</v>
      </c>
      <c r="B417" t="s" s="16">
        <v>607</v>
      </c>
      <c r="C417" t="s" s="69">
        <v>127</v>
      </c>
      <c r="D417" t="s" s="70">
        <f>VLOOKUP(B417,'Player Data'!A1:D667,4,FALSE)</f>
        <v>140</v>
      </c>
      <c r="E417" s="90">
        <f>VLOOKUP(B417,'RW'!A1:F136,3,FALSE)</f>
        <v>82</v>
      </c>
      <c r="F417" t="s" s="78">
        <f>VLOOKUP(B417,'Player Data'!A1:B667,2,FALSE)</f>
        <v>134</v>
      </c>
      <c r="G417" s="11">
        <f>VLOOKUP(B417,'Player Data'!A1:D667,3,FALSE)</f>
        <v>29</v>
      </c>
      <c r="H417" s="73">
        <f>_xlfn.IFERROR(VLOOKUP(B417,'ADP'!A1:G665,7,FALSE)/1000000,VLOOKUP(B417,'ADP'!A1:G665,7,FALSE))</f>
        <v>6.125</v>
      </c>
      <c r="I417" s="74">
        <f>IF('Settings'!$E$15="POINTS",((R417*Q417)*'Settings'!$B$12)+(S417*'Settings'!$B$2)+(T417*'Settings'!$B$3)+(U417*'Settings'!$B$4)+(V417*'Settings'!$B$5)+(X417*'Settings'!$B$9)+(AA417*'Settings'!$B$6)+(W417*'Settings'!$B$8)+(AB417*'Settings'!$B$7)+(AC417*'Settings'!$B$14)+(AD417*'Settings'!$B$15)+(AE417*'Settings'!$B$16)+(AF417*'Settings'!$B$17)+(AG417*'Settings'!$B$18)+(Y417*'Settings'!$B$10)+(Z417*'Settings'!$B$11),VLOOKUP(B417,'Standard Deviations'!A1:C666,3,FALSE))</f>
        <v>198.530842406313</v>
      </c>
      <c r="J417" s="75">
        <f>IF(D417="G",I417/AJ417,I417/Q417)</f>
        <v>3.81790081550602</v>
      </c>
      <c r="K417" s="74">
        <f>IF('Settings'!$E$18="C/LW/RW",VLOOKUP(B417,'RW'!A1:F136,6,FALSE),VLOOKUP(B417,'F'!A1:F392,6,FALSE))</f>
        <v>-131.161051674865</v>
      </c>
      <c r="L417" s="76">
        <f>_xlfn.IFERROR(K417/H417,"N/A")</f>
        <v>-21.4140492530392</v>
      </c>
      <c r="M417" s="77">
        <f>IF('Settings'!$E$9="YAHOO",VLOOKUP(B417,'ADP'!A1:E665,2,FALSE),IF('Settings'!$E$9="ESPN",VLOOKUP(B417,'ADP'!A1:E665,3,FALSE),IF('Settings'!$E$9="FANTRAX",VLOOKUP(B417,'ADP'!A1:E665,4,FALSE),VLOOKUP(B417,'ADP'!A1:E665,5,FALSE))))</f>
        <v>0</v>
      </c>
      <c r="N417" s="77">
        <f>_xlfn.IFERROR(M417-A417,"N/A")</f>
        <v>-421</v>
      </c>
      <c r="O417" s="77"/>
      <c r="P417" s="111">
        <f>IF('Settings'!$E$27="ON",VLOOKUP(B417,'ADP'!A1:H665,8,FALSE)," ")</f>
        <v>0</v>
      </c>
      <c r="Q417" s="79">
        <f>IF('Settings'!$E$12="YES",VLOOKUP(B417,'Player Data'!A1:E667,5,FALSE),82)</f>
        <v>52</v>
      </c>
      <c r="R417" s="108">
        <f>VLOOKUP(B417,'Player Data'!$A1:$AE667,6,FALSE)</f>
        <v>18.4955395378529</v>
      </c>
      <c r="S417" s="79">
        <f>VLOOKUP(B417,'Player Data'!$A1:$AE667,7,FALSE)*$Q417*_xlfn.IFERROR((VLOOKUP(P417,'Settings'!$E$28:$F$33,2,FALSE)+1),1)</f>
        <v>18.4886273972388</v>
      </c>
      <c r="T417" s="79">
        <f>VLOOKUP(B417,'Player Data'!$A1:$AE667,8,FALSE)*$Q417*_xlfn.IFERROR((VLOOKUP(P417,'Settings'!$E$28:$F$33,2,FALSE)+1),1)</f>
        <v>22.4518827293442</v>
      </c>
      <c r="U417" s="79">
        <f>SUM(S417:T417)</f>
        <v>40.940510126583</v>
      </c>
      <c r="V417" s="79">
        <f>VLOOKUP(B417,'Player Data'!$A1:$AE667,10,FALSE)*$Q417*_xlfn.IFERROR(((VLOOKUP(P417,'Settings'!$E$28:$F$33,2,FALSE)/2)+1),1)</f>
        <v>133.6346195696</v>
      </c>
      <c r="W417" s="79">
        <f>VLOOKUP(B417,'Player Data'!$A1:$AE667,11,FALSE)*$Q417*_xlfn.IFERROR((VLOOKUP(P417,'Settings'!$E$28:$F$33,2,FALSE)+1),1)</f>
        <v>8.0895112087673</v>
      </c>
      <c r="X417" s="101">
        <f>VLOOKUP(B417,'Player Data'!$A1:$AE667,12,FALSE)*$Q417*_xlfn.IFERROR((VLOOKUP(P417,'Settings'!$E$28:$F$33,2,FALSE)+1),1)</f>
        <v>12.3985315277405</v>
      </c>
      <c r="Y417" s="79">
        <f>VLOOKUP(B417,'Player Data'!$A1:$AE667,13,FALSE)*$Q417</f>
        <v>0.253755845166043</v>
      </c>
      <c r="Z417" s="79">
        <f>VLOOKUP(B417,'Player Data'!$A1:$AE667,14,FALSE)*$Q417</f>
        <v>1.17157958057238</v>
      </c>
      <c r="AA417" s="79">
        <f>VLOOKUP(B417,'Player Data'!$A1:$AE667,15,FALSE)*$Q417</f>
        <v>24.4889771313461</v>
      </c>
      <c r="AB417" s="79">
        <f>VLOOKUP(B417,'Player Data'!$A1:$AE667,16,FALSE)*$Q417</f>
        <v>60.5555255995232</v>
      </c>
      <c r="AC417" s="79">
        <f>VLOOKUP(B417,'Player Data'!$A1:$AE667,17,FALSE)*$Q417*_xlfn.IFERROR((VLOOKUP(P417,'Settings'!$E$28:$F$33,2,FALSE)+1),1)</f>
        <v>2.98031554709691</v>
      </c>
      <c r="AD417" s="79">
        <f>VLOOKUP(B417,'Player Data'!$A1:$AE667,18,FALSE)*$Q417</f>
        <v>18.2</v>
      </c>
      <c r="AE417" s="79">
        <f>VLOOKUP(B417,'Player Data'!$A1:$AE667,19,FALSE)*$Q417*_xlfn.IFERROR((VLOOKUP(P417,'Settings'!$E$28:$F$33,2,FALSE)+1),1)</f>
        <v>2.76239792269407</v>
      </c>
      <c r="AF417" s="79">
        <f>VLOOKUP(B417,'Player Data'!$A1:$AE667,20,FALSE)*$Q417</f>
        <v>0.633698057776768</v>
      </c>
      <c r="AG417" s="79">
        <f>VLOOKUP(B417,'Player Data'!$A1:$AE667,21,FALSE)*$Q417</f>
        <v>4.63351494104883</v>
      </c>
      <c r="AH417" s="81">
        <f>VLOOKUP(B417,'Player Data'!$A1:$AE667,22,FALSE)</f>
        <v>0.120309935808189</v>
      </c>
      <c r="AI417" s="77"/>
      <c r="AJ417" s="89"/>
      <c r="AK417" s="79"/>
      <c r="AL417" s="79"/>
      <c r="AM417" s="79"/>
      <c r="AN417" s="79"/>
      <c r="AO417" s="79"/>
      <c r="AP417" s="79"/>
      <c r="AQ417" s="82"/>
      <c r="AR417" s="83"/>
      <c r="AS417" s="84"/>
    </row>
    <row r="418" ht="21.25" customHeight="1">
      <c r="A418" s="85">
        <f>RANK(K418,K$1:K$665)</f>
        <v>422</v>
      </c>
      <c r="B418" t="s" s="16">
        <v>608</v>
      </c>
      <c r="C418" t="s" s="69">
        <v>127</v>
      </c>
      <c r="D418" t="s" s="70">
        <f>VLOOKUP(B418,'Player Data'!A1:D667,4,FALSE)</f>
        <v>140</v>
      </c>
      <c r="E418" s="90">
        <f>VLOOKUP(B418,'RW'!A1:F136,3,FALSE)</f>
        <v>83</v>
      </c>
      <c r="F418" t="s" s="78">
        <f>VLOOKUP(B418,'Player Data'!A1:B667,2,FALSE)</f>
        <v>216</v>
      </c>
      <c r="G418" s="96">
        <f>VLOOKUP(B418,'Player Data'!A1:D667,3,FALSE)</f>
        <v>22</v>
      </c>
      <c r="H418" s="94">
        <f>_xlfn.IFERROR(VLOOKUP(B418,'ADP'!A1:G665,7,FALSE)/1000000,VLOOKUP(B418,'ADP'!A1:G665,7,FALSE))</f>
        <v>0.894167</v>
      </c>
      <c r="I418" s="74">
        <f>IF('Settings'!$E$15="POINTS",((R418*Q418)*'Settings'!$B$12)+(S418*'Settings'!$B$2)+(T418*'Settings'!$B$3)+(U418*'Settings'!$B$4)+(V418*'Settings'!$B$5)+(X418*'Settings'!$B$9)+(AA418*'Settings'!$B$6)+(W418*'Settings'!$B$8)+(AB418*'Settings'!$B$7)+(AC418*'Settings'!$B$14)+(AD418*'Settings'!$B$15)+(AE418*'Settings'!$B$16)+(AF418*'Settings'!$B$17)+(AG418*'Settings'!$B$18)+(Y418*'Settings'!$B$10)+(Z418*'Settings'!$B$11),VLOOKUP(B418,'Standard Deviations'!A1:C666,3,FALSE))</f>
        <v>198.471615269640</v>
      </c>
      <c r="J418" s="75">
        <f>IF(D418="G",I418/AJ418,I418/Q418)</f>
        <v>2.58199649097005</v>
      </c>
      <c r="K418" s="74">
        <f>IF('Settings'!$E$18="C/LW/RW",VLOOKUP(B418,'RW'!A1:F136,6,FALSE),VLOOKUP(B418,'F'!A1:F392,6,FALSE))</f>
        <v>-131.220278811538</v>
      </c>
      <c r="L418" s="76">
        <f>_xlfn.IFERROR(K418/H418,"N/A")</f>
        <v>-146.7514220627</v>
      </c>
      <c r="M418" s="109">
        <f>IF('Settings'!$E$9="YAHOO",VLOOKUP(B418,'ADP'!A1:E665,2,FALSE),IF('Settings'!$E$9="ESPN",VLOOKUP(B418,'ADP'!A1:E665,3,FALSE),IF('Settings'!$E$9="FANTRAX",VLOOKUP(B418,'ADP'!A1:E665,4,FALSE),VLOOKUP(B418,'ADP'!A1:E665,5,FALSE))))</f>
        <v>0</v>
      </c>
      <c r="N418" s="79">
        <f>_xlfn.IFERROR(M418-A418,"N/A")</f>
        <v>-422</v>
      </c>
      <c r="O418" s="77"/>
      <c r="P418" t="s" s="78">
        <f>IF('Settings'!$E$27="ON",VLOOKUP(B418,'ADP'!A1:H665,8,FALSE)," ")</f>
        <v>138</v>
      </c>
      <c r="Q418" s="79">
        <f>IF('Settings'!$E$12="YES",VLOOKUP(B418,'Player Data'!A1:E667,5,FALSE),82)</f>
        <v>76.86750000000001</v>
      </c>
      <c r="R418" s="98">
        <f>VLOOKUP(B418,'Player Data'!$A1:$AE667,6,FALSE)</f>
        <v>15.0991819239659</v>
      </c>
      <c r="S418" s="79">
        <f>VLOOKUP(B418,'Player Data'!$A1:$AE667,7,FALSE)*$Q418*_xlfn.IFERROR((VLOOKUP(P418,'Settings'!$E$28:$F$33,2,FALSE)+1),1)</f>
        <v>21.6996239442406</v>
      </c>
      <c r="T418" s="79">
        <f>VLOOKUP(B418,'Player Data'!$A1:$AE667,8,FALSE)*$Q418*_xlfn.IFERROR((VLOOKUP(P418,'Settings'!$E$28:$F$33,2,FALSE)+1),1)</f>
        <v>20.0644588726132</v>
      </c>
      <c r="U418" s="79">
        <f>SUM(S418:T418)</f>
        <v>41.7640828168538</v>
      </c>
      <c r="V418" s="79">
        <f>VLOOKUP(B418,'Player Data'!$A1:$AE667,10,FALSE)*$Q418*_xlfn.IFERROR(((VLOOKUP(P418,'Settings'!$E$28:$F$33,2,FALSE)/2)+1),1)</f>
        <v>147.765048575510</v>
      </c>
      <c r="W418" s="79">
        <f>VLOOKUP(B418,'Player Data'!$A1:$AE667,11,FALSE)*$Q418*_xlfn.IFERROR((VLOOKUP(P418,'Settings'!$E$28:$F$33,2,FALSE)+1),1)</f>
        <v>1.6256299066058</v>
      </c>
      <c r="X418" s="79">
        <f>VLOOKUP(B418,'Player Data'!$A1:$AE667,12,FALSE)*$Q418*_xlfn.IFERROR((VLOOKUP(P418,'Settings'!$E$28:$F$33,2,FALSE)+1),1)</f>
        <v>3.07854675729378</v>
      </c>
      <c r="Y418" s="79">
        <f>VLOOKUP(B418,'Player Data'!$A1:$AE667,13,FALSE)*$Q418</f>
        <v>0.00158693466057176</v>
      </c>
      <c r="Z418" s="79">
        <f>VLOOKUP(B418,'Player Data'!$A1:$AE667,14,FALSE)*$Q418</f>
        <v>0.00269298879016654</v>
      </c>
      <c r="AA418" s="79">
        <f>VLOOKUP(B418,'Player Data'!$A1:$AE667,15,FALSE)*$Q418</f>
        <v>24.7893739882694</v>
      </c>
      <c r="AB418" s="79">
        <f>VLOOKUP(B418,'Player Data'!$A1:$AE667,16,FALSE)*$Q418</f>
        <v>57.8637019888964</v>
      </c>
      <c r="AC418" s="79">
        <f>VLOOKUP(B418,'Player Data'!$A1:$AE667,17,FALSE)*$Q418*_xlfn.IFERROR((VLOOKUP(P418,'Settings'!$E$28:$F$33,2,FALSE)+1),1)</f>
        <v>0.634783928563452</v>
      </c>
      <c r="AD418" s="79">
        <f>VLOOKUP(B418,'Player Data'!$A1:$AE667,18,FALSE)*$Q418</f>
        <v>23.7186000569879</v>
      </c>
      <c r="AE418" s="79">
        <f>VLOOKUP(B418,'Player Data'!$A1:$AE667,19,FALSE)*$Q418*_xlfn.IFERROR((VLOOKUP(P418,'Settings'!$E$28:$F$33,2,FALSE)+1),1)</f>
        <v>3.30054077186635</v>
      </c>
      <c r="AF418" s="79">
        <f>VLOOKUP(B418,'Player Data'!$A1:$AE667,20,FALSE)*$Q418</f>
        <v>7.37669192307049</v>
      </c>
      <c r="AG418" s="79">
        <f>VLOOKUP(B418,'Player Data'!$A1:$AE667,21,FALSE)*$Q418</f>
        <v>23.4390221770415</v>
      </c>
      <c r="AH418" s="81">
        <f>VLOOKUP(B418,'Player Data'!$A1:$AE667,22,FALSE)</f>
        <v>0.239380852869597</v>
      </c>
      <c r="AI418" s="77"/>
      <c r="AJ418" s="89"/>
      <c r="AK418" s="79"/>
      <c r="AL418" s="79"/>
      <c r="AM418" s="79"/>
      <c r="AN418" s="79"/>
      <c r="AO418" s="79"/>
      <c r="AP418" s="79"/>
      <c r="AQ418" s="82"/>
      <c r="AR418" s="83"/>
      <c r="AS418" s="84"/>
    </row>
    <row r="419" ht="21.25" customHeight="1">
      <c r="A419" s="85">
        <f>RANK(K419,K$1:K$665)</f>
        <v>402</v>
      </c>
      <c r="B419" t="s" s="16">
        <v>609</v>
      </c>
      <c r="C419" t="s" s="69">
        <v>127</v>
      </c>
      <c r="D419" t="s" s="70">
        <f>VLOOKUP(B419,'Player Data'!A1:D667,4,FALSE)</f>
        <v>153</v>
      </c>
      <c r="E419" s="95">
        <f>VLOOKUP(B419,'D'!A1:C213,3,FALSE)</f>
        <v>135</v>
      </c>
      <c r="F419" t="s" s="78">
        <f>VLOOKUP(B419,'Player Data'!A1:B667,2,FALSE)</f>
        <v>194</v>
      </c>
      <c r="G419" s="11">
        <f>VLOOKUP(B419,'Player Data'!A1:D667,3,FALSE)</f>
        <v>29</v>
      </c>
      <c r="H419" s="73">
        <f>_xlfn.IFERROR(VLOOKUP(B419,'ADP'!A1:G665,7,FALSE)/1000000,VLOOKUP(B419,'ADP'!A1:G665,7,FALSE))</f>
        <v>5.5</v>
      </c>
      <c r="I419" s="74">
        <f>IF('Settings'!$E$15="POINTS",((R419*Q419)*'Settings'!$B$12)+(S419*'Settings'!$B$2)+(T419*'Settings'!$B$3)+(U419*'Settings'!$B$4)+(V419*'Settings'!$B$5)+(X419*'Settings'!$B$9)+(AA419*'Settings'!$B$6)+(W419*'Settings'!$B$8)+(AB419*'Settings'!$B$7)+(AC419*'Settings'!$B$14)+(AD419*'Settings'!$B$15)+(AE419*'Settings'!$B$16)+(AF419*'Settings'!$B$17)+(AG419*'Settings'!$B$18)+(U419*'Settings'!$B$13)+(Y419*'Settings'!$B$10)+(Z419*'Settings'!$B$11),VLOOKUP(B419,'Standard Deviations'!A1:C666,3,FALSE))</f>
        <v>205.304958568775</v>
      </c>
      <c r="J419" s="75">
        <f>IF(D419="G",I419/AJ419,I419/Q419)</f>
        <v>2.60870341256385</v>
      </c>
      <c r="K419" s="74">
        <f>VLOOKUP(B419,'D'!A1:F213,6,FALSE)</f>
        <v>-126.235249351307</v>
      </c>
      <c r="L419" s="76">
        <f>_xlfn.IFERROR(K419/H419,"N/A")</f>
        <v>-22.9518635184195</v>
      </c>
      <c r="M419" s="109">
        <f>IF('Settings'!$E$9="YAHOO",VLOOKUP(B419,'ADP'!A1:E665,2,FALSE),IF('Settings'!$E$9="ESPN",VLOOKUP(B419,'ADP'!A1:E665,3,FALSE),IF('Settings'!$E$9="FANTRAX",VLOOKUP(B419,'ADP'!A1:E665,4,FALSE),VLOOKUP(B419,'ADP'!A1:E665,5,FALSE))))</f>
        <v>0</v>
      </c>
      <c r="N419" s="79">
        <f>_xlfn.IFERROR(M419-A419,"N/A")</f>
        <v>-402</v>
      </c>
      <c r="O419" s="77"/>
      <c r="P419" t="s" s="78">
        <f>IF('Settings'!$E$27="ON",VLOOKUP(B419,'ADP'!A1:H665,8,FALSE)," ")</f>
        <v>138</v>
      </c>
      <c r="Q419" s="79">
        <f>IF('Settings'!$E$12="YES",VLOOKUP(B419,'Player Data'!A1:E667,5,FALSE),82)</f>
        <v>78.7</v>
      </c>
      <c r="R419" s="77">
        <f>VLOOKUP(B419,'Player Data'!$A1:$AE667,6,FALSE)</f>
        <v>21.1947452146881</v>
      </c>
      <c r="S419" s="79">
        <f>VLOOKUP(B419,'Player Data'!$A1:$AE667,7,FALSE)*$Q419*_xlfn.IFERROR((VLOOKUP(P419,'Settings'!$E$28:$F$33,2,FALSE)+1),1)</f>
        <v>4.90413830948511</v>
      </c>
      <c r="T419" s="79">
        <f>VLOOKUP(B419,'Player Data'!$A1:$AE667,8,FALSE)*$Q419*_xlfn.IFERROR((VLOOKUP(P419,'Settings'!$E$28:$F$33,2,FALSE)+1),1)</f>
        <v>19.4902778418753</v>
      </c>
      <c r="U419" s="79">
        <f>SUM(S419:T419)</f>
        <v>24.3944161513604</v>
      </c>
      <c r="V419" s="79">
        <f>VLOOKUP(B419,'Player Data'!$A1:$AE667,10,FALSE)*$Q419*_xlfn.IFERROR(((VLOOKUP(P419,'Settings'!$E$28:$F$33,2,FALSE)/2)+1),1)</f>
        <v>129.951988692424</v>
      </c>
      <c r="W419" s="79">
        <f>VLOOKUP(B419,'Player Data'!$A1:$AE667,11,FALSE)*$Q419*_xlfn.IFERROR((VLOOKUP(P419,'Settings'!$E$28:$F$33,2,FALSE)+1),1)</f>
        <v>0.0919164550872263</v>
      </c>
      <c r="X419" s="79">
        <f>VLOOKUP(B419,'Player Data'!$A1:$AE667,12,FALSE)*$Q419*_xlfn.IFERROR((VLOOKUP(P419,'Settings'!$E$28:$F$33,2,FALSE)+1),1)</f>
        <v>0.39630819859895</v>
      </c>
      <c r="Y419" s="79">
        <f>VLOOKUP(B419,'Player Data'!$A1:$AE667,13,FALSE)*$Q419</f>
        <v>0.0271944433488164</v>
      </c>
      <c r="Z419" s="79">
        <f>VLOOKUP(B419,'Player Data'!$A1:$AE667,14,FALSE)*$Q419</f>
        <v>0.6342724066365411</v>
      </c>
      <c r="AA419" s="79">
        <f>VLOOKUP(B419,'Player Data'!$A1:$AE667,15,FALSE)*$Q419</f>
        <v>123.738870581483</v>
      </c>
      <c r="AB419" s="79">
        <f>VLOOKUP(B419,'Player Data'!$A1:$AE667,16,FALSE)*$Q419</f>
        <v>45.7610022341287</v>
      </c>
      <c r="AC419" s="79">
        <f>VLOOKUP(B419,'Player Data'!$A1:$AE667,17,FALSE)*$Q419*_xlfn.IFERROR((VLOOKUP(P419,'Settings'!$E$28:$F$33,2,FALSE)+1),1)</f>
        <v>0.577142598716189</v>
      </c>
      <c r="AD419" s="79">
        <f>VLOOKUP(B419,'Player Data'!$A1:$AE667,18,FALSE)*$Q419</f>
        <v>30.4984282155604</v>
      </c>
      <c r="AE419" s="79">
        <f>VLOOKUP(B419,'Player Data'!$A1:$AE667,19,FALSE)*$Q419*_xlfn.IFERROR((VLOOKUP(P419,'Settings'!$E$28:$F$33,2,FALSE)+1),1)</f>
        <v>0.7399183461605769</v>
      </c>
      <c r="AF419" s="79">
        <f>VLOOKUP(B419,'Player Data'!$A1:$AE667,20,FALSE)*$Q419</f>
        <v>0</v>
      </c>
      <c r="AG419" s="79">
        <f>VLOOKUP(B419,'Player Data'!$A1:$AE667,21,FALSE)*$Q419</f>
        <v>0</v>
      </c>
      <c r="AH419" s="81">
        <f>VLOOKUP(B419,'Player Data'!$A1:$AE667,22,FALSE)</f>
        <v>0</v>
      </c>
      <c r="AI419" s="77"/>
      <c r="AJ419" s="79"/>
      <c r="AK419" s="79"/>
      <c r="AL419" s="79"/>
      <c r="AM419" s="79"/>
      <c r="AN419" s="79"/>
      <c r="AO419" s="79"/>
      <c r="AP419" s="79"/>
      <c r="AQ419" s="82"/>
      <c r="AR419" s="83"/>
      <c r="AS419" s="84"/>
    </row>
    <row r="420" ht="21.25" customHeight="1">
      <c r="A420" s="85">
        <f>RANK(K420,K$1:K$665)</f>
        <v>406</v>
      </c>
      <c r="B420" t="s" s="16">
        <v>610</v>
      </c>
      <c r="C420" t="s" s="69">
        <v>127</v>
      </c>
      <c r="D420" t="s" s="70">
        <f>VLOOKUP(B420,'Player Data'!A1:D667,4,FALSE)</f>
        <v>153</v>
      </c>
      <c r="E420" s="95">
        <f>VLOOKUP(B420,'D'!A1:C213,3,FALSE)</f>
        <v>136</v>
      </c>
      <c r="F420" t="s" s="86">
        <f>VLOOKUP(B420,'Player Data'!A1:B667,2,FALSE)</f>
        <v>174</v>
      </c>
      <c r="G420" s="96">
        <f>VLOOKUP(B420,'Player Data'!A1:D667,3,FALSE)</f>
        <v>24</v>
      </c>
      <c r="H420" s="94">
        <f>_xlfn.IFERROR(VLOOKUP(B420,'ADP'!A1:G665,7,FALSE)/1000000,VLOOKUP(B420,'ADP'!A1:G665,7,FALSE))</f>
        <v>1.05</v>
      </c>
      <c r="I420" s="74">
        <f>IF('Settings'!$E$15="POINTS",((R420*Q420)*'Settings'!$B$12)+(S420*'Settings'!$B$2)+(T420*'Settings'!$B$3)+(U420*'Settings'!$B$4)+(V420*'Settings'!$B$5)+(X420*'Settings'!$B$9)+(AA420*'Settings'!$B$6)+(W420*'Settings'!$B$8)+(AB420*'Settings'!$B$7)+(AC420*'Settings'!$B$14)+(AD420*'Settings'!$B$15)+(AE420*'Settings'!$B$16)+(AF420*'Settings'!$B$17)+(AG420*'Settings'!$B$18)+(U420*'Settings'!$B$13)+(Y420*'Settings'!$B$10)+(Z420*'Settings'!$B$11),VLOOKUP(B420,'Standard Deviations'!A1:C666,3,FALSE))</f>
        <v>204.586465304836</v>
      </c>
      <c r="J420" s="75">
        <f>IF(D420="G",I420/AJ420,I420/Q420)</f>
        <v>2.71767355612163</v>
      </c>
      <c r="K420" s="74">
        <f>VLOOKUP(B420,'D'!A1:F213,6,FALSE)</f>
        <v>-126.953742615246</v>
      </c>
      <c r="L420" s="76">
        <f>_xlfn.IFERROR(K420/H420,"N/A")</f>
        <v>-120.908326300234</v>
      </c>
      <c r="M420" s="109">
        <f>IF('Settings'!$E$9="YAHOO",VLOOKUP(B420,'ADP'!A1:E665,2,FALSE),IF('Settings'!$E$9="ESPN",VLOOKUP(B420,'ADP'!A1:E665,3,FALSE),IF('Settings'!$E$9="FANTRAX",VLOOKUP(B420,'ADP'!A1:E665,4,FALSE),VLOOKUP(B420,'ADP'!A1:E665,5,FALSE))))</f>
        <v>0</v>
      </c>
      <c r="N420" s="79">
        <f>_xlfn.IFERROR(M420-A420,"N/A")</f>
        <v>-406</v>
      </c>
      <c r="O420" s="77"/>
      <c r="P420" t="s" s="78">
        <f>IF('Settings'!$E$27="ON",VLOOKUP(B420,'ADP'!A1:H665,8,FALSE)," ")</f>
        <v>138</v>
      </c>
      <c r="Q420" s="79">
        <f>IF('Settings'!$E$12="YES",VLOOKUP(B420,'Player Data'!A1:E667,5,FALSE),82)</f>
        <v>75.28</v>
      </c>
      <c r="R420" s="98">
        <f>VLOOKUP(B420,'Player Data'!$A1:$AE667,6,FALSE)</f>
        <v>18.682135522211</v>
      </c>
      <c r="S420" s="79">
        <f>VLOOKUP(B420,'Player Data'!$A1:$AE667,7,FALSE)*$Q420*_xlfn.IFERROR((VLOOKUP(P420,'Settings'!$E$28:$F$33,2,FALSE)+1),1)</f>
        <v>2.58833507680975</v>
      </c>
      <c r="T420" s="79">
        <f>VLOOKUP(B420,'Player Data'!$A1:$AE667,8,FALSE)*$Q420*_xlfn.IFERROR((VLOOKUP(P420,'Settings'!$E$28:$F$33,2,FALSE)+1),1)</f>
        <v>12.4342708034164</v>
      </c>
      <c r="U420" s="79">
        <f>SUM(S420:T420)</f>
        <v>15.0226058802262</v>
      </c>
      <c r="V420" s="79">
        <f>VLOOKUP(B420,'Player Data'!$A1:$AE667,10,FALSE)*$Q420*_xlfn.IFERROR(((VLOOKUP(P420,'Settings'!$E$28:$F$33,2,FALSE)/2)+1),1)</f>
        <v>67.0854305499505</v>
      </c>
      <c r="W420" s="79">
        <f>VLOOKUP(B420,'Player Data'!$A1:$AE667,11,FALSE)*$Q420*_xlfn.IFERROR((VLOOKUP(P420,'Settings'!$E$28:$F$33,2,FALSE)+1),1)</f>
        <v>0.0251636617159611</v>
      </c>
      <c r="X420" s="79">
        <f>VLOOKUP(B420,'Player Data'!$A1:$AE667,12,FALSE)*$Q420*_xlfn.IFERROR((VLOOKUP(P420,'Settings'!$E$28:$F$33,2,FALSE)+1),1)</f>
        <v>0.158301464622514</v>
      </c>
      <c r="Y420" s="79">
        <f>VLOOKUP(B420,'Player Data'!$A1:$AE667,13,FALSE)*$Q420</f>
        <v>0.045328583721599</v>
      </c>
      <c r="Z420" s="79">
        <f>VLOOKUP(B420,'Player Data'!$A1:$AE667,14,FALSE)*$Q420</f>
        <v>0.190839546784784</v>
      </c>
      <c r="AA420" s="79">
        <f>VLOOKUP(B420,'Player Data'!$A1:$AE667,15,FALSE)*$Q420</f>
        <v>107.266089008306</v>
      </c>
      <c r="AB420" s="79">
        <f>VLOOKUP(B420,'Player Data'!$A1:$AE667,16,FALSE)*$Q420</f>
        <v>138.438356152592</v>
      </c>
      <c r="AC420" s="79">
        <f>VLOOKUP(B420,'Player Data'!$A1:$AE667,17,FALSE)*$Q420*_xlfn.IFERROR((VLOOKUP(P420,'Settings'!$E$28:$F$33,2,FALSE)+1),1)</f>
        <v>2.63460531816005</v>
      </c>
      <c r="AD420" s="79">
        <f>VLOOKUP(B420,'Player Data'!$A1:$AE667,18,FALSE)*$Q420</f>
        <v>57.7185757011136</v>
      </c>
      <c r="AE420" s="79">
        <f>VLOOKUP(B420,'Player Data'!$A1:$AE667,19,FALSE)*$Q420*_xlfn.IFERROR((VLOOKUP(P420,'Settings'!$E$28:$F$33,2,FALSE)+1),1)</f>
        <v>0.376043099585104</v>
      </c>
      <c r="AF420" s="79">
        <f>VLOOKUP(B420,'Player Data'!$A1:$AE667,20,FALSE)*$Q420</f>
        <v>0</v>
      </c>
      <c r="AG420" s="79">
        <f>VLOOKUP(B420,'Player Data'!$A1:$AE667,21,FALSE)*$Q420</f>
        <v>0</v>
      </c>
      <c r="AH420" s="81">
        <f>VLOOKUP(B420,'Player Data'!$A1:$AE667,22,FALSE)</f>
        <v>0</v>
      </c>
      <c r="AI420" s="77"/>
      <c r="AJ420" s="89"/>
      <c r="AK420" s="79"/>
      <c r="AL420" s="79"/>
      <c r="AM420" s="79"/>
      <c r="AN420" s="79"/>
      <c r="AO420" s="79"/>
      <c r="AP420" s="79"/>
      <c r="AQ420" s="82"/>
      <c r="AR420" s="83"/>
      <c r="AS420" s="84"/>
    </row>
    <row r="421" ht="21.25" customHeight="1">
      <c r="A421" s="85">
        <f>RANK(K421,K$1:K$665)</f>
        <v>407</v>
      </c>
      <c r="B421" t="s" s="16">
        <v>611</v>
      </c>
      <c r="C421" t="s" s="69">
        <v>127</v>
      </c>
      <c r="D421" t="s" s="70">
        <f>VLOOKUP(B421,'Player Data'!A1:D667,4,FALSE)</f>
        <v>153</v>
      </c>
      <c r="E421" s="95">
        <f>VLOOKUP(B421,'D'!A1:C213,3,FALSE)</f>
        <v>137</v>
      </c>
      <c r="F421" t="s" s="88">
        <f>VLOOKUP(B421,'Player Data'!A1:B667,2,FALSE)</f>
        <v>137</v>
      </c>
      <c r="G421" s="91">
        <f>VLOOKUP(B421,'Player Data'!A1:D667,3,FALSE)</f>
        <v>33</v>
      </c>
      <c r="H421" s="73">
        <f>_xlfn.IFERROR(VLOOKUP(B421,'ADP'!A1:G665,7,FALSE)/1000000,VLOOKUP(B421,'ADP'!A1:G665,7,FALSE))</f>
        <v>4.05</v>
      </c>
      <c r="I421" s="74">
        <f>IF('Settings'!$E$15="POINTS",((R421*Q421)*'Settings'!$B$12)+(S421*'Settings'!$B$2)+(T421*'Settings'!$B$3)+(U421*'Settings'!$B$4)+(V421*'Settings'!$B$5)+(X421*'Settings'!$B$9)+(AA421*'Settings'!$B$6)+(W421*'Settings'!$B$8)+(AB421*'Settings'!$B$7)+(AC421*'Settings'!$B$14)+(AD421*'Settings'!$B$15)+(AE421*'Settings'!$B$16)+(AF421*'Settings'!$B$17)+(AG421*'Settings'!$B$18)+(U421*'Settings'!$B$13)+(Y421*'Settings'!$B$10)+(Z421*'Settings'!$B$11),VLOOKUP(B421,'Standard Deviations'!A1:C666,3,FALSE))</f>
        <v>204.301024773237</v>
      </c>
      <c r="J421" s="75">
        <f>IF(D421="G",I421/AJ421,I421/Q421)</f>
        <v>2.5527257648235</v>
      </c>
      <c r="K421" s="74">
        <f>VLOOKUP(B421,'D'!A1:F213,6,FALSE)</f>
        <v>-127.239183146845</v>
      </c>
      <c r="L421" s="76">
        <f>_xlfn.IFERROR(K421/H421,"N/A")</f>
        <v>-31.4170822584802</v>
      </c>
      <c r="M421" s="109">
        <f>IF('Settings'!$E$9="YAHOO",VLOOKUP(B421,'ADP'!A1:E665,2,FALSE),IF('Settings'!$E$9="ESPN",VLOOKUP(B421,'ADP'!A1:E665,3,FALSE),IF('Settings'!$E$9="FANTRAX",VLOOKUP(B421,'ADP'!A1:E665,4,FALSE),VLOOKUP(B421,'ADP'!A1:E665,5,FALSE))))</f>
        <v>0</v>
      </c>
      <c r="N421" s="79">
        <f>_xlfn.IFERROR(M421-A421,"N/A")</f>
        <v>-407</v>
      </c>
      <c r="O421" s="77"/>
      <c r="P421" t="s" s="78">
        <f>IF('Settings'!$E$27="ON",VLOOKUP(B421,'ADP'!A1:H665,8,FALSE)," ")</f>
        <v>138</v>
      </c>
      <c r="Q421" s="79">
        <f>IF('Settings'!$E$12="YES",VLOOKUP(B421,'Player Data'!A1:E667,5,FALSE),82)</f>
        <v>80.0325</v>
      </c>
      <c r="R421" s="77">
        <f>VLOOKUP(B421,'Player Data'!$A1:$AE667,6,FALSE)</f>
        <v>19.2553396794824</v>
      </c>
      <c r="S421" s="79">
        <f>VLOOKUP(B421,'Player Data'!$A1:$AE667,7,FALSE)*$Q421*_xlfn.IFERROR((VLOOKUP(P421,'Settings'!$E$28:$F$33,2,FALSE)+1),1)</f>
        <v>3.08978786122205</v>
      </c>
      <c r="T421" s="79">
        <f>VLOOKUP(B421,'Player Data'!$A1:$AE667,8,FALSE)*$Q421*_xlfn.IFERROR((VLOOKUP(P421,'Settings'!$E$28:$F$33,2,FALSE)+1),1)</f>
        <v>17.0636248819692</v>
      </c>
      <c r="U421" s="79">
        <f>SUM(S421:T421)</f>
        <v>20.1534127431913</v>
      </c>
      <c r="V421" s="79">
        <f>VLOOKUP(B421,'Player Data'!$A1:$AE667,10,FALSE)*$Q421*_xlfn.IFERROR(((VLOOKUP(P421,'Settings'!$E$28:$F$33,2,FALSE)/2)+1),1)</f>
        <v>79.75824058841251</v>
      </c>
      <c r="W421" s="79">
        <f>VLOOKUP(B421,'Player Data'!$A1:$AE667,11,FALSE)*$Q421*_xlfn.IFERROR((VLOOKUP(P421,'Settings'!$E$28:$F$33,2,FALSE)+1),1)</f>
        <v>0.0211223765821767</v>
      </c>
      <c r="X421" s="79">
        <f>VLOOKUP(B421,'Player Data'!$A1:$AE667,12,FALSE)*$Q421*_xlfn.IFERROR((VLOOKUP(P421,'Settings'!$E$28:$F$33,2,FALSE)+1),1)</f>
        <v>0.148875039940927</v>
      </c>
      <c r="Y421" s="79">
        <f>VLOOKUP(B421,'Player Data'!$A1:$AE667,13,FALSE)*$Q421</f>
        <v>0.021819250326442</v>
      </c>
      <c r="Z421" s="79">
        <f>VLOOKUP(B421,'Player Data'!$A1:$AE667,14,FALSE)*$Q421</f>
        <v>0.326766288032659</v>
      </c>
      <c r="AA421" s="79">
        <f>VLOOKUP(B421,'Player Data'!$A1:$AE667,15,FALSE)*$Q421</f>
        <v>124.056554524342</v>
      </c>
      <c r="AB421" s="79">
        <f>VLOOKUP(B421,'Player Data'!$A1:$AE667,16,FALSE)*$Q421</f>
        <v>88.26646432341489</v>
      </c>
      <c r="AC421" s="79">
        <f>VLOOKUP(B421,'Player Data'!$A1:$AE667,17,FALSE)*$Q421*_xlfn.IFERROR((VLOOKUP(P421,'Settings'!$E$28:$F$33,2,FALSE)+1),1)</f>
        <v>-2.45682687252371</v>
      </c>
      <c r="AD421" s="79">
        <f>VLOOKUP(B421,'Player Data'!$A1:$AE667,18,FALSE)*$Q421</f>
        <v>19.6314833455793</v>
      </c>
      <c r="AE421" s="79">
        <f>VLOOKUP(B421,'Player Data'!$A1:$AE667,19,FALSE)*$Q421*_xlfn.IFERROR((VLOOKUP(P421,'Settings'!$E$28:$F$33,2,FALSE)+1),1)</f>
        <v>0.47973356173179</v>
      </c>
      <c r="AF421" s="79">
        <f>VLOOKUP(B421,'Player Data'!$A1:$AE667,20,FALSE)*$Q421</f>
        <v>0</v>
      </c>
      <c r="AG421" s="79">
        <f>VLOOKUP(B421,'Player Data'!$A1:$AE667,21,FALSE)*$Q421</f>
        <v>0</v>
      </c>
      <c r="AH421" s="81">
        <f>VLOOKUP(B421,'Player Data'!$A1:$AE667,22,FALSE)</f>
        <v>0</v>
      </c>
      <c r="AI421" s="77"/>
      <c r="AJ421" s="79"/>
      <c r="AK421" s="79"/>
      <c r="AL421" s="79"/>
      <c r="AM421" s="79"/>
      <c r="AN421" s="79"/>
      <c r="AO421" s="79"/>
      <c r="AP421" s="79"/>
      <c r="AQ421" s="82"/>
      <c r="AR421" s="83"/>
      <c r="AS421" s="84"/>
    </row>
    <row r="422" ht="21.25" customHeight="1">
      <c r="A422" s="85">
        <f>RANK(K422,K$1:K$665)</f>
        <v>390</v>
      </c>
      <c r="B422" t="s" s="16">
        <v>612</v>
      </c>
      <c r="C422" t="s" s="69">
        <v>127</v>
      </c>
      <c r="D422" t="s" s="70">
        <f>VLOOKUP(B422,'Player Data'!A1:D667,4,FALSE)</f>
        <v>161</v>
      </c>
      <c r="E422" s="99">
        <f>VLOOKUP(B422,'G'!A1:D65,3,FALSE)</f>
        <v>49</v>
      </c>
      <c r="F422" t="s" s="92">
        <f>VLOOKUP(B422,'Player Data'!A1:B667,2,FALSE)</f>
        <v>212</v>
      </c>
      <c r="G422" s="96">
        <f>VLOOKUP(B422,'Player Data'!A1:D667,3,FALSE)</f>
        <v>24</v>
      </c>
      <c r="H422" s="73">
        <f>_xlfn.IFERROR(VLOOKUP(B422,'ADP'!A1:G665,7,FALSE)/1000000,VLOOKUP(B422,'ADP'!A1:G665,7,FALSE))</f>
        <v>0.8375</v>
      </c>
      <c r="I422" s="74">
        <f>IF('Settings'!$E$15="POINTS",(AJ422*'Settings'!$B$29)+(AK422*'Settings'!$B$21)+(AL422*'Settings'!$B$22)+(AN422*'Settings'!$B$24)+(AO422*'Settings'!$B$25)+(AP422*'Settings'!$B$27)+(AM422*'Settings'!$B$23),VLOOKUP(B422,'Standard Deviations'!A1:C666,3,FALSE))</f>
        <v>143.904202485837</v>
      </c>
      <c r="J422" s="75">
        <f>IF(D422="G",I422/AJ422,I422/Q422)</f>
        <v>5.53477701868604</v>
      </c>
      <c r="K422" s="74">
        <f>VLOOKUP(B422,'G'!A1:F65,6,FALSE)</f>
        <v>-123.686812078753</v>
      </c>
      <c r="L422" s="76">
        <f>_xlfn.IFERROR(K422/H422,"N/A")</f>
        <v>-147.685745765675</v>
      </c>
      <c r="M422" s="77">
        <f>IF('Settings'!$E$9="YAHOO",VLOOKUP(B422,'ADP'!A1:E665,2,FALSE),IF('Settings'!$E$9="ESPN",VLOOKUP(B422,'ADP'!A1:E665,3,FALSE),IF('Settings'!$E$9="FANTRAX",VLOOKUP(B422,'ADP'!A1:E665,4,FALSE),VLOOKUP(B422,'ADP'!A1:E665,5,FALSE))))</f>
        <v>0</v>
      </c>
      <c r="N422" s="77">
        <f>_xlfn.IFERROR(M422-A422,"N/A")</f>
        <v>-390</v>
      </c>
      <c r="O422" s="77"/>
      <c r="P422" t="s" s="78">
        <f>IF('Settings'!$E$27="ON",VLOOKUP(B422,'ADP'!A1:H665,8,FALSE)," ")</f>
        <v>138</v>
      </c>
      <c r="Q422" s="79"/>
      <c r="R422" s="77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81"/>
      <c r="AI422" s="77"/>
      <c r="AJ422" s="89">
        <f>VLOOKUP(B422,'Player Data'!$A1:$AE667,24,FALSE)</f>
        <v>26</v>
      </c>
      <c r="AK422" s="79">
        <f>VLOOKUP(B422,'Player Data'!$A1:$AE667,25,FALSE)*$AJ422*_xlfn.IFERROR((VLOOKUP(P422,'Settings'!$E$28:$F$33,2,FALSE)+1),1)</f>
        <v>15.2168519217613</v>
      </c>
      <c r="AL422" s="79">
        <f>AJ422-AK422-AM422</f>
        <v>7.5331480782387</v>
      </c>
      <c r="AM422" s="79">
        <f>VLOOKUP(B422,'Player Data'!$A1:$AE667,27,FALSE)*$AJ422</f>
        <v>3.25</v>
      </c>
      <c r="AN422" s="79">
        <f>VLOOKUP(B422,'Player Data'!$A1:$AE667,28,FALSE)*AJ422</f>
        <v>1.32173935985633</v>
      </c>
      <c r="AO422" s="79">
        <f>VLOOKUP(B422,'Player Data'!$A1:$AE667,29,FALSE)*$AJ422*_xlfn.IFERROR((VLOOKUP(P422,'Settings'!$E$28:$F$33,2,FALSE)/4)+1,1)</f>
        <v>710.109652007176</v>
      </c>
      <c r="AP422" s="79">
        <f>VLOOKUP(B422,'Player Data'!$A1:$AE667,31,FALSE)*$AJ422*(_xlfn.IFERROR(1-(VLOOKUP(P422,'Settings'!$E$28:$F$33,2,FALSE)/4),1))</f>
        <v>74.38348562871199</v>
      </c>
      <c r="AQ422" s="82">
        <f>1-(AP422/(AO422+AP422))</f>
        <v>0.905182745316459</v>
      </c>
      <c r="AR422" s="83">
        <f>AP422/AJ422</f>
        <v>2.860903293412</v>
      </c>
      <c r="AS422" s="84"/>
    </row>
    <row r="423" ht="21.25" customHeight="1">
      <c r="A423" s="85">
        <f>RANK(K423,K$1:K$665)</f>
        <v>427</v>
      </c>
      <c r="B423" t="s" s="16">
        <v>613</v>
      </c>
      <c r="C423" t="s" s="69">
        <v>127</v>
      </c>
      <c r="D423" t="s" s="70">
        <f>VLOOKUP(B423,'Player Data'!A1:D667,4,FALSE)</f>
        <v>145</v>
      </c>
      <c r="E423" s="87">
        <f>VLOOKUP(B423,'RW'!A1:C136,3,FALSE)</f>
        <v>84</v>
      </c>
      <c r="F423" t="s" s="78">
        <f>VLOOKUP(B423,'Player Data'!A1:B667,2,FALSE)</f>
        <v>216</v>
      </c>
      <c r="G423" s="11">
        <f>VLOOKUP(B423,'Player Data'!A1:D667,3,FALSE)</f>
        <v>27</v>
      </c>
      <c r="H423" s="73">
        <f>_xlfn.IFERROR(VLOOKUP(B423,'ADP'!A1:G665,7,FALSE)/1000000,VLOOKUP(B423,'ADP'!A1:G665,7,FALSE))</f>
        <v>3</v>
      </c>
      <c r="I423" s="74">
        <f>IF('Settings'!$E$15="POINTS",((R423*Q423)*'Settings'!$B$12)+(S423*'Settings'!$B$2)+(T423*'Settings'!$B$3)+(U423*'Settings'!$B$4)+(V423*'Settings'!$B$5)+(X423*'Settings'!$B$9)+(AA423*'Settings'!$B$6)+(W423*'Settings'!$B$8)+(AB423*'Settings'!$B$7)+(AC423*'Settings'!$B$14)+(AD423*'Settings'!$B$15)+(AE423*'Settings'!$B$16)+(AF423*'Settings'!$B$17)+(AG423*'Settings'!$B$18)+(Y423*'Settings'!$B$10)+(Z423*'Settings'!$B$11),VLOOKUP(B423,'Standard Deviations'!A1:C666,3,FALSE))</f>
        <v>197.310827194617</v>
      </c>
      <c r="J423" s="75">
        <f>IF(D423="G",I423/AJ423,I423/Q423)</f>
        <v>2.55708183631449</v>
      </c>
      <c r="K423" s="74">
        <f>IF('Settings'!$E$18="C/LW/RW",VLOOKUP(B423,'RW'!A1:F136,6,FALSE),VLOOKUP(B423,'F'!A1:F392,6,FALSE))</f>
        <v>-132.381066886561</v>
      </c>
      <c r="L423" s="76">
        <f>_xlfn.IFERROR(K423/H423,"N/A")</f>
        <v>-44.1270222955203</v>
      </c>
      <c r="M423" s="109">
        <f>IF('Settings'!$E$9="YAHOO",VLOOKUP(B423,'ADP'!A1:E665,2,FALSE),IF('Settings'!$E$9="ESPN",VLOOKUP(B423,'ADP'!A1:E665,3,FALSE),IF('Settings'!$E$9="FANTRAX",VLOOKUP(B423,'ADP'!A1:E665,4,FALSE),VLOOKUP(B423,'ADP'!A1:E665,5,FALSE))))</f>
        <v>0</v>
      </c>
      <c r="N423" s="79">
        <f>_xlfn.IFERROR(M423-A423,"N/A")</f>
        <v>-427</v>
      </c>
      <c r="O423" s="77"/>
      <c r="P423" t="s" s="78">
        <f>IF('Settings'!$E$27="ON",VLOOKUP(B423,'ADP'!A1:H665,8,FALSE)," ")</f>
        <v>138</v>
      </c>
      <c r="Q423" s="79">
        <f>IF('Settings'!$E$12="YES",VLOOKUP(B423,'Player Data'!A1:E667,5,FALSE),82)</f>
        <v>77.16249999999999</v>
      </c>
      <c r="R423" s="77">
        <f>VLOOKUP(B423,'Player Data'!$A1:$AE667,6,FALSE)</f>
        <v>14.653999081503</v>
      </c>
      <c r="S423" s="79">
        <f>VLOOKUP(B423,'Player Data'!$A1:$AE667,7,FALSE)*$Q423*_xlfn.IFERROR((VLOOKUP(P423,'Settings'!$E$28:$F$33,2,FALSE)+1),1)</f>
        <v>13.5453163998382</v>
      </c>
      <c r="T423" s="79">
        <f>VLOOKUP(B423,'Player Data'!$A1:$AE667,8,FALSE)*$Q423*_xlfn.IFERROR((VLOOKUP(P423,'Settings'!$E$28:$F$33,2,FALSE)+1),1)</f>
        <v>22.1275087012815</v>
      </c>
      <c r="U423" s="79">
        <f>SUM(S423:T423)</f>
        <v>35.6728251011197</v>
      </c>
      <c r="V423" s="79">
        <f>VLOOKUP(B423,'Player Data'!$A1:$AE667,10,FALSE)*$Q423*_xlfn.IFERROR(((VLOOKUP(P423,'Settings'!$E$28:$F$33,2,FALSE)/2)+1),1)</f>
        <v>116.534047353565</v>
      </c>
      <c r="W423" s="79">
        <f>VLOOKUP(B423,'Player Data'!$A1:$AE667,11,FALSE)*$Q423*_xlfn.IFERROR((VLOOKUP(P423,'Settings'!$E$28:$F$33,2,FALSE)+1),1)</f>
        <v>1.19241500256683</v>
      </c>
      <c r="X423" s="79">
        <f>VLOOKUP(B423,'Player Data'!$A1:$AE667,12,FALSE)*$Q423*_xlfn.IFERROR((VLOOKUP(P423,'Settings'!$E$28:$F$33,2,FALSE)+1),1)</f>
        <v>3.99649612608008</v>
      </c>
      <c r="Y423" s="79">
        <f>VLOOKUP(B423,'Player Data'!$A1:$AE667,13,FALSE)*$Q423</f>
        <v>0.533118096437813</v>
      </c>
      <c r="Z423" s="79">
        <f>VLOOKUP(B423,'Player Data'!$A1:$AE667,14,FALSE)*$Q423</f>
        <v>1.01409069884874</v>
      </c>
      <c r="AA423" s="79">
        <f>VLOOKUP(B423,'Player Data'!$A1:$AE667,15,FALSE)*$Q423</f>
        <v>39.5711125370592</v>
      </c>
      <c r="AB423" s="79">
        <f>VLOOKUP(B423,'Player Data'!$A1:$AE667,16,FALSE)*$Q423</f>
        <v>84.3619886150163</v>
      </c>
      <c r="AC423" s="79">
        <f>VLOOKUP(B423,'Player Data'!$A1:$AE667,17,FALSE)*$Q423*_xlfn.IFERROR((VLOOKUP(P423,'Settings'!$E$28:$F$33,2,FALSE)+1),1)</f>
        <v>2.6541174070432</v>
      </c>
      <c r="AD423" s="79">
        <f>VLOOKUP(B423,'Player Data'!$A1:$AE667,18,FALSE)*$Q423</f>
        <v>32.0262586842565</v>
      </c>
      <c r="AE423" s="79">
        <f>VLOOKUP(B423,'Player Data'!$A1:$AE667,19,FALSE)*$Q423*_xlfn.IFERROR((VLOOKUP(P423,'Settings'!$E$28:$F$33,2,FALSE)+1),1)</f>
        <v>2.06026008378647</v>
      </c>
      <c r="AF423" s="79">
        <f>VLOOKUP(B423,'Player Data'!$A1:$AE667,20,FALSE)*$Q423</f>
        <v>386.356583333479</v>
      </c>
      <c r="AG423" s="79">
        <f>VLOOKUP(B423,'Player Data'!$A1:$AE667,21,FALSE)*$Q423</f>
        <v>422.792141733772</v>
      </c>
      <c r="AH423" s="81">
        <f>VLOOKUP(B423,'Player Data'!$A1:$AE667,22,FALSE)</f>
        <v>0.477485252542872</v>
      </c>
      <c r="AI423" s="77"/>
      <c r="AJ423" s="79"/>
      <c r="AK423" s="79"/>
      <c r="AL423" s="79"/>
      <c r="AM423" s="79"/>
      <c r="AN423" s="79"/>
      <c r="AO423" s="79"/>
      <c r="AP423" s="79"/>
      <c r="AQ423" s="82"/>
      <c r="AR423" s="83"/>
      <c r="AS423" s="84"/>
    </row>
    <row r="424" ht="21.25" customHeight="1">
      <c r="A424" s="85">
        <f>RANK(K424,K$1:K$665)</f>
        <v>429</v>
      </c>
      <c r="B424" t="s" s="16">
        <v>614</v>
      </c>
      <c r="C424" t="s" s="69">
        <v>127</v>
      </c>
      <c r="D424" t="s" s="70">
        <f>VLOOKUP(B424,'Player Data'!A1:D667,4,FALSE)</f>
        <v>140</v>
      </c>
      <c r="E424" s="90">
        <f>VLOOKUP(B424,'RW'!A1:F136,3,FALSE)</f>
        <v>85</v>
      </c>
      <c r="F424" t="s" s="104">
        <f>VLOOKUP(B424,'Player Data'!A1:B667,2,FALSE)</f>
        <v>271</v>
      </c>
      <c r="G424" s="11">
        <f>VLOOKUP(B424,'Player Data'!A1:D667,3,FALSE)</f>
        <v>27</v>
      </c>
      <c r="H424" s="73">
        <f>_xlfn.IFERROR(VLOOKUP(B424,'ADP'!A1:G665,7,FALSE)/1000000,VLOOKUP(B424,'ADP'!A1:G665,7,FALSE))</f>
        <v>2.95</v>
      </c>
      <c r="I424" s="74">
        <f>IF('Settings'!$E$15="POINTS",((R424*Q424)*'Settings'!$B$12)+(S424*'Settings'!$B$2)+(T424*'Settings'!$B$3)+(U424*'Settings'!$B$4)+(V424*'Settings'!$B$5)+(X424*'Settings'!$B$9)+(AA424*'Settings'!$B$6)+(W424*'Settings'!$B$8)+(AB424*'Settings'!$B$7)+(AC424*'Settings'!$B$14)+(AD424*'Settings'!$B$15)+(AE424*'Settings'!$B$16)+(AF424*'Settings'!$B$17)+(AG424*'Settings'!$B$18)+(Y424*'Settings'!$B$10)+(Z424*'Settings'!$B$11),VLOOKUP(B424,'Standard Deviations'!A1:C666,3,FALSE))</f>
        <v>197.119833723382</v>
      </c>
      <c r="J424" s="75">
        <f>IF(D424="G",I424/AJ424,I424/Q424)</f>
        <v>2.61501504010854</v>
      </c>
      <c r="K424" s="74">
        <f>IF('Settings'!$E$18="C/LW/RW",VLOOKUP(B424,'RW'!A1:F136,6,FALSE),VLOOKUP(B424,'F'!A1:F392,6,FALSE))</f>
        <v>-132.572060357796</v>
      </c>
      <c r="L424" s="76">
        <f>_xlfn.IFERROR(K424/H424,"N/A")</f>
        <v>-44.939681477219</v>
      </c>
      <c r="M424" s="109">
        <f>IF('Settings'!$E$9="YAHOO",VLOOKUP(B424,'ADP'!A1:E665,2,FALSE),IF('Settings'!$E$9="ESPN",VLOOKUP(B424,'ADP'!A1:E665,3,FALSE),IF('Settings'!$E$9="FANTRAX",VLOOKUP(B424,'ADP'!A1:E665,4,FALSE),VLOOKUP(B424,'ADP'!A1:E665,5,FALSE))))</f>
        <v>0</v>
      </c>
      <c r="N424" s="79">
        <f>_xlfn.IFERROR(M424-A424,"N/A")</f>
        <v>-429</v>
      </c>
      <c r="O424" s="77"/>
      <c r="P424" t="s" s="78">
        <f>IF('Settings'!$E$27="ON",VLOOKUP(B424,'ADP'!A1:H665,8,FALSE)," ")</f>
        <v>138</v>
      </c>
      <c r="Q424" s="79">
        <f>IF('Settings'!$E$12="YES",VLOOKUP(B424,'Player Data'!A1:E667,5,FALSE),82)</f>
        <v>75.38</v>
      </c>
      <c r="R424" s="108">
        <f>VLOOKUP(B424,'Player Data'!$A1:$AE667,6,FALSE)</f>
        <v>15.3148326965165</v>
      </c>
      <c r="S424" s="79">
        <f>VLOOKUP(B424,'Player Data'!$A1:$AE667,7,FALSE)*$Q424*_xlfn.IFERROR((VLOOKUP(P424,'Settings'!$E$28:$F$33,2,FALSE)+1),1)</f>
        <v>9.328008644771661</v>
      </c>
      <c r="T424" s="79">
        <f>VLOOKUP(B424,'Player Data'!$A1:$AE667,8,FALSE)*$Q424*_xlfn.IFERROR((VLOOKUP(P424,'Settings'!$E$28:$F$33,2,FALSE)+1),1)</f>
        <v>19.9394238035624</v>
      </c>
      <c r="U424" s="79">
        <f>SUM(S424:T424)</f>
        <v>29.2674324483341</v>
      </c>
      <c r="V424" s="79">
        <f>VLOOKUP(B424,'Player Data'!$A1:$AE667,10,FALSE)*$Q424*_xlfn.IFERROR(((VLOOKUP(P424,'Settings'!$E$28:$F$33,2,FALSE)/2)+1),1)</f>
        <v>116.708834976603</v>
      </c>
      <c r="W424" s="79">
        <f>VLOOKUP(B424,'Player Data'!$A1:$AE667,11,FALSE)*$Q424*_xlfn.IFERROR((VLOOKUP(P424,'Settings'!$E$28:$F$33,2,FALSE)+1),1)</f>
        <v>0.459221238273288</v>
      </c>
      <c r="X424" s="79">
        <f>VLOOKUP(B424,'Player Data'!$A1:$AE667,12,FALSE)*$Q424*_xlfn.IFERROR((VLOOKUP(P424,'Settings'!$E$28:$F$33,2,FALSE)+1),1)</f>
        <v>1.18313760610204</v>
      </c>
      <c r="Y424" s="79">
        <f>VLOOKUP(B424,'Player Data'!$A1:$AE667,13,FALSE)*$Q424</f>
        <v>1.0252895819762</v>
      </c>
      <c r="Z424" s="79">
        <f>VLOOKUP(B424,'Player Data'!$A1:$AE667,14,FALSE)*$Q424</f>
        <v>2.08345585404892</v>
      </c>
      <c r="AA424" s="79">
        <f>VLOOKUP(B424,'Player Data'!$A1:$AE667,15,FALSE)*$Q424</f>
        <v>45.2422906293083</v>
      </c>
      <c r="AB424" s="79">
        <f>VLOOKUP(B424,'Player Data'!$A1:$AE667,16,FALSE)*$Q424</f>
        <v>103.629599912997</v>
      </c>
      <c r="AC424" s="79">
        <f>VLOOKUP(B424,'Player Data'!$A1:$AE667,17,FALSE)*$Q424*_xlfn.IFERROR((VLOOKUP(P424,'Settings'!$E$28:$F$33,2,FALSE)+1),1)</f>
        <v>-1.2005431742611</v>
      </c>
      <c r="AD424" s="79">
        <f>VLOOKUP(B424,'Player Data'!$A1:$AE667,18,FALSE)*$Q424</f>
        <v>36.7268314838059</v>
      </c>
      <c r="AE424" s="79">
        <f>VLOOKUP(B424,'Player Data'!$A1:$AE667,19,FALSE)*$Q424*_xlfn.IFERROR((VLOOKUP(P424,'Settings'!$E$28:$F$33,2,FALSE)+1),1)</f>
        <v>1.12303714349536</v>
      </c>
      <c r="AF424" s="79">
        <f>VLOOKUP(B424,'Player Data'!$A1:$AE667,20,FALSE)*$Q424</f>
        <v>20.459652815995</v>
      </c>
      <c r="AG424" s="79">
        <f>VLOOKUP(B424,'Player Data'!$A1:$AE667,21,FALSE)*$Q424</f>
        <v>37.4620335327545</v>
      </c>
      <c r="AH424" s="81">
        <f>VLOOKUP(B424,'Player Data'!$A1:$AE667,22,FALSE)</f>
        <v>0.353229577826971</v>
      </c>
      <c r="AI424" s="77"/>
      <c r="AJ424" s="79"/>
      <c r="AK424" s="79"/>
      <c r="AL424" s="79"/>
      <c r="AM424" s="79"/>
      <c r="AN424" s="79"/>
      <c r="AO424" s="79"/>
      <c r="AP424" s="79"/>
      <c r="AQ424" s="82"/>
      <c r="AR424" s="83"/>
      <c r="AS424" s="84"/>
    </row>
    <row r="425" ht="21.25" customHeight="1">
      <c r="A425" s="85">
        <f>RANK(K425,K$1:K$665)</f>
        <v>438</v>
      </c>
      <c r="B425" t="s" s="16">
        <v>615</v>
      </c>
      <c r="C425" t="s" s="69">
        <v>127</v>
      </c>
      <c r="D425" t="s" s="70">
        <f>VLOOKUP(B425,'Player Data'!A1:D667,4,FALSE)</f>
        <v>136</v>
      </c>
      <c r="E425" s="87">
        <f>VLOOKUP(B425,'LW'!A1:C152,3,FALSE)</f>
        <v>107</v>
      </c>
      <c r="F425" t="s" s="86">
        <f>VLOOKUP(B425,'Player Data'!A1:B667,2,FALSE)</f>
        <v>165</v>
      </c>
      <c r="G425" s="91">
        <f>VLOOKUP(B425,'Player Data'!A1:D667,3,FALSE)</f>
        <v>30</v>
      </c>
      <c r="H425" s="73">
        <f>_xlfn.IFERROR(VLOOKUP(B425,'ADP'!A1:G665,7,FALSE)/1000000,VLOOKUP(B425,'ADP'!A1:G665,7,FALSE))</f>
        <v>2.857</v>
      </c>
      <c r="I425" s="74">
        <f>IF('Settings'!$E$15="POINTS",((R425*Q425)*'Settings'!$B$12)+(S425*'Settings'!$B$2)+(T425*'Settings'!$B$3)+(U425*'Settings'!$B$4)+(V425*'Settings'!$B$5)+(X425*'Settings'!$B$9)+(AA425*'Settings'!$B$6)+(W425*'Settings'!$B$8)+(AB425*'Settings'!$B$7)+(AC425*'Settings'!$B$14)+(AD425*'Settings'!$B$15)+(AE425*'Settings'!$B$16)+(AF425*'Settings'!$B$17)+(AG425*'Settings'!$B$18)+(Y425*'Settings'!$B$10)+(Z425*'Settings'!$B$11),VLOOKUP(B425,'Standard Deviations'!A1:C666,3,FALSE))</f>
        <v>196.907094258462</v>
      </c>
      <c r="J425" s="75">
        <f>IF(D425="G",I425/AJ425,I425/Q425)</f>
        <v>2.41448262479338</v>
      </c>
      <c r="K425" s="74">
        <f>IF('Settings'!$E$18="C/LW/RW",VLOOKUP(B425,'LW'!A1:F152,6,FALSE),VLOOKUP(B425,'F'!A1:F392,6,FALSE))</f>
        <v>-134.813017507750</v>
      </c>
      <c r="L425" s="76">
        <f>_xlfn.IFERROR(K425/H425,"N/A")</f>
        <v>-47.1869154734862</v>
      </c>
      <c r="M425" s="109">
        <f>IF('Settings'!$E$9="YAHOO",VLOOKUP(B425,'ADP'!A1:E665,2,FALSE),IF('Settings'!$E$9="ESPN",VLOOKUP(B425,'ADP'!A1:E665,3,FALSE),IF('Settings'!$E$9="FANTRAX",VLOOKUP(B425,'ADP'!A1:E665,4,FALSE),VLOOKUP(B425,'ADP'!A1:E665,5,FALSE))))</f>
        <v>0</v>
      </c>
      <c r="N425" s="79">
        <f>_xlfn.IFERROR(M425-A425,"N/A")</f>
        <v>-438</v>
      </c>
      <c r="O425" s="77"/>
      <c r="P425" t="s" s="78">
        <f>IF('Settings'!$E$27="ON",VLOOKUP(B425,'ADP'!A1:H665,8,FALSE)," ")</f>
        <v>138</v>
      </c>
      <c r="Q425" s="79">
        <f>IF('Settings'!$E$12="YES",VLOOKUP(B425,'Player Data'!A1:E667,5,FALSE),82)</f>
        <v>81.55249999999999</v>
      </c>
      <c r="R425" s="108">
        <f>VLOOKUP(B425,'Player Data'!$A1:$AE667,6,FALSE)</f>
        <v>13.9944978537822</v>
      </c>
      <c r="S425" s="79">
        <f>VLOOKUP(B425,'Player Data'!$A1:$AE667,7,FALSE)*$Q425*_xlfn.IFERROR((VLOOKUP(P425,'Settings'!$E$28:$F$33,2,FALSE)+1),1)</f>
        <v>8.636245278708801</v>
      </c>
      <c r="T425" s="79">
        <f>VLOOKUP(B425,'Player Data'!$A1:$AE667,8,FALSE)*$Q425*_xlfn.IFERROR((VLOOKUP(P425,'Settings'!$E$28:$F$33,2,FALSE)+1),1)</f>
        <v>13.7140378901492</v>
      </c>
      <c r="U425" s="79">
        <f>SUM(S425:T425)</f>
        <v>22.350283168858</v>
      </c>
      <c r="V425" s="79">
        <f>VLOOKUP(B425,'Player Data'!$A1:$AE667,10,FALSE)*$Q425*_xlfn.IFERROR(((VLOOKUP(P425,'Settings'!$E$28:$F$33,2,FALSE)/2)+1),1)</f>
        <v>91.6407852544593</v>
      </c>
      <c r="W425" s="79">
        <f>VLOOKUP(B425,'Player Data'!$A1:$AE667,11,FALSE)*$Q425*_xlfn.IFERROR((VLOOKUP(P425,'Settings'!$E$28:$F$33,2,FALSE)+1),1)</f>
        <v>0.56855025766405</v>
      </c>
      <c r="X425" s="79">
        <f>VLOOKUP(B425,'Player Data'!$A1:$AE667,12,FALSE)*$Q425*_xlfn.IFERROR((VLOOKUP(P425,'Settings'!$E$28:$F$33,2,FALSE)+1),1)</f>
        <v>1.59648239936057</v>
      </c>
      <c r="Y425" s="79">
        <f>VLOOKUP(B425,'Player Data'!$A1:$AE667,13,FALSE)*$Q425</f>
        <v>1.22936591435691</v>
      </c>
      <c r="Z425" s="79">
        <f>VLOOKUP(B425,'Player Data'!$A1:$AE667,14,FALSE)*$Q425</f>
        <v>1.67857557728258</v>
      </c>
      <c r="AA425" s="79">
        <f>VLOOKUP(B425,'Player Data'!$A1:$AE667,15,FALSE)*$Q425</f>
        <v>53.9332456513938</v>
      </c>
      <c r="AB425" s="79">
        <f>VLOOKUP(B425,'Player Data'!$A1:$AE667,16,FALSE)*$Q425</f>
        <v>126.512934604628</v>
      </c>
      <c r="AC425" s="79">
        <f>VLOOKUP(B425,'Player Data'!$A1:$AE667,17,FALSE)*$Q425*_xlfn.IFERROR((VLOOKUP(P425,'Settings'!$E$28:$F$33,2,FALSE)+1),1)</f>
        <v>0.930687469716872</v>
      </c>
      <c r="AD425" s="79">
        <f>VLOOKUP(B425,'Player Data'!$A1:$AE667,18,FALSE)*$Q425</f>
        <v>27.2430805681472</v>
      </c>
      <c r="AE425" s="79">
        <f>VLOOKUP(B425,'Player Data'!$A1:$AE667,19,FALSE)*$Q425*_xlfn.IFERROR((VLOOKUP(P425,'Settings'!$E$28:$F$33,2,FALSE)+1),1)</f>
        <v>1.22283032342562</v>
      </c>
      <c r="AF425" s="79">
        <f>VLOOKUP(B425,'Player Data'!$A1:$AE667,20,FALSE)*$Q425</f>
        <v>545.431961062288</v>
      </c>
      <c r="AG425" s="79">
        <f>VLOOKUP(B425,'Player Data'!$A1:$AE667,21,FALSE)*$Q425</f>
        <v>472.475536629242</v>
      </c>
      <c r="AH425" s="81">
        <f>VLOOKUP(B425,'Player Data'!$A1:$AE667,22,FALSE)</f>
        <v>0.535836470700187</v>
      </c>
      <c r="AI425" s="77"/>
      <c r="AJ425" s="89"/>
      <c r="AK425" s="79"/>
      <c r="AL425" s="79"/>
      <c r="AM425" s="79"/>
      <c r="AN425" s="79"/>
      <c r="AO425" s="79"/>
      <c r="AP425" s="79"/>
      <c r="AQ425" s="82"/>
      <c r="AR425" s="83"/>
      <c r="AS425" s="93"/>
    </row>
    <row r="426" ht="21.25" customHeight="1">
      <c r="A426" s="85">
        <f>RANK(K426,K$1:K$665)</f>
        <v>411</v>
      </c>
      <c r="B426" t="s" s="16">
        <v>616</v>
      </c>
      <c r="C426" t="s" s="69">
        <v>127</v>
      </c>
      <c r="D426" t="s" s="70">
        <f>VLOOKUP(B426,'Player Data'!A1:D667,4,FALSE)</f>
        <v>153</v>
      </c>
      <c r="E426" s="95">
        <f>VLOOKUP(B426,'D'!A1:C213,3,FALSE)</f>
        <v>138</v>
      </c>
      <c r="F426" t="s" s="78">
        <f>VLOOKUP(B426,'Player Data'!A1:B667,2,FALSE)</f>
        <v>194</v>
      </c>
      <c r="G426" s="11">
        <f>VLOOKUP(B426,'Player Data'!A1:D667,3,FALSE)</f>
        <v>27</v>
      </c>
      <c r="H426" s="73">
        <f>_xlfn.IFERROR(VLOOKUP(B426,'ADP'!A1:G665,7,FALSE)/1000000,VLOOKUP(B426,'ADP'!A1:G665,7,FALSE))</f>
        <v>3.4</v>
      </c>
      <c r="I426" s="74">
        <f>IF('Settings'!$E$15="POINTS",((R426*Q426)*'Settings'!$B$12)+(S426*'Settings'!$B$2)+(T426*'Settings'!$B$3)+(U426*'Settings'!$B$4)+(V426*'Settings'!$B$5)+(X426*'Settings'!$B$9)+(AA426*'Settings'!$B$6)+(W426*'Settings'!$B$8)+(AB426*'Settings'!$B$7)+(AC426*'Settings'!$B$14)+(AD426*'Settings'!$B$15)+(AE426*'Settings'!$B$16)+(AF426*'Settings'!$B$17)+(AG426*'Settings'!$B$18)+(U426*'Settings'!$B$13)+(Y426*'Settings'!$B$10)+(Z426*'Settings'!$B$11),VLOOKUP(B426,'Standard Deviations'!A1:C666,3,FALSE))</f>
        <v>203.738052233243</v>
      </c>
      <c r="J426" s="75">
        <f>IF(D426="G",I426/AJ426,I426/Q426)</f>
        <v>2.67662564105814</v>
      </c>
      <c r="K426" s="74">
        <f>VLOOKUP(B426,'D'!A1:F213,6,FALSE)</f>
        <v>-127.802155686839</v>
      </c>
      <c r="L426" s="76">
        <f>_xlfn.IFERROR(K426/H426,"N/A")</f>
        <v>-37.5888693196585</v>
      </c>
      <c r="M426" s="109">
        <f>IF('Settings'!$E$9="YAHOO",VLOOKUP(B426,'ADP'!A1:E665,2,FALSE),IF('Settings'!$E$9="ESPN",VLOOKUP(B426,'ADP'!A1:E665,3,FALSE),IF('Settings'!$E$9="FANTRAX",VLOOKUP(B426,'ADP'!A1:E665,4,FALSE),VLOOKUP(B426,'ADP'!A1:E665,5,FALSE))))</f>
        <v>0</v>
      </c>
      <c r="N426" s="79">
        <f>_xlfn.IFERROR(M426-A426,"N/A")</f>
        <v>-411</v>
      </c>
      <c r="O426" s="77"/>
      <c r="P426" t="s" s="78">
        <f>IF('Settings'!$E$27="ON",VLOOKUP(B426,'ADP'!A1:H665,8,FALSE)," ")</f>
        <v>138</v>
      </c>
      <c r="Q426" s="79">
        <f>IF('Settings'!$E$12="YES",VLOOKUP(B426,'Player Data'!A1:E667,5,FALSE),82)</f>
        <v>76.11750000000001</v>
      </c>
      <c r="R426" s="77">
        <f>VLOOKUP(B426,'Player Data'!$A1:$AE667,6,FALSE)</f>
        <v>18.6329951609627</v>
      </c>
      <c r="S426" s="79">
        <f>VLOOKUP(B426,'Player Data'!$A1:$AE667,7,FALSE)*$Q426*_xlfn.IFERROR((VLOOKUP(P426,'Settings'!$E$28:$F$33,2,FALSE)+1),1)</f>
        <v>2.17737642615887</v>
      </c>
      <c r="T426" s="79">
        <f>VLOOKUP(B426,'Player Data'!$A1:$AE667,8,FALSE)*$Q426*_xlfn.IFERROR((VLOOKUP(P426,'Settings'!$E$28:$F$33,2,FALSE)+1),1)</f>
        <v>13.4049465239916</v>
      </c>
      <c r="U426" s="79">
        <f>SUM(S426:T426)</f>
        <v>15.5823229501505</v>
      </c>
      <c r="V426" s="79">
        <f>VLOOKUP(B426,'Player Data'!$A1:$AE667,10,FALSE)*$Q426*_xlfn.IFERROR(((VLOOKUP(P426,'Settings'!$E$28:$F$33,2,FALSE)/2)+1),1)</f>
        <v>80.076499797298</v>
      </c>
      <c r="W426" s="79">
        <f>VLOOKUP(B426,'Player Data'!$A1:$AE667,11,FALSE)*$Q426*_xlfn.IFERROR((VLOOKUP(P426,'Settings'!$E$28:$F$33,2,FALSE)+1),1)</f>
        <v>0.0706723050303408</v>
      </c>
      <c r="X426" s="79">
        <f>VLOOKUP(B426,'Player Data'!$A1:$AE667,12,FALSE)*$Q426*_xlfn.IFERROR((VLOOKUP(P426,'Settings'!$E$28:$F$33,2,FALSE)+1),1)</f>
        <v>0.199546108337756</v>
      </c>
      <c r="Y426" s="79">
        <f>VLOOKUP(B426,'Player Data'!$A1:$AE667,13,FALSE)*$Q426</f>
        <v>0.0294079866689284</v>
      </c>
      <c r="Z426" s="79">
        <f>VLOOKUP(B426,'Player Data'!$A1:$AE667,14,FALSE)*$Q426</f>
        <v>0.2966381099282</v>
      </c>
      <c r="AA426" s="79">
        <f>VLOOKUP(B426,'Player Data'!$A1:$AE667,15,FALSE)*$Q426</f>
        <v>126.432436268514</v>
      </c>
      <c r="AB426" s="79">
        <f>VLOOKUP(B426,'Player Data'!$A1:$AE667,16,FALSE)*$Q426</f>
        <v>104.320138271555</v>
      </c>
      <c r="AC426" s="79">
        <f>VLOOKUP(B426,'Player Data'!$A1:$AE667,17,FALSE)*$Q426*_xlfn.IFERROR((VLOOKUP(P426,'Settings'!$E$28:$F$33,2,FALSE)+1),1)</f>
        <v>2.19025585528597</v>
      </c>
      <c r="AD426" s="79">
        <f>VLOOKUP(B426,'Player Data'!$A1:$AE667,18,FALSE)*$Q426</f>
        <v>34.8558128677808</v>
      </c>
      <c r="AE426" s="79">
        <f>VLOOKUP(B426,'Player Data'!$A1:$AE667,19,FALSE)*$Q426*_xlfn.IFERROR((VLOOKUP(P426,'Settings'!$E$28:$F$33,2,FALSE)+1),1)</f>
        <v>0.328514544766509</v>
      </c>
      <c r="AF426" s="79">
        <f>VLOOKUP(B426,'Player Data'!$A1:$AE667,20,FALSE)*$Q426</f>
        <v>0</v>
      </c>
      <c r="AG426" s="79">
        <f>VLOOKUP(B426,'Player Data'!$A1:$AE667,21,FALSE)*$Q426</f>
        <v>0</v>
      </c>
      <c r="AH426" s="81">
        <f>VLOOKUP(B426,'Player Data'!$A1:$AE667,22,FALSE)</f>
        <v>0</v>
      </c>
      <c r="AI426" s="77"/>
      <c r="AJ426" s="79"/>
      <c r="AK426" s="79"/>
      <c r="AL426" s="79"/>
      <c r="AM426" s="79"/>
      <c r="AN426" s="79"/>
      <c r="AO426" s="79"/>
      <c r="AP426" s="79"/>
      <c r="AQ426" s="82"/>
      <c r="AR426" s="83"/>
      <c r="AS426" s="84"/>
    </row>
    <row r="427" ht="21.25" customHeight="1">
      <c r="A427" s="85">
        <f>RANK(K427,K$1:K$665)</f>
        <v>431</v>
      </c>
      <c r="B427" t="s" s="16">
        <v>617</v>
      </c>
      <c r="C427" t="s" s="69">
        <v>127</v>
      </c>
      <c r="D427" t="s" s="70">
        <f>VLOOKUP(B427,'Player Data'!A1:D667,4,FALSE)</f>
        <v>140</v>
      </c>
      <c r="E427" s="90">
        <f>VLOOKUP(B427,'RW'!A1:F136,3,FALSE)</f>
        <v>86</v>
      </c>
      <c r="F427" t="s" s="100">
        <f>VLOOKUP(B427,'Player Data'!A1:B667,2,FALSE)</f>
        <v>172</v>
      </c>
      <c r="G427" s="96">
        <f>VLOOKUP(B427,'Player Data'!A1:D667,3,FALSE)</f>
        <v>20</v>
      </c>
      <c r="H427" s="73">
        <f>_xlfn.IFERROR(VLOOKUP(B427,'ADP'!A1:G665,7,FALSE)/1000000,VLOOKUP(B427,'ADP'!A1:G665,7,FALSE))</f>
        <v>0.95</v>
      </c>
      <c r="I427" s="74">
        <f>IF('Settings'!$E$15="POINTS",((R427*Q427)*'Settings'!$B$12)+(S427*'Settings'!$B$2)+(T427*'Settings'!$B$3)+(U427*'Settings'!$B$4)+(V427*'Settings'!$B$5)+(X427*'Settings'!$B$9)+(AA427*'Settings'!$B$6)+(W427*'Settings'!$B$8)+(AB427*'Settings'!$B$7)+(AC427*'Settings'!$B$14)+(AD427*'Settings'!$B$15)+(AE427*'Settings'!$B$16)+(AF427*'Settings'!$B$17)+(AG427*'Settings'!$B$18)+(Y427*'Settings'!$B$10)+(Z427*'Settings'!$B$11),VLOOKUP(B427,'Standard Deviations'!A1:C666,3,FALSE))</f>
        <v>196.540840439380</v>
      </c>
      <c r="J427" s="75">
        <f>IF(D427="G",I427/AJ427,I427/Q427)</f>
        <v>2.62054453919173</v>
      </c>
      <c r="K427" s="74">
        <f>IF('Settings'!$E$18="C/LW/RW",VLOOKUP(B427,'RW'!A1:F136,6,FALSE),VLOOKUP(B427,'F'!A1:F392,6,FALSE))</f>
        <v>-133.151053641798</v>
      </c>
      <c r="L427" s="76">
        <f>_xlfn.IFERROR(K427/H427,"N/A")</f>
        <v>-140.159003833472</v>
      </c>
      <c r="M427" s="77">
        <f>IF('Settings'!$E$9="YAHOO",VLOOKUP(B427,'ADP'!A1:E665,2,FALSE),IF('Settings'!$E$9="ESPN",VLOOKUP(B427,'ADP'!A1:E665,3,FALSE),IF('Settings'!$E$9="FANTRAX",VLOOKUP(B427,'ADP'!A1:E665,4,FALSE),VLOOKUP(B427,'ADP'!A1:E665,5,FALSE))))</f>
        <v>0</v>
      </c>
      <c r="N427" s="77">
        <f>_xlfn.IFERROR(M427-A427,"N/A")</f>
        <v>-431</v>
      </c>
      <c r="O427" s="77"/>
      <c r="P427" s="111">
        <f>IF('Settings'!$E$27="ON",VLOOKUP(B427,'ADP'!A1:H665,8,FALSE)," ")</f>
        <v>0</v>
      </c>
      <c r="Q427" s="79">
        <f>IF('Settings'!$E$12="YES",VLOOKUP(B427,'Player Data'!A1:E667,5,FALSE),82)</f>
        <v>75</v>
      </c>
      <c r="R427" s="77">
        <f>VLOOKUP(B427,'Player Data'!$A1:$AE667,6,FALSE)</f>
        <v>15</v>
      </c>
      <c r="S427" s="79">
        <f>VLOOKUP(B427,'Player Data'!$A1:$AE667,7,FALSE)*$Q427*_xlfn.IFERROR((VLOOKUP(P427,'Settings'!$E$28:$F$33,2,FALSE)+1),1)</f>
        <v>13.4347125861842</v>
      </c>
      <c r="T427" s="79">
        <f>VLOOKUP(B427,'Player Data'!$A1:$AE667,8,FALSE)*$Q427*_xlfn.IFERROR((VLOOKUP(P427,'Settings'!$E$28:$F$33,2,FALSE)+1),1)</f>
        <v>22.762841811620</v>
      </c>
      <c r="U427" s="79">
        <f>SUM(S427:T427)</f>
        <v>36.1975543978042</v>
      </c>
      <c r="V427" s="79">
        <f>VLOOKUP(B427,'Player Data'!$A1:$AE667,10,FALSE)*$Q427*_xlfn.IFERROR(((VLOOKUP(P427,'Settings'!$E$28:$F$33,2,FALSE)/2)+1),1)</f>
        <v>120.765100374578</v>
      </c>
      <c r="W427" s="79">
        <f>VLOOKUP(B427,'Player Data'!$A1:$AE667,11,FALSE)*$Q427*_xlfn.IFERROR((VLOOKUP(P427,'Settings'!$E$28:$F$33,2,FALSE)+1),1)</f>
        <v>2.99762151130954</v>
      </c>
      <c r="X427" s="79">
        <f>VLOOKUP(B427,'Player Data'!$A1:$AE667,12,FALSE)*$Q427*_xlfn.IFERROR((VLOOKUP(P427,'Settings'!$E$28:$F$33,2,FALSE)+1),1)</f>
        <v>8.076582734731501</v>
      </c>
      <c r="Y427" s="79">
        <f>VLOOKUP(B427,'Player Data'!$A1:$AE667,13,FALSE)*$Q427</f>
        <v>0</v>
      </c>
      <c r="Z427" s="79">
        <f>VLOOKUP(B427,'Player Data'!$A1:$AE667,14,FALSE)*$Q427</f>
        <v>0</v>
      </c>
      <c r="AA427" s="79">
        <f>VLOOKUP(B427,'Player Data'!$A1:$AE667,15,FALSE)*$Q427</f>
        <v>32.0121951219512</v>
      </c>
      <c r="AB427" s="79">
        <f>VLOOKUP(B427,'Player Data'!$A1:$AE667,16,FALSE)*$Q427</f>
        <v>88.7319302450445</v>
      </c>
      <c r="AC427" s="79">
        <f>VLOOKUP(B427,'Player Data'!$A1:$AE667,17,FALSE)*$Q427*_xlfn.IFERROR((VLOOKUP(P427,'Settings'!$E$28:$F$33,2,FALSE)+1),1)</f>
        <v>0.676542004904103</v>
      </c>
      <c r="AD427" s="79">
        <f>VLOOKUP(B427,'Player Data'!$A1:$AE667,18,FALSE)*$Q427</f>
        <v>30.3050173787628</v>
      </c>
      <c r="AE427" s="79">
        <f>VLOOKUP(B427,'Player Data'!$A1:$AE667,19,FALSE)*$Q427*_xlfn.IFERROR((VLOOKUP(P427,'Settings'!$E$28:$F$33,2,FALSE)+1),1)</f>
        <v>1.99160078413056</v>
      </c>
      <c r="AF427" s="79">
        <f>VLOOKUP(B427,'Player Data'!$A1:$AE667,20,FALSE)*$Q427</f>
        <v>0</v>
      </c>
      <c r="AG427" s="79">
        <f>VLOOKUP(B427,'Player Data'!$A1:$AE667,21,FALSE)*$Q427</f>
        <v>0</v>
      </c>
      <c r="AH427" s="81">
        <f>VLOOKUP(B427,'Player Data'!$A1:$AE667,22,FALSE)</f>
        <v>0</v>
      </c>
      <c r="AI427" s="77"/>
      <c r="AJ427" s="79"/>
      <c r="AK427" s="79"/>
      <c r="AL427" s="79"/>
      <c r="AM427" s="79"/>
      <c r="AN427" s="79"/>
      <c r="AO427" s="79"/>
      <c r="AP427" s="79"/>
      <c r="AQ427" s="82"/>
      <c r="AR427" s="83"/>
      <c r="AS427" s="84"/>
    </row>
    <row r="428" ht="21.25" customHeight="1">
      <c r="A428" s="85">
        <f>RANK(K428,K$1:K$665)</f>
        <v>432</v>
      </c>
      <c r="B428" t="s" s="16">
        <v>618</v>
      </c>
      <c r="C428" t="s" s="69">
        <v>127</v>
      </c>
      <c r="D428" t="s" s="70">
        <f>VLOOKUP(B428,'Player Data'!A1:D667,4,FALSE)</f>
        <v>148</v>
      </c>
      <c r="E428" s="87">
        <f>VLOOKUP(B428,'RW'!A1:C136,3,FALSE)</f>
        <v>87</v>
      </c>
      <c r="F428" t="s" s="78">
        <f>VLOOKUP(B428,'Player Data'!A1:B667,2,FALSE)</f>
        <v>261</v>
      </c>
      <c r="G428" s="96">
        <f>VLOOKUP(B428,'Player Data'!A1:D667,3,FALSE)</f>
        <v>22</v>
      </c>
      <c r="H428" s="73">
        <f>_xlfn.IFERROR(VLOOKUP(B428,'ADP'!A1:G665,7,FALSE)/1000000,VLOOKUP(B428,'ADP'!A1:G665,7,FALSE))</f>
        <v>0.925</v>
      </c>
      <c r="I428" s="74">
        <f>IF('Settings'!$E$15="POINTS",((R428*Q428)*'Settings'!$B$12)+(S428*'Settings'!$B$2)+(T428*'Settings'!$B$3)+(U428*'Settings'!$B$4)+(V428*'Settings'!$B$5)+(X428*'Settings'!$B$9)+(AA428*'Settings'!$B$6)+(W428*'Settings'!$B$8)+(AB428*'Settings'!$B$7)+(AC428*'Settings'!$B$14)+(AD428*'Settings'!$B$15)+(AE428*'Settings'!$B$16)+(AF428*'Settings'!$B$17)+(AG428*'Settings'!$B$18)+(Y428*'Settings'!$B$10)+(Z428*'Settings'!$B$11),VLOOKUP(B428,'Standard Deviations'!A1:C666,3,FALSE))</f>
        <v>196.202314814113</v>
      </c>
      <c r="J428" s="75">
        <f>IF(D428="G",I428/AJ428,I428/Q428)</f>
        <v>2.88532815903107</v>
      </c>
      <c r="K428" s="74">
        <f>IF('Settings'!$E$18="C/LW/RW",VLOOKUP(B428,'RW'!A1:F136,6,FALSE),VLOOKUP(B428,'F'!A1:F392,6,FALSE))</f>
        <v>-133.489579267065</v>
      </c>
      <c r="L428" s="76">
        <f>_xlfn.IFERROR(K428/H428,"N/A")</f>
        <v>-144.313058667097</v>
      </c>
      <c r="M428" s="109">
        <f>IF('Settings'!$E$9="YAHOO",VLOOKUP(B428,'ADP'!A1:E665,2,FALSE),IF('Settings'!$E$9="ESPN",VLOOKUP(B428,'ADP'!A1:E665,3,FALSE),IF('Settings'!$E$9="FANTRAX",VLOOKUP(B428,'ADP'!A1:E665,4,FALSE),VLOOKUP(B428,'ADP'!A1:E665,5,FALSE))))</f>
        <v>0</v>
      </c>
      <c r="N428" s="79">
        <f>_xlfn.IFERROR(M428-A428,"N/A")</f>
        <v>-432</v>
      </c>
      <c r="O428" s="77"/>
      <c r="P428" t="s" s="78">
        <f>IF('Settings'!$E$27="ON",VLOOKUP(B428,'ADP'!A1:H665,8,FALSE)," ")</f>
        <v>138</v>
      </c>
      <c r="Q428" s="79">
        <f>IF('Settings'!$E$12="YES",VLOOKUP(B428,'Player Data'!A1:E667,5,FALSE),82)</f>
        <v>68</v>
      </c>
      <c r="R428" s="98">
        <f>VLOOKUP(B428,'Player Data'!$A1:$AE667,6,FALSE)</f>
        <v>13.4208049335411</v>
      </c>
      <c r="S428" s="79">
        <f>VLOOKUP(B428,'Player Data'!$A1:$AE667,7,FALSE)*$Q428*_xlfn.IFERROR((VLOOKUP(P428,'Settings'!$E$28:$F$33,2,FALSE)+1),1)</f>
        <v>18.6540093703736</v>
      </c>
      <c r="T428" s="79">
        <f>VLOOKUP(B428,'Player Data'!$A1:$AE667,8,FALSE)*$Q428*_xlfn.IFERROR((VLOOKUP(P428,'Settings'!$E$28:$F$33,2,FALSE)+1),1)</f>
        <v>20.0779999465656</v>
      </c>
      <c r="U428" s="79">
        <f>SUM(S428:T428)</f>
        <v>38.7320093169392</v>
      </c>
      <c r="V428" s="79">
        <f>VLOOKUP(B428,'Player Data'!$A1:$AE667,10,FALSE)*$Q428*_xlfn.IFERROR(((VLOOKUP(P428,'Settings'!$E$28:$F$33,2,FALSE)/2)+1),1)</f>
        <v>130.158563455843</v>
      </c>
      <c r="W428" s="79">
        <f>VLOOKUP(B428,'Player Data'!$A1:$AE667,11,FALSE)*$Q428*_xlfn.IFERROR((VLOOKUP(P428,'Settings'!$E$28:$F$33,2,FALSE)+1),1)</f>
        <v>1.04175768739738</v>
      </c>
      <c r="X428" s="79">
        <f>VLOOKUP(B428,'Player Data'!$A1:$AE667,12,FALSE)*$Q428*_xlfn.IFERROR((VLOOKUP(P428,'Settings'!$E$28:$F$33,2,FALSE)+1),1)</f>
        <v>2.40288252070629</v>
      </c>
      <c r="Y428" s="79">
        <f>VLOOKUP(B428,'Player Data'!$A1:$AE667,13,FALSE)*$Q428</f>
        <v>0</v>
      </c>
      <c r="Z428" s="79">
        <f>VLOOKUP(B428,'Player Data'!$A1:$AE667,14,FALSE)*$Q428</f>
        <v>0</v>
      </c>
      <c r="AA428" s="79">
        <f>VLOOKUP(B428,'Player Data'!$A1:$AE667,15,FALSE)*$Q428</f>
        <v>35.9587400926473</v>
      </c>
      <c r="AB428" s="79">
        <f>VLOOKUP(B428,'Player Data'!$A1:$AE667,16,FALSE)*$Q428</f>
        <v>64.85363387236239</v>
      </c>
      <c r="AC428" s="79">
        <f>VLOOKUP(B428,'Player Data'!$A1:$AE667,17,FALSE)*$Q428*_xlfn.IFERROR((VLOOKUP(P428,'Settings'!$E$28:$F$33,2,FALSE)+1),1)</f>
        <v>1.42600845922555</v>
      </c>
      <c r="AD428" s="79">
        <f>VLOOKUP(B428,'Player Data'!$A1:$AE667,18,FALSE)*$Q428</f>
        <v>20.2791527375507</v>
      </c>
      <c r="AE428" s="79">
        <f>VLOOKUP(B428,'Player Data'!$A1:$AE667,19,FALSE)*$Q428*_xlfn.IFERROR((VLOOKUP(P428,'Settings'!$E$28:$F$33,2,FALSE)+1),1)</f>
        <v>2.72962986524956</v>
      </c>
      <c r="AF428" s="79">
        <f>VLOOKUP(B428,'Player Data'!$A1:$AE667,20,FALSE)*$Q428</f>
        <v>33.705670537775</v>
      </c>
      <c r="AG428" s="79">
        <f>VLOOKUP(B428,'Player Data'!$A1:$AE667,21,FALSE)*$Q428</f>
        <v>47.1879387528849</v>
      </c>
      <c r="AH428" s="81">
        <f>VLOOKUP(B428,'Player Data'!$A1:$AE667,22,FALSE)</f>
        <v>0.416666666666667</v>
      </c>
      <c r="AI428" s="77"/>
      <c r="AJ428" s="89"/>
      <c r="AK428" s="79"/>
      <c r="AL428" s="79"/>
      <c r="AM428" s="79"/>
      <c r="AN428" s="79"/>
      <c r="AO428" s="79"/>
      <c r="AP428" s="79"/>
      <c r="AQ428" s="82"/>
      <c r="AR428" s="83"/>
      <c r="AS428" s="84"/>
    </row>
    <row r="429" ht="21.25" customHeight="1">
      <c r="A429" s="85">
        <f>RANK(K429,K$1:K$665)</f>
        <v>433</v>
      </c>
      <c r="B429" t="s" s="16">
        <v>619</v>
      </c>
      <c r="C429" t="s" s="69">
        <v>127</v>
      </c>
      <c r="D429" t="s" s="70">
        <f>VLOOKUP(B429,'Player Data'!A1:D667,4,FALSE)</f>
        <v>140</v>
      </c>
      <c r="E429" s="90">
        <f>VLOOKUP(B429,'RW'!A1:F136,3,FALSE)</f>
        <v>88</v>
      </c>
      <c r="F429" t="s" s="78">
        <f>VLOOKUP(B429,'Player Data'!A1:B667,2,FALSE)</f>
        <v>134</v>
      </c>
      <c r="G429" s="11">
        <f>VLOOKUP(B429,'Player Data'!A1:D667,3,FALSE)</f>
        <v>28</v>
      </c>
      <c r="H429" s="94">
        <f>_xlfn.IFERROR(VLOOKUP(B429,'ADP'!A1:G665,7,FALSE)/1000000,VLOOKUP(B429,'ADP'!A1:G665,7,FALSE))</f>
        <v>1.05</v>
      </c>
      <c r="I429" s="74">
        <f>IF('Settings'!$E$15="POINTS",((R429*Q429)*'Settings'!$B$12)+(S429*'Settings'!$B$2)+(T429*'Settings'!$B$3)+(U429*'Settings'!$B$4)+(V429*'Settings'!$B$5)+(X429*'Settings'!$B$9)+(AA429*'Settings'!$B$6)+(W429*'Settings'!$B$8)+(AB429*'Settings'!$B$7)+(AC429*'Settings'!$B$14)+(AD429*'Settings'!$B$15)+(AE429*'Settings'!$B$16)+(AF429*'Settings'!$B$17)+(AG429*'Settings'!$B$18)+(Y429*'Settings'!$B$10)+(Z429*'Settings'!$B$11),VLOOKUP(B429,'Standard Deviations'!A1:C666,3,FALSE))</f>
        <v>195.955560869640</v>
      </c>
      <c r="J429" s="75">
        <f>IF(D429="G",I429/AJ429,I429/Q429)</f>
        <v>2.52870356317889</v>
      </c>
      <c r="K429" s="74">
        <f>IF('Settings'!$E$18="C/LW/RW",VLOOKUP(B429,'RW'!A1:F136,6,FALSE),VLOOKUP(B429,'F'!A1:F392,6,FALSE))</f>
        <v>-133.736333211538</v>
      </c>
      <c r="L429" s="76">
        <f>_xlfn.IFERROR(K429/H429,"N/A")</f>
        <v>-127.367936391941</v>
      </c>
      <c r="M429" s="109">
        <f>IF('Settings'!$E$9="YAHOO",VLOOKUP(B429,'ADP'!A1:E665,2,FALSE),IF('Settings'!$E$9="ESPN",VLOOKUP(B429,'ADP'!A1:E665,3,FALSE),IF('Settings'!$E$9="FANTRAX",VLOOKUP(B429,'ADP'!A1:E665,4,FALSE),VLOOKUP(B429,'ADP'!A1:E665,5,FALSE))))</f>
        <v>0</v>
      </c>
      <c r="N429" s="79">
        <f>_xlfn.IFERROR(M429-A429,"N/A")</f>
        <v>-433</v>
      </c>
      <c r="O429" s="77"/>
      <c r="P429" t="s" s="78">
        <f>IF('Settings'!$E$27="ON",VLOOKUP(B429,'ADP'!A1:H665,8,FALSE)," ")</f>
        <v>138</v>
      </c>
      <c r="Q429" s="79">
        <f>IF('Settings'!$E$12="YES",VLOOKUP(B429,'Player Data'!A1:E667,5,FALSE),82)</f>
        <v>77.49250000000001</v>
      </c>
      <c r="R429" s="77">
        <f>VLOOKUP(B429,'Player Data'!$A1:$AE667,6,FALSE)</f>
        <v>14.5492493387977</v>
      </c>
      <c r="S429" s="79">
        <f>VLOOKUP(B429,'Player Data'!$A1:$AE667,7,FALSE)*$Q429*_xlfn.IFERROR((VLOOKUP(P429,'Settings'!$E$28:$F$33,2,FALSE)+1),1)</f>
        <v>12.1763120303841</v>
      </c>
      <c r="T429" s="79">
        <f>VLOOKUP(B429,'Player Data'!$A1:$AE667,8,FALSE)*$Q429*_xlfn.IFERROR((VLOOKUP(P429,'Settings'!$E$28:$F$33,2,FALSE)+1),1)</f>
        <v>16.4575129237101</v>
      </c>
      <c r="U429" s="79">
        <f>SUM(S429:T429)</f>
        <v>28.6338249540942</v>
      </c>
      <c r="V429" s="79">
        <f>VLOOKUP(B429,'Player Data'!$A1:$AE667,10,FALSE)*$Q429*_xlfn.IFERROR(((VLOOKUP(P429,'Settings'!$E$28:$F$33,2,FALSE)/2)+1),1)</f>
        <v>114.588590134531</v>
      </c>
      <c r="W429" s="79">
        <f>VLOOKUP(B429,'Player Data'!$A1:$AE667,11,FALSE)*$Q429*_xlfn.IFERROR((VLOOKUP(P429,'Settings'!$E$28:$F$33,2,FALSE)+1),1)</f>
        <v>0.0645255667069134</v>
      </c>
      <c r="X429" s="79">
        <f>VLOOKUP(B429,'Player Data'!$A1:$AE667,12,FALSE)*$Q429*_xlfn.IFERROR((VLOOKUP(P429,'Settings'!$E$28:$F$33,2,FALSE)+1),1)</f>
        <v>0.150276932632621</v>
      </c>
      <c r="Y429" s="79">
        <f>VLOOKUP(B429,'Player Data'!$A1:$AE667,13,FALSE)*$Q429</f>
        <v>2.27021891964756</v>
      </c>
      <c r="Z429" s="79">
        <f>VLOOKUP(B429,'Player Data'!$A1:$AE667,14,FALSE)*$Q429</f>
        <v>3.20251103948795</v>
      </c>
      <c r="AA429" s="79">
        <f>VLOOKUP(B429,'Player Data'!$A1:$AE667,15,FALSE)*$Q429</f>
        <v>49.1891411674821</v>
      </c>
      <c r="AB429" s="79">
        <f>VLOOKUP(B429,'Player Data'!$A1:$AE667,16,FALSE)*$Q429</f>
        <v>90.7208956322129</v>
      </c>
      <c r="AC429" s="79">
        <f>VLOOKUP(B429,'Player Data'!$A1:$AE667,17,FALSE)*$Q429*_xlfn.IFERROR((VLOOKUP(P429,'Settings'!$E$28:$F$33,2,FALSE)+1),1)</f>
        <v>3.07708042556212</v>
      </c>
      <c r="AD429" s="79">
        <f>VLOOKUP(B429,'Player Data'!$A1:$AE667,18,FALSE)*$Q429</f>
        <v>38.0083055147378</v>
      </c>
      <c r="AE429" s="79">
        <f>VLOOKUP(B429,'Player Data'!$A1:$AE667,19,FALSE)*$Q429*_xlfn.IFERROR((VLOOKUP(P429,'Settings'!$E$28:$F$33,2,FALSE)+1),1)</f>
        <v>1.81927075147998</v>
      </c>
      <c r="AF429" s="79">
        <f>VLOOKUP(B429,'Player Data'!$A1:$AE667,20,FALSE)*$Q429</f>
        <v>17.0150804679</v>
      </c>
      <c r="AG429" s="79">
        <f>VLOOKUP(B429,'Player Data'!$A1:$AE667,21,FALSE)*$Q429</f>
        <v>43.4750184196826</v>
      </c>
      <c r="AH429" s="81">
        <f>VLOOKUP(B429,'Player Data'!$A1:$AE667,22,FALSE)</f>
        <v>0.281287033428753</v>
      </c>
      <c r="AI429" s="77"/>
      <c r="AJ429" s="79"/>
      <c r="AK429" s="79"/>
      <c r="AL429" s="79"/>
      <c r="AM429" s="79"/>
      <c r="AN429" s="79"/>
      <c r="AO429" s="79"/>
      <c r="AP429" s="79"/>
      <c r="AQ429" s="82"/>
      <c r="AR429" s="83"/>
      <c r="AS429" s="84"/>
    </row>
    <row r="430" ht="21.25" customHeight="1">
      <c r="A430" s="85">
        <f>RANK(K430,K$1:K$665)</f>
        <v>414</v>
      </c>
      <c r="B430" t="s" s="16">
        <v>620</v>
      </c>
      <c r="C430" t="s" s="69">
        <v>127</v>
      </c>
      <c r="D430" t="s" s="70">
        <f>VLOOKUP(B430,'Player Data'!A1:D667,4,FALSE)</f>
        <v>153</v>
      </c>
      <c r="E430" s="95">
        <f>VLOOKUP(B430,'D'!A1:C213,3,FALSE)</f>
        <v>139</v>
      </c>
      <c r="F430" t="s" s="86">
        <f>VLOOKUP(B430,'Player Data'!A1:B667,2,FALSE)</f>
        <v>156</v>
      </c>
      <c r="G430" s="91">
        <f>VLOOKUP(B430,'Player Data'!A1:D667,3,FALSE)</f>
        <v>32</v>
      </c>
      <c r="H430" s="73">
        <f>_xlfn.IFERROR(VLOOKUP(B430,'ADP'!A1:G665,7,FALSE)/1000000,VLOOKUP(B430,'ADP'!A1:G665,7,FALSE))</f>
        <v>2</v>
      </c>
      <c r="I430" s="74">
        <f>IF('Settings'!$E$15="POINTS",((R430*Q430)*'Settings'!$B$12)+(S430*'Settings'!$B$2)+(T430*'Settings'!$B$3)+(U430*'Settings'!$B$4)+(V430*'Settings'!$B$5)+(X430*'Settings'!$B$9)+(AA430*'Settings'!$B$6)+(W430*'Settings'!$B$8)+(AB430*'Settings'!$B$7)+(AC430*'Settings'!$B$14)+(AD430*'Settings'!$B$15)+(AE430*'Settings'!$B$16)+(AF430*'Settings'!$B$17)+(AG430*'Settings'!$B$18)+(U430*'Settings'!$B$13)+(Y430*'Settings'!$B$10)+(Z430*'Settings'!$B$11),VLOOKUP(B430,'Standard Deviations'!A1:C666,3,FALSE))</f>
        <v>202.813355839277</v>
      </c>
      <c r="J430" s="75">
        <f>IF(D430="G",I430/AJ430,I430/Q430)</f>
        <v>2.63342668102677</v>
      </c>
      <c r="K430" s="74">
        <f>VLOOKUP(B430,'D'!A1:F213,6,FALSE)</f>
        <v>-128.726852080805</v>
      </c>
      <c r="L430" s="76">
        <f>_xlfn.IFERROR(K430/H430,"N/A")</f>
        <v>-64.3634260404025</v>
      </c>
      <c r="M430" s="109">
        <f>IF('Settings'!$E$9="YAHOO",VLOOKUP(B430,'ADP'!A1:E665,2,FALSE),IF('Settings'!$E$9="ESPN",VLOOKUP(B430,'ADP'!A1:E665,3,FALSE),IF('Settings'!$E$9="FANTRAX",VLOOKUP(B430,'ADP'!A1:E665,4,FALSE),VLOOKUP(B430,'ADP'!A1:E665,5,FALSE))))</f>
        <v>0</v>
      </c>
      <c r="N430" s="79">
        <f>_xlfn.IFERROR(M430-A430,"N/A")</f>
        <v>-414</v>
      </c>
      <c r="O430" s="77"/>
      <c r="P430" t="s" s="78">
        <f>IF('Settings'!$E$27="ON",VLOOKUP(B430,'ADP'!A1:H665,8,FALSE)," ")</f>
        <v>138</v>
      </c>
      <c r="Q430" s="79">
        <f>IF('Settings'!$E$12="YES",VLOOKUP(B430,'Player Data'!A1:E667,5,FALSE),82)</f>
        <v>77.015</v>
      </c>
      <c r="R430" s="77">
        <f>VLOOKUP(B430,'Player Data'!$A1:$AE667,6,FALSE)</f>
        <v>18.1275594913074</v>
      </c>
      <c r="S430" s="79">
        <f>VLOOKUP(B430,'Player Data'!$A1:$AE667,7,FALSE)*$Q430*_xlfn.IFERROR((VLOOKUP(P430,'Settings'!$E$28:$F$33,2,FALSE)+1),1)</f>
        <v>5.41908511876112</v>
      </c>
      <c r="T430" s="79">
        <f>VLOOKUP(B430,'Player Data'!$A1:$AE667,8,FALSE)*$Q430*_xlfn.IFERROR((VLOOKUP(P430,'Settings'!$E$28:$F$33,2,FALSE)+1),1)</f>
        <v>28.1916908926149</v>
      </c>
      <c r="U430" s="79">
        <f>SUM(S430:T430)</f>
        <v>33.610776011376</v>
      </c>
      <c r="V430" s="79">
        <f>VLOOKUP(B430,'Player Data'!$A1:$AE667,10,FALSE)*$Q430*_xlfn.IFERROR(((VLOOKUP(P430,'Settings'!$E$28:$F$33,2,FALSE)/2)+1),1)</f>
        <v>105.528993434898</v>
      </c>
      <c r="W430" s="79">
        <f>VLOOKUP(B430,'Player Data'!$A1:$AE667,11,FALSE)*$Q430*_xlfn.IFERROR((VLOOKUP(P430,'Settings'!$E$28:$F$33,2,FALSE)+1),1)</f>
        <v>0.216640872770193</v>
      </c>
      <c r="X430" s="79">
        <f>VLOOKUP(B430,'Player Data'!$A1:$AE667,12,FALSE)*$Q430*_xlfn.IFERROR((VLOOKUP(P430,'Settings'!$E$28:$F$33,2,FALSE)+1),1)</f>
        <v>11.2322166747605</v>
      </c>
      <c r="Y430" s="79">
        <f>VLOOKUP(B430,'Player Data'!$A1:$AE667,13,FALSE)*$Q430</f>
        <v>0.008830818065616079</v>
      </c>
      <c r="Z430" s="79">
        <f>VLOOKUP(B430,'Player Data'!$A1:$AE667,14,FALSE)*$Q430</f>
        <v>0.0451424693856812</v>
      </c>
      <c r="AA430" s="79">
        <f>VLOOKUP(B430,'Player Data'!$A1:$AE667,15,FALSE)*$Q430</f>
        <v>76.1517123811408</v>
      </c>
      <c r="AB430" s="79">
        <f>VLOOKUP(B430,'Player Data'!$A1:$AE667,16,FALSE)*$Q430</f>
        <v>71.79035196881701</v>
      </c>
      <c r="AC430" s="79">
        <f>VLOOKUP(B430,'Player Data'!$A1:$AE667,17,FALSE)*$Q430*_xlfn.IFERROR((VLOOKUP(P430,'Settings'!$E$28:$F$33,2,FALSE)+1),1)</f>
        <v>0.833346024541308</v>
      </c>
      <c r="AD430" s="79">
        <f>VLOOKUP(B430,'Player Data'!$A1:$AE667,18,FALSE)*$Q430</f>
        <v>30.2362677723376</v>
      </c>
      <c r="AE430" s="79">
        <f>VLOOKUP(B430,'Player Data'!$A1:$AE667,19,FALSE)*$Q430*_xlfn.IFERROR((VLOOKUP(P430,'Settings'!$E$28:$F$33,2,FALSE)+1),1)</f>
        <v>0.744271592754285</v>
      </c>
      <c r="AF430" s="79">
        <f>VLOOKUP(B430,'Player Data'!$A1:$AE667,20,FALSE)*$Q430</f>
        <v>0</v>
      </c>
      <c r="AG430" s="79">
        <f>VLOOKUP(B430,'Player Data'!$A1:$AE667,21,FALSE)*$Q430</f>
        <v>0</v>
      </c>
      <c r="AH430" s="81">
        <f>VLOOKUP(B430,'Player Data'!$A1:$AE667,22,FALSE)</f>
        <v>0</v>
      </c>
      <c r="AI430" s="77"/>
      <c r="AJ430" s="89"/>
      <c r="AK430" s="79"/>
      <c r="AL430" s="79"/>
      <c r="AM430" s="79"/>
      <c r="AN430" s="79"/>
      <c r="AO430" s="79"/>
      <c r="AP430" s="79"/>
      <c r="AQ430" s="82"/>
      <c r="AR430" s="83"/>
      <c r="AS430" s="84"/>
    </row>
    <row r="431" ht="21.25" customHeight="1">
      <c r="A431" s="85">
        <f>RANK(K431,K$1:K$665)</f>
        <v>399</v>
      </c>
      <c r="B431" t="s" s="16">
        <v>621</v>
      </c>
      <c r="C431" t="s" s="69">
        <v>127</v>
      </c>
      <c r="D431" t="s" s="70">
        <f>VLOOKUP(B431,'Player Data'!A1:D667,4,FALSE)</f>
        <v>161</v>
      </c>
      <c r="E431" s="99">
        <f>VLOOKUP(B431,'G'!A1:D65,3,FALSE)</f>
        <v>50</v>
      </c>
      <c r="F431" t="s" s="86">
        <f>VLOOKUP(B431,'Player Data'!A1:B667,2,FALSE)</f>
        <v>207</v>
      </c>
      <c r="G431" s="91">
        <f>VLOOKUP(B431,'Player Data'!A1:D667,3,FALSE)</f>
        <v>36</v>
      </c>
      <c r="H431" s="73">
        <f>_xlfn.IFERROR(VLOOKUP(B431,'ADP'!A1:G665,7,FALSE)/1000000,VLOOKUP(B431,'ADP'!A1:G665,7,FALSE))</f>
        <v>2.75</v>
      </c>
      <c r="I431" s="74">
        <f>IF('Settings'!$E$15="POINTS",(AJ431*'Settings'!$B$29)+(AK431*'Settings'!$B$21)+(AL431*'Settings'!$B$22)+(AN431*'Settings'!$B$24)+(AO431*'Settings'!$B$25)+(AP431*'Settings'!$B$27)+(AM431*'Settings'!$B$23),VLOOKUP(B431,'Standard Deviations'!A1:C666,3,FALSE))</f>
        <v>142.086187091786</v>
      </c>
      <c r="J431" s="75">
        <f>IF(D431="G",I431/AJ431,I431/Q431)</f>
        <v>5.46485334968408</v>
      </c>
      <c r="K431" s="74">
        <f>VLOOKUP(B431,'G'!A1:F65,6,FALSE)</f>
        <v>-125.504827472804</v>
      </c>
      <c r="L431" s="76">
        <f>_xlfn.IFERROR(K431/H431,"N/A")</f>
        <v>-45.6381190810196</v>
      </c>
      <c r="M431" s="77">
        <f>IF('Settings'!$E$9="YAHOO",VLOOKUP(B431,'ADP'!A1:E665,2,FALSE),IF('Settings'!$E$9="ESPN",VLOOKUP(B431,'ADP'!A1:E665,3,FALSE),IF('Settings'!$E$9="FANTRAX",VLOOKUP(B431,'ADP'!A1:E665,4,FALSE),VLOOKUP(B431,'ADP'!A1:E665,5,FALSE))))</f>
        <v>0</v>
      </c>
      <c r="N431" s="77">
        <f>_xlfn.IFERROR(M431-A431,"N/A")</f>
        <v>-399</v>
      </c>
      <c r="O431" s="77"/>
      <c r="P431" t="s" s="78">
        <f>IF('Settings'!$E$27="ON",VLOOKUP(B431,'ADP'!A1:H665,8,FALSE)," ")</f>
        <v>138</v>
      </c>
      <c r="Q431" s="79"/>
      <c r="R431" s="77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81"/>
      <c r="AI431" s="77"/>
      <c r="AJ431" s="89">
        <f>VLOOKUP(B431,'Player Data'!$A1:$AE667,24,FALSE)</f>
        <v>26</v>
      </c>
      <c r="AK431" s="79">
        <f>VLOOKUP(B431,'Player Data'!$A1:$AE667,25,FALSE)*$AJ431*_xlfn.IFERROR((VLOOKUP(P431,'Settings'!$E$28:$F$33,2,FALSE)+1),1)</f>
        <v>13.5671960120358</v>
      </c>
      <c r="AL431" s="79">
        <f>AJ431-AK431-AM431</f>
        <v>9.182803987964199</v>
      </c>
      <c r="AM431" s="79">
        <f>VLOOKUP(B431,'Player Data'!$A1:$AE667,27,FALSE)*$AJ431</f>
        <v>3.25</v>
      </c>
      <c r="AN431" s="79">
        <f>VLOOKUP(B431,'Player Data'!$A1:$AE667,28,FALSE)*AJ431</f>
        <v>1.7591566500388</v>
      </c>
      <c r="AO431" s="79">
        <f>VLOOKUP(B431,'Player Data'!$A1:$AE667,29,FALSE)*$AJ431*_xlfn.IFERROR((VLOOKUP(P431,'Settings'!$E$28:$F$33,2,FALSE)/4)+1,1)</f>
        <v>690.310709822968</v>
      </c>
      <c r="AP431" s="79">
        <f>VLOOKUP(B431,'Player Data'!$A1:$AE667,31,FALSE)*$AJ431*(_xlfn.IFERROR(1-(VLOOKUP(P431,'Settings'!$E$28:$F$33,2,FALSE)/4),1))</f>
        <v>69.1611133052112</v>
      </c>
      <c r="AQ431" s="82">
        <f>1-(AP431/(AO431+AP431))</f>
        <v>0.908935247893274</v>
      </c>
      <c r="AR431" s="83">
        <f>AP431/AJ431</f>
        <v>2.6600428194312</v>
      </c>
      <c r="AS431" s="84"/>
    </row>
    <row r="432" ht="21.25" customHeight="1">
      <c r="A432" s="85">
        <f>RANK(K432,K$1:K$665)</f>
        <v>450</v>
      </c>
      <c r="B432" t="s" s="16">
        <v>622</v>
      </c>
      <c r="C432" t="s" s="69">
        <v>127</v>
      </c>
      <c r="D432" t="s" s="70">
        <f>VLOOKUP(B432,'Player Data'!A1:D667,4,FALSE)</f>
        <v>128</v>
      </c>
      <c r="E432" s="71">
        <f>VLOOKUP(B432,'C'!A1:C206,3,FALSE)</f>
        <v>132</v>
      </c>
      <c r="F432" t="s" s="86">
        <f>VLOOKUP(B432,'Player Data'!A1:B667,2,FALSE)</f>
        <v>156</v>
      </c>
      <c r="G432" s="11">
        <f>VLOOKUP(B432,'Player Data'!A1:D667,3,FALSE)</f>
        <v>24</v>
      </c>
      <c r="H432" s="73">
        <f>_xlfn.IFERROR(VLOOKUP(B432,'ADP'!A1:G665,7,FALSE)/1000000,VLOOKUP(B432,'ADP'!A1:G665,7,FALSE))</f>
        <v>2.275</v>
      </c>
      <c r="I432" s="74">
        <f>IF('Settings'!$E$15="POINTS",((R432*Q432)*'Settings'!$B$12)+(S432*'Settings'!$B$2)+(T432*'Settings'!$B$3)+(U432*'Settings'!$B$4)+(V432*'Settings'!$B$5)+(X432*'Settings'!$B$9)+(AA432*'Settings'!$B$6)+(W432*'Settings'!$B$8)+(AB432*'Settings'!$B$7)+(AC432*'Settings'!$B$14)+(AD432*'Settings'!$B$15)+(AE432*'Settings'!$B$16)+(AF432*'Settings'!$B$17)+(AG432*'Settings'!$B$18)+(Y432*'Settings'!$B$10)+(Z432*'Settings'!$B$11),VLOOKUP(B432,'Standard Deviations'!A1:C666,3,FALSE))</f>
        <v>190.057215476914</v>
      </c>
      <c r="J432" s="75">
        <f>IF(D432="G",I432/AJ432,I432/Q432)</f>
        <v>2.37757267211151</v>
      </c>
      <c r="K432" s="74">
        <f>IF('Settings'!$E$18="C/LW/RW",VLOOKUP(B432,'C'!A1:F206,6,FALSE),VLOOKUP(B432,'F'!A1:F392,6,FALSE))</f>
        <v>-139.634678604264</v>
      </c>
      <c r="L432" s="76">
        <f>_xlfn.IFERROR(K432/H432,"N/A")</f>
        <v>-61.377880705171</v>
      </c>
      <c r="M432" s="109">
        <f>IF('Settings'!$E$9="YAHOO",VLOOKUP(B432,'ADP'!A1:E665,2,FALSE),IF('Settings'!$E$9="ESPN",VLOOKUP(B432,'ADP'!A1:E665,3,FALSE),IF('Settings'!$E$9="FANTRAX",VLOOKUP(B432,'ADP'!A1:E665,4,FALSE),VLOOKUP(B432,'ADP'!A1:E665,5,FALSE))))</f>
        <v>0</v>
      </c>
      <c r="N432" s="79">
        <f>_xlfn.IFERROR(M432-A432,"N/A")</f>
        <v>-450</v>
      </c>
      <c r="O432" s="77"/>
      <c r="P432" t="s" s="78">
        <f>IF('Settings'!$E$27="ON",VLOOKUP(B432,'ADP'!A1:H665,8,FALSE)," ")</f>
        <v>138</v>
      </c>
      <c r="Q432" s="79">
        <f>IF('Settings'!$E$12="YES",VLOOKUP(B432,'Player Data'!A1:E667,5,FALSE),82)</f>
        <v>79.9375</v>
      </c>
      <c r="R432" s="77">
        <f>VLOOKUP(B432,'Player Data'!$A1:$AE667,6,FALSE)</f>
        <v>13.9100396427478</v>
      </c>
      <c r="S432" s="79">
        <f>VLOOKUP(B432,'Player Data'!$A1:$AE667,7,FALSE)*$Q432*_xlfn.IFERROR((VLOOKUP(P432,'Settings'!$E$28:$F$33,2,FALSE)+1),1)</f>
        <v>12.8711087364599</v>
      </c>
      <c r="T432" s="79">
        <f>VLOOKUP(B432,'Player Data'!$A1:$AE667,8,FALSE)*$Q432*_xlfn.IFERROR((VLOOKUP(P432,'Settings'!$E$28:$F$33,2,FALSE)+1),1)</f>
        <v>16.373523470246</v>
      </c>
      <c r="U432" s="79">
        <f>SUM(S432:T432)</f>
        <v>29.2446322067059</v>
      </c>
      <c r="V432" s="79">
        <f>VLOOKUP(B432,'Player Data'!$A1:$AE667,10,FALSE)*$Q432*_xlfn.IFERROR(((VLOOKUP(P432,'Settings'!$E$28:$F$33,2,FALSE)/2)+1),1)</f>
        <v>96.7304370161542</v>
      </c>
      <c r="W432" s="79">
        <f>VLOOKUP(B432,'Player Data'!$A1:$AE667,11,FALSE)*$Q432*_xlfn.IFERROR((VLOOKUP(P432,'Settings'!$E$28:$F$33,2,FALSE)+1),1)</f>
        <v>3.93314168187401</v>
      </c>
      <c r="X432" s="79">
        <f>VLOOKUP(B432,'Player Data'!$A1:$AE667,12,FALSE)*$Q432*_xlfn.IFERROR((VLOOKUP(P432,'Settings'!$E$28:$F$33,2,FALSE)+1),1)</f>
        <v>8.651421047730119</v>
      </c>
      <c r="Y432" s="79">
        <f>VLOOKUP(B432,'Player Data'!$A1:$AE667,13,FALSE)*$Q432</f>
        <v>0.129726972739</v>
      </c>
      <c r="Z432" s="79">
        <f>VLOOKUP(B432,'Player Data'!$A1:$AE667,14,FALSE)*$Q432</f>
        <v>0.219574072570808</v>
      </c>
      <c r="AA432" s="79">
        <f>VLOOKUP(B432,'Player Data'!$A1:$AE667,15,FALSE)*$Q432</f>
        <v>36.9691041168721</v>
      </c>
      <c r="AB432" s="79">
        <f>VLOOKUP(B432,'Player Data'!$A1:$AE667,16,FALSE)*$Q432</f>
        <v>113.396758087284</v>
      </c>
      <c r="AC432" s="79">
        <f>VLOOKUP(B432,'Player Data'!$A1:$AE667,17,FALSE)*$Q432*_xlfn.IFERROR((VLOOKUP(P432,'Settings'!$E$28:$F$33,2,FALSE)+1),1)</f>
        <v>-4.4011447868897</v>
      </c>
      <c r="AD432" s="79">
        <f>VLOOKUP(B432,'Player Data'!$A1:$AE667,18,FALSE)*$Q432</f>
        <v>28.6667033101517</v>
      </c>
      <c r="AE432" s="79">
        <f>VLOOKUP(B432,'Player Data'!$A1:$AE667,19,FALSE)*$Q432*_xlfn.IFERROR((VLOOKUP(P432,'Settings'!$E$28:$F$33,2,FALSE)+1),1)</f>
        <v>1.76775237698953</v>
      </c>
      <c r="AF432" s="79">
        <f>VLOOKUP(B432,'Player Data'!$A1:$AE667,20,FALSE)*$Q432</f>
        <v>292.005961019596</v>
      </c>
      <c r="AG432" s="79">
        <f>VLOOKUP(B432,'Player Data'!$A1:$AE667,21,FALSE)*$Q432</f>
        <v>334.816712671586</v>
      </c>
      <c r="AH432" s="81">
        <f>VLOOKUP(B432,'Player Data'!$A1:$AE667,22,FALSE)</f>
        <v>0.465850986691428</v>
      </c>
      <c r="AI432" s="77"/>
      <c r="AJ432" s="89"/>
      <c r="AK432" s="79"/>
      <c r="AL432" s="79"/>
      <c r="AM432" s="79"/>
      <c r="AN432" s="79"/>
      <c r="AO432" s="79"/>
      <c r="AP432" s="79"/>
      <c r="AQ432" s="82"/>
      <c r="AR432" s="83"/>
      <c r="AS432" s="84"/>
    </row>
    <row r="433" ht="21.25" customHeight="1">
      <c r="A433" s="85">
        <f>RANK(K433,K$1:K$665)</f>
        <v>401</v>
      </c>
      <c r="B433" t="s" s="16">
        <v>623</v>
      </c>
      <c r="C433" t="s" s="69">
        <v>127</v>
      </c>
      <c r="D433" t="s" s="70">
        <f>VLOOKUP(B433,'Player Data'!A1:D667,4,FALSE)</f>
        <v>161</v>
      </c>
      <c r="E433" s="99">
        <f>VLOOKUP(B433,'G'!A1:D65,3,FALSE)</f>
        <v>51</v>
      </c>
      <c r="F433" t="s" s="104">
        <f>VLOOKUP(B433,'Player Data'!A1:B667,2,FALSE)</f>
        <v>324</v>
      </c>
      <c r="G433" s="96">
        <f>VLOOKUP(B433,'Player Data'!A1:D667,3,FALSE)</f>
        <v>27</v>
      </c>
      <c r="H433" s="73">
        <f>_xlfn.IFERROR(VLOOKUP(B433,'ADP'!A1:G665,7,FALSE)/1000000,VLOOKUP(B433,'ADP'!A1:G665,7,FALSE))</f>
        <v>3.275</v>
      </c>
      <c r="I433" s="74">
        <f>IF('Settings'!$E$15="POINTS",(AJ433*'Settings'!$B$29)+(AK433*'Settings'!$B$21)+(AL433*'Settings'!$B$22)+(AN433*'Settings'!$B$24)+(AO433*'Settings'!$B$25)+(AP433*'Settings'!$B$27)+(AM433*'Settings'!$B$23),VLOOKUP(B433,'Standard Deviations'!A1:C666,3,FALSE))</f>
        <v>141.553159659785</v>
      </c>
      <c r="J433" s="75">
        <f>IF(D433="G",I433/AJ433,I433/Q433)</f>
        <v>4.71843865532617</v>
      </c>
      <c r="K433" s="74">
        <f>VLOOKUP(B433,'G'!A1:F65,6,FALSE)</f>
        <v>-126.037854904805</v>
      </c>
      <c r="L433" s="76">
        <f>_xlfn.IFERROR(K433/H433,"N/A")</f>
        <v>-38.4848411923069</v>
      </c>
      <c r="M433" s="109">
        <f>IF('Settings'!$E$9="YAHOO",VLOOKUP(B433,'ADP'!A1:E665,2,FALSE),IF('Settings'!$E$9="ESPN",VLOOKUP(B433,'ADP'!A1:E665,3,FALSE),IF('Settings'!$E$9="FANTRAX",VLOOKUP(B433,'ADP'!A1:E665,4,FALSE),VLOOKUP(B433,'ADP'!A1:E665,5,FALSE))))</f>
        <v>0</v>
      </c>
      <c r="N433" s="79">
        <f>_xlfn.IFERROR(M433-A433,"N/A")</f>
        <v>-401</v>
      </c>
      <c r="O433" s="77"/>
      <c r="P433" t="s" s="78">
        <f>IF('Settings'!$E$27="ON",VLOOKUP(B433,'ADP'!A1:H665,8,FALSE)," ")</f>
        <v>138</v>
      </c>
      <c r="Q433" s="79"/>
      <c r="R433" s="77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81"/>
      <c r="AI433" s="77"/>
      <c r="AJ433" s="89">
        <f>VLOOKUP(B433,'Player Data'!$A1:$AE667,24,FALSE)</f>
        <v>30</v>
      </c>
      <c r="AK433" s="79">
        <f>VLOOKUP(B433,'Player Data'!$A1:$AE667,25,FALSE)*$AJ433*_xlfn.IFERROR((VLOOKUP(P433,'Settings'!$E$28:$F$33,2,FALSE)+1),1)</f>
        <v>13.4612877087074</v>
      </c>
      <c r="AL433" s="79">
        <f>AJ433-AK433-AM433</f>
        <v>12.7887122912926</v>
      </c>
      <c r="AM433" s="79">
        <f>VLOOKUP(B433,'Player Data'!$A1:$AE667,27,FALSE)*$AJ433</f>
        <v>3.75</v>
      </c>
      <c r="AN433" s="79">
        <f>VLOOKUP(B433,'Player Data'!$A1:$AE667,28,FALSE)*AJ433</f>
        <v>1.20110487870747</v>
      </c>
      <c r="AO433" s="79">
        <f>VLOOKUP(B433,'Player Data'!$A1:$AE667,29,FALSE)*$AJ433*_xlfn.IFERROR((VLOOKUP(P433,'Settings'!$E$28:$F$33,2,FALSE)/4)+1,1)</f>
        <v>775.9159597995121</v>
      </c>
      <c r="AP433" s="79">
        <f>VLOOKUP(B433,'Player Data'!$A1:$AE667,31,FALSE)*$AJ433*(_xlfn.IFERROR(1-(VLOOKUP(P433,'Settings'!$E$28:$F$33,2,FALSE)/4),1))</f>
        <v>90.659835558495</v>
      </c>
      <c r="AQ433" s="82">
        <f>1-(AP433/(AO433+AP433))</f>
        <v>0.895381528027746</v>
      </c>
      <c r="AR433" s="83">
        <f>AP433/AJ433</f>
        <v>3.0219945186165</v>
      </c>
      <c r="AS433" s="84"/>
    </row>
    <row r="434" ht="21.25" customHeight="1">
      <c r="A434" s="85">
        <f>RANK(K434,K$1:K$665)</f>
        <v>453</v>
      </c>
      <c r="B434" t="s" s="16">
        <v>624</v>
      </c>
      <c r="C434" t="s" s="69">
        <v>127</v>
      </c>
      <c r="D434" t="s" s="70">
        <f>VLOOKUP(B434,'Player Data'!A1:D667,4,FALSE)</f>
        <v>128</v>
      </c>
      <c r="E434" s="71">
        <f>VLOOKUP(B434,'C'!A1:C206,3,FALSE)</f>
        <v>133</v>
      </c>
      <c r="F434" t="s" s="103">
        <f>VLOOKUP(B434,'Player Data'!A1:B667,2,FALSE)</f>
        <v>182</v>
      </c>
      <c r="G434" s="96">
        <f>VLOOKUP(B434,'Player Data'!A1:D667,3,FALSE)</f>
        <v>22</v>
      </c>
      <c r="H434" s="94">
        <f>_xlfn.IFERROR(VLOOKUP(B434,'ADP'!A1:G665,7,FALSE)/1000000,VLOOKUP(B434,'ADP'!A1:G665,7,FALSE))</f>
        <v>0.863333</v>
      </c>
      <c r="I434" s="74">
        <f>IF('Settings'!$E$15="POINTS",((R434*Q434)*'Settings'!$B$12)+(S434*'Settings'!$B$2)+(T434*'Settings'!$B$3)+(U434*'Settings'!$B$4)+(V434*'Settings'!$B$5)+(X434*'Settings'!$B$9)+(AA434*'Settings'!$B$6)+(W434*'Settings'!$B$8)+(AB434*'Settings'!$B$7)+(AC434*'Settings'!$B$14)+(AD434*'Settings'!$B$15)+(AE434*'Settings'!$B$16)+(AF434*'Settings'!$B$17)+(AG434*'Settings'!$B$18)+(Y434*'Settings'!$B$10)+(Z434*'Settings'!$B$11),VLOOKUP(B434,'Standard Deviations'!A1:C666,3,FALSE))</f>
        <v>189.724365534213</v>
      </c>
      <c r="J434" s="75">
        <f>IF(D434="G",I434/AJ434,I434/Q434)</f>
        <v>2.56931124398839</v>
      </c>
      <c r="K434" s="74">
        <f>IF('Settings'!$E$18="C/LW/RW",VLOOKUP(B434,'C'!A1:F206,6,FALSE),VLOOKUP(B434,'F'!A1:F392,6,FALSE))</f>
        <v>-139.967528546965</v>
      </c>
      <c r="L434" s="76">
        <f>_xlfn.IFERROR(K434/H434,"N/A")</f>
        <v>-162.124613036876</v>
      </c>
      <c r="M434" s="109">
        <f>IF('Settings'!$E$9="YAHOO",VLOOKUP(B434,'ADP'!A1:E665,2,FALSE),IF('Settings'!$E$9="ESPN",VLOOKUP(B434,'ADP'!A1:E665,3,FALSE),IF('Settings'!$E$9="FANTRAX",VLOOKUP(B434,'ADP'!A1:E665,4,FALSE),VLOOKUP(B434,'ADP'!A1:E665,5,FALSE))))</f>
        <v>0</v>
      </c>
      <c r="N434" s="79">
        <f>_xlfn.IFERROR(M434-A434,"N/A")</f>
        <v>-453</v>
      </c>
      <c r="O434" s="77"/>
      <c r="P434" t="s" s="78">
        <f>IF('Settings'!$E$27="ON",VLOOKUP(B434,'ADP'!A1:H665,8,FALSE)," ")</f>
        <v>185</v>
      </c>
      <c r="Q434" s="79">
        <f>IF('Settings'!$E$12="YES",VLOOKUP(B434,'Player Data'!A1:E667,5,FALSE),82)</f>
        <v>73.8425</v>
      </c>
      <c r="R434" s="77">
        <f>VLOOKUP(B434,'Player Data'!$A1:$AE667,6,FALSE)</f>
        <v>16.8221533856445</v>
      </c>
      <c r="S434" s="79">
        <f>VLOOKUP(B434,'Player Data'!$A1:$AE667,7,FALSE)*$Q434*_xlfn.IFERROR((VLOOKUP(P434,'Settings'!$E$28:$F$33,2,FALSE)+1),1)</f>
        <v>19.3769617895</v>
      </c>
      <c r="T434" s="79">
        <f>VLOOKUP(B434,'Player Data'!$A1:$AE667,8,FALSE)*$Q434*_xlfn.IFERROR((VLOOKUP(P434,'Settings'!$E$28:$F$33,2,FALSE)+1),1)</f>
        <v>20.7381515094252</v>
      </c>
      <c r="U434" s="79">
        <f>SUM(S434:T434)</f>
        <v>40.1151132989252</v>
      </c>
      <c r="V434" s="79">
        <f>VLOOKUP(B434,'Player Data'!$A1:$AE667,10,FALSE)*$Q434*_xlfn.IFERROR(((VLOOKUP(P434,'Settings'!$E$28:$F$33,2,FALSE)/2)+1),1)</f>
        <v>157.855486092968</v>
      </c>
      <c r="W434" s="79">
        <f>VLOOKUP(B434,'Player Data'!$A1:$AE667,11,FALSE)*$Q434*_xlfn.IFERROR((VLOOKUP(P434,'Settings'!$E$28:$F$33,2,FALSE)+1),1)</f>
        <v>2.5190568295706</v>
      </c>
      <c r="X434" s="79">
        <f>VLOOKUP(B434,'Player Data'!$A1:$AE667,12,FALSE)*$Q434*_xlfn.IFERROR((VLOOKUP(P434,'Settings'!$E$28:$F$33,2,FALSE)+1),1)</f>
        <v>7.10847757327321</v>
      </c>
      <c r="Y434" s="79">
        <f>VLOOKUP(B434,'Player Data'!$A1:$AE667,13,FALSE)*$Q434</f>
        <v>0.0367606718815209</v>
      </c>
      <c r="Z434" s="79">
        <f>VLOOKUP(B434,'Player Data'!$A1:$AE667,14,FALSE)*$Q434</f>
        <v>0.062343920438634</v>
      </c>
      <c r="AA434" s="79">
        <f>VLOOKUP(B434,'Player Data'!$A1:$AE667,15,FALSE)*$Q434</f>
        <v>34.5272770964248</v>
      </c>
      <c r="AB434" s="79">
        <f>VLOOKUP(B434,'Player Data'!$A1:$AE667,16,FALSE)*$Q434</f>
        <v>37.3531239345752</v>
      </c>
      <c r="AC434" s="79">
        <f>VLOOKUP(B434,'Player Data'!$A1:$AE667,17,FALSE)*$Q434*_xlfn.IFERROR((VLOOKUP(P434,'Settings'!$E$28:$F$33,2,FALSE)+1),1)</f>
        <v>0.543997627106339</v>
      </c>
      <c r="AD434" s="79">
        <f>VLOOKUP(B434,'Player Data'!$A1:$AE667,18,FALSE)*$Q434</f>
        <v>35.0577451722927</v>
      </c>
      <c r="AE434" s="79">
        <f>VLOOKUP(B434,'Player Data'!$A1:$AE667,19,FALSE)*$Q434*_xlfn.IFERROR((VLOOKUP(P434,'Settings'!$E$28:$F$33,2,FALSE)+1),1)</f>
        <v>3.19873193702994</v>
      </c>
      <c r="AF434" s="79">
        <f>VLOOKUP(B434,'Player Data'!$A1:$AE667,20,FALSE)*$Q434</f>
        <v>306.153539747256</v>
      </c>
      <c r="AG434" s="79">
        <f>VLOOKUP(B434,'Player Data'!$A1:$AE667,21,FALSE)*$Q434</f>
        <v>375.820711362559</v>
      </c>
      <c r="AH434" s="81">
        <f>VLOOKUP(B434,'Player Data'!$A1:$AE667,22,FALSE)</f>
        <v>0.448922432553773</v>
      </c>
      <c r="AI434" s="77"/>
      <c r="AJ434" s="79"/>
      <c r="AK434" s="79"/>
      <c r="AL434" s="79"/>
      <c r="AM434" s="79"/>
      <c r="AN434" s="79"/>
      <c r="AO434" s="79"/>
      <c r="AP434" s="79"/>
      <c r="AQ434" s="82"/>
      <c r="AR434" s="83"/>
      <c r="AS434" s="84"/>
    </row>
    <row r="435" ht="21.25" customHeight="1">
      <c r="A435" s="85">
        <f>RANK(K435,K$1:K$665)</f>
        <v>454</v>
      </c>
      <c r="B435" t="s" s="16">
        <v>625</v>
      </c>
      <c r="C435" t="s" s="69">
        <v>127</v>
      </c>
      <c r="D435" t="s" s="70">
        <f>VLOOKUP(B435,'Player Data'!A1:D667,4,FALSE)</f>
        <v>128</v>
      </c>
      <c r="E435" s="71">
        <f>VLOOKUP(B435,'C'!A1:C206,3,FALSE)</f>
        <v>134</v>
      </c>
      <c r="F435" t="s" s="88">
        <f>VLOOKUP(B435,'Player Data'!A1:B667,2,FALSE)</f>
        <v>239</v>
      </c>
      <c r="G435" s="96">
        <f>VLOOKUP(B435,'Player Data'!A1:D667,3,FALSE)</f>
        <v>23</v>
      </c>
      <c r="H435" s="73">
        <f>_xlfn.IFERROR(VLOOKUP(B435,'ADP'!A1:G665,7,FALSE)/1000000,VLOOKUP(B435,'ADP'!A1:G665,7,FALSE))</f>
        <v>2.9</v>
      </c>
      <c r="I435" s="74">
        <f>IF('Settings'!$E$15="POINTS",((R435*Q435)*'Settings'!$B$12)+(S435*'Settings'!$B$2)+(T435*'Settings'!$B$3)+(U435*'Settings'!$B$4)+(V435*'Settings'!$B$5)+(X435*'Settings'!$B$9)+(AA435*'Settings'!$B$6)+(W435*'Settings'!$B$8)+(AB435*'Settings'!$B$7)+(AC435*'Settings'!$B$14)+(AD435*'Settings'!$B$15)+(AE435*'Settings'!$B$16)+(AF435*'Settings'!$B$17)+(AG435*'Settings'!$B$18)+(Y435*'Settings'!$B$10)+(Z435*'Settings'!$B$11),VLOOKUP(B435,'Standard Deviations'!A1:C666,3,FALSE))</f>
        <v>189.671546133777</v>
      </c>
      <c r="J435" s="75">
        <f>IF(D435="G",I435/AJ435,I435/Q435)</f>
        <v>2.49117118547072</v>
      </c>
      <c r="K435" s="74">
        <f>IF('Settings'!$E$18="C/LW/RW",VLOOKUP(B435,'C'!A1:F206,6,FALSE),VLOOKUP(B435,'F'!A1:F392,6,FALSE))</f>
        <v>-140.020347947401</v>
      </c>
      <c r="L435" s="76">
        <f>_xlfn.IFERROR(K435/H435,"N/A")</f>
        <v>-48.2828786025521</v>
      </c>
      <c r="M435" s="109">
        <f>IF('Settings'!$E$9="YAHOO",VLOOKUP(B435,'ADP'!A1:E665,2,FALSE),IF('Settings'!$E$9="ESPN",VLOOKUP(B435,'ADP'!A1:E665,3,FALSE),IF('Settings'!$E$9="FANTRAX",VLOOKUP(B435,'ADP'!A1:E665,4,FALSE),VLOOKUP(B435,'ADP'!A1:E665,5,FALSE))))</f>
        <v>0</v>
      </c>
      <c r="N435" s="79">
        <f>_xlfn.IFERROR(M435-A435,"N/A")</f>
        <v>-454</v>
      </c>
      <c r="O435" s="77"/>
      <c r="P435" t="s" s="78">
        <f>IF('Settings'!$E$27="ON",VLOOKUP(B435,'ADP'!A1:H665,8,FALSE)," ")</f>
        <v>138</v>
      </c>
      <c r="Q435" s="79">
        <f>IF('Settings'!$E$12="YES",VLOOKUP(B435,'Player Data'!A1:E667,5,FALSE),82)</f>
        <v>76.1375</v>
      </c>
      <c r="R435" s="108">
        <f>VLOOKUP(B435,'Player Data'!$A1:$AE667,6,FALSE)</f>
        <v>15.5547822471731</v>
      </c>
      <c r="S435" s="79">
        <f>VLOOKUP(B435,'Player Data'!$A1:$AE667,7,FALSE)*$Q435*_xlfn.IFERROR((VLOOKUP(P435,'Settings'!$E$28:$F$33,2,FALSE)+1),1)</f>
        <v>17.9095766754032</v>
      </c>
      <c r="T435" s="79">
        <f>VLOOKUP(B435,'Player Data'!$A1:$AE667,8,FALSE)*$Q435*_xlfn.IFERROR((VLOOKUP(P435,'Settings'!$E$28:$F$33,2,FALSE)+1),1)</f>
        <v>22.6266266332025</v>
      </c>
      <c r="U435" s="79">
        <f>SUM(S435:T435)</f>
        <v>40.5362033086057</v>
      </c>
      <c r="V435" s="79">
        <f>VLOOKUP(B435,'Player Data'!$A1:$AE667,10,FALSE)*$Q435*_xlfn.IFERROR(((VLOOKUP(P435,'Settings'!$E$28:$F$33,2,FALSE)/2)+1),1)</f>
        <v>118.702587135550</v>
      </c>
      <c r="W435" s="79">
        <f>VLOOKUP(B435,'Player Data'!$A1:$AE667,11,FALSE)*$Q435*_xlfn.IFERROR((VLOOKUP(P435,'Settings'!$E$28:$F$33,2,FALSE)+1),1)</f>
        <v>1.96238950996844</v>
      </c>
      <c r="X435" s="79">
        <f>VLOOKUP(B435,'Player Data'!$A1:$AE667,12,FALSE)*$Q435*_xlfn.IFERROR((VLOOKUP(P435,'Settings'!$E$28:$F$33,2,FALSE)+1),1)</f>
        <v>5.7888060917885</v>
      </c>
      <c r="Y435" s="79">
        <f>VLOOKUP(B435,'Player Data'!$A1:$AE667,13,FALSE)*$Q435</f>
        <v>0.0101454527180502</v>
      </c>
      <c r="Z435" s="79">
        <f>VLOOKUP(B435,'Player Data'!$A1:$AE667,14,FALSE)*$Q435</f>
        <v>0.0171167732871861</v>
      </c>
      <c r="AA435" s="79">
        <f>VLOOKUP(B435,'Player Data'!$A1:$AE667,15,FALSE)*$Q435</f>
        <v>37.0638722820601</v>
      </c>
      <c r="AB435" s="79">
        <f>VLOOKUP(B435,'Player Data'!$A1:$AE667,16,FALSE)*$Q435</f>
        <v>56.725846101712</v>
      </c>
      <c r="AC435" s="79">
        <f>VLOOKUP(B435,'Player Data'!$A1:$AE667,17,FALSE)*$Q435*_xlfn.IFERROR((VLOOKUP(P435,'Settings'!$E$28:$F$33,2,FALSE)+1),1)</f>
        <v>-3.89924469362606</v>
      </c>
      <c r="AD435" s="79">
        <f>VLOOKUP(B435,'Player Data'!$A1:$AE667,18,FALSE)*$Q435</f>
        <v>24.4872323965403</v>
      </c>
      <c r="AE435" s="79">
        <f>VLOOKUP(B435,'Player Data'!$A1:$AE667,19,FALSE)*$Q435*_xlfn.IFERROR((VLOOKUP(P435,'Settings'!$E$28:$F$33,2,FALSE)+1),1)</f>
        <v>2.07574272956729</v>
      </c>
      <c r="AF435" s="79">
        <f>VLOOKUP(B435,'Player Data'!$A1:$AE667,20,FALSE)*$Q435</f>
        <v>245.212234506827</v>
      </c>
      <c r="AG435" s="79">
        <f>VLOOKUP(B435,'Player Data'!$A1:$AE667,21,FALSE)*$Q435</f>
        <v>341.614321297788</v>
      </c>
      <c r="AH435" s="81">
        <f>VLOOKUP(B435,'Player Data'!$A1:$AE667,22,FALSE)</f>
        <v>0.417861516458827</v>
      </c>
      <c r="AI435" s="77"/>
      <c r="AJ435" s="79"/>
      <c r="AK435" s="79"/>
      <c r="AL435" s="79"/>
      <c r="AM435" s="79"/>
      <c r="AN435" s="79"/>
      <c r="AO435" s="79"/>
      <c r="AP435" s="79"/>
      <c r="AQ435" s="82"/>
      <c r="AR435" s="83"/>
      <c r="AS435" s="84"/>
    </row>
    <row r="436" ht="21.25" customHeight="1">
      <c r="A436" s="85">
        <f>RANK(K436,K$1:K$665)</f>
        <v>444</v>
      </c>
      <c r="B436" t="s" s="16">
        <v>626</v>
      </c>
      <c r="C436" t="s" s="69">
        <v>127</v>
      </c>
      <c r="D436" t="s" s="70">
        <f>VLOOKUP(B436,'Player Data'!A1:D667,4,FALSE)</f>
        <v>178</v>
      </c>
      <c r="E436" s="102">
        <f>VLOOKUP(B436,'LW'!A1:C152,3,FALSE)</f>
        <v>109</v>
      </c>
      <c r="F436" t="s" s="100">
        <f>VLOOKUP(B436,'Player Data'!A1:B667,2,FALSE)</f>
        <v>172</v>
      </c>
      <c r="G436" s="11">
        <f>VLOOKUP(B436,'Player Data'!A1:D667,3,FALSE)</f>
        <v>26</v>
      </c>
      <c r="H436" s="94">
        <f>_xlfn.IFERROR(VLOOKUP(B436,'ADP'!A1:G665,7,FALSE)/1000000,VLOOKUP(B436,'ADP'!A1:G665,7,FALSE))</f>
        <v>0.925</v>
      </c>
      <c r="I436" s="74">
        <f>IF('Settings'!$E$15="POINTS",((R436*Q436)*'Settings'!$B$12)+(S436*'Settings'!$B$2)+(T436*'Settings'!$B$3)+(U436*'Settings'!$B$4)+(V436*'Settings'!$B$5)+(X436*'Settings'!$B$9)+(AA436*'Settings'!$B$6)+(W436*'Settings'!$B$8)+(AB436*'Settings'!$B$7)+(AC436*'Settings'!$B$14)+(AD436*'Settings'!$B$15)+(AE436*'Settings'!$B$16)+(AF436*'Settings'!$B$17)+(AG436*'Settings'!$B$18)+(Y436*'Settings'!$B$10)+(Z436*'Settings'!$B$11),VLOOKUP(B436,'Standard Deviations'!A1:C666,3,FALSE))</f>
        <v>194.322700309115</v>
      </c>
      <c r="J436" s="75">
        <f>IF(D436="G",I436/AJ436,I436/Q436)</f>
        <v>2.75449449390999</v>
      </c>
      <c r="K436" s="74">
        <f>IF('Settings'!$E$18="C/LW/RW",VLOOKUP(B436,'LW'!A1:F152,6,FALSE),VLOOKUP(B436,'F'!A1:F392,6,FALSE))</f>
        <v>-137.397411457097</v>
      </c>
      <c r="L436" s="76">
        <f>_xlfn.IFERROR(K436/H436,"N/A")</f>
        <v>-148.537742115781</v>
      </c>
      <c r="M436" s="109">
        <f>IF('Settings'!$E$9="YAHOO",VLOOKUP(B436,'ADP'!A1:E665,2,FALSE),IF('Settings'!$E$9="ESPN",VLOOKUP(B436,'ADP'!A1:E665,3,FALSE),IF('Settings'!$E$9="FANTRAX",VLOOKUP(B436,'ADP'!A1:E665,4,FALSE),VLOOKUP(B436,'ADP'!A1:E665,5,FALSE))))</f>
        <v>0</v>
      </c>
      <c r="N436" s="79">
        <f>_xlfn.IFERROR(M436-A436,"N/A")</f>
        <v>-444</v>
      </c>
      <c r="O436" s="77"/>
      <c r="P436" t="s" s="78">
        <f>IF('Settings'!$E$27="ON",VLOOKUP(B436,'ADP'!A1:H665,8,FALSE)," ")</f>
        <v>138</v>
      </c>
      <c r="Q436" s="79">
        <f>IF('Settings'!$E$12="YES",VLOOKUP(B436,'Player Data'!A1:E667,5,FALSE),82)</f>
        <v>70.5475</v>
      </c>
      <c r="R436" s="77">
        <f>VLOOKUP(B436,'Player Data'!$A1:$AE667,6,FALSE)</f>
        <v>15.4189461740625</v>
      </c>
      <c r="S436" s="79">
        <f>VLOOKUP(B436,'Player Data'!$A1:$AE667,7,FALSE)*$Q436*_xlfn.IFERROR((VLOOKUP(P436,'Settings'!$E$28:$F$33,2,FALSE)+1),1)</f>
        <v>15.3058761199708</v>
      </c>
      <c r="T436" s="79">
        <f>VLOOKUP(B436,'Player Data'!$A1:$AE667,8,FALSE)*$Q436*_xlfn.IFERROR((VLOOKUP(P436,'Settings'!$E$28:$F$33,2,FALSE)+1),1)</f>
        <v>17.380111919335</v>
      </c>
      <c r="U436" s="79">
        <f>SUM(S436:T436)</f>
        <v>32.6859880393058</v>
      </c>
      <c r="V436" s="79">
        <f>VLOOKUP(B436,'Player Data'!$A1:$AE667,10,FALSE)*$Q436*_xlfn.IFERROR(((VLOOKUP(P436,'Settings'!$E$28:$F$33,2,FALSE)/2)+1),1)</f>
        <v>138.7280027976</v>
      </c>
      <c r="W436" s="79">
        <f>VLOOKUP(B436,'Player Data'!$A1:$AE667,11,FALSE)*$Q436*_xlfn.IFERROR((VLOOKUP(P436,'Settings'!$E$28:$F$33,2,FALSE)+1),1)</f>
        <v>0.0636573927263229</v>
      </c>
      <c r="X436" s="79">
        <f>VLOOKUP(B436,'Player Data'!$A1:$AE667,12,FALSE)*$Q436*_xlfn.IFERROR((VLOOKUP(P436,'Settings'!$E$28:$F$33,2,FALSE)+1),1)</f>
        <v>0.147227296626592</v>
      </c>
      <c r="Y436" s="79">
        <f>VLOOKUP(B436,'Player Data'!$A1:$AE667,13,FALSE)*$Q436</f>
        <v>1.00537316667574</v>
      </c>
      <c r="Z436" s="79">
        <f>VLOOKUP(B436,'Player Data'!$A1:$AE667,14,FALSE)*$Q436</f>
        <v>1.99447274390769</v>
      </c>
      <c r="AA436" s="79">
        <f>VLOOKUP(B436,'Player Data'!$A1:$AE667,15,FALSE)*$Q436</f>
        <v>48.8512712252618</v>
      </c>
      <c r="AB436" s="79">
        <f>VLOOKUP(B436,'Player Data'!$A1:$AE667,16,FALSE)*$Q436</f>
        <v>60.4570557136279</v>
      </c>
      <c r="AC436" s="79">
        <f>VLOOKUP(B436,'Player Data'!$A1:$AE667,17,FALSE)*$Q436*_xlfn.IFERROR((VLOOKUP(P436,'Settings'!$E$28:$F$33,2,FALSE)+1),1)</f>
        <v>0.181044092036439</v>
      </c>
      <c r="AD436" s="79">
        <f>VLOOKUP(B436,'Player Data'!$A1:$AE667,18,FALSE)*$Q436</f>
        <v>22.3677925090733</v>
      </c>
      <c r="AE436" s="79">
        <f>VLOOKUP(B436,'Player Data'!$A1:$AE667,19,FALSE)*$Q436*_xlfn.IFERROR((VLOOKUP(P436,'Settings'!$E$28:$F$33,2,FALSE)+1),1)</f>
        <v>2.26898749688823</v>
      </c>
      <c r="AF436" s="79">
        <f>VLOOKUP(B436,'Player Data'!$A1:$AE667,20,FALSE)*$Q436</f>
        <v>22.8728645846868</v>
      </c>
      <c r="AG436" s="79">
        <f>VLOOKUP(B436,'Player Data'!$A1:$AE667,21,FALSE)*$Q436</f>
        <v>27.2414643391698</v>
      </c>
      <c r="AH436" s="81">
        <f>VLOOKUP(B436,'Player Data'!$A1:$AE667,22,FALSE)</f>
        <v>0.456413666028327</v>
      </c>
      <c r="AI436" s="77"/>
      <c r="AJ436" s="79"/>
      <c r="AK436" s="79"/>
      <c r="AL436" s="79"/>
      <c r="AM436" s="79"/>
      <c r="AN436" s="79"/>
      <c r="AO436" s="79"/>
      <c r="AP436" s="79"/>
      <c r="AQ436" s="82"/>
      <c r="AR436" s="83"/>
      <c r="AS436" s="84"/>
    </row>
    <row r="437" ht="21.25" customHeight="1">
      <c r="A437" s="85">
        <f>RANK(K437,K$1:K$665)</f>
        <v>418</v>
      </c>
      <c r="B437" t="s" s="16">
        <v>627</v>
      </c>
      <c r="C437" t="s" s="69">
        <v>127</v>
      </c>
      <c r="D437" t="s" s="70">
        <f>VLOOKUP(B437,'Player Data'!A1:D667,4,FALSE)</f>
        <v>153</v>
      </c>
      <c r="E437" s="95">
        <f>VLOOKUP(B437,'D'!A1:C213,3,FALSE)</f>
        <v>140</v>
      </c>
      <c r="F437" t="s" s="78">
        <f>VLOOKUP(B437,'Player Data'!A1:B667,2,FALSE)</f>
        <v>244</v>
      </c>
      <c r="G437" s="91">
        <f>VLOOKUP(B437,'Player Data'!A1:D667,3,FALSE)</f>
        <v>37</v>
      </c>
      <c r="H437" s="94">
        <f>_xlfn.IFERROR(VLOOKUP(B437,'ADP'!A1:G665,7,FALSE)/1000000,VLOOKUP(B437,'ADP'!A1:G665,7,FALSE))</f>
        <v>4</v>
      </c>
      <c r="I437" s="74">
        <f>IF('Settings'!$E$15="POINTS",((R437*Q437)*'Settings'!$B$12)+(S437*'Settings'!$B$2)+(T437*'Settings'!$B$3)+(U437*'Settings'!$B$4)+(V437*'Settings'!$B$5)+(X437*'Settings'!$B$9)+(AA437*'Settings'!$B$6)+(W437*'Settings'!$B$8)+(AB437*'Settings'!$B$7)+(AC437*'Settings'!$B$14)+(AD437*'Settings'!$B$15)+(AE437*'Settings'!$B$16)+(AF437*'Settings'!$B$17)+(AG437*'Settings'!$B$18)+(U437*'Settings'!$B$13)+(Y437*'Settings'!$B$10)+(Z437*'Settings'!$B$11),VLOOKUP(B437,'Standard Deviations'!A1:C666,3,FALSE))</f>
        <v>201.165291392595</v>
      </c>
      <c r="J437" s="75">
        <f>IF(D437="G",I437/AJ437,I437/Q437)</f>
        <v>2.83531066092452</v>
      </c>
      <c r="K437" s="74">
        <f>VLOOKUP(B437,'D'!A1:F213,6,FALSE)</f>
        <v>-130.374916527487</v>
      </c>
      <c r="L437" s="76">
        <f>_xlfn.IFERROR(K437/H437,"N/A")</f>
        <v>-32.5937291318718</v>
      </c>
      <c r="M437" s="109">
        <f>IF('Settings'!$E$9="YAHOO",VLOOKUP(B437,'ADP'!A1:E665,2,FALSE),IF('Settings'!$E$9="ESPN",VLOOKUP(B437,'ADP'!A1:E665,3,FALSE),IF('Settings'!$E$9="FANTRAX",VLOOKUP(B437,'ADP'!A1:E665,4,FALSE),VLOOKUP(B437,'ADP'!A1:E665,5,FALSE))))</f>
        <v>0</v>
      </c>
      <c r="N437" s="79">
        <f>_xlfn.IFERROR(M437-A437,"N/A")</f>
        <v>-418</v>
      </c>
      <c r="O437" s="77"/>
      <c r="P437" t="s" s="78">
        <f>IF('Settings'!$E$27="ON",VLOOKUP(B437,'ADP'!A1:H665,8,FALSE)," ")</f>
        <v>138</v>
      </c>
      <c r="Q437" s="79">
        <f>IF('Settings'!$E$12="YES",VLOOKUP(B437,'Player Data'!A1:E667,5,FALSE),82)</f>
        <v>70.95</v>
      </c>
      <c r="R437" s="108">
        <f>VLOOKUP(B437,'Player Data'!$A1:$AE667,6,FALSE)</f>
        <v>17.3122438319067</v>
      </c>
      <c r="S437" s="79">
        <f>VLOOKUP(B437,'Player Data'!$A1:$AE667,7,FALSE)*$Q437*_xlfn.IFERROR((VLOOKUP(P437,'Settings'!$E$28:$F$33,2,FALSE)+1),1)</f>
        <v>3.09960797221372</v>
      </c>
      <c r="T437" s="79">
        <f>VLOOKUP(B437,'Player Data'!$A1:$AE667,8,FALSE)*$Q437*_xlfn.IFERROR((VLOOKUP(P437,'Settings'!$E$28:$F$33,2,FALSE)+1),1)</f>
        <v>10.0791777078916</v>
      </c>
      <c r="U437" s="79">
        <f>SUM(S437:T437)</f>
        <v>13.1787856801053</v>
      </c>
      <c r="V437" s="79">
        <f>VLOOKUP(B437,'Player Data'!$A1:$AE667,10,FALSE)*$Q437*_xlfn.IFERROR(((VLOOKUP(P437,'Settings'!$E$28:$F$33,2,FALSE)/2)+1),1)</f>
        <v>72.4973711801418</v>
      </c>
      <c r="W437" s="79">
        <f>VLOOKUP(B437,'Player Data'!$A1:$AE667,11,FALSE)*$Q437*_xlfn.IFERROR((VLOOKUP(P437,'Settings'!$E$28:$F$33,2,FALSE)+1),1)</f>
        <v>0.00994036449788531</v>
      </c>
      <c r="X437" s="79">
        <f>VLOOKUP(B437,'Player Data'!$A1:$AE667,12,FALSE)*$Q437*_xlfn.IFERROR((VLOOKUP(P437,'Settings'!$E$28:$F$33,2,FALSE)+1),1)</f>
        <v>0.163450435619779</v>
      </c>
      <c r="Y437" s="79">
        <f>VLOOKUP(B437,'Player Data'!$A1:$AE667,13,FALSE)*$Q437</f>
        <v>0.0140917012939889</v>
      </c>
      <c r="Z437" s="79">
        <f>VLOOKUP(B437,'Player Data'!$A1:$AE667,14,FALSE)*$Q437</f>
        <v>0.074158709066709</v>
      </c>
      <c r="AA437" s="79">
        <f>VLOOKUP(B437,'Player Data'!$A1:$AE667,15,FALSE)*$Q437</f>
        <v>170.715124938857</v>
      </c>
      <c r="AB437" s="79">
        <f>VLOOKUP(B437,'Player Data'!$A1:$AE667,16,FALSE)*$Q437</f>
        <v>56.4573253910115</v>
      </c>
      <c r="AC437" s="79">
        <f>VLOOKUP(B437,'Player Data'!$A1:$AE667,17,FALSE)*$Q437*_xlfn.IFERROR((VLOOKUP(P437,'Settings'!$E$28:$F$33,2,FALSE)+1),1)</f>
        <v>-0.108174810341625</v>
      </c>
      <c r="AD437" s="79">
        <f>VLOOKUP(B437,'Player Data'!$A1:$AE667,18,FALSE)*$Q437</f>
        <v>18.8039965320588</v>
      </c>
      <c r="AE437" s="79">
        <f>VLOOKUP(B437,'Player Data'!$A1:$AE667,19,FALSE)*$Q437*_xlfn.IFERROR((VLOOKUP(P437,'Settings'!$E$28:$F$33,2,FALSE)+1),1)</f>
        <v>0.400578596699355</v>
      </c>
      <c r="AF437" s="79">
        <f>VLOOKUP(B437,'Player Data'!$A1:$AE667,20,FALSE)*$Q437</f>
        <v>0</v>
      </c>
      <c r="AG437" s="79">
        <f>VLOOKUP(B437,'Player Data'!$A1:$AE667,21,FALSE)*$Q437</f>
        <v>0</v>
      </c>
      <c r="AH437" s="81">
        <f>VLOOKUP(B437,'Player Data'!$A1:$AE667,22,FALSE)</f>
        <v>0</v>
      </c>
      <c r="AI437" s="77"/>
      <c r="AJ437" s="89"/>
      <c r="AK437" s="79"/>
      <c r="AL437" s="79"/>
      <c r="AM437" s="79"/>
      <c r="AN437" s="79"/>
      <c r="AO437" s="79"/>
      <c r="AP437" s="79"/>
      <c r="AQ437" s="82"/>
      <c r="AR437" s="83"/>
      <c r="AS437" s="84"/>
    </row>
    <row r="438" ht="21.25" customHeight="1">
      <c r="A438" s="85">
        <f>RANK(K438,K$1:K$665)</f>
        <v>445</v>
      </c>
      <c r="B438" t="s" s="16">
        <v>628</v>
      </c>
      <c r="C438" t="s" s="69">
        <v>127</v>
      </c>
      <c r="D438" t="s" s="70">
        <f>VLOOKUP(B438,'Player Data'!A1:D667,4,FALSE)</f>
        <v>178</v>
      </c>
      <c r="E438" s="102">
        <f>VLOOKUP(B438,'LW'!A1:C152,3,FALSE)</f>
        <v>110</v>
      </c>
      <c r="F438" t="s" s="86">
        <f>VLOOKUP(B438,'Player Data'!A1:B667,2,FALSE)</f>
        <v>154</v>
      </c>
      <c r="G438" s="96">
        <f>VLOOKUP(B438,'Player Data'!A1:D667,3,FALSE)</f>
        <v>19</v>
      </c>
      <c r="H438" s="73">
        <f>_xlfn.IFERROR(VLOOKUP(B438,'ADP'!A1:G665,7,FALSE)/1000000,VLOOKUP(B438,'ADP'!A1:G665,7,FALSE))</f>
        <v>0.95</v>
      </c>
      <c r="I438" s="74">
        <f>IF('Settings'!$E$15="POINTS",((R438*Q438)*'Settings'!$B$12)+(S438*'Settings'!$B$2)+(T438*'Settings'!$B$3)+(U438*'Settings'!$B$4)+(V438*'Settings'!$B$5)+(X438*'Settings'!$B$9)+(AA438*'Settings'!$B$6)+(W438*'Settings'!$B$8)+(AB438*'Settings'!$B$7)+(AC438*'Settings'!$B$14)+(AD438*'Settings'!$B$15)+(AE438*'Settings'!$B$16)+(AF438*'Settings'!$B$17)+(AG438*'Settings'!$B$18)+(Y438*'Settings'!$B$10)+(Z438*'Settings'!$B$11),VLOOKUP(B438,'Standard Deviations'!A1:C666,3,FALSE))</f>
        <v>194.053287014015</v>
      </c>
      <c r="J438" s="75">
        <f>IF(D438="G",I438/AJ438,I438/Q438)</f>
        <v>2.50504469133176</v>
      </c>
      <c r="K438" s="74">
        <f>IF('Settings'!$E$18="C/LW/RW",VLOOKUP(B438,'LW'!A1:F152,6,FALSE),VLOOKUP(B438,'F'!A1:F392,6,FALSE))</f>
        <v>-137.666824752197</v>
      </c>
      <c r="L438" s="76">
        <f>_xlfn.IFERROR(K438/H438,"N/A")</f>
        <v>-144.912447107576</v>
      </c>
      <c r="M438" s="109">
        <f>IF('Settings'!$E$9="YAHOO",VLOOKUP(B438,'ADP'!A1:E665,2,FALSE),IF('Settings'!$E$9="ESPN",VLOOKUP(B438,'ADP'!A1:E665,3,FALSE),IF('Settings'!$E$9="FANTRAX",VLOOKUP(B438,'ADP'!A1:E665,4,FALSE),VLOOKUP(B438,'ADP'!A1:E665,5,FALSE))))</f>
        <v>0</v>
      </c>
      <c r="N438" s="79">
        <f>_xlfn.IFERROR(M438-A438,"N/A")</f>
        <v>-445</v>
      </c>
      <c r="O438" s="77"/>
      <c r="P438" t="s" s="78">
        <f>IF('Settings'!$E$27="ON",VLOOKUP(B438,'ADP'!A1:H665,8,FALSE)," ")</f>
        <v>138</v>
      </c>
      <c r="Q438" s="79">
        <f>IF('Settings'!$E$12="YES",VLOOKUP(B438,'Player Data'!A1:E667,5,FALSE),82)</f>
        <v>77.465</v>
      </c>
      <c r="R438" s="77">
        <f>VLOOKUP(B438,'Player Data'!$A1:$AE667,6,FALSE)</f>
        <v>15.2010056811215</v>
      </c>
      <c r="S438" s="79">
        <f>VLOOKUP(B438,'Player Data'!$A1:$AE667,7,FALSE)*$Q438*_xlfn.IFERROR((VLOOKUP(P438,'Settings'!$E$28:$F$33,2,FALSE)+1),1)</f>
        <v>16.243738160258</v>
      </c>
      <c r="T438" s="79">
        <f>VLOOKUP(B438,'Player Data'!$A1:$AE667,8,FALSE)*$Q438*_xlfn.IFERROR((VLOOKUP(P438,'Settings'!$E$28:$F$33,2,FALSE)+1),1)</f>
        <v>25.5358045894455</v>
      </c>
      <c r="U438" s="79">
        <f>SUM(S438:T438)</f>
        <v>41.7795427497035</v>
      </c>
      <c r="V438" s="79">
        <f>VLOOKUP(B438,'Player Data'!$A1:$AE667,10,FALSE)*$Q438*_xlfn.IFERROR(((VLOOKUP(P438,'Settings'!$E$28:$F$33,2,FALSE)/2)+1),1)</f>
        <v>123.081915747398</v>
      </c>
      <c r="W438" s="79">
        <f>VLOOKUP(B438,'Player Data'!$A1:$AE667,11,FALSE)*$Q438*_xlfn.IFERROR((VLOOKUP(P438,'Settings'!$E$28:$F$33,2,FALSE)+1),1)</f>
        <v>1.41426110902013</v>
      </c>
      <c r="X438" s="79">
        <f>VLOOKUP(B438,'Player Data'!$A1:$AE667,12,FALSE)*$Q438*_xlfn.IFERROR((VLOOKUP(P438,'Settings'!$E$28:$F$33,2,FALSE)+1),1)</f>
        <v>5.40042198123317</v>
      </c>
      <c r="Y438" s="79">
        <f>VLOOKUP(B438,'Player Data'!$A1:$AE667,13,FALSE)*$Q438</f>
        <v>0.116400413402212</v>
      </c>
      <c r="Z438" s="79">
        <f>VLOOKUP(B438,'Player Data'!$A1:$AE667,14,FALSE)*$Q438</f>
        <v>0.193922565418285</v>
      </c>
      <c r="AA438" s="79">
        <f>VLOOKUP(B438,'Player Data'!$A1:$AE667,15,FALSE)*$Q438</f>
        <v>38.6330565274807</v>
      </c>
      <c r="AB438" s="79">
        <f>VLOOKUP(B438,'Player Data'!$A1:$AE667,16,FALSE)*$Q438</f>
        <v>48.8585344362839</v>
      </c>
      <c r="AC438" s="79">
        <f>VLOOKUP(B438,'Player Data'!$A1:$AE667,17,FALSE)*$Q438*_xlfn.IFERROR((VLOOKUP(P438,'Settings'!$E$28:$F$33,2,FALSE)+1),1)</f>
        <v>-0.514776764603725</v>
      </c>
      <c r="AD438" s="79">
        <f>VLOOKUP(B438,'Player Data'!$A1:$AE667,18,FALSE)*$Q438</f>
        <v>37.6332446909227</v>
      </c>
      <c r="AE438" s="79">
        <f>VLOOKUP(B438,'Player Data'!$A1:$AE667,19,FALSE)*$Q438*_xlfn.IFERROR((VLOOKUP(P438,'Settings'!$E$28:$F$33,2,FALSE)+1),1)</f>
        <v>2.29776506166343</v>
      </c>
      <c r="AF438" s="79">
        <f>VLOOKUP(B438,'Player Data'!$A1:$AE667,20,FALSE)*$Q438</f>
        <v>5.71219380966927</v>
      </c>
      <c r="AG438" s="79">
        <f>VLOOKUP(B438,'Player Data'!$A1:$AE667,21,FALSE)*$Q438</f>
        <v>13.7092651432062</v>
      </c>
      <c r="AH438" s="81">
        <f>VLOOKUP(B438,'Player Data'!$A1:$AE667,22,FALSE)</f>
        <v>0.294117647058824</v>
      </c>
      <c r="AI438" s="77"/>
      <c r="AJ438" s="79"/>
      <c r="AK438" s="79"/>
      <c r="AL438" s="79"/>
      <c r="AM438" s="79"/>
      <c r="AN438" s="79"/>
      <c r="AO438" s="79"/>
      <c r="AP438" s="79"/>
      <c r="AQ438" s="82"/>
      <c r="AR438" s="83"/>
      <c r="AS438" s="84"/>
    </row>
    <row r="439" ht="21.25" customHeight="1">
      <c r="A439" s="85">
        <f>RANK(K439,K$1:K$665)</f>
        <v>409</v>
      </c>
      <c r="B439" t="s" s="16">
        <v>629</v>
      </c>
      <c r="C439" t="s" s="69">
        <v>127</v>
      </c>
      <c r="D439" t="s" s="70">
        <f>VLOOKUP(B439,'Player Data'!A1:D667,4,FALSE)</f>
        <v>161</v>
      </c>
      <c r="E439" s="99">
        <f>VLOOKUP(B439,'G'!A1:D65,3,FALSE)</f>
        <v>52</v>
      </c>
      <c r="F439" t="s" s="88">
        <f>VLOOKUP(B439,'Player Data'!A1:B667,2,FALSE)</f>
        <v>218</v>
      </c>
      <c r="G439" s="96">
        <f>VLOOKUP(B439,'Player Data'!A1:D667,3,FALSE)</f>
        <v>23</v>
      </c>
      <c r="H439" s="94">
        <f>_xlfn.IFERROR(VLOOKUP(B439,'ADP'!A1:G665,7,FALSE)/1000000,VLOOKUP(B439,'ADP'!A1:G665,7,FALSE))</f>
        <v>0.775</v>
      </c>
      <c r="I439" s="74">
        <f>IF('Settings'!$E$15="POINTS",(AJ439*'Settings'!$B$29)+(AK439*'Settings'!$B$21)+(AL439*'Settings'!$B$22)+(AN439*'Settings'!$B$24)+(AO439*'Settings'!$B$25)+(AP439*'Settings'!$B$27)+(AM439*'Settings'!$B$23),VLOOKUP(B439,'Standard Deviations'!A1:C666,3,FALSE))</f>
        <v>140.165228893636</v>
      </c>
      <c r="J439" s="75">
        <f>IF(D439="G",I439/AJ439,I439/Q439)</f>
        <v>5.39097034206292</v>
      </c>
      <c r="K439" s="74">
        <f>VLOOKUP(B439,'G'!A1:F65,6,FALSE)</f>
        <v>-127.425785670954</v>
      </c>
      <c r="L439" s="76">
        <f>_xlfn.IFERROR(K439/H439,"N/A")</f>
        <v>-164.420368607683</v>
      </c>
      <c r="M439" s="109">
        <f>IF('Settings'!$E$9="YAHOO",VLOOKUP(B439,'ADP'!A1:E665,2,FALSE),IF('Settings'!$E$9="ESPN",VLOOKUP(B439,'ADP'!A1:E665,3,FALSE),IF('Settings'!$E$9="FANTRAX",VLOOKUP(B439,'ADP'!A1:E665,4,FALSE),VLOOKUP(B439,'ADP'!A1:E665,5,FALSE))))</f>
        <v>0</v>
      </c>
      <c r="N439" s="79">
        <f>_xlfn.IFERROR(M439-A439,"N/A")</f>
        <v>-409</v>
      </c>
      <c r="O439" s="77"/>
      <c r="P439" t="s" s="78">
        <f>IF('Settings'!$E$27="ON",VLOOKUP(B439,'ADP'!A1:H665,8,FALSE)," ")</f>
        <v>138</v>
      </c>
      <c r="Q439" s="79"/>
      <c r="R439" s="77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81"/>
      <c r="AI439" s="77"/>
      <c r="AJ439" s="89">
        <f>VLOOKUP(B439,'Player Data'!$A1:$AE667,24,FALSE)</f>
        <v>26</v>
      </c>
      <c r="AK439" s="79">
        <f>VLOOKUP(B439,'Player Data'!$A1:$AE667,25,FALSE)*$AJ439*_xlfn.IFERROR((VLOOKUP(P439,'Settings'!$E$28:$F$33,2,FALSE)+1),1)</f>
        <v>11.5419176544274</v>
      </c>
      <c r="AL439" s="79">
        <f>AJ439-AK439-AM439</f>
        <v>11.2080823455726</v>
      </c>
      <c r="AM439" s="79">
        <f>VLOOKUP(B439,'Player Data'!$A1:$AE667,27,FALSE)*$AJ439</f>
        <v>3.25</v>
      </c>
      <c r="AN439" s="79">
        <f>VLOOKUP(B439,'Player Data'!$A1:$AE667,28,FALSE)*AJ439</f>
        <v>1.1064548189544</v>
      </c>
      <c r="AO439" s="79">
        <f>VLOOKUP(B439,'Player Data'!$A1:$AE667,29,FALSE)*$AJ439*_xlfn.IFERROR((VLOOKUP(P439,'Settings'!$E$28:$F$33,2,FALSE)/4)+1,1)</f>
        <v>748.587322130547</v>
      </c>
      <c r="AP439" s="79">
        <f>VLOOKUP(B439,'Player Data'!$A1:$AE667,31,FALSE)*$AJ439*(_xlfn.IFERROR(1-(VLOOKUP(P439,'Settings'!$E$28:$F$33,2,FALSE)/4),1))</f>
        <v>78.6679351636282</v>
      </c>
      <c r="AQ439" s="82">
        <f>1-(AP439/(AO439+AP439))</f>
        <v>0.904904883383952</v>
      </c>
      <c r="AR439" s="83">
        <f>AP439/AJ439</f>
        <v>3.0256898139857</v>
      </c>
      <c r="AS439" s="84"/>
    </row>
    <row r="440" ht="21.25" customHeight="1">
      <c r="A440" s="85">
        <f>RANK(K440,K$1:K$665)</f>
        <v>420</v>
      </c>
      <c r="B440" t="s" s="16">
        <v>630</v>
      </c>
      <c r="C440" t="s" s="69">
        <v>127</v>
      </c>
      <c r="D440" t="s" s="70">
        <f>VLOOKUP(B440,'Player Data'!A1:D667,4,FALSE)</f>
        <v>153</v>
      </c>
      <c r="E440" s="95">
        <f>VLOOKUP(B440,'D'!A1:C213,3,FALSE)</f>
        <v>141</v>
      </c>
      <c r="F440" t="s" s="88">
        <f>VLOOKUP(B440,'Player Data'!A1:B667,2,FALSE)</f>
        <v>239</v>
      </c>
      <c r="G440" s="96">
        <f>VLOOKUP(B440,'Player Data'!A1:D667,3,FALSE)</f>
        <v>23</v>
      </c>
      <c r="H440" s="73">
        <f>_xlfn.IFERROR(VLOOKUP(B440,'ADP'!A1:G665,7,FALSE)/1000000,VLOOKUP(B440,'ADP'!A1:G665,7,FALSE))</f>
        <v>1.3</v>
      </c>
      <c r="I440" s="74">
        <f>IF('Settings'!$E$15="POINTS",((R440*Q440)*'Settings'!$B$12)+(S440*'Settings'!$B$2)+(T440*'Settings'!$B$3)+(U440*'Settings'!$B$4)+(V440*'Settings'!$B$5)+(X440*'Settings'!$B$9)+(AA440*'Settings'!$B$6)+(W440*'Settings'!$B$8)+(AB440*'Settings'!$B$7)+(AC440*'Settings'!$B$14)+(AD440*'Settings'!$B$15)+(AE440*'Settings'!$B$16)+(AF440*'Settings'!$B$17)+(AG440*'Settings'!$B$18)+(U440*'Settings'!$B$13)+(Y440*'Settings'!$B$10)+(Z440*'Settings'!$B$11),VLOOKUP(B440,'Standard Deviations'!A1:C666,3,FALSE))</f>
        <v>200.431587694956</v>
      </c>
      <c r="J440" s="75">
        <f>IF(D440="G",I440/AJ440,I440/Q440)</f>
        <v>2.96836739894044</v>
      </c>
      <c r="K440" s="74">
        <f>VLOOKUP(B440,'D'!A1:F213,6,FALSE)</f>
        <v>-131.108620225126</v>
      </c>
      <c r="L440" s="76">
        <f>_xlfn.IFERROR(K440/H440,"N/A")</f>
        <v>-100.852784788558</v>
      </c>
      <c r="M440" s="77">
        <f>IF('Settings'!$E$9="YAHOO",VLOOKUP(B440,'ADP'!A1:E665,2,FALSE),IF('Settings'!$E$9="ESPN",VLOOKUP(B440,'ADP'!A1:E665,3,FALSE),IF('Settings'!$E$9="FANTRAX",VLOOKUP(B440,'ADP'!A1:E665,4,FALSE),VLOOKUP(B440,'ADP'!A1:E665,5,FALSE))))</f>
        <v>0</v>
      </c>
      <c r="N440" s="77">
        <f>_xlfn.IFERROR(M440-A440,"N/A")</f>
        <v>-420</v>
      </c>
      <c r="O440" s="77"/>
      <c r="P440" t="s" s="78">
        <f>IF('Settings'!$E$27="ON",VLOOKUP(B440,'ADP'!A1:H665,8,FALSE)," ")</f>
        <v>138</v>
      </c>
      <c r="Q440" s="79">
        <f>IF('Settings'!$E$12="YES",VLOOKUP(B440,'Player Data'!A1:E667,5,FALSE),82)</f>
        <v>67.52249999999999</v>
      </c>
      <c r="R440" s="77">
        <f>VLOOKUP(B440,'Player Data'!$A1:$AE667,6,FALSE)</f>
        <v>15.6259097813542</v>
      </c>
      <c r="S440" s="79">
        <f>VLOOKUP(B440,'Player Data'!$A1:$AE667,7,FALSE)*$Q440*_xlfn.IFERROR((VLOOKUP(P440,'Settings'!$E$28:$F$33,2,FALSE)+1),1)</f>
        <v>4.32946024194288</v>
      </c>
      <c r="T440" s="79">
        <f>VLOOKUP(B440,'Player Data'!$A1:$AE667,8,FALSE)*$Q440*_xlfn.IFERROR((VLOOKUP(P440,'Settings'!$E$28:$F$33,2,FALSE)+1),1)</f>
        <v>11.0498043363898</v>
      </c>
      <c r="U440" s="79">
        <f>SUM(S440:T440)</f>
        <v>15.3792645783327</v>
      </c>
      <c r="V440" s="79">
        <f>VLOOKUP(B440,'Player Data'!$A1:$AE667,10,FALSE)*$Q440*_xlfn.IFERROR(((VLOOKUP(P440,'Settings'!$E$28:$F$33,2,FALSE)/2)+1),1)</f>
        <v>83.9913432474801</v>
      </c>
      <c r="W440" s="79">
        <f>VLOOKUP(B440,'Player Data'!$A1:$AE667,11,FALSE)*$Q440*_xlfn.IFERROR((VLOOKUP(P440,'Settings'!$E$28:$F$33,2,FALSE)+1),1)</f>
        <v>0.2668278386328</v>
      </c>
      <c r="X440" s="79">
        <f>VLOOKUP(B440,'Player Data'!$A1:$AE667,12,FALSE)*$Q440*_xlfn.IFERROR((VLOOKUP(P440,'Settings'!$E$28:$F$33,2,FALSE)+1),1)</f>
        <v>0.66311729570679</v>
      </c>
      <c r="Y440" s="79">
        <f>VLOOKUP(B440,'Player Data'!$A1:$AE667,13,FALSE)*$Q440</f>
        <v>0.0333507544283127</v>
      </c>
      <c r="Z440" s="79">
        <f>VLOOKUP(B440,'Player Data'!$A1:$AE667,14,FALSE)*$Q440</f>
        <v>0.16530272035903</v>
      </c>
      <c r="AA440" s="79">
        <f>VLOOKUP(B440,'Player Data'!$A1:$AE667,15,FALSE)*$Q440</f>
        <v>78.771045589908</v>
      </c>
      <c r="AB440" s="79">
        <f>VLOOKUP(B440,'Player Data'!$A1:$AE667,16,FALSE)*$Q440</f>
        <v>155.359385757199</v>
      </c>
      <c r="AC440" s="79">
        <f>VLOOKUP(B440,'Player Data'!$A1:$AE667,17,FALSE)*$Q440*_xlfn.IFERROR((VLOOKUP(P440,'Settings'!$E$28:$F$33,2,FALSE)+1),1)</f>
        <v>-3.10077313710723</v>
      </c>
      <c r="AD440" s="79">
        <f>VLOOKUP(B440,'Player Data'!$A1:$AE667,18,FALSE)*$Q440</f>
        <v>74.0065490557804</v>
      </c>
      <c r="AE440" s="79">
        <f>VLOOKUP(B440,'Player Data'!$A1:$AE667,19,FALSE)*$Q440*_xlfn.IFERROR((VLOOKUP(P440,'Settings'!$E$28:$F$33,2,FALSE)+1),1)</f>
        <v>0.50178995199289</v>
      </c>
      <c r="AF440" s="79">
        <f>VLOOKUP(B440,'Player Data'!$A1:$AE667,20,FALSE)*$Q440</f>
        <v>0</v>
      </c>
      <c r="AG440" s="79">
        <f>VLOOKUP(B440,'Player Data'!$A1:$AE667,21,FALSE)*$Q440</f>
        <v>0</v>
      </c>
      <c r="AH440" s="81">
        <f>VLOOKUP(B440,'Player Data'!$A1:$AE667,22,FALSE)</f>
        <v>0</v>
      </c>
      <c r="AI440" s="77"/>
      <c r="AJ440" s="89"/>
      <c r="AK440" s="79"/>
      <c r="AL440" s="79"/>
      <c r="AM440" s="79"/>
      <c r="AN440" s="79"/>
      <c r="AO440" s="79"/>
      <c r="AP440" s="79"/>
      <c r="AQ440" s="82"/>
      <c r="AR440" s="83"/>
      <c r="AS440" s="84"/>
    </row>
    <row r="441" ht="21.25" customHeight="1">
      <c r="A441" s="85">
        <f>RANK(K441,K$1:K$665)</f>
        <v>424</v>
      </c>
      <c r="B441" t="s" s="16">
        <v>631</v>
      </c>
      <c r="C441" t="s" s="69">
        <v>127</v>
      </c>
      <c r="D441" t="s" s="70">
        <f>VLOOKUP(B441,'Player Data'!A1:D667,4,FALSE)</f>
        <v>153</v>
      </c>
      <c r="E441" s="95">
        <f>VLOOKUP(B441,'D'!A1:C213,3,FALSE)</f>
        <v>142</v>
      </c>
      <c r="F441" t="s" s="86">
        <f>VLOOKUP(B441,'Player Data'!A1:B667,2,FALSE)</f>
        <v>192</v>
      </c>
      <c r="G441" s="96">
        <f>VLOOKUP(B441,'Player Data'!A1:D667,3,FALSE)</f>
        <v>24</v>
      </c>
      <c r="H441" s="73">
        <f>_xlfn.IFERROR(VLOOKUP(B441,'ADP'!A1:G665,7,FALSE)/1000000,VLOOKUP(B441,'ADP'!A1:G665,7,FALSE))</f>
        <v>4.6</v>
      </c>
      <c r="I441" s="74">
        <f>IF('Settings'!$E$15="POINTS",((R441*Q441)*'Settings'!$B$12)+(S441*'Settings'!$B$2)+(T441*'Settings'!$B$3)+(U441*'Settings'!$B$4)+(V441*'Settings'!$B$5)+(X441*'Settings'!$B$9)+(AA441*'Settings'!$B$6)+(W441*'Settings'!$B$8)+(AB441*'Settings'!$B$7)+(AC441*'Settings'!$B$14)+(AD441*'Settings'!$B$15)+(AE441*'Settings'!$B$16)+(AF441*'Settings'!$B$17)+(AG441*'Settings'!$B$18)+(U441*'Settings'!$B$13)+(Y441*'Settings'!$B$10)+(Z441*'Settings'!$B$11),VLOOKUP(B441,'Standard Deviations'!A1:C666,3,FALSE))</f>
        <v>199.881063366092</v>
      </c>
      <c r="J441" s="75">
        <f>IF(D441="G",I441/AJ441,I441/Q441)</f>
        <v>2.6674815783017</v>
      </c>
      <c r="K441" s="74">
        <f>VLOOKUP(B441,'D'!A1:F213,6,FALSE)</f>
        <v>-131.659144553990</v>
      </c>
      <c r="L441" s="76">
        <f>_xlfn.IFERROR(K441/H441,"N/A")</f>
        <v>-28.6215531639109</v>
      </c>
      <c r="M441" s="109">
        <f>IF('Settings'!$E$9="YAHOO",VLOOKUP(B441,'ADP'!A1:E665,2,FALSE),IF('Settings'!$E$9="ESPN",VLOOKUP(B441,'ADP'!A1:E665,3,FALSE),IF('Settings'!$E$9="FANTRAX",VLOOKUP(B441,'ADP'!A1:E665,4,FALSE),VLOOKUP(B441,'ADP'!A1:E665,5,FALSE))))</f>
        <v>0</v>
      </c>
      <c r="N441" s="79">
        <f>_xlfn.IFERROR(M441-A441,"N/A")</f>
        <v>-424</v>
      </c>
      <c r="O441" s="77"/>
      <c r="P441" t="s" s="78">
        <f>IF('Settings'!$E$27="ON",VLOOKUP(B441,'ADP'!A1:H665,8,FALSE)," ")</f>
        <v>138</v>
      </c>
      <c r="Q441" s="79">
        <f>IF('Settings'!$E$12="YES",VLOOKUP(B441,'Player Data'!A1:E667,5,FALSE),82)</f>
        <v>74.9325</v>
      </c>
      <c r="R441" s="108">
        <f>VLOOKUP(B441,'Player Data'!$A1:$AE667,6,FALSE)</f>
        <v>18.0999414194841</v>
      </c>
      <c r="S441" s="79">
        <f>VLOOKUP(B441,'Player Data'!$A1:$AE667,7,FALSE)*$Q441*_xlfn.IFERROR((VLOOKUP(P441,'Settings'!$E$28:$F$33,2,FALSE)+1),1)</f>
        <v>5.29535461850544</v>
      </c>
      <c r="T441" s="79">
        <f>VLOOKUP(B441,'Player Data'!$A1:$AE667,8,FALSE)*$Q441*_xlfn.IFERROR((VLOOKUP(P441,'Settings'!$E$28:$F$33,2,FALSE)+1),1)</f>
        <v>19.4906043825696</v>
      </c>
      <c r="U441" s="79">
        <f>SUM(S441:T441)</f>
        <v>24.785959001075</v>
      </c>
      <c r="V441" s="79">
        <f>VLOOKUP(B441,'Player Data'!$A1:$AE667,10,FALSE)*$Q441*_xlfn.IFERROR(((VLOOKUP(P441,'Settings'!$E$28:$F$33,2,FALSE)/2)+1),1)</f>
        <v>78.84733824884211</v>
      </c>
      <c r="W441" s="79">
        <f>VLOOKUP(B441,'Player Data'!$A1:$AE667,11,FALSE)*$Q441*_xlfn.IFERROR((VLOOKUP(P441,'Settings'!$E$28:$F$33,2,FALSE)+1),1)</f>
        <v>0.0659011988551816</v>
      </c>
      <c r="X441" s="79">
        <f>VLOOKUP(B441,'Player Data'!$A1:$AE667,12,FALSE)*$Q441*_xlfn.IFERROR((VLOOKUP(P441,'Settings'!$E$28:$F$33,2,FALSE)+1),1)</f>
        <v>3.06567184934778</v>
      </c>
      <c r="Y441" s="79">
        <f>VLOOKUP(B441,'Player Data'!$A1:$AE667,13,FALSE)*$Q441</f>
        <v>0.0111088901103437</v>
      </c>
      <c r="Z441" s="79">
        <f>VLOOKUP(B441,'Player Data'!$A1:$AE667,14,FALSE)*$Q441</f>
        <v>0.0544860730150025</v>
      </c>
      <c r="AA441" s="79">
        <f>VLOOKUP(B441,'Player Data'!$A1:$AE667,15,FALSE)*$Q441</f>
        <v>97.367427912371</v>
      </c>
      <c r="AB441" s="79">
        <f>VLOOKUP(B441,'Player Data'!$A1:$AE667,16,FALSE)*$Q441</f>
        <v>92.2510171934269</v>
      </c>
      <c r="AC441" s="79">
        <f>VLOOKUP(B441,'Player Data'!$A1:$AE667,17,FALSE)*$Q441*_xlfn.IFERROR((VLOOKUP(P441,'Settings'!$E$28:$F$33,2,FALSE)+1),1)</f>
        <v>-2.44049945355786</v>
      </c>
      <c r="AD441" s="79">
        <f>VLOOKUP(B441,'Player Data'!$A1:$AE667,18,FALSE)*$Q441</f>
        <v>27.0012091826599</v>
      </c>
      <c r="AE441" s="79">
        <f>VLOOKUP(B441,'Player Data'!$A1:$AE667,19,FALSE)*$Q441*_xlfn.IFERROR((VLOOKUP(P441,'Settings'!$E$28:$F$33,2,FALSE)+1),1)</f>
        <v>0.7514771978168791</v>
      </c>
      <c r="AF441" s="79">
        <f>VLOOKUP(B441,'Player Data'!$A1:$AE667,20,FALSE)*$Q441</f>
        <v>0</v>
      </c>
      <c r="AG441" s="79">
        <f>VLOOKUP(B441,'Player Data'!$A1:$AE667,21,FALSE)*$Q441</f>
        <v>0</v>
      </c>
      <c r="AH441" s="81">
        <f>VLOOKUP(B441,'Player Data'!$A1:$AE667,22,FALSE)</f>
        <v>0</v>
      </c>
      <c r="AI441" s="77"/>
      <c r="AJ441" s="89"/>
      <c r="AK441" s="79"/>
      <c r="AL441" s="79"/>
      <c r="AM441" s="79"/>
      <c r="AN441" s="79"/>
      <c r="AO441" s="79"/>
      <c r="AP441" s="79"/>
      <c r="AQ441" s="82"/>
      <c r="AR441" s="83"/>
      <c r="AS441" s="84"/>
    </row>
    <row r="442" ht="21.25" customHeight="1">
      <c r="A442" s="85">
        <f>RANK(K442,K$1:K$665)</f>
        <v>460</v>
      </c>
      <c r="B442" t="s" s="16">
        <v>632</v>
      </c>
      <c r="C442" t="s" s="69">
        <v>127</v>
      </c>
      <c r="D442" t="s" s="70">
        <f>VLOOKUP(B442,'Player Data'!A1:D667,4,FALSE)</f>
        <v>128</v>
      </c>
      <c r="E442" s="71">
        <f>VLOOKUP(B442,'C'!A1:C206,3,FALSE)</f>
        <v>136</v>
      </c>
      <c r="F442" t="s" s="86">
        <f>VLOOKUP(B442,'Player Data'!A1:B667,2,FALSE)</f>
        <v>165</v>
      </c>
      <c r="G442" s="11">
        <f>VLOOKUP(B442,'Player Data'!A1:D667,3,FALSE)</f>
        <v>27</v>
      </c>
      <c r="H442" s="73">
        <f>_xlfn.IFERROR(VLOOKUP(B442,'ADP'!A1:G665,7,FALSE)/1000000,VLOOKUP(B442,'ADP'!A1:G665,7,FALSE))</f>
        <v>3.5</v>
      </c>
      <c r="I442" s="74">
        <f>IF('Settings'!$E$15="POINTS",((R442*Q442)*'Settings'!$B$12)+(S442*'Settings'!$B$2)+(T442*'Settings'!$B$3)+(U442*'Settings'!$B$4)+(V442*'Settings'!$B$5)+(X442*'Settings'!$B$9)+(AA442*'Settings'!$B$6)+(W442*'Settings'!$B$8)+(AB442*'Settings'!$B$7)+(AC442*'Settings'!$B$14)+(AD442*'Settings'!$B$15)+(AE442*'Settings'!$B$16)+(AF442*'Settings'!$B$17)+(AG442*'Settings'!$B$18)+(Y442*'Settings'!$B$10)+(Z442*'Settings'!$B$11),VLOOKUP(B442,'Standard Deviations'!A1:C666,3,FALSE))</f>
        <v>187.278682270619</v>
      </c>
      <c r="J442" s="75">
        <f>IF(D442="G",I442/AJ442,I442/Q442)</f>
        <v>2.6634243372057</v>
      </c>
      <c r="K442" s="74">
        <f>IF('Settings'!$E$18="C/LW/RW",VLOOKUP(B442,'C'!A1:F206,6,FALSE),VLOOKUP(B442,'F'!A1:F392,6,FALSE))</f>
        <v>-142.413211810559</v>
      </c>
      <c r="L442" s="76">
        <f>_xlfn.IFERROR(K442/H442,"N/A")</f>
        <v>-40.6894890887311</v>
      </c>
      <c r="M442" s="109">
        <f>IF('Settings'!$E$9="YAHOO",VLOOKUP(B442,'ADP'!A1:E665,2,FALSE),IF('Settings'!$E$9="ESPN",VLOOKUP(B442,'ADP'!A1:E665,3,FALSE),IF('Settings'!$E$9="FANTRAX",VLOOKUP(B442,'ADP'!A1:E665,4,FALSE),VLOOKUP(B442,'ADP'!A1:E665,5,FALSE))))</f>
        <v>0</v>
      </c>
      <c r="N442" s="79">
        <f>_xlfn.IFERROR(M442-A442,"N/A")</f>
        <v>-460</v>
      </c>
      <c r="O442" s="77"/>
      <c r="P442" t="s" s="78">
        <f>IF('Settings'!$E$27="ON",VLOOKUP(B442,'ADP'!A1:H665,8,FALSE)," ")</f>
        <v>130</v>
      </c>
      <c r="Q442" s="79">
        <f>IF('Settings'!$E$12="YES",VLOOKUP(B442,'Player Data'!A1:E667,5,FALSE),82)</f>
        <v>70.315</v>
      </c>
      <c r="R442" s="98">
        <f>VLOOKUP(B442,'Player Data'!$A1:$AE667,6,FALSE)</f>
        <v>15.4325540310236</v>
      </c>
      <c r="S442" s="79">
        <f>VLOOKUP(B442,'Player Data'!$A1:$AE667,7,FALSE)*$Q442*_xlfn.IFERROR((VLOOKUP(P442,'Settings'!$E$28:$F$33,2,FALSE)+1),1)</f>
        <v>18.5808883646724</v>
      </c>
      <c r="T442" s="79">
        <f>VLOOKUP(B442,'Player Data'!$A1:$AE667,8,FALSE)*$Q442*_xlfn.IFERROR((VLOOKUP(P442,'Settings'!$E$28:$F$33,2,FALSE)+1),1)</f>
        <v>29.3259162205278</v>
      </c>
      <c r="U442" s="79">
        <f>SUM(S442:T442)</f>
        <v>47.9068045852002</v>
      </c>
      <c r="V442" s="79">
        <f>VLOOKUP(B442,'Player Data'!$A1:$AE667,10,FALSE)*$Q442*_xlfn.IFERROR(((VLOOKUP(P442,'Settings'!$E$28:$F$33,2,FALSE)/2)+1),1)</f>
        <v>123.910409138946</v>
      </c>
      <c r="W442" s="79">
        <f>VLOOKUP(B442,'Player Data'!$A1:$AE667,11,FALSE)*$Q442*_xlfn.IFERROR((VLOOKUP(P442,'Settings'!$E$28:$F$33,2,FALSE)+1),1)</f>
        <v>4.65182335187125</v>
      </c>
      <c r="X442" s="79">
        <f>VLOOKUP(B442,'Player Data'!$A1:$AE667,12,FALSE)*$Q442*_xlfn.IFERROR((VLOOKUP(P442,'Settings'!$E$28:$F$33,2,FALSE)+1),1)</f>
        <v>10.5479167310749</v>
      </c>
      <c r="Y442" s="79">
        <f>VLOOKUP(B442,'Player Data'!$A1:$AE667,13,FALSE)*$Q442</f>
        <v>0.0101730550363164</v>
      </c>
      <c r="Z442" s="79">
        <f>VLOOKUP(B442,'Player Data'!$A1:$AE667,14,FALSE)*$Q442</f>
        <v>0.0172460207390568</v>
      </c>
      <c r="AA442" s="79">
        <f>VLOOKUP(B442,'Player Data'!$A1:$AE667,15,FALSE)*$Q442</f>
        <v>34.003811336334</v>
      </c>
      <c r="AB442" s="79">
        <f>VLOOKUP(B442,'Player Data'!$A1:$AE667,16,FALSE)*$Q442</f>
        <v>17.5768473748862</v>
      </c>
      <c r="AC442" s="79">
        <f>VLOOKUP(B442,'Player Data'!$A1:$AE667,17,FALSE)*$Q442*_xlfn.IFERROR((VLOOKUP(P442,'Settings'!$E$28:$F$33,2,FALSE)+1),1)</f>
        <v>2.89333089108941</v>
      </c>
      <c r="AD442" s="79">
        <f>VLOOKUP(B442,'Player Data'!$A1:$AE667,18,FALSE)*$Q442</f>
        <v>13.9035818988495</v>
      </c>
      <c r="AE442" s="79">
        <f>VLOOKUP(B442,'Player Data'!$A1:$AE667,19,FALSE)*$Q442*_xlfn.IFERROR((VLOOKUP(P442,'Settings'!$E$28:$F$33,2,FALSE)+1),1)</f>
        <v>2.63092038209279</v>
      </c>
      <c r="AF442" s="79">
        <f>VLOOKUP(B442,'Player Data'!$A1:$AE667,20,FALSE)*$Q442</f>
        <v>233.495458385721</v>
      </c>
      <c r="AG442" s="79">
        <f>VLOOKUP(B442,'Player Data'!$A1:$AE667,21,FALSE)*$Q442</f>
        <v>307.285376520497</v>
      </c>
      <c r="AH442" s="81">
        <f>VLOOKUP(B442,'Player Data'!$A1:$AE667,22,FALSE)</f>
        <v>0.431774654932462</v>
      </c>
      <c r="AI442" s="77"/>
      <c r="AJ442" s="89"/>
      <c r="AK442" s="79"/>
      <c r="AL442" s="79"/>
      <c r="AM442" s="79"/>
      <c r="AN442" s="79"/>
      <c r="AO442" s="79"/>
      <c r="AP442" s="79"/>
      <c r="AQ442" s="82"/>
      <c r="AR442" s="83"/>
      <c r="AS442" s="84"/>
    </row>
    <row r="443" ht="21.25" customHeight="1">
      <c r="A443" s="85">
        <f>RANK(K443,K$1:K$665)</f>
        <v>462</v>
      </c>
      <c r="B443" t="s" s="16">
        <v>633</v>
      </c>
      <c r="C443" t="s" s="69">
        <v>127</v>
      </c>
      <c r="D443" t="s" s="70">
        <f>VLOOKUP(B443,'Player Data'!A1:D667,4,FALSE)</f>
        <v>128</v>
      </c>
      <c r="E443" s="71">
        <f>VLOOKUP(B443,'C'!A1:C206,3,FALSE)</f>
        <v>137</v>
      </c>
      <c r="F443" t="s" s="78">
        <f>VLOOKUP(B443,'Player Data'!A1:B667,2,FALSE)</f>
        <v>194</v>
      </c>
      <c r="G443" s="11">
        <f>VLOOKUP(B443,'Player Data'!A1:D667,3,FALSE)</f>
        <v>24</v>
      </c>
      <c r="H443" s="73">
        <f>_xlfn.IFERROR(VLOOKUP(B443,'ADP'!A1:G665,7,FALSE)/1000000,VLOOKUP(B443,'ADP'!A1:G665,7,FALSE))</f>
        <v>0.775</v>
      </c>
      <c r="I443" s="74">
        <f>IF('Settings'!$E$15="POINTS",((R443*Q443)*'Settings'!$B$12)+(S443*'Settings'!$B$2)+(T443*'Settings'!$B$3)+(U443*'Settings'!$B$4)+(V443*'Settings'!$B$5)+(X443*'Settings'!$B$9)+(AA443*'Settings'!$B$6)+(W443*'Settings'!$B$8)+(AB443*'Settings'!$B$7)+(AC443*'Settings'!$B$14)+(AD443*'Settings'!$B$15)+(AE443*'Settings'!$B$16)+(AF443*'Settings'!$B$17)+(AG443*'Settings'!$B$18)+(Y443*'Settings'!$B$10)+(Z443*'Settings'!$B$11),VLOOKUP(B443,'Standard Deviations'!A1:C666,3,FALSE))</f>
        <v>186.875466221993</v>
      </c>
      <c r="J443" s="75">
        <f>IF(D443="G",I443/AJ443,I443/Q443)</f>
        <v>2.50662910327612</v>
      </c>
      <c r="K443" s="74">
        <f>IF('Settings'!$E$18="C/LW/RW",VLOOKUP(B443,'C'!A1:F206,6,FALSE),VLOOKUP(B443,'F'!A1:F392,6,FALSE))</f>
        <v>-142.816427859185</v>
      </c>
      <c r="L443" s="76">
        <f>_xlfn.IFERROR(K443/H443,"N/A")</f>
        <v>-184.279261753787</v>
      </c>
      <c r="M443" s="109">
        <f>IF('Settings'!$E$9="YAHOO",VLOOKUP(B443,'ADP'!A1:E665,2,FALSE),IF('Settings'!$E$9="ESPN",VLOOKUP(B443,'ADP'!A1:E665,3,FALSE),IF('Settings'!$E$9="FANTRAX",VLOOKUP(B443,'ADP'!A1:E665,4,FALSE),VLOOKUP(B443,'ADP'!A1:E665,5,FALSE))))</f>
        <v>0</v>
      </c>
      <c r="N443" s="79">
        <f>_xlfn.IFERROR(M443-A443,"N/A")</f>
        <v>-462</v>
      </c>
      <c r="O443" s="77"/>
      <c r="P443" t="s" s="78">
        <f>IF('Settings'!$E$27="ON",VLOOKUP(B443,'ADP'!A1:H665,8,FALSE)," ")</f>
        <v>138</v>
      </c>
      <c r="Q443" s="79">
        <f>IF('Settings'!$E$12="YES",VLOOKUP(B443,'Player Data'!A1:E667,5,FALSE),82)</f>
        <v>74.55249999999999</v>
      </c>
      <c r="R443" s="108">
        <f>VLOOKUP(B443,'Player Data'!$A1:$AE667,6,FALSE)</f>
        <v>10.9532589752481</v>
      </c>
      <c r="S443" s="79">
        <f>VLOOKUP(B443,'Player Data'!$A1:$AE667,7,FALSE)*$Q443*_xlfn.IFERROR((VLOOKUP(P443,'Settings'!$E$28:$F$33,2,FALSE)+1),1)</f>
        <v>7.35273088103018</v>
      </c>
      <c r="T443" s="79">
        <f>VLOOKUP(B443,'Player Data'!$A1:$AE667,8,FALSE)*$Q443*_xlfn.IFERROR((VLOOKUP(P443,'Settings'!$E$28:$F$33,2,FALSE)+1),1)</f>
        <v>10.0854195472733</v>
      </c>
      <c r="U443" s="79">
        <f>SUM(S443:T443)</f>
        <v>17.4381504283035</v>
      </c>
      <c r="V443" s="79">
        <f>VLOOKUP(B443,'Player Data'!$A1:$AE667,10,FALSE)*$Q443*_xlfn.IFERROR(((VLOOKUP(P443,'Settings'!$E$28:$F$33,2,FALSE)/2)+1),1)</f>
        <v>86.32442138577029</v>
      </c>
      <c r="W443" s="79">
        <f>VLOOKUP(B443,'Player Data'!$A1:$AE667,11,FALSE)*$Q443*_xlfn.IFERROR((VLOOKUP(P443,'Settings'!$E$28:$F$33,2,FALSE)+1),1)</f>
        <v>0.189542281539202</v>
      </c>
      <c r="X443" s="79">
        <f>VLOOKUP(B443,'Player Data'!$A1:$AE667,12,FALSE)*$Q443*_xlfn.IFERROR((VLOOKUP(P443,'Settings'!$E$28:$F$33,2,FALSE)+1),1)</f>
        <v>0.404048855677327</v>
      </c>
      <c r="Y443" s="79">
        <f>VLOOKUP(B443,'Player Data'!$A1:$AE667,13,FALSE)*$Q443</f>
        <v>0.000483176894459205</v>
      </c>
      <c r="Z443" s="79">
        <f>VLOOKUP(B443,'Player Data'!$A1:$AE667,14,FALSE)*$Q443</f>
        <v>0.000818284293054271</v>
      </c>
      <c r="AA443" s="79">
        <f>VLOOKUP(B443,'Player Data'!$A1:$AE667,15,FALSE)*$Q443</f>
        <v>25.6700345632381</v>
      </c>
      <c r="AB443" s="79">
        <f>VLOOKUP(B443,'Player Data'!$A1:$AE667,16,FALSE)*$Q443</f>
        <v>185.314306774848</v>
      </c>
      <c r="AC443" s="79">
        <f>VLOOKUP(B443,'Player Data'!$A1:$AE667,17,FALSE)*$Q443*_xlfn.IFERROR((VLOOKUP(P443,'Settings'!$E$28:$F$33,2,FALSE)+1),1)</f>
        <v>0.379732050809204</v>
      </c>
      <c r="AD443" s="79">
        <f>VLOOKUP(B443,'Player Data'!$A1:$AE667,18,FALSE)*$Q443</f>
        <v>23.6342524187842</v>
      </c>
      <c r="AE443" s="79">
        <f>VLOOKUP(B443,'Player Data'!$A1:$AE667,19,FALSE)*$Q443*_xlfn.IFERROR((VLOOKUP(P443,'Settings'!$E$28:$F$33,2,FALSE)+1),1)</f>
        <v>1.10935298515813</v>
      </c>
      <c r="AF443" s="79">
        <f>VLOOKUP(B443,'Player Data'!$A1:$AE667,20,FALSE)*$Q443</f>
        <v>19.7287826313257</v>
      </c>
      <c r="AG443" s="79">
        <f>VLOOKUP(B443,'Player Data'!$A1:$AE667,21,FALSE)*$Q443</f>
        <v>22.4727820316382</v>
      </c>
      <c r="AH443" s="81">
        <f>VLOOKUP(B443,'Player Data'!$A1:$AE667,22,FALSE)</f>
        <v>0.467489364171364</v>
      </c>
      <c r="AI443" s="77"/>
      <c r="AJ443" s="79"/>
      <c r="AK443" s="79"/>
      <c r="AL443" s="79"/>
      <c r="AM443" s="79"/>
      <c r="AN443" s="79"/>
      <c r="AO443" s="79"/>
      <c r="AP443" s="79"/>
      <c r="AQ443" s="82"/>
      <c r="AR443" s="83"/>
      <c r="AS443" s="84"/>
    </row>
    <row r="444" ht="21.25" customHeight="1">
      <c r="A444" s="85">
        <f>RANK(K444,K$1:K$665)</f>
        <v>464</v>
      </c>
      <c r="B444" t="s" s="16">
        <v>634</v>
      </c>
      <c r="C444" t="s" s="69">
        <v>127</v>
      </c>
      <c r="D444" t="s" s="70">
        <f>VLOOKUP(B444,'Player Data'!A1:D667,4,FALSE)</f>
        <v>128</v>
      </c>
      <c r="E444" s="71">
        <f>VLOOKUP(B444,'C'!A1:C206,3,FALSE)</f>
        <v>138</v>
      </c>
      <c r="F444" t="s" s="86">
        <f>VLOOKUP(B444,'Player Data'!A1:B667,2,FALSE)</f>
        <v>132</v>
      </c>
      <c r="G444" s="11">
        <f>VLOOKUP(B444,'Player Data'!A1:D667,3,FALSE)</f>
        <v>29</v>
      </c>
      <c r="H444" s="73">
        <f>_xlfn.IFERROR(VLOOKUP(B444,'ADP'!A1:G665,7,FALSE)/1000000,VLOOKUP(B444,'ADP'!A1:G665,7,FALSE))</f>
        <v>3.75</v>
      </c>
      <c r="I444" s="74">
        <f>IF('Settings'!$E$15="POINTS",((R444*Q444)*'Settings'!$B$12)+(S444*'Settings'!$B$2)+(T444*'Settings'!$B$3)+(U444*'Settings'!$B$4)+(V444*'Settings'!$B$5)+(X444*'Settings'!$B$9)+(AA444*'Settings'!$B$6)+(W444*'Settings'!$B$8)+(AB444*'Settings'!$B$7)+(AC444*'Settings'!$B$14)+(AD444*'Settings'!$B$15)+(AE444*'Settings'!$B$16)+(AF444*'Settings'!$B$17)+(AG444*'Settings'!$B$18)+(Y444*'Settings'!$B$10)+(Z444*'Settings'!$B$11),VLOOKUP(B444,'Standard Deviations'!A1:C666,3,FALSE))</f>
        <v>185.952016994283</v>
      </c>
      <c r="J444" s="75">
        <f>IF(D444="G",I444/AJ444,I444/Q444)</f>
        <v>2.3128360322672</v>
      </c>
      <c r="K444" s="74">
        <f>IF('Settings'!$E$18="C/LW/RW",VLOOKUP(B444,'C'!A1:F206,6,FALSE),VLOOKUP(B444,'F'!A1:F392,6,FALSE))</f>
        <v>-143.739877086895</v>
      </c>
      <c r="L444" s="76">
        <f>_xlfn.IFERROR(K444/H444,"N/A")</f>
        <v>-38.3306338898387</v>
      </c>
      <c r="M444" s="109">
        <f>IF('Settings'!$E$9="YAHOO",VLOOKUP(B444,'ADP'!A1:E665,2,FALSE),IF('Settings'!$E$9="ESPN",VLOOKUP(B444,'ADP'!A1:E665,3,FALSE),IF('Settings'!$E$9="FANTRAX",VLOOKUP(B444,'ADP'!A1:E665,4,FALSE),VLOOKUP(B444,'ADP'!A1:E665,5,FALSE))))</f>
        <v>0</v>
      </c>
      <c r="N444" s="79">
        <f>_xlfn.IFERROR(M444-A444,"N/A")</f>
        <v>-464</v>
      </c>
      <c r="O444" s="77"/>
      <c r="P444" t="s" s="78">
        <f>IF('Settings'!$E$27="ON",VLOOKUP(B444,'ADP'!A1:H665,8,FALSE)," ")</f>
        <v>138</v>
      </c>
      <c r="Q444" s="79">
        <f>IF('Settings'!$E$12="YES",VLOOKUP(B444,'Player Data'!A1:E667,5,FALSE),82)</f>
        <v>80.40000000000001</v>
      </c>
      <c r="R444" s="77">
        <f>VLOOKUP(B444,'Player Data'!$A1:$AE667,6,FALSE)</f>
        <v>13.8472023177915</v>
      </c>
      <c r="S444" s="79">
        <f>VLOOKUP(B444,'Player Data'!$A1:$AE667,7,FALSE)*$Q444*_xlfn.IFERROR((VLOOKUP(P444,'Settings'!$E$28:$F$33,2,FALSE)+1),1)</f>
        <v>11.7413200374919</v>
      </c>
      <c r="T444" s="79">
        <f>VLOOKUP(B444,'Player Data'!$A1:$AE667,8,FALSE)*$Q444*_xlfn.IFERROR((VLOOKUP(P444,'Settings'!$E$28:$F$33,2,FALSE)+1),1)</f>
        <v>31.2753871355871</v>
      </c>
      <c r="U444" s="79">
        <f>SUM(S444:T444)</f>
        <v>43.016707173079</v>
      </c>
      <c r="V444" s="79">
        <f>VLOOKUP(B444,'Player Data'!$A1:$AE667,10,FALSE)*$Q444*_xlfn.IFERROR(((VLOOKUP(P444,'Settings'!$E$28:$F$33,2,FALSE)/2)+1),1)</f>
        <v>134.581642662023</v>
      </c>
      <c r="W444" s="79">
        <f>VLOOKUP(B444,'Player Data'!$A1:$AE667,11,FALSE)*$Q444*_xlfn.IFERROR((VLOOKUP(P444,'Settings'!$E$28:$F$33,2,FALSE)+1),1)</f>
        <v>2.01210656209256</v>
      </c>
      <c r="X444" s="79">
        <f>VLOOKUP(B444,'Player Data'!$A1:$AE667,12,FALSE)*$Q444*_xlfn.IFERROR((VLOOKUP(P444,'Settings'!$E$28:$F$33,2,FALSE)+1),1)</f>
        <v>5.41740468621483</v>
      </c>
      <c r="Y444" s="79">
        <f>VLOOKUP(B444,'Player Data'!$A1:$AE667,13,FALSE)*$Q444</f>
        <v>0.00223865915774686</v>
      </c>
      <c r="Z444" s="79">
        <f>VLOOKUP(B444,'Player Data'!$A1:$AE667,14,FALSE)*$Q444</f>
        <v>0.00389513823096894</v>
      </c>
      <c r="AA444" s="79">
        <f>VLOOKUP(B444,'Player Data'!$A1:$AE667,15,FALSE)*$Q444</f>
        <v>22.6322720265724</v>
      </c>
      <c r="AB444" s="79">
        <f>VLOOKUP(B444,'Player Data'!$A1:$AE667,16,FALSE)*$Q444</f>
        <v>50.6454522078637</v>
      </c>
      <c r="AC444" s="79">
        <f>VLOOKUP(B444,'Player Data'!$A1:$AE667,17,FALSE)*$Q444*_xlfn.IFERROR((VLOOKUP(P444,'Settings'!$E$28:$F$33,2,FALSE)+1),1)</f>
        <v>6.48520851644506</v>
      </c>
      <c r="AD444" s="79">
        <f>VLOOKUP(B444,'Player Data'!$A1:$AE667,18,FALSE)*$Q444</f>
        <v>56.7102016221655</v>
      </c>
      <c r="AE444" s="79">
        <f>VLOOKUP(B444,'Player Data'!$A1:$AE667,19,FALSE)*$Q444*_xlfn.IFERROR((VLOOKUP(P444,'Settings'!$E$28:$F$33,2,FALSE)+1),1)</f>
        <v>1.87840073577597</v>
      </c>
      <c r="AF444" s="79">
        <f>VLOOKUP(B444,'Player Data'!$A1:$AE667,20,FALSE)*$Q444</f>
        <v>235.620111679695</v>
      </c>
      <c r="AG444" s="79">
        <f>VLOOKUP(B444,'Player Data'!$A1:$AE667,21,FALSE)*$Q444</f>
        <v>230.590336354060</v>
      </c>
      <c r="AH444" s="81">
        <f>VLOOKUP(B444,'Player Data'!$A1:$AE667,22,FALSE)</f>
        <v>0.505394318538814</v>
      </c>
      <c r="AI444" s="77"/>
      <c r="AJ444" s="79"/>
      <c r="AK444" s="79"/>
      <c r="AL444" s="79"/>
      <c r="AM444" s="79"/>
      <c r="AN444" s="79"/>
      <c r="AO444" s="79"/>
      <c r="AP444" s="79"/>
      <c r="AQ444" s="82"/>
      <c r="AR444" s="83"/>
      <c r="AS444" s="84"/>
    </row>
    <row r="445" ht="21.25" customHeight="1">
      <c r="A445" s="85">
        <f>RANK(K445,K$1:K$665)</f>
        <v>449</v>
      </c>
      <c r="B445" t="s" s="16">
        <v>635</v>
      </c>
      <c r="C445" t="s" s="69">
        <v>127</v>
      </c>
      <c r="D445" t="s" s="70">
        <f>VLOOKUP(B445,'Player Data'!A1:D667,4,FALSE)</f>
        <v>140</v>
      </c>
      <c r="E445" s="90">
        <f>VLOOKUP(B445,'RW'!A1:F136,3,FALSE)</f>
        <v>89</v>
      </c>
      <c r="F445" t="s" s="92">
        <f>VLOOKUP(B445,'Player Data'!A1:B667,2,FALSE)</f>
        <v>146</v>
      </c>
      <c r="G445" s="11">
        <f>VLOOKUP(B445,'Player Data'!A1:D667,3,FALSE)</f>
        <v>29</v>
      </c>
      <c r="H445" s="73">
        <f>_xlfn.IFERROR(VLOOKUP(B445,'ADP'!A1:G665,7,FALSE)/1000000,VLOOKUP(B445,'ADP'!A1:G665,7,FALSE))</f>
        <v>1.5</v>
      </c>
      <c r="I445" s="74">
        <f>IF('Settings'!$E$15="POINTS",((R445*Q445)*'Settings'!$B$12)+(S445*'Settings'!$B$2)+(T445*'Settings'!$B$3)+(U445*'Settings'!$B$4)+(V445*'Settings'!$B$5)+(X445*'Settings'!$B$9)+(AA445*'Settings'!$B$6)+(W445*'Settings'!$B$8)+(AB445*'Settings'!$B$7)+(AC445*'Settings'!$B$14)+(AD445*'Settings'!$B$15)+(AE445*'Settings'!$B$16)+(AF445*'Settings'!$B$17)+(AG445*'Settings'!$B$18)+(Y445*'Settings'!$B$10)+(Z445*'Settings'!$B$11),VLOOKUP(B445,'Standard Deviations'!A1:C666,3,FALSE))</f>
        <v>190.437929850680</v>
      </c>
      <c r="J445" s="75">
        <f>IF(D445="G",I445/AJ445,I445/Q445)</f>
        <v>2.9043454300851</v>
      </c>
      <c r="K445" s="74">
        <f>IF('Settings'!$E$18="C/LW/RW",VLOOKUP(B445,'RW'!A1:F136,6,FALSE),VLOOKUP(B445,'F'!A1:F392,6,FALSE))</f>
        <v>-139.253964230498</v>
      </c>
      <c r="L445" s="76">
        <f>_xlfn.IFERROR(K445/H445,"N/A")</f>
        <v>-92.8359761536653</v>
      </c>
      <c r="M445" s="109">
        <f>IF('Settings'!$E$9="YAHOO",VLOOKUP(B445,'ADP'!A1:E665,2,FALSE),IF('Settings'!$E$9="ESPN",VLOOKUP(B445,'ADP'!A1:E665,3,FALSE),IF('Settings'!$E$9="FANTRAX",VLOOKUP(B445,'ADP'!A1:E665,4,FALSE),VLOOKUP(B445,'ADP'!A1:E665,5,FALSE))))</f>
        <v>0</v>
      </c>
      <c r="N445" s="79">
        <f>_xlfn.IFERROR(M445-A445,"N/A")</f>
        <v>-449</v>
      </c>
      <c r="O445" s="77"/>
      <c r="P445" t="s" s="78">
        <f>IF('Settings'!$E$27="ON",VLOOKUP(B445,'ADP'!A1:H665,8,FALSE)," ")</f>
        <v>138</v>
      </c>
      <c r="Q445" s="79">
        <f>IF('Settings'!$E$12="YES",VLOOKUP(B445,'Player Data'!A1:E667,5,FALSE),82)</f>
        <v>65.56999999999999</v>
      </c>
      <c r="R445" s="77">
        <f>VLOOKUP(B445,'Player Data'!$A1:$AE667,6,FALSE)</f>
        <v>11.2592020261244</v>
      </c>
      <c r="S445" s="79">
        <f>VLOOKUP(B445,'Player Data'!$A1:$AE667,7,FALSE)*$Q445*_xlfn.IFERROR((VLOOKUP(P445,'Settings'!$E$28:$F$33,2,FALSE)+1),1)</f>
        <v>7.50772116497174</v>
      </c>
      <c r="T445" s="79">
        <f>VLOOKUP(B445,'Player Data'!$A1:$AE667,8,FALSE)*$Q445*_xlfn.IFERROR((VLOOKUP(P445,'Settings'!$E$28:$F$33,2,FALSE)+1),1)</f>
        <v>10.9799139123506</v>
      </c>
      <c r="U445" s="79">
        <f>SUM(S445:T445)</f>
        <v>18.4876350773223</v>
      </c>
      <c r="V445" s="79">
        <f>VLOOKUP(B445,'Player Data'!$A1:$AE667,10,FALSE)*$Q445*_xlfn.IFERROR(((VLOOKUP(P445,'Settings'!$E$28:$F$33,2,FALSE)/2)+1),1)</f>
        <v>92.9012022826375</v>
      </c>
      <c r="W445" s="79">
        <f>VLOOKUP(B445,'Player Data'!$A1:$AE667,11,FALSE)*$Q445*_xlfn.IFERROR((VLOOKUP(P445,'Settings'!$E$28:$F$33,2,FALSE)+1),1)</f>
        <v>0.0901967624031375</v>
      </c>
      <c r="X445" s="79">
        <f>VLOOKUP(B445,'Player Data'!$A1:$AE667,12,FALSE)*$Q445*_xlfn.IFERROR((VLOOKUP(P445,'Settings'!$E$28:$F$33,2,FALSE)+1),1)</f>
        <v>0.202985932984308</v>
      </c>
      <c r="Y445" s="79">
        <f>VLOOKUP(B445,'Player Data'!$A1:$AE667,13,FALSE)*$Q445</f>
        <v>0.075359297801109</v>
      </c>
      <c r="Z445" s="79">
        <f>VLOOKUP(B445,'Player Data'!$A1:$AE667,14,FALSE)*$Q445</f>
        <v>0.12938439491727</v>
      </c>
      <c r="AA445" s="79">
        <f>VLOOKUP(B445,'Player Data'!$A1:$AE667,15,FALSE)*$Q445</f>
        <v>23.2568951837956</v>
      </c>
      <c r="AB445" s="79">
        <f>VLOOKUP(B445,'Player Data'!$A1:$AE667,16,FALSE)*$Q445</f>
        <v>186.145749065279</v>
      </c>
      <c r="AC445" s="79">
        <f>VLOOKUP(B445,'Player Data'!$A1:$AE667,17,FALSE)*$Q445*_xlfn.IFERROR((VLOOKUP(P445,'Settings'!$E$28:$F$33,2,FALSE)+1),1)</f>
        <v>2.59383013894103</v>
      </c>
      <c r="AD445" s="79">
        <f>VLOOKUP(B445,'Player Data'!$A1:$AE667,18,FALSE)*$Q445</f>
        <v>31.7799204150421</v>
      </c>
      <c r="AE445" s="79">
        <f>VLOOKUP(B445,'Player Data'!$A1:$AE667,19,FALSE)*$Q445*_xlfn.IFERROR((VLOOKUP(P445,'Settings'!$E$28:$F$33,2,FALSE)+1),1)</f>
        <v>1.28212510158113</v>
      </c>
      <c r="AF445" s="79">
        <f>VLOOKUP(B445,'Player Data'!$A1:$AE667,20,FALSE)*$Q445</f>
        <v>14.1746735967006</v>
      </c>
      <c r="AG445" s="79">
        <f>VLOOKUP(B445,'Player Data'!$A1:$AE667,21,FALSE)*$Q445</f>
        <v>12.0477367534932</v>
      </c>
      <c r="AH445" s="81">
        <f>VLOOKUP(B445,'Player Data'!$A1:$AE667,22,FALSE)</f>
        <v>0.540555708167226</v>
      </c>
      <c r="AI445" s="77"/>
      <c r="AJ445" s="79"/>
      <c r="AK445" s="79"/>
      <c r="AL445" s="79"/>
      <c r="AM445" s="79"/>
      <c r="AN445" s="79"/>
      <c r="AO445" s="79"/>
      <c r="AP445" s="79"/>
      <c r="AQ445" s="82"/>
      <c r="AR445" s="83"/>
      <c r="AS445" s="84"/>
    </row>
    <row r="446" ht="21.25" customHeight="1">
      <c r="A446" s="85">
        <f>RANK(K446,K$1:K$665)</f>
        <v>436</v>
      </c>
      <c r="B446" t="s" s="16">
        <v>636</v>
      </c>
      <c r="C446" t="s" s="69">
        <v>127</v>
      </c>
      <c r="D446" t="s" s="70">
        <f>VLOOKUP(B446,'Player Data'!A1:D667,4,FALSE)</f>
        <v>153</v>
      </c>
      <c r="E446" s="95">
        <f>VLOOKUP(B446,'D'!A1:C213,3,FALSE)</f>
        <v>143</v>
      </c>
      <c r="F446" t="s" s="78">
        <f>VLOOKUP(B446,'Player Data'!A1:B667,2,FALSE)</f>
        <v>244</v>
      </c>
      <c r="G446" s="91">
        <f>VLOOKUP(B446,'Player Data'!A1:D667,3,FALSE)</f>
        <v>34</v>
      </c>
      <c r="H446" s="73">
        <f>_xlfn.IFERROR(VLOOKUP(B446,'ADP'!A1:G665,7,FALSE)/1000000,VLOOKUP(B446,'ADP'!A1:G665,7,FALSE))</f>
        <v>3.75</v>
      </c>
      <c r="I446" s="74">
        <f>IF('Settings'!$E$15="POINTS",((R446*Q446)*'Settings'!$B$12)+(S446*'Settings'!$B$2)+(T446*'Settings'!$B$3)+(U446*'Settings'!$B$4)+(V446*'Settings'!$B$5)+(X446*'Settings'!$B$9)+(AA446*'Settings'!$B$6)+(W446*'Settings'!$B$8)+(AB446*'Settings'!$B$7)+(AC446*'Settings'!$B$14)+(AD446*'Settings'!$B$15)+(AE446*'Settings'!$B$16)+(AF446*'Settings'!$B$17)+(AG446*'Settings'!$B$18)+(U446*'Settings'!$B$13)+(Y446*'Settings'!$B$10)+(Z446*'Settings'!$B$11),VLOOKUP(B446,'Standard Deviations'!A1:C666,3,FALSE))</f>
        <v>197.248104592597</v>
      </c>
      <c r="J446" s="75">
        <f>IF(D446="G",I446/AJ446,I446/Q446)</f>
        <v>2.52817360410916</v>
      </c>
      <c r="K446" s="74">
        <f>VLOOKUP(B446,'D'!A1:F213,6,FALSE)</f>
        <v>-134.292103327485</v>
      </c>
      <c r="L446" s="76">
        <f>_xlfn.IFERROR(K446/H446,"N/A")</f>
        <v>-35.811227553996</v>
      </c>
      <c r="M446" s="109">
        <f>IF('Settings'!$E$9="YAHOO",VLOOKUP(B446,'ADP'!A1:E665,2,FALSE),IF('Settings'!$E$9="ESPN",VLOOKUP(B446,'ADP'!A1:E665,3,FALSE),IF('Settings'!$E$9="FANTRAX",VLOOKUP(B446,'ADP'!A1:E665,4,FALSE),VLOOKUP(B446,'ADP'!A1:E665,5,FALSE))))</f>
        <v>0</v>
      </c>
      <c r="N446" s="79">
        <f>_xlfn.IFERROR(M446-A446,"N/A")</f>
        <v>-436</v>
      </c>
      <c r="O446" s="77"/>
      <c r="P446" t="s" s="78">
        <f>IF('Settings'!$E$27="ON",VLOOKUP(B446,'ADP'!A1:H665,8,FALSE)," ")</f>
        <v>138</v>
      </c>
      <c r="Q446" s="79">
        <f>IF('Settings'!$E$12="YES",VLOOKUP(B446,'Player Data'!A1:E667,5,FALSE),82)</f>
        <v>78.02</v>
      </c>
      <c r="R446" s="108">
        <f>VLOOKUP(B446,'Player Data'!$A1:$AE667,6,FALSE)</f>
        <v>20.5232872867377</v>
      </c>
      <c r="S446" s="79">
        <f>VLOOKUP(B446,'Player Data'!$A1:$AE667,7,FALSE)*$Q446*_xlfn.IFERROR((VLOOKUP(P446,'Settings'!$E$28:$F$33,2,FALSE)+1),1)</f>
        <v>2.06415036501807</v>
      </c>
      <c r="T446" s="79">
        <f>VLOOKUP(B446,'Player Data'!$A1:$AE667,8,FALSE)*$Q446*_xlfn.IFERROR((VLOOKUP(P446,'Settings'!$E$28:$F$33,2,FALSE)+1),1)</f>
        <v>18.9404653725283</v>
      </c>
      <c r="U446" s="79">
        <f>SUM(S446:T446)</f>
        <v>21.0046157375464</v>
      </c>
      <c r="V446" s="79">
        <f>VLOOKUP(B446,'Player Data'!$A1:$AE667,10,FALSE)*$Q446*_xlfn.IFERROR(((VLOOKUP(P446,'Settings'!$E$28:$F$33,2,FALSE)/2)+1),1)</f>
        <v>55.3515858001175</v>
      </c>
      <c r="W446" s="79">
        <f>VLOOKUP(B446,'Player Data'!$A1:$AE667,11,FALSE)*$Q446*_xlfn.IFERROR((VLOOKUP(P446,'Settings'!$E$28:$F$33,2,FALSE)+1),1)</f>
        <v>0.015799827961064</v>
      </c>
      <c r="X446" s="79">
        <f>VLOOKUP(B446,'Player Data'!$A1:$AE667,12,FALSE)*$Q446*_xlfn.IFERROR((VLOOKUP(P446,'Settings'!$E$28:$F$33,2,FALSE)+1),1)</f>
        <v>0.153217268085632</v>
      </c>
      <c r="Y446" s="79">
        <f>VLOOKUP(B446,'Player Data'!$A1:$AE667,13,FALSE)*$Q446</f>
        <v>0.0202610871046056</v>
      </c>
      <c r="Z446" s="79">
        <f>VLOOKUP(B446,'Player Data'!$A1:$AE667,14,FALSE)*$Q446</f>
        <v>0.61620389227988</v>
      </c>
      <c r="AA446" s="79">
        <f>VLOOKUP(B446,'Player Data'!$A1:$AE667,15,FALSE)*$Q446</f>
        <v>143.600736055594</v>
      </c>
      <c r="AB446" s="79">
        <f>VLOOKUP(B446,'Player Data'!$A1:$AE667,16,FALSE)*$Q446</f>
        <v>58.2301114106508</v>
      </c>
      <c r="AC446" s="79">
        <f>VLOOKUP(B446,'Player Data'!$A1:$AE667,17,FALSE)*$Q446*_xlfn.IFERROR((VLOOKUP(P446,'Settings'!$E$28:$F$33,2,FALSE)+1),1)</f>
        <v>5.6185870205108</v>
      </c>
      <c r="AD446" s="79">
        <f>VLOOKUP(B446,'Player Data'!$A1:$AE667,18,FALSE)*$Q446</f>
        <v>29.5507390592943</v>
      </c>
      <c r="AE446" s="79">
        <f>VLOOKUP(B446,'Player Data'!$A1:$AE667,19,FALSE)*$Q446*_xlfn.IFERROR((VLOOKUP(P446,'Settings'!$E$28:$F$33,2,FALSE)+1),1)</f>
        <v>0.266760978810125</v>
      </c>
      <c r="AF446" s="79">
        <f>VLOOKUP(B446,'Player Data'!$A1:$AE667,20,FALSE)*$Q446</f>
        <v>0</v>
      </c>
      <c r="AG446" s="79">
        <f>VLOOKUP(B446,'Player Data'!$A1:$AE667,21,FALSE)*$Q446</f>
        <v>0</v>
      </c>
      <c r="AH446" s="81">
        <f>VLOOKUP(B446,'Player Data'!$A1:$AE667,22,FALSE)</f>
        <v>0</v>
      </c>
      <c r="AI446" s="77"/>
      <c r="AJ446" s="79"/>
      <c r="AK446" s="79"/>
      <c r="AL446" s="79"/>
      <c r="AM446" s="79"/>
      <c r="AN446" s="79"/>
      <c r="AO446" s="79"/>
      <c r="AP446" s="79"/>
      <c r="AQ446" s="82"/>
      <c r="AR446" s="83"/>
      <c r="AS446" s="84"/>
    </row>
    <row r="447" ht="21.25" customHeight="1">
      <c r="A447" s="85">
        <f>RANK(K447,K$1:K$665)</f>
        <v>472</v>
      </c>
      <c r="B447" t="s" s="16">
        <v>637</v>
      </c>
      <c r="C447" t="s" s="69">
        <v>127</v>
      </c>
      <c r="D447" t="s" s="70">
        <f>VLOOKUP(B447,'Player Data'!A1:D667,4,FALSE)</f>
        <v>128</v>
      </c>
      <c r="E447" s="71">
        <f>VLOOKUP(B447,'C'!A1:C206,3,FALSE)</f>
        <v>140</v>
      </c>
      <c r="F447" t="s" s="106">
        <f>VLOOKUP(B447,'Player Data'!A1:B667,2,FALSE)</f>
        <v>242</v>
      </c>
      <c r="G447" s="11">
        <f>VLOOKUP(B447,'Player Data'!A1:D667,3,FALSE)</f>
        <v>25</v>
      </c>
      <c r="H447" s="73">
        <f>_xlfn.IFERROR(VLOOKUP(B447,'ADP'!A1:G665,7,FALSE)/1000000,VLOOKUP(B447,'ADP'!A1:G665,7,FALSE))</f>
        <v>1.9</v>
      </c>
      <c r="I447" s="74">
        <f>IF('Settings'!$E$15="POINTS",((R447*Q447)*'Settings'!$B$12)+(S447*'Settings'!$B$2)+(T447*'Settings'!$B$3)+(U447*'Settings'!$B$4)+(V447*'Settings'!$B$5)+(X447*'Settings'!$B$9)+(AA447*'Settings'!$B$6)+(W447*'Settings'!$B$8)+(AB447*'Settings'!$B$7)+(AC447*'Settings'!$B$14)+(AD447*'Settings'!$B$15)+(AE447*'Settings'!$B$16)+(AF447*'Settings'!$B$17)+(AG447*'Settings'!$B$18)+(Y447*'Settings'!$B$10)+(Z447*'Settings'!$B$11),VLOOKUP(B447,'Standard Deviations'!A1:C666,3,FALSE))</f>
        <v>184.231337370470</v>
      </c>
      <c r="J447" s="75">
        <f>IF(D447="G",I447/AJ447,I447/Q447)</f>
        <v>2.46776957163579</v>
      </c>
      <c r="K447" s="74">
        <f>IF('Settings'!$E$18="C/LW/RW",VLOOKUP(B447,'C'!A1:F206,6,FALSE),VLOOKUP(B447,'F'!A1:F392,6,FALSE))</f>
        <v>-145.460556710708</v>
      </c>
      <c r="L447" s="76">
        <f>_xlfn.IFERROR(K447/H447,"N/A")</f>
        <v>-76.5581877424779</v>
      </c>
      <c r="M447" s="109">
        <f>IF('Settings'!$E$9="YAHOO",VLOOKUP(B447,'ADP'!A1:E665,2,FALSE),IF('Settings'!$E$9="ESPN",VLOOKUP(B447,'ADP'!A1:E665,3,FALSE),IF('Settings'!$E$9="FANTRAX",VLOOKUP(B447,'ADP'!A1:E665,4,FALSE),VLOOKUP(B447,'ADP'!A1:E665,5,FALSE))))</f>
        <v>0</v>
      </c>
      <c r="N447" s="79">
        <f>_xlfn.IFERROR(M447-A447,"N/A")</f>
        <v>-472</v>
      </c>
      <c r="O447" s="77"/>
      <c r="P447" t="s" s="78">
        <f>IF('Settings'!$E$27="ON",VLOOKUP(B447,'ADP'!A1:H665,8,FALSE)," ")</f>
        <v>138</v>
      </c>
      <c r="Q447" s="79">
        <f>IF('Settings'!$E$12="YES",VLOOKUP(B447,'Player Data'!A1:E667,5,FALSE),82)</f>
        <v>74.655</v>
      </c>
      <c r="R447" s="108">
        <f>VLOOKUP(B447,'Player Data'!$A1:$AE667,6,FALSE)</f>
        <v>13.1549315754841</v>
      </c>
      <c r="S447" s="79">
        <f>VLOOKUP(B447,'Player Data'!$A1:$AE667,7,FALSE)*$Q447*_xlfn.IFERROR((VLOOKUP(P447,'Settings'!$E$28:$F$33,2,FALSE)+1),1)</f>
        <v>10.1912338435832</v>
      </c>
      <c r="T447" s="79">
        <f>VLOOKUP(B447,'Player Data'!$A1:$AE667,8,FALSE)*$Q447*_xlfn.IFERROR((VLOOKUP(P447,'Settings'!$E$28:$F$33,2,FALSE)+1),1)</f>
        <v>14.1078894923879</v>
      </c>
      <c r="U447" s="79">
        <f>SUM(S447:T447)</f>
        <v>24.2991233359711</v>
      </c>
      <c r="V447" s="79">
        <f>VLOOKUP(B447,'Player Data'!$A1:$AE667,10,FALSE)*$Q447*_xlfn.IFERROR(((VLOOKUP(P447,'Settings'!$E$28:$F$33,2,FALSE)/2)+1),1)</f>
        <v>97.64036942726921</v>
      </c>
      <c r="W447" s="79">
        <f>VLOOKUP(B447,'Player Data'!$A1:$AE667,11,FALSE)*$Q447*_xlfn.IFERROR((VLOOKUP(P447,'Settings'!$E$28:$F$33,2,FALSE)+1),1)</f>
        <v>0.258630501906626</v>
      </c>
      <c r="X447" s="79">
        <f>VLOOKUP(B447,'Player Data'!$A1:$AE667,12,FALSE)*$Q447*_xlfn.IFERROR((VLOOKUP(P447,'Settings'!$E$28:$F$33,2,FALSE)+1),1)</f>
        <v>0.404510494762989</v>
      </c>
      <c r="Y447" s="79">
        <f>VLOOKUP(B447,'Player Data'!$A1:$AE667,13,FALSE)*$Q447</f>
        <v>2.4072952170086</v>
      </c>
      <c r="Z447" s="79">
        <f>VLOOKUP(B447,'Player Data'!$A1:$AE667,14,FALSE)*$Q447</f>
        <v>3.42671075526881</v>
      </c>
      <c r="AA447" s="79">
        <f>VLOOKUP(B447,'Player Data'!$A1:$AE667,15,FALSE)*$Q447</f>
        <v>75.9681534944058</v>
      </c>
      <c r="AB447" s="79">
        <f>VLOOKUP(B447,'Player Data'!$A1:$AE667,16,FALSE)*$Q447</f>
        <v>63.3830607670338</v>
      </c>
      <c r="AC447" s="79">
        <f>VLOOKUP(B447,'Player Data'!$A1:$AE667,17,FALSE)*$Q447*_xlfn.IFERROR((VLOOKUP(P447,'Settings'!$E$28:$F$33,2,FALSE)+1),1)</f>
        <v>-2.70015777436305</v>
      </c>
      <c r="AD447" s="79">
        <f>VLOOKUP(B447,'Player Data'!$A1:$AE667,18,FALSE)*$Q447</f>
        <v>12.1800381255567</v>
      </c>
      <c r="AE447" s="79">
        <f>VLOOKUP(B447,'Player Data'!$A1:$AE667,19,FALSE)*$Q447*_xlfn.IFERROR((VLOOKUP(P447,'Settings'!$E$28:$F$33,2,FALSE)+1),1)</f>
        <v>1.47721452522999</v>
      </c>
      <c r="AF447" s="79">
        <f>VLOOKUP(B447,'Player Data'!$A1:$AE667,20,FALSE)*$Q447</f>
        <v>368.376364328783</v>
      </c>
      <c r="AG447" s="79">
        <f>VLOOKUP(B447,'Player Data'!$A1:$AE667,21,FALSE)*$Q447</f>
        <v>404.804621774703</v>
      </c>
      <c r="AH447" s="81">
        <f>VLOOKUP(B447,'Player Data'!$A1:$AE667,22,FALSE)</f>
        <v>0.476442606517328</v>
      </c>
      <c r="AI447" s="77"/>
      <c r="AJ447" s="79"/>
      <c r="AK447" s="79"/>
      <c r="AL447" s="79"/>
      <c r="AM447" s="79"/>
      <c r="AN447" s="79"/>
      <c r="AO447" s="79"/>
      <c r="AP447" s="79"/>
      <c r="AQ447" s="82"/>
      <c r="AR447" s="83"/>
      <c r="AS447" s="84"/>
    </row>
    <row r="448" ht="21.25" customHeight="1">
      <c r="A448" s="85">
        <f>RANK(K448,K$1:K$665)</f>
        <v>459</v>
      </c>
      <c r="B448" t="s" s="16">
        <v>638</v>
      </c>
      <c r="C448" t="s" s="69">
        <v>127</v>
      </c>
      <c r="D448" t="s" s="70">
        <f>VLOOKUP(B448,'Player Data'!A1:D667,4,FALSE)</f>
        <v>136</v>
      </c>
      <c r="E448" s="87">
        <f>VLOOKUP(B448,'LW'!A1:C152,3,FALSE)</f>
        <v>111</v>
      </c>
      <c r="F448" t="s" s="78">
        <f>VLOOKUP(B448,'Player Data'!A1:B667,2,FALSE)</f>
        <v>261</v>
      </c>
      <c r="G448" s="91">
        <f>VLOOKUP(B448,'Player Data'!A1:D667,3,FALSE)</f>
        <v>30</v>
      </c>
      <c r="H448" s="94">
        <f>_xlfn.IFERROR(VLOOKUP(B448,'ADP'!A1:G665,7,FALSE)/1000000,VLOOKUP(B448,'ADP'!A1:G665,7,FALSE))</f>
        <v>3.5</v>
      </c>
      <c r="I448" s="74">
        <f>IF('Settings'!$E$15="POINTS",((R448*Q448)*'Settings'!$B$12)+(S448*'Settings'!$B$2)+(T448*'Settings'!$B$3)+(U448*'Settings'!$B$4)+(V448*'Settings'!$B$5)+(X448*'Settings'!$B$9)+(AA448*'Settings'!$B$6)+(W448*'Settings'!$B$8)+(AB448*'Settings'!$B$7)+(AC448*'Settings'!$B$14)+(AD448*'Settings'!$B$15)+(AE448*'Settings'!$B$16)+(AF448*'Settings'!$B$17)+(AG448*'Settings'!$B$18)+(Y448*'Settings'!$B$10)+(Z448*'Settings'!$B$11),VLOOKUP(B448,'Standard Deviations'!A1:C666,3,FALSE))</f>
        <v>189.336323222551</v>
      </c>
      <c r="J448" s="75">
        <f>IF(D448="G",I448/AJ448,I448/Q448)</f>
        <v>2.30813511181947</v>
      </c>
      <c r="K448" s="74">
        <f>IF('Settings'!$E$18="C/LW/RW",VLOOKUP(B448,'LW'!A1:F152,6,FALSE),VLOOKUP(B448,'F'!A1:F392,6,FALSE))</f>
        <v>-142.383788543661</v>
      </c>
      <c r="L448" s="76">
        <f>_xlfn.IFERROR(K448/H448,"N/A")</f>
        <v>-40.681082441046</v>
      </c>
      <c r="M448" s="109">
        <f>IF('Settings'!$E$9="YAHOO",VLOOKUP(B448,'ADP'!A1:E665,2,FALSE),IF('Settings'!$E$9="ESPN",VLOOKUP(B448,'ADP'!A1:E665,3,FALSE),IF('Settings'!$E$9="FANTRAX",VLOOKUP(B448,'ADP'!A1:E665,4,FALSE),VLOOKUP(B448,'ADP'!A1:E665,5,FALSE))))</f>
        <v>0</v>
      </c>
      <c r="N448" s="79">
        <f>_xlfn.IFERROR(M448-A448,"N/A")</f>
        <v>-459</v>
      </c>
      <c r="O448" s="77"/>
      <c r="P448" t="s" s="78">
        <f>IF('Settings'!$E$27="ON",VLOOKUP(B448,'ADP'!A1:H665,8,FALSE)," ")</f>
        <v>138</v>
      </c>
      <c r="Q448" s="79">
        <f>IF('Settings'!$E$12="YES",VLOOKUP(B448,'Player Data'!A1:E667,5,FALSE),82)</f>
        <v>82.03</v>
      </c>
      <c r="R448" s="108">
        <f>VLOOKUP(B448,'Player Data'!$A1:$AE667,6,FALSE)</f>
        <v>14.7234784759447</v>
      </c>
      <c r="S448" s="79">
        <f>VLOOKUP(B448,'Player Data'!$A1:$AE667,7,FALSE)*$Q448*_xlfn.IFERROR((VLOOKUP(P448,'Settings'!$E$28:$F$33,2,FALSE)+1),1)</f>
        <v>9.301241977529999</v>
      </c>
      <c r="T448" s="79">
        <f>VLOOKUP(B448,'Player Data'!$A1:$AE667,8,FALSE)*$Q448*_xlfn.IFERROR((VLOOKUP(P448,'Settings'!$E$28:$F$33,2,FALSE)+1),1)</f>
        <v>21.9802150809468</v>
      </c>
      <c r="U448" s="79">
        <f>SUM(S448:T448)</f>
        <v>31.2814570584768</v>
      </c>
      <c r="V448" s="79">
        <f>VLOOKUP(B448,'Player Data'!$A1:$AE667,10,FALSE)*$Q448*_xlfn.IFERROR(((VLOOKUP(P448,'Settings'!$E$28:$F$33,2,FALSE)/2)+1),1)</f>
        <v>97.85661677259171</v>
      </c>
      <c r="W448" s="79">
        <f>VLOOKUP(B448,'Player Data'!$A1:$AE667,11,FALSE)*$Q448*_xlfn.IFERROR((VLOOKUP(P448,'Settings'!$E$28:$F$33,2,FALSE)+1),1)</f>
        <v>0.909894707060065</v>
      </c>
      <c r="X448" s="79">
        <f>VLOOKUP(B448,'Player Data'!$A1:$AE667,12,FALSE)*$Q448*_xlfn.IFERROR((VLOOKUP(P448,'Settings'!$E$28:$F$33,2,FALSE)+1),1)</f>
        <v>3.61298951846176</v>
      </c>
      <c r="Y448" s="79">
        <f>VLOOKUP(B448,'Player Data'!$A1:$AE667,13,FALSE)*$Q448</f>
        <v>1.27709857525472</v>
      </c>
      <c r="Z448" s="79">
        <f>VLOOKUP(B448,'Player Data'!$A1:$AE667,14,FALSE)*$Q448</f>
        <v>2.70431389134534</v>
      </c>
      <c r="AA448" s="79">
        <f>VLOOKUP(B448,'Player Data'!$A1:$AE667,15,FALSE)*$Q448</f>
        <v>61.4016362056936</v>
      </c>
      <c r="AB448" s="79">
        <f>VLOOKUP(B448,'Player Data'!$A1:$AE667,16,FALSE)*$Q448</f>
        <v>67.32072833866491</v>
      </c>
      <c r="AC448" s="79">
        <f>VLOOKUP(B448,'Player Data'!$A1:$AE667,17,FALSE)*$Q448*_xlfn.IFERROR((VLOOKUP(P448,'Settings'!$E$28:$F$33,2,FALSE)+1),1)</f>
        <v>0.150844249579335</v>
      </c>
      <c r="AD448" s="79">
        <f>VLOOKUP(B448,'Player Data'!$A1:$AE667,18,FALSE)*$Q448</f>
        <v>25.6976468270316</v>
      </c>
      <c r="AE448" s="79">
        <f>VLOOKUP(B448,'Player Data'!$A1:$AE667,19,FALSE)*$Q448*_xlfn.IFERROR((VLOOKUP(P448,'Settings'!$E$28:$F$33,2,FALSE)+1),1)</f>
        <v>1.36104509125538</v>
      </c>
      <c r="AF448" s="79">
        <f>VLOOKUP(B448,'Player Data'!$A1:$AE667,20,FALSE)*$Q448</f>
        <v>264.943731184272</v>
      </c>
      <c r="AG448" s="79">
        <f>VLOOKUP(B448,'Player Data'!$A1:$AE667,21,FALSE)*$Q448</f>
        <v>315.104778182189</v>
      </c>
      <c r="AH448" s="81">
        <f>VLOOKUP(B448,'Player Data'!$A1:$AE667,22,FALSE)</f>
        <v>0.456761334450542</v>
      </c>
      <c r="AI448" s="77"/>
      <c r="AJ448" s="79"/>
      <c r="AK448" s="79"/>
      <c r="AL448" s="79"/>
      <c r="AM448" s="79"/>
      <c r="AN448" s="79"/>
      <c r="AO448" s="79"/>
      <c r="AP448" s="79"/>
      <c r="AQ448" s="82"/>
      <c r="AR448" s="83"/>
      <c r="AS448" s="84"/>
    </row>
    <row r="449" ht="21.25" customHeight="1">
      <c r="A449" s="85">
        <f>RANK(K449,K$1:K$665)</f>
        <v>440</v>
      </c>
      <c r="B449" t="s" s="16">
        <v>639</v>
      </c>
      <c r="C449" t="s" s="69">
        <v>127</v>
      </c>
      <c r="D449" t="s" s="70">
        <f>VLOOKUP(B449,'Player Data'!A1:D667,4,FALSE)</f>
        <v>153</v>
      </c>
      <c r="E449" s="95">
        <f>VLOOKUP(B449,'D'!A1:C213,3,FALSE)</f>
        <v>144</v>
      </c>
      <c r="F449" t="s" s="88">
        <f>VLOOKUP(B449,'Player Data'!A1:B667,2,FALSE)</f>
        <v>141</v>
      </c>
      <c r="G449" s="11">
        <f>VLOOKUP(B449,'Player Data'!A1:D667,3,FALSE)</f>
        <v>26</v>
      </c>
      <c r="H449" s="94">
        <f>_xlfn.IFERROR(VLOOKUP(B449,'ADP'!A1:G665,7,FALSE)/1000000,VLOOKUP(B449,'ADP'!A1:G665,7,FALSE))</f>
        <v>1.125</v>
      </c>
      <c r="I449" s="74">
        <f>IF('Settings'!$E$15="POINTS",((R449*Q449)*'Settings'!$B$12)+(S449*'Settings'!$B$2)+(T449*'Settings'!$B$3)+(U449*'Settings'!$B$4)+(V449*'Settings'!$B$5)+(X449*'Settings'!$B$9)+(AA449*'Settings'!$B$6)+(W449*'Settings'!$B$8)+(AB449*'Settings'!$B$7)+(AC449*'Settings'!$B$14)+(AD449*'Settings'!$B$15)+(AE449*'Settings'!$B$16)+(AF449*'Settings'!$B$17)+(AG449*'Settings'!$B$18)+(U449*'Settings'!$B$13)+(Y449*'Settings'!$B$10)+(Z449*'Settings'!$B$11),VLOOKUP(B449,'Standard Deviations'!A1:C666,3,FALSE))</f>
        <v>195.943867396520</v>
      </c>
      <c r="J449" s="75">
        <f>IF(D449="G",I449/AJ449,I449/Q449)</f>
        <v>2.51033075903555</v>
      </c>
      <c r="K449" s="74">
        <f>VLOOKUP(B449,'D'!A1:F213,6,FALSE)</f>
        <v>-135.596340523562</v>
      </c>
      <c r="L449" s="76">
        <f>_xlfn.IFERROR(K449/H449,"N/A")</f>
        <v>-120.530080465388</v>
      </c>
      <c r="M449" s="109">
        <f>IF('Settings'!$E$9="YAHOO",VLOOKUP(B449,'ADP'!A1:E665,2,FALSE),IF('Settings'!$E$9="ESPN",VLOOKUP(B449,'ADP'!A1:E665,3,FALSE),IF('Settings'!$E$9="FANTRAX",VLOOKUP(B449,'ADP'!A1:E665,4,FALSE),VLOOKUP(B449,'ADP'!A1:E665,5,FALSE))))</f>
        <v>0</v>
      </c>
      <c r="N449" s="79">
        <f>_xlfn.IFERROR(M449-A449,"N/A")</f>
        <v>-440</v>
      </c>
      <c r="O449" s="77"/>
      <c r="P449" t="s" s="78">
        <f>IF('Settings'!$E$27="ON",VLOOKUP(B449,'ADP'!A1:H665,8,FALSE)," ")</f>
        <v>138</v>
      </c>
      <c r="Q449" s="79">
        <f>IF('Settings'!$E$12="YES",VLOOKUP(B449,'Player Data'!A1:E667,5,FALSE),82)</f>
        <v>78.05500000000001</v>
      </c>
      <c r="R449" s="77">
        <f>VLOOKUP(B449,'Player Data'!$A1:$AE667,6,FALSE)</f>
        <v>16.088421848688</v>
      </c>
      <c r="S449" s="79">
        <f>VLOOKUP(B449,'Player Data'!$A1:$AE667,7,FALSE)*$Q449*_xlfn.IFERROR((VLOOKUP(P449,'Settings'!$E$28:$F$33,2,FALSE)+1),1)</f>
        <v>3.94594647294132</v>
      </c>
      <c r="T449" s="79">
        <f>VLOOKUP(B449,'Player Data'!$A1:$AE667,8,FALSE)*$Q449*_xlfn.IFERROR((VLOOKUP(P449,'Settings'!$E$28:$F$33,2,FALSE)+1),1)</f>
        <v>19.8192106266355</v>
      </c>
      <c r="U449" s="79">
        <f>SUM(S449:T449)</f>
        <v>23.7651570995768</v>
      </c>
      <c r="V449" s="79">
        <f>VLOOKUP(B449,'Player Data'!$A1:$AE667,10,FALSE)*$Q449*_xlfn.IFERROR(((VLOOKUP(P449,'Settings'!$E$28:$F$33,2,FALSE)/2)+1),1)</f>
        <v>76.3223516730408</v>
      </c>
      <c r="W449" s="79">
        <f>VLOOKUP(B449,'Player Data'!$A1:$AE667,11,FALSE)*$Q449*_xlfn.IFERROR((VLOOKUP(P449,'Settings'!$E$28:$F$33,2,FALSE)+1),1)</f>
        <v>0.0135750503417089</v>
      </c>
      <c r="X449" s="79">
        <f>VLOOKUP(B449,'Player Data'!$A1:$AE667,12,FALSE)*$Q449*_xlfn.IFERROR((VLOOKUP(P449,'Settings'!$E$28:$F$33,2,FALSE)+1),1)</f>
        <v>0.0862910204456655</v>
      </c>
      <c r="Y449" s="79">
        <f>VLOOKUP(B449,'Player Data'!$A1:$AE667,13,FALSE)*$Q449</f>
        <v>0.0194459494675522</v>
      </c>
      <c r="Z449" s="79">
        <f>VLOOKUP(B449,'Player Data'!$A1:$AE667,14,FALSE)*$Q449</f>
        <v>0.0955387919199403</v>
      </c>
      <c r="AA449" s="79">
        <f>VLOOKUP(B449,'Player Data'!$A1:$AE667,15,FALSE)*$Q449</f>
        <v>102.347729635977</v>
      </c>
      <c r="AB449" s="79">
        <f>VLOOKUP(B449,'Player Data'!$A1:$AE667,16,FALSE)*$Q449</f>
        <v>87.4604797936628</v>
      </c>
      <c r="AC449" s="79">
        <f>VLOOKUP(B449,'Player Data'!$A1:$AE667,17,FALSE)*$Q449*_xlfn.IFERROR((VLOOKUP(P449,'Settings'!$E$28:$F$33,2,FALSE)+1),1)</f>
        <v>1.32829454274793</v>
      </c>
      <c r="AD449" s="79">
        <f>VLOOKUP(B449,'Player Data'!$A1:$AE667,18,FALSE)*$Q449</f>
        <v>19.9557426608004</v>
      </c>
      <c r="AE449" s="79">
        <f>VLOOKUP(B449,'Player Data'!$A1:$AE667,19,FALSE)*$Q449*_xlfn.IFERROR((VLOOKUP(P449,'Settings'!$E$28:$F$33,2,FALSE)+1),1)</f>
        <v>0.621729726523361</v>
      </c>
      <c r="AF449" s="79">
        <f>VLOOKUP(B449,'Player Data'!$A1:$AE667,20,FALSE)*$Q449</f>
        <v>0</v>
      </c>
      <c r="AG449" s="79">
        <f>VLOOKUP(B449,'Player Data'!$A1:$AE667,21,FALSE)*$Q449</f>
        <v>0</v>
      </c>
      <c r="AH449" s="81">
        <f>VLOOKUP(B449,'Player Data'!$A1:$AE667,22,FALSE)</f>
        <v>0</v>
      </c>
      <c r="AI449" s="77"/>
      <c r="AJ449" s="79"/>
      <c r="AK449" s="79"/>
      <c r="AL449" s="79"/>
      <c r="AM449" s="79"/>
      <c r="AN449" s="79"/>
      <c r="AO449" s="79"/>
      <c r="AP449" s="79"/>
      <c r="AQ449" s="82"/>
      <c r="AR449" s="83"/>
      <c r="AS449" s="84"/>
    </row>
    <row r="450" ht="21.25" customHeight="1">
      <c r="A450" s="85">
        <f>RANK(K450,K$1:K$665)</f>
        <v>428</v>
      </c>
      <c r="B450" t="s" s="16">
        <v>640</v>
      </c>
      <c r="C450" t="s" s="69">
        <v>127</v>
      </c>
      <c r="D450" t="s" s="70">
        <f>VLOOKUP(B450,'Player Data'!A1:D667,4,FALSE)</f>
        <v>161</v>
      </c>
      <c r="E450" s="99">
        <f>VLOOKUP(B450,'G'!A1:D65,3,FALSE)</f>
        <v>53</v>
      </c>
      <c r="F450" t="s" s="88">
        <f>VLOOKUP(B450,'Player Data'!A1:B667,2,FALSE)</f>
        <v>317</v>
      </c>
      <c r="G450" s="96">
        <f>VLOOKUP(B450,'Player Data'!A1:D667,3,FALSE)</f>
        <v>25</v>
      </c>
      <c r="H450" s="94">
        <f>_xlfn.IFERROR(VLOOKUP(B450,'ADP'!A1:G665,7,FALSE)/1000000,VLOOKUP(B450,'ADP'!A1:G665,7,FALSE))</f>
        <v>1.05</v>
      </c>
      <c r="I450" s="74">
        <f>IF('Settings'!$E$15="POINTS",(AJ450*'Settings'!$B$29)+(AK450*'Settings'!$B$21)+(AL450*'Settings'!$B$22)+(AN450*'Settings'!$B$24)+(AO450*'Settings'!$B$25)+(AP450*'Settings'!$B$27)+(AM450*'Settings'!$B$23),VLOOKUP(B450,'Standard Deviations'!A1:C666,3,FALSE))</f>
        <v>135.209361586823</v>
      </c>
      <c r="J450" s="75">
        <f>IF(D450="G",I450/AJ450,I450/Q450)</f>
        <v>5.20036006103165</v>
      </c>
      <c r="K450" s="74">
        <f>VLOOKUP(B450,'G'!A1:F65,6,FALSE)</f>
        <v>-132.381652977767</v>
      </c>
      <c r="L450" s="76">
        <f>_xlfn.IFERROR(K450/H450,"N/A")</f>
        <v>-126.077764740730</v>
      </c>
      <c r="M450" s="109">
        <f>IF('Settings'!$E$9="YAHOO",VLOOKUP(B450,'ADP'!A1:E665,2,FALSE),IF('Settings'!$E$9="ESPN",VLOOKUP(B450,'ADP'!A1:E665,3,FALSE),IF('Settings'!$E$9="FANTRAX",VLOOKUP(B450,'ADP'!A1:E665,4,FALSE),VLOOKUP(B450,'ADP'!A1:E665,5,FALSE))))</f>
        <v>0</v>
      </c>
      <c r="N450" s="79">
        <f>_xlfn.IFERROR(M450-A450,"N/A")</f>
        <v>-428</v>
      </c>
      <c r="O450" s="77"/>
      <c r="P450" t="s" s="78">
        <f>IF('Settings'!$E$27="ON",VLOOKUP(B450,'ADP'!A1:H665,8,FALSE)," ")</f>
        <v>138</v>
      </c>
      <c r="Q450" s="79"/>
      <c r="R450" s="77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81"/>
      <c r="AI450" s="77"/>
      <c r="AJ450" s="89">
        <f>VLOOKUP(B450,'Player Data'!$A1:$AE667,24,FALSE)</f>
        <v>26</v>
      </c>
      <c r="AK450" s="79">
        <f>VLOOKUP(B450,'Player Data'!$A1:$AE667,25,FALSE)*$AJ450*_xlfn.IFERROR((VLOOKUP(P450,'Settings'!$E$28:$F$33,2,FALSE)+1),1)</f>
        <v>10.0329277765639</v>
      </c>
      <c r="AL450" s="79">
        <f>AJ450-AK450-AM450</f>
        <v>12.7170722234361</v>
      </c>
      <c r="AM450" s="79">
        <f>VLOOKUP(B450,'Player Data'!$A1:$AE667,27,FALSE)*$AJ450</f>
        <v>3.25</v>
      </c>
      <c r="AN450" s="79">
        <f>VLOOKUP(B450,'Player Data'!$A1:$AE667,28,FALSE)*AJ450</f>
        <v>0.787730417565026</v>
      </c>
      <c r="AO450" s="79">
        <f>VLOOKUP(B450,'Player Data'!$A1:$AE667,29,FALSE)*$AJ450*_xlfn.IFERROR((VLOOKUP(P450,'Settings'!$E$28:$F$33,2,FALSE)/4)+1,1)</f>
        <v>758.7503345572929</v>
      </c>
      <c r="AP450" s="79">
        <f>VLOOKUP(B450,'Player Data'!$A1:$AE667,31,FALSE)*$AJ450*(_xlfn.IFERROR(1-(VLOOKUP(P450,'Settings'!$E$28:$F$33,2,FALSE)/4),1))</f>
        <v>81.6428856970246</v>
      </c>
      <c r="AQ450" s="82">
        <f>1-(AP450/(AO450+AP450))</f>
        <v>0.902851565517963</v>
      </c>
      <c r="AR450" s="83">
        <f>AP450/AJ450</f>
        <v>3.1401109883471</v>
      </c>
      <c r="AS450" s="84"/>
    </row>
    <row r="451" ht="21.25" customHeight="1">
      <c r="A451" s="85">
        <f>RANK(K451,K$1:K$665)</f>
        <v>463</v>
      </c>
      <c r="B451" t="s" s="16">
        <v>641</v>
      </c>
      <c r="C451" t="s" s="69">
        <v>127</v>
      </c>
      <c r="D451" t="s" s="70">
        <f>VLOOKUP(B451,'Player Data'!A1:D667,4,FALSE)</f>
        <v>178</v>
      </c>
      <c r="E451" s="102">
        <f>VLOOKUP(B451,'LW'!A1:C152,3,FALSE)</f>
        <v>112</v>
      </c>
      <c r="F451" t="s" s="78">
        <f>VLOOKUP(B451,'Player Data'!A1:B667,2,FALSE)</f>
        <v>134</v>
      </c>
      <c r="G451" s="11">
        <f>VLOOKUP(B451,'Player Data'!A1:D667,3,FALSE)</f>
        <v>28</v>
      </c>
      <c r="H451" s="73">
        <f>_xlfn.IFERROR(VLOOKUP(B451,'ADP'!A1:G665,7,FALSE)/1000000,VLOOKUP(B451,'ADP'!A1:G665,7,FALSE))</f>
        <v>2.5</v>
      </c>
      <c r="I451" s="74">
        <f>IF('Settings'!$E$15="POINTS",((R451*Q451)*'Settings'!$B$12)+(S451*'Settings'!$B$2)+(T451*'Settings'!$B$3)+(U451*'Settings'!$B$4)+(V451*'Settings'!$B$5)+(X451*'Settings'!$B$9)+(AA451*'Settings'!$B$6)+(W451*'Settings'!$B$8)+(AB451*'Settings'!$B$7)+(AC451*'Settings'!$B$14)+(AD451*'Settings'!$B$15)+(AE451*'Settings'!$B$16)+(AF451*'Settings'!$B$17)+(AG451*'Settings'!$B$18)+(Y451*'Settings'!$B$10)+(Z451*'Settings'!$B$11),VLOOKUP(B451,'Standard Deviations'!A1:C666,3,FALSE))</f>
        <v>188.323915884174</v>
      </c>
      <c r="J451" s="75">
        <f>IF(D451="G",I451/AJ451,I451/Q451)</f>
        <v>2.50147992142092</v>
      </c>
      <c r="K451" s="74">
        <f>IF('Settings'!$E$18="C/LW/RW",VLOOKUP(B451,'LW'!A1:F152,6,FALSE),VLOOKUP(B451,'F'!A1:F392,6,FALSE))</f>
        <v>-143.396195882038</v>
      </c>
      <c r="L451" s="76">
        <f>_xlfn.IFERROR(K451/H451,"N/A")</f>
        <v>-57.3584783528152</v>
      </c>
      <c r="M451" s="109">
        <f>IF('Settings'!$E$9="YAHOO",VLOOKUP(B451,'ADP'!A1:E665,2,FALSE),IF('Settings'!$E$9="ESPN",VLOOKUP(B451,'ADP'!A1:E665,3,FALSE),IF('Settings'!$E$9="FANTRAX",VLOOKUP(B451,'ADP'!A1:E665,4,FALSE),VLOOKUP(B451,'ADP'!A1:E665,5,FALSE))))</f>
        <v>0</v>
      </c>
      <c r="N451" s="79">
        <f>_xlfn.IFERROR(M451-A451,"N/A")</f>
        <v>-463</v>
      </c>
      <c r="O451" s="77"/>
      <c r="P451" t="s" s="78">
        <f>IF('Settings'!$E$27="ON",VLOOKUP(B451,'ADP'!A1:H665,8,FALSE)," ")</f>
        <v>138</v>
      </c>
      <c r="Q451" s="79">
        <f>IF('Settings'!$E$12="YES",VLOOKUP(B451,'Player Data'!A1:E667,5,FALSE),82)</f>
        <v>75.285</v>
      </c>
      <c r="R451" s="77">
        <f>VLOOKUP(B451,'Player Data'!$A1:$AE667,6,FALSE)</f>
        <v>13.2840350767106</v>
      </c>
      <c r="S451" s="79">
        <f>VLOOKUP(B451,'Player Data'!$A1:$AE667,7,FALSE)*$Q451*_xlfn.IFERROR((VLOOKUP(P451,'Settings'!$E$28:$F$33,2,FALSE)+1),1)</f>
        <v>9.778244000643079</v>
      </c>
      <c r="T451" s="79">
        <f>VLOOKUP(B451,'Player Data'!$A1:$AE667,8,FALSE)*$Q451*_xlfn.IFERROR((VLOOKUP(P451,'Settings'!$E$28:$F$33,2,FALSE)+1),1)</f>
        <v>16.2082125893214</v>
      </c>
      <c r="U451" s="79">
        <f>SUM(S451:T451)</f>
        <v>25.9864565899645</v>
      </c>
      <c r="V451" s="79">
        <f>VLOOKUP(B451,'Player Data'!$A1:$AE667,10,FALSE)*$Q451*_xlfn.IFERROR(((VLOOKUP(P451,'Settings'!$E$28:$F$33,2,FALSE)/2)+1),1)</f>
        <v>157.698693636202</v>
      </c>
      <c r="W451" s="79">
        <f>VLOOKUP(B451,'Player Data'!$A1:$AE667,11,FALSE)*$Q451*_xlfn.IFERROR((VLOOKUP(P451,'Settings'!$E$28:$F$33,2,FALSE)+1),1)</f>
        <v>0.09295597348693289</v>
      </c>
      <c r="X451" s="79">
        <f>VLOOKUP(B451,'Player Data'!$A1:$AE667,12,FALSE)*$Q451*_xlfn.IFERROR((VLOOKUP(P451,'Settings'!$E$28:$F$33,2,FALSE)+1),1)</f>
        <v>0.156692235091753</v>
      </c>
      <c r="Y451" s="79">
        <f>VLOOKUP(B451,'Player Data'!$A1:$AE667,13,FALSE)*$Q451</f>
        <v>0.683891516362279</v>
      </c>
      <c r="Z451" s="79">
        <f>VLOOKUP(B451,'Player Data'!$A1:$AE667,14,FALSE)*$Q451</f>
        <v>0.790630885414525</v>
      </c>
      <c r="AA451" s="79">
        <f>VLOOKUP(B451,'Player Data'!$A1:$AE667,15,FALSE)*$Q451</f>
        <v>32.662850400584</v>
      </c>
      <c r="AB451" s="79">
        <f>VLOOKUP(B451,'Player Data'!$A1:$AE667,16,FALSE)*$Q451</f>
        <v>105.113847359799</v>
      </c>
      <c r="AC451" s="79">
        <f>VLOOKUP(B451,'Player Data'!$A1:$AE667,17,FALSE)*$Q451*_xlfn.IFERROR((VLOOKUP(P451,'Settings'!$E$28:$F$33,2,FALSE)+1),1)</f>
        <v>1.36638141821595</v>
      </c>
      <c r="AD451" s="79">
        <f>VLOOKUP(B451,'Player Data'!$A1:$AE667,18,FALSE)*$Q451</f>
        <v>49.177764444962</v>
      </c>
      <c r="AE451" s="79">
        <f>VLOOKUP(B451,'Player Data'!$A1:$AE667,19,FALSE)*$Q451*_xlfn.IFERROR((VLOOKUP(P451,'Settings'!$E$28:$F$33,2,FALSE)+1),1)</f>
        <v>1.46097383730099</v>
      </c>
      <c r="AF451" s="79">
        <f>VLOOKUP(B451,'Player Data'!$A1:$AE667,20,FALSE)*$Q451</f>
        <v>8.675967395828049</v>
      </c>
      <c r="AG451" s="79">
        <f>VLOOKUP(B451,'Player Data'!$A1:$AE667,21,FALSE)*$Q451</f>
        <v>26.1972436003995</v>
      </c>
      <c r="AH451" s="81">
        <f>VLOOKUP(B451,'Player Data'!$A1:$AE667,22,FALSE)</f>
        <v>0.24878602078732</v>
      </c>
      <c r="AI451" s="77"/>
      <c r="AJ451" s="89"/>
      <c r="AK451" s="79"/>
      <c r="AL451" s="79"/>
      <c r="AM451" s="79"/>
      <c r="AN451" s="79"/>
      <c r="AO451" s="79"/>
      <c r="AP451" s="79"/>
      <c r="AQ451" s="82"/>
      <c r="AR451" s="83"/>
      <c r="AS451" s="84"/>
    </row>
    <row r="452" ht="21.25" customHeight="1">
      <c r="A452" s="85">
        <f>RANK(K452,K$1:K$665)</f>
        <v>442</v>
      </c>
      <c r="B452" t="s" s="16">
        <v>642</v>
      </c>
      <c r="C452" t="s" s="69">
        <v>127</v>
      </c>
      <c r="D452" t="s" s="70">
        <f>VLOOKUP(B452,'Player Data'!A1:D667,4,FALSE)</f>
        <v>153</v>
      </c>
      <c r="E452" s="95">
        <f>VLOOKUP(B452,'D'!A1:C213,3,FALSE)</f>
        <v>145</v>
      </c>
      <c r="F452" t="s" s="78">
        <f>VLOOKUP(B452,'Player Data'!A1:B667,2,FALSE)</f>
        <v>194</v>
      </c>
      <c r="G452" s="96">
        <f>VLOOKUP(B452,'Player Data'!A1:D667,3,FALSE)</f>
        <v>20</v>
      </c>
      <c r="H452" s="73">
        <f>_xlfn.IFERROR(VLOOKUP(B452,'ADP'!A1:G665,7,FALSE)/1000000,VLOOKUP(B452,'ADP'!A1:G665,7,FALSE))</f>
        <v>0.918333</v>
      </c>
      <c r="I452" s="74">
        <f>IF('Settings'!$E$15="POINTS",((R452*Q452)*'Settings'!$B$12)+(S452*'Settings'!$B$2)+(T452*'Settings'!$B$3)+(U452*'Settings'!$B$4)+(V452*'Settings'!$B$5)+(X452*'Settings'!$B$9)+(AA452*'Settings'!$B$6)+(W452*'Settings'!$B$8)+(AB452*'Settings'!$B$7)+(AC452*'Settings'!$B$14)+(AD452*'Settings'!$B$15)+(AE452*'Settings'!$B$16)+(AF452*'Settings'!$B$17)+(AG452*'Settings'!$B$18)+(U452*'Settings'!$B$13)+(Y452*'Settings'!$B$10)+(Z452*'Settings'!$B$11),VLOOKUP(B452,'Standard Deviations'!A1:C666,3,FALSE))</f>
        <v>194.634775392457</v>
      </c>
      <c r="J452" s="75">
        <f>IF(D452="G",I452/AJ452,I452/Q452)</f>
        <v>2.55175057872772</v>
      </c>
      <c r="K452" s="74">
        <f>VLOOKUP(B452,'D'!A1:F213,6,FALSE)</f>
        <v>-136.905432527625</v>
      </c>
      <c r="L452" s="76">
        <f>_xlfn.IFERROR(K452/H452,"N/A")</f>
        <v>-149.080379914067</v>
      </c>
      <c r="M452" s="109">
        <f>IF('Settings'!$E$9="YAHOO",VLOOKUP(B452,'ADP'!A1:E665,2,FALSE),IF('Settings'!$E$9="ESPN",VLOOKUP(B452,'ADP'!A1:E665,3,FALSE),IF('Settings'!$E$9="FANTRAX",VLOOKUP(B452,'ADP'!A1:E665,4,FALSE),VLOOKUP(B452,'ADP'!A1:E665,5,FALSE))))</f>
        <v>0</v>
      </c>
      <c r="N452" s="79">
        <f>_xlfn.IFERROR(M452-A452,"N/A")</f>
        <v>-442</v>
      </c>
      <c r="O452" s="77"/>
      <c r="P452" t="s" s="78">
        <f>IF('Settings'!$E$27="ON",VLOOKUP(B452,'ADP'!A1:H665,8,FALSE)," ")</f>
        <v>138</v>
      </c>
      <c r="Q452" s="79">
        <f>IF('Settings'!$E$12="YES",VLOOKUP(B452,'Player Data'!A1:E667,5,FALSE),82)</f>
        <v>76.27500000000001</v>
      </c>
      <c r="R452" s="108">
        <f>VLOOKUP(B452,'Player Data'!$A1:$AE667,6,FALSE)</f>
        <v>18.5878454848894</v>
      </c>
      <c r="S452" s="79">
        <f>VLOOKUP(B452,'Player Data'!$A1:$AE667,7,FALSE)*$Q452*_xlfn.IFERROR((VLOOKUP(P452,'Settings'!$E$28:$F$33,2,FALSE)+1),1)</f>
        <v>4.13936161397288</v>
      </c>
      <c r="T452" s="79">
        <f>VLOOKUP(B452,'Player Data'!$A1:$AE667,8,FALSE)*$Q452*_xlfn.IFERROR((VLOOKUP(P452,'Settings'!$E$28:$F$33,2,FALSE)+1),1)</f>
        <v>18.8852821693403</v>
      </c>
      <c r="U452" s="79">
        <f>SUM(S452:T452)</f>
        <v>23.0246437833132</v>
      </c>
      <c r="V452" s="79">
        <f>VLOOKUP(B452,'Player Data'!$A1:$AE667,10,FALSE)*$Q452*_xlfn.IFERROR(((VLOOKUP(P452,'Settings'!$E$28:$F$33,2,FALSE)/2)+1),1)</f>
        <v>85.1863078542564</v>
      </c>
      <c r="W452" s="79">
        <f>VLOOKUP(B452,'Player Data'!$A1:$AE667,11,FALSE)*$Q452*_xlfn.IFERROR((VLOOKUP(P452,'Settings'!$E$28:$F$33,2,FALSE)+1),1)</f>
        <v>0.173605721331594</v>
      </c>
      <c r="X452" s="79">
        <f>VLOOKUP(B452,'Player Data'!$A1:$AE667,12,FALSE)*$Q452*_xlfn.IFERROR((VLOOKUP(P452,'Settings'!$E$28:$F$33,2,FALSE)+1),1)</f>
        <v>2.11021247265482</v>
      </c>
      <c r="Y452" s="79">
        <f>VLOOKUP(B452,'Player Data'!$A1:$AE667,13,FALSE)*$Q452</f>
        <v>0.0368031628020149</v>
      </c>
      <c r="Z452" s="79">
        <f>VLOOKUP(B452,'Player Data'!$A1:$AE667,14,FALSE)*$Q452</f>
        <v>0.17792259169239</v>
      </c>
      <c r="AA452" s="79">
        <f>VLOOKUP(B452,'Player Data'!$A1:$AE667,15,FALSE)*$Q452</f>
        <v>122.479797629919</v>
      </c>
      <c r="AB452" s="79">
        <f>VLOOKUP(B452,'Player Data'!$A1:$AE667,16,FALSE)*$Q452</f>
        <v>56.6378542854562</v>
      </c>
      <c r="AC452" s="79">
        <f>VLOOKUP(B452,'Player Data'!$A1:$AE667,17,FALSE)*$Q452*_xlfn.IFERROR((VLOOKUP(P452,'Settings'!$E$28:$F$33,2,FALSE)+1),1)</f>
        <v>2.90959400458491</v>
      </c>
      <c r="AD452" s="79">
        <f>VLOOKUP(B452,'Player Data'!$A1:$AE667,18,FALSE)*$Q452</f>
        <v>37.4826958420373</v>
      </c>
      <c r="AE452" s="79">
        <f>VLOOKUP(B452,'Player Data'!$A1:$AE667,19,FALSE)*$Q452*_xlfn.IFERROR((VLOOKUP(P452,'Settings'!$E$28:$F$33,2,FALSE)+1),1)</f>
        <v>0.624531651900526</v>
      </c>
      <c r="AF452" s="79">
        <f>VLOOKUP(B452,'Player Data'!$A1:$AE667,20,FALSE)*$Q452</f>
        <v>0</v>
      </c>
      <c r="AG452" s="79">
        <f>VLOOKUP(B452,'Player Data'!$A1:$AE667,21,FALSE)*$Q452</f>
        <v>0</v>
      </c>
      <c r="AH452" s="81">
        <f>VLOOKUP(B452,'Player Data'!$A1:$AE667,22,FALSE)</f>
        <v>0</v>
      </c>
      <c r="AI452" s="77"/>
      <c r="AJ452" s="79"/>
      <c r="AK452" s="79"/>
      <c r="AL452" s="79"/>
      <c r="AM452" s="79"/>
      <c r="AN452" s="79"/>
      <c r="AO452" s="79"/>
      <c r="AP452" s="79"/>
      <c r="AQ452" s="82"/>
      <c r="AR452" s="83"/>
      <c r="AS452" s="84"/>
    </row>
    <row r="453" ht="21.25" customHeight="1">
      <c r="A453" s="85">
        <f>RANK(K453,K$1:K$665)</f>
        <v>458</v>
      </c>
      <c r="B453" t="s" s="16">
        <v>643</v>
      </c>
      <c r="C453" t="s" s="69">
        <v>127</v>
      </c>
      <c r="D453" t="s" s="70">
        <f>VLOOKUP(B453,'Player Data'!A1:D667,4,FALSE)</f>
        <v>140</v>
      </c>
      <c r="E453" s="90">
        <f>VLOOKUP(B453,'RW'!A1:F136,3,FALSE)</f>
        <v>90</v>
      </c>
      <c r="F453" t="s" s="86">
        <f>VLOOKUP(B453,'Player Data'!A1:B667,2,FALSE)</f>
        <v>192</v>
      </c>
      <c r="G453" s="11">
        <f>VLOOKUP(B453,'Player Data'!A1:D667,3,FALSE)</f>
        <v>27</v>
      </c>
      <c r="H453" s="73">
        <f>_xlfn.IFERROR(VLOOKUP(B453,'ADP'!A1:G665,7,FALSE)/1000000,VLOOKUP(B453,'ADP'!A1:G665,7,FALSE))</f>
        <v>1.85</v>
      </c>
      <c r="I453" s="74">
        <f>IF('Settings'!$E$15="POINTS",((R453*Q453)*'Settings'!$B$12)+(S453*'Settings'!$B$2)+(T453*'Settings'!$B$3)+(U453*'Settings'!$B$4)+(V453*'Settings'!$B$5)+(X453*'Settings'!$B$9)+(AA453*'Settings'!$B$6)+(W453*'Settings'!$B$8)+(AB453*'Settings'!$B$7)+(AC453*'Settings'!$B$14)+(AD453*'Settings'!$B$15)+(AE453*'Settings'!$B$16)+(AF453*'Settings'!$B$17)+(AG453*'Settings'!$B$18)+(Y453*'Settings'!$B$10)+(Z453*'Settings'!$B$11),VLOOKUP(B453,'Standard Deviations'!A1:C666,3,FALSE))</f>
        <v>187.514960693934</v>
      </c>
      <c r="J453" s="75">
        <f>IF(D453="G",I453/AJ453,I453/Q453)</f>
        <v>2.4285570431463</v>
      </c>
      <c r="K453" s="74">
        <f>IF('Settings'!$E$18="C/LW/RW",VLOOKUP(B453,'RW'!A1:F136,6,FALSE),VLOOKUP(B453,'F'!A1:F392,6,FALSE))</f>
        <v>-142.176933387244</v>
      </c>
      <c r="L453" s="76">
        <f>_xlfn.IFERROR(K453/H453,"N/A")</f>
        <v>-76.85239642553729</v>
      </c>
      <c r="M453" s="109">
        <f>IF('Settings'!$E$9="YAHOO",VLOOKUP(B453,'ADP'!A1:E665,2,FALSE),IF('Settings'!$E$9="ESPN",VLOOKUP(B453,'ADP'!A1:E665,3,FALSE),IF('Settings'!$E$9="FANTRAX",VLOOKUP(B453,'ADP'!A1:E665,4,FALSE),VLOOKUP(B453,'ADP'!A1:E665,5,FALSE))))</f>
        <v>0</v>
      </c>
      <c r="N453" s="79">
        <f>_xlfn.IFERROR(M453-A453,"N/A")</f>
        <v>-458</v>
      </c>
      <c r="O453" s="77"/>
      <c r="P453" t="s" s="78">
        <f>IF('Settings'!$E$27="ON",VLOOKUP(B453,'ADP'!A1:H665,8,FALSE)," ")</f>
        <v>138</v>
      </c>
      <c r="Q453" s="79">
        <f>IF('Settings'!$E$12="YES",VLOOKUP(B453,'Player Data'!A1:E667,5,FALSE),82)</f>
        <v>77.21250000000001</v>
      </c>
      <c r="R453" s="77">
        <f>VLOOKUP(B453,'Player Data'!$A1:$AE667,6,FALSE)</f>
        <v>10.9504211726786</v>
      </c>
      <c r="S453" s="79">
        <f>VLOOKUP(B453,'Player Data'!$A1:$AE667,7,FALSE)*$Q453*_xlfn.IFERROR((VLOOKUP(P453,'Settings'!$E$28:$F$33,2,FALSE)+1),1)</f>
        <v>6.60888100473463</v>
      </c>
      <c r="T453" s="79">
        <f>VLOOKUP(B453,'Player Data'!$A1:$AE667,8,FALSE)*$Q453*_xlfn.IFERROR((VLOOKUP(P453,'Settings'!$E$28:$F$33,2,FALSE)+1),1)</f>
        <v>6.77728447956011</v>
      </c>
      <c r="U453" s="79">
        <f>SUM(S453:T453)</f>
        <v>13.3861654842947</v>
      </c>
      <c r="V453" s="79">
        <f>VLOOKUP(B453,'Player Data'!$A1:$AE667,10,FALSE)*$Q453*_xlfn.IFERROR(((VLOOKUP(P453,'Settings'!$E$28:$F$33,2,FALSE)/2)+1),1)</f>
        <v>91.44242391121099</v>
      </c>
      <c r="W453" s="79">
        <f>VLOOKUP(B453,'Player Data'!$A1:$AE667,11,FALSE)*$Q453*_xlfn.IFERROR((VLOOKUP(P453,'Settings'!$E$28:$F$33,2,FALSE)+1),1)</f>
        <v>0.0635528352589627</v>
      </c>
      <c r="X453" s="79">
        <f>VLOOKUP(B453,'Player Data'!$A1:$AE667,12,FALSE)*$Q453*_xlfn.IFERROR((VLOOKUP(P453,'Settings'!$E$28:$F$33,2,FALSE)+1),1)</f>
        <v>0.148338827865733</v>
      </c>
      <c r="Y453" s="79">
        <f>VLOOKUP(B453,'Player Data'!$A1:$AE667,13,FALSE)*$Q453</f>
        <v>1.13255569890809</v>
      </c>
      <c r="Z453" s="79">
        <f>VLOOKUP(B453,'Player Data'!$A1:$AE667,14,FALSE)*$Q453</f>
        <v>1.29915952267091</v>
      </c>
      <c r="AA453" s="79">
        <f>VLOOKUP(B453,'Player Data'!$A1:$AE667,15,FALSE)*$Q453</f>
        <v>34.6336130996888</v>
      </c>
      <c r="AB453" s="79">
        <f>VLOOKUP(B453,'Player Data'!$A1:$AE667,16,FALSE)*$Q453</f>
        <v>183.725328138894</v>
      </c>
      <c r="AC453" s="79">
        <f>VLOOKUP(B453,'Player Data'!$A1:$AE667,17,FALSE)*$Q453*_xlfn.IFERROR((VLOOKUP(P453,'Settings'!$E$28:$F$33,2,FALSE)+1),1)</f>
        <v>-0.394066925725606</v>
      </c>
      <c r="AD453" s="79">
        <f>VLOOKUP(B453,'Player Data'!$A1:$AE667,18,FALSE)*$Q453</f>
        <v>58.6945265471336</v>
      </c>
      <c r="AE453" s="79">
        <f>VLOOKUP(B453,'Player Data'!$A1:$AE667,19,FALSE)*$Q453*_xlfn.IFERROR((VLOOKUP(P453,'Settings'!$E$28:$F$33,2,FALSE)+1),1)</f>
        <v>0.937883057120909</v>
      </c>
      <c r="AF453" s="79">
        <f>VLOOKUP(B453,'Player Data'!$A1:$AE667,20,FALSE)*$Q453</f>
        <v>4.67128705999612</v>
      </c>
      <c r="AG453" s="79">
        <f>VLOOKUP(B453,'Player Data'!$A1:$AE667,21,FALSE)*$Q453</f>
        <v>9.03824853802651</v>
      </c>
      <c r="AH453" s="81">
        <f>VLOOKUP(B453,'Player Data'!$A1:$AE667,22,FALSE)</f>
        <v>0.340732698536475</v>
      </c>
      <c r="AI453" s="77"/>
      <c r="AJ453" s="79"/>
      <c r="AK453" s="79"/>
      <c r="AL453" s="79"/>
      <c r="AM453" s="79"/>
      <c r="AN453" s="79"/>
      <c r="AO453" s="79"/>
      <c r="AP453" s="79"/>
      <c r="AQ453" s="82"/>
      <c r="AR453" s="83"/>
      <c r="AS453" s="84"/>
    </row>
    <row r="454" ht="21.25" customHeight="1">
      <c r="A454" s="85">
        <f>RANK(K454,K$1:K$665)</f>
        <v>475</v>
      </c>
      <c r="B454" t="s" s="16">
        <v>644</v>
      </c>
      <c r="C454" t="s" s="69">
        <v>127</v>
      </c>
      <c r="D454" t="s" s="70">
        <f>VLOOKUP(B454,'Player Data'!A1:D667,4,FALSE)</f>
        <v>128</v>
      </c>
      <c r="E454" s="71">
        <f>VLOOKUP(B454,'C'!A1:C206,3,FALSE)</f>
        <v>141</v>
      </c>
      <c r="F454" t="s" s="92">
        <f>VLOOKUP(B454,'Player Data'!A1:B667,2,FALSE)</f>
        <v>170</v>
      </c>
      <c r="G454" s="11">
        <f>VLOOKUP(B454,'Player Data'!A1:D667,3,FALSE)</f>
        <v>24</v>
      </c>
      <c r="H454" s="73">
        <f>_xlfn.IFERROR(VLOOKUP(B454,'ADP'!A1:G665,7,FALSE)/1000000,VLOOKUP(B454,'ADP'!A1:G665,7,FALSE))</f>
        <v>4.4375</v>
      </c>
      <c r="I454" s="74">
        <f>IF('Settings'!$E$15="POINTS",((R454*Q454)*'Settings'!$B$12)+(S454*'Settings'!$B$2)+(T454*'Settings'!$B$3)+(U454*'Settings'!$B$4)+(V454*'Settings'!$B$5)+(X454*'Settings'!$B$9)+(AA454*'Settings'!$B$6)+(W454*'Settings'!$B$8)+(AB454*'Settings'!$B$7)+(AC454*'Settings'!$B$14)+(AD454*'Settings'!$B$15)+(AE454*'Settings'!$B$16)+(AF454*'Settings'!$B$17)+(AG454*'Settings'!$B$18)+(Y454*'Settings'!$B$10)+(Z454*'Settings'!$B$11),VLOOKUP(B454,'Standard Deviations'!A1:C666,3,FALSE))</f>
        <v>182.193242935889</v>
      </c>
      <c r="J454" s="75">
        <f>IF(D454="G",I454/AJ454,I454/Q454)</f>
        <v>2.73358203954822</v>
      </c>
      <c r="K454" s="74">
        <f>IF('Settings'!$E$18="C/LW/RW",VLOOKUP(B454,'C'!A1:F206,6,FALSE),VLOOKUP(B454,'F'!A1:F392,6,FALSE))</f>
        <v>-147.498651145289</v>
      </c>
      <c r="L454" s="76">
        <f>_xlfn.IFERROR(K454/H454,"N/A")</f>
        <v>-33.2391326524595</v>
      </c>
      <c r="M454" s="109">
        <f>IF('Settings'!$E$9="YAHOO",VLOOKUP(B454,'ADP'!A1:E665,2,FALSE),IF('Settings'!$E$9="ESPN",VLOOKUP(B454,'ADP'!A1:E665,3,FALSE),IF('Settings'!$E$9="FANTRAX",VLOOKUP(B454,'ADP'!A1:E665,4,FALSE),VLOOKUP(B454,'ADP'!A1:E665,5,FALSE))))</f>
        <v>0</v>
      </c>
      <c r="N454" s="79">
        <f>_xlfn.IFERROR(M454-A454,"N/A")</f>
        <v>-475</v>
      </c>
      <c r="O454" s="77"/>
      <c r="P454" t="s" s="78">
        <f>IF('Settings'!$E$27="ON",VLOOKUP(B454,'ADP'!A1:H665,8,FALSE)," ")</f>
        <v>138</v>
      </c>
      <c r="Q454" s="79">
        <f>IF('Settings'!$E$12="YES",VLOOKUP(B454,'Player Data'!A1:E667,5,FALSE),82)</f>
        <v>66.65000000000001</v>
      </c>
      <c r="R454" s="77">
        <f>VLOOKUP(B454,'Player Data'!$A1:$AE667,6,FALSE)</f>
        <v>15.6686962623154</v>
      </c>
      <c r="S454" s="79">
        <f>VLOOKUP(B454,'Player Data'!$A1:$AE667,7,FALSE)*$Q454*_xlfn.IFERROR((VLOOKUP(P454,'Settings'!$E$28:$F$33,2,FALSE)+1),1)</f>
        <v>15.8861788291336</v>
      </c>
      <c r="T454" s="79">
        <f>VLOOKUP(B454,'Player Data'!$A1:$AE667,8,FALSE)*$Q454*_xlfn.IFERROR((VLOOKUP(P454,'Settings'!$E$28:$F$33,2,FALSE)+1),1)</f>
        <v>22.2735117485053</v>
      </c>
      <c r="U454" s="79">
        <f>SUM(S454:T454)</f>
        <v>38.1596905776389</v>
      </c>
      <c r="V454" s="79">
        <f>VLOOKUP(B454,'Player Data'!$A1:$AE667,10,FALSE)*$Q454*_xlfn.IFERROR(((VLOOKUP(P454,'Settings'!$E$28:$F$33,2,FALSE)/2)+1),1)</f>
        <v>149.784834107498</v>
      </c>
      <c r="W454" s="79">
        <f>VLOOKUP(B454,'Player Data'!$A1:$AE667,11,FALSE)*$Q454*_xlfn.IFERROR((VLOOKUP(P454,'Settings'!$E$28:$F$33,2,FALSE)+1),1)</f>
        <v>0.924311636061815</v>
      </c>
      <c r="X454" s="79">
        <f>VLOOKUP(B454,'Player Data'!$A1:$AE667,12,FALSE)*$Q454*_xlfn.IFERROR((VLOOKUP(P454,'Settings'!$E$28:$F$33,2,FALSE)+1),1)</f>
        <v>3.02497991337608</v>
      </c>
      <c r="Y454" s="79">
        <f>VLOOKUP(B454,'Player Data'!$A1:$AE667,13,FALSE)*$Q454</f>
        <v>0.437032480289589</v>
      </c>
      <c r="Z454" s="79">
        <f>VLOOKUP(B454,'Player Data'!$A1:$AE667,14,FALSE)*$Q454</f>
        <v>0.737403751888269</v>
      </c>
      <c r="AA454" s="79">
        <f>VLOOKUP(B454,'Player Data'!$A1:$AE667,15,FALSE)*$Q454</f>
        <v>34.6246515784726</v>
      </c>
      <c r="AB454" s="79">
        <f>VLOOKUP(B454,'Player Data'!$A1:$AE667,16,FALSE)*$Q454</f>
        <v>40.4440451367949</v>
      </c>
      <c r="AC454" s="79">
        <f>VLOOKUP(B454,'Player Data'!$A1:$AE667,17,FALSE)*$Q454*_xlfn.IFERROR((VLOOKUP(P454,'Settings'!$E$28:$F$33,2,FALSE)+1),1)</f>
        <v>3.38415084503725</v>
      </c>
      <c r="AD454" s="79">
        <f>VLOOKUP(B454,'Player Data'!$A1:$AE667,18,FALSE)*$Q454</f>
        <v>25.3677092707523</v>
      </c>
      <c r="AE454" s="79">
        <f>VLOOKUP(B454,'Player Data'!$A1:$AE667,19,FALSE)*$Q454*_xlfn.IFERROR((VLOOKUP(P454,'Settings'!$E$28:$F$33,2,FALSE)+1),1)</f>
        <v>2.59672784600876</v>
      </c>
      <c r="AF454" s="79">
        <f>VLOOKUP(B454,'Player Data'!$A1:$AE667,20,FALSE)*$Q454</f>
        <v>199.407805955824</v>
      </c>
      <c r="AG454" s="79">
        <f>VLOOKUP(B454,'Player Data'!$A1:$AE667,21,FALSE)*$Q454</f>
        <v>283.130333555302</v>
      </c>
      <c r="AH454" s="81">
        <f>VLOOKUP(B454,'Player Data'!$A1:$AE667,22,FALSE)</f>
        <v>0.413247761426382</v>
      </c>
      <c r="AI454" s="77"/>
      <c r="AJ454" s="79"/>
      <c r="AK454" s="79"/>
      <c r="AL454" s="79"/>
      <c r="AM454" s="79"/>
      <c r="AN454" s="79"/>
      <c r="AO454" s="79"/>
      <c r="AP454" s="79"/>
      <c r="AQ454" s="82"/>
      <c r="AR454" s="83"/>
      <c r="AS454" s="84"/>
    </row>
    <row r="455" ht="21.25" customHeight="1">
      <c r="A455" s="85">
        <f>RANK(K455,K$1:K$665)</f>
        <v>443</v>
      </c>
      <c r="B455" t="s" s="16">
        <v>645</v>
      </c>
      <c r="C455" t="s" s="69">
        <v>127</v>
      </c>
      <c r="D455" t="s" s="70">
        <f>VLOOKUP(B455,'Player Data'!A1:D667,4,FALSE)</f>
        <v>153</v>
      </c>
      <c r="E455" s="95">
        <f>VLOOKUP(B455,'D'!A1:C213,3,FALSE)</f>
        <v>146</v>
      </c>
      <c r="F455" t="s" s="107">
        <f>VLOOKUP(B455,'Player Data'!A1:B667,2,FALSE)</f>
        <v>279</v>
      </c>
      <c r="G455" s="96">
        <f>VLOOKUP(B455,'Player Data'!A1:D667,3,FALSE)</f>
        <v>23</v>
      </c>
      <c r="H455" s="73">
        <f>_xlfn.IFERROR(VLOOKUP(B455,'ADP'!A1:G665,7,FALSE)/1000000,VLOOKUP(B455,'ADP'!A1:G665,7,FALSE))</f>
        <v>0.925</v>
      </c>
      <c r="I455" s="74">
        <f>IF('Settings'!$E$15="POINTS",((R455*Q455)*'Settings'!$B$12)+(S455*'Settings'!$B$2)+(T455*'Settings'!$B$3)+(U455*'Settings'!$B$4)+(V455*'Settings'!$B$5)+(X455*'Settings'!$B$9)+(AA455*'Settings'!$B$6)+(W455*'Settings'!$B$8)+(AB455*'Settings'!$B$7)+(AC455*'Settings'!$B$14)+(AD455*'Settings'!$B$15)+(AE455*'Settings'!$B$16)+(AF455*'Settings'!$B$17)+(AG455*'Settings'!$B$18)+(U455*'Settings'!$B$13)+(Y455*'Settings'!$B$10)+(Z455*'Settings'!$B$11),VLOOKUP(B455,'Standard Deviations'!A1:C666,3,FALSE))</f>
        <v>194.155947336584</v>
      </c>
      <c r="J455" s="75">
        <f>IF(D455="G",I455/AJ455,I455/Q455)</f>
        <v>2.50636993915425</v>
      </c>
      <c r="K455" s="74">
        <f>VLOOKUP(B455,'D'!A1:F213,6,FALSE)</f>
        <v>-137.384260583498</v>
      </c>
      <c r="L455" s="76">
        <f>_xlfn.IFERROR(K455/H455,"N/A")</f>
        <v>-148.523524955133</v>
      </c>
      <c r="M455" s="109">
        <f>IF('Settings'!$E$9="YAHOO",VLOOKUP(B455,'ADP'!A1:E665,2,FALSE),IF('Settings'!$E$9="ESPN",VLOOKUP(B455,'ADP'!A1:E665,3,FALSE),IF('Settings'!$E$9="FANTRAX",VLOOKUP(B455,'ADP'!A1:E665,4,FALSE),VLOOKUP(B455,'ADP'!A1:E665,5,FALSE))))</f>
        <v>0</v>
      </c>
      <c r="N455" s="79">
        <f>_xlfn.IFERROR(M455-A455,"N/A")</f>
        <v>-443</v>
      </c>
      <c r="O455" s="77"/>
      <c r="P455" t="s" s="78">
        <f>IF('Settings'!$E$27="ON",VLOOKUP(B455,'ADP'!A1:H665,8,FALSE)," ")</f>
        <v>138</v>
      </c>
      <c r="Q455" s="79">
        <f>IF('Settings'!$E$12="YES",VLOOKUP(B455,'Player Data'!A1:E667,5,FALSE),82)</f>
        <v>77.465</v>
      </c>
      <c r="R455" s="77">
        <f>VLOOKUP(B455,'Player Data'!$A1:$AE667,6,FALSE)</f>
        <v>18.4704529551437</v>
      </c>
      <c r="S455" s="79">
        <f>VLOOKUP(B455,'Player Data'!$A1:$AE667,7,FALSE)*$Q455*_xlfn.IFERROR((VLOOKUP(P455,'Settings'!$E$28:$F$33,2,FALSE)+1),1)</f>
        <v>2.94319809072911</v>
      </c>
      <c r="T455" s="79">
        <f>VLOOKUP(B455,'Player Data'!$A1:$AE667,8,FALSE)*$Q455*_xlfn.IFERROR((VLOOKUP(P455,'Settings'!$E$28:$F$33,2,FALSE)+1),1)</f>
        <v>15.6194616207748</v>
      </c>
      <c r="U455" s="79">
        <f>SUM(S455:T455)</f>
        <v>18.5626597115039</v>
      </c>
      <c r="V455" s="79">
        <f>VLOOKUP(B455,'Player Data'!$A1:$AE667,10,FALSE)*$Q455*_xlfn.IFERROR(((VLOOKUP(P455,'Settings'!$E$28:$F$33,2,FALSE)/2)+1),1)</f>
        <v>65.4978414409246</v>
      </c>
      <c r="W455" s="79">
        <f>VLOOKUP(B455,'Player Data'!$A1:$AE667,11,FALSE)*$Q455*_xlfn.IFERROR((VLOOKUP(P455,'Settings'!$E$28:$F$33,2,FALSE)+1),1)</f>
        <v>0.0763005925076371</v>
      </c>
      <c r="X455" s="79">
        <f>VLOOKUP(B455,'Player Data'!$A1:$AE667,12,FALSE)*$Q455*_xlfn.IFERROR((VLOOKUP(P455,'Settings'!$E$28:$F$33,2,FALSE)+1),1)</f>
        <v>0.925195226560467</v>
      </c>
      <c r="Y455" s="79">
        <f>VLOOKUP(B455,'Player Data'!$A1:$AE667,13,FALSE)*$Q455</f>
        <v>0.0459437552429767</v>
      </c>
      <c r="Z455" s="79">
        <f>VLOOKUP(B455,'Player Data'!$A1:$AE667,14,FALSE)*$Q455</f>
        <v>0.195188993546829</v>
      </c>
      <c r="AA455" s="79">
        <f>VLOOKUP(B455,'Player Data'!$A1:$AE667,15,FALSE)*$Q455</f>
        <v>132.114168082440</v>
      </c>
      <c r="AB455" s="79">
        <f>VLOOKUP(B455,'Player Data'!$A1:$AE667,16,FALSE)*$Q455</f>
        <v>73.1985929914164</v>
      </c>
      <c r="AC455" s="79">
        <f>VLOOKUP(B455,'Player Data'!$A1:$AE667,17,FALSE)*$Q455*_xlfn.IFERROR((VLOOKUP(P455,'Settings'!$E$28:$F$33,2,FALSE)+1),1)</f>
        <v>-7.80407343644475</v>
      </c>
      <c r="AD455" s="79">
        <f>VLOOKUP(B455,'Player Data'!$A1:$AE667,18,FALSE)*$Q455</f>
        <v>28.4617612047976</v>
      </c>
      <c r="AE455" s="79">
        <f>VLOOKUP(B455,'Player Data'!$A1:$AE667,19,FALSE)*$Q455*_xlfn.IFERROR((VLOOKUP(P455,'Settings'!$E$28:$F$33,2,FALSE)+1),1)</f>
        <v>0.343057843044642</v>
      </c>
      <c r="AF455" s="79">
        <f>VLOOKUP(B455,'Player Data'!$A1:$AE667,20,FALSE)*$Q455</f>
        <v>0</v>
      </c>
      <c r="AG455" s="79">
        <f>VLOOKUP(B455,'Player Data'!$A1:$AE667,21,FALSE)*$Q455</f>
        <v>0</v>
      </c>
      <c r="AH455" s="81">
        <f>VLOOKUP(B455,'Player Data'!$A1:$AE667,22,FALSE)</f>
        <v>0</v>
      </c>
      <c r="AI455" s="77"/>
      <c r="AJ455" s="79"/>
      <c r="AK455" s="79"/>
      <c r="AL455" s="79"/>
      <c r="AM455" s="79"/>
      <c r="AN455" s="79"/>
      <c r="AO455" s="79"/>
      <c r="AP455" s="79"/>
      <c r="AQ455" s="82"/>
      <c r="AR455" s="83"/>
      <c r="AS455" s="84"/>
    </row>
    <row r="456" ht="21.25" customHeight="1">
      <c r="A456" s="85">
        <f>RANK(K456,K$1:K$665)</f>
        <v>435</v>
      </c>
      <c r="B456" t="s" s="16">
        <v>646</v>
      </c>
      <c r="C456" t="s" s="69">
        <v>127</v>
      </c>
      <c r="D456" t="s" s="70">
        <f>VLOOKUP(B456,'Player Data'!A1:D667,4,FALSE)</f>
        <v>161</v>
      </c>
      <c r="E456" s="99">
        <f>VLOOKUP(B456,'G'!A1:D65,3,FALSE)</f>
        <v>54</v>
      </c>
      <c r="F456" t="s" s="86">
        <f>VLOOKUP(B456,'Player Data'!A1:B667,2,FALSE)</f>
        <v>267</v>
      </c>
      <c r="G456" s="11">
        <f>VLOOKUP(B456,'Player Data'!A1:D667,3,FALSE)</f>
        <v>31</v>
      </c>
      <c r="H456" s="94">
        <f>_xlfn.IFERROR(VLOOKUP(B456,'ADP'!A1:G665,7,FALSE)/1000000,VLOOKUP(B456,'ADP'!A1:G665,7,FALSE))</f>
        <v>1</v>
      </c>
      <c r="I456" s="74">
        <f>IF('Settings'!$E$15="POINTS",(AJ456*'Settings'!$B$29)+(AK456*'Settings'!$B$21)+(AL456*'Settings'!$B$22)+(AN456*'Settings'!$B$24)+(AO456*'Settings'!$B$25)+(AP456*'Settings'!$B$27)+(AM456*'Settings'!$B$23),VLOOKUP(B456,'Standard Deviations'!A1:C666,3,FALSE))</f>
        <v>133.580377856789</v>
      </c>
      <c r="J456" s="75">
        <f>IF(D456="G",I456/AJ456,I456/Q456)</f>
        <v>5.34321511427156</v>
      </c>
      <c r="K456" s="74">
        <f>VLOOKUP(B456,'G'!A1:F65,6,FALSE)</f>
        <v>-134.010636707801</v>
      </c>
      <c r="L456" s="76">
        <f>_xlfn.IFERROR(K456/H456,"N/A")</f>
        <v>-134.010636707801</v>
      </c>
      <c r="M456" s="109">
        <f>IF('Settings'!$E$9="YAHOO",VLOOKUP(B456,'ADP'!A1:E665,2,FALSE),IF('Settings'!$E$9="ESPN",VLOOKUP(B456,'ADP'!A1:E665,3,FALSE),IF('Settings'!$E$9="FANTRAX",VLOOKUP(B456,'ADP'!A1:E665,4,FALSE),VLOOKUP(B456,'ADP'!A1:E665,5,FALSE))))</f>
        <v>0</v>
      </c>
      <c r="N456" s="79">
        <f>_xlfn.IFERROR(M456-A456,"N/A")</f>
        <v>-435</v>
      </c>
      <c r="O456" s="77"/>
      <c r="P456" t="s" s="78">
        <f>IF('Settings'!$E$27="ON",VLOOKUP(B456,'ADP'!A1:H665,8,FALSE)," ")</f>
        <v>138</v>
      </c>
      <c r="Q456" s="79"/>
      <c r="R456" s="77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81"/>
      <c r="AI456" s="77"/>
      <c r="AJ456" s="89">
        <f>VLOOKUP(B456,'Player Data'!$A1:$AE667,24,FALSE)</f>
        <v>25</v>
      </c>
      <c r="AK456" s="79">
        <f>VLOOKUP(B456,'Player Data'!$A1:$AE667,25,FALSE)*$AJ456*_xlfn.IFERROR((VLOOKUP(P456,'Settings'!$E$28:$F$33,2,FALSE)+1),1)</f>
        <v>13.8977486867214</v>
      </c>
      <c r="AL456" s="79">
        <f>AJ456-AK456-AM456</f>
        <v>7.9772513132786</v>
      </c>
      <c r="AM456" s="79">
        <f>VLOOKUP(B456,'Player Data'!$A1:$AE667,27,FALSE)*$AJ456</f>
        <v>3.125</v>
      </c>
      <c r="AN456" s="79">
        <f>VLOOKUP(B456,'Player Data'!$A1:$AE667,28,FALSE)*AJ456</f>
        <v>1.63045856046823</v>
      </c>
      <c r="AO456" s="79">
        <f>VLOOKUP(B456,'Player Data'!$A1:$AE667,29,FALSE)*$AJ456*_xlfn.IFERROR((VLOOKUP(P456,'Settings'!$E$28:$F$33,2,FALSE)/4)+1,1)</f>
        <v>645.486787389515</v>
      </c>
      <c r="AP456" s="79">
        <f>VLOOKUP(B456,'Player Data'!$A1:$AE667,31,FALSE)*$AJ456*(_xlfn.IFERROR(1-(VLOOKUP(P456,'Settings'!$E$28:$F$33,2,FALSE)/4),1))</f>
        <v>67.01115394491001</v>
      </c>
      <c r="AQ456" s="82">
        <f>1-(AP456/(AO456+AP456))</f>
        <v>0.905948985874393</v>
      </c>
      <c r="AR456" s="83">
        <f>AP456/AJ456</f>
        <v>2.6804461577964</v>
      </c>
      <c r="AS456" s="84"/>
    </row>
    <row r="457" ht="21.25" customHeight="1">
      <c r="A457" s="85">
        <f>RANK(K457,K$1:K$665)</f>
        <v>446</v>
      </c>
      <c r="B457" t="s" s="16">
        <v>647</v>
      </c>
      <c r="C457" t="s" s="69">
        <v>127</v>
      </c>
      <c r="D457" t="s" s="70">
        <f>VLOOKUP(B457,'Player Data'!A1:D667,4,FALSE)</f>
        <v>153</v>
      </c>
      <c r="E457" s="95">
        <f>VLOOKUP(B457,'D'!A1:C213,3,FALSE)</f>
        <v>147</v>
      </c>
      <c r="F457" t="s" s="88">
        <f>VLOOKUP(B457,'Player Data'!A1:B667,2,FALSE)</f>
        <v>141</v>
      </c>
      <c r="G457" s="11">
        <f>VLOOKUP(B457,'Player Data'!A1:D667,3,FALSE)</f>
        <v>28</v>
      </c>
      <c r="H457" s="73">
        <f>_xlfn.IFERROR(VLOOKUP(B457,'ADP'!A1:G665,7,FALSE)/1000000,VLOOKUP(B457,'ADP'!A1:G665,7,FALSE))</f>
        <v>0.975</v>
      </c>
      <c r="I457" s="74">
        <f>IF('Settings'!$E$15="POINTS",((R457*Q457)*'Settings'!$B$12)+(S457*'Settings'!$B$2)+(T457*'Settings'!$B$3)+(U457*'Settings'!$B$4)+(V457*'Settings'!$B$5)+(X457*'Settings'!$B$9)+(AA457*'Settings'!$B$6)+(W457*'Settings'!$B$8)+(AB457*'Settings'!$B$7)+(AC457*'Settings'!$B$14)+(AD457*'Settings'!$B$15)+(AE457*'Settings'!$B$16)+(AF457*'Settings'!$B$17)+(AG457*'Settings'!$B$18)+(U457*'Settings'!$B$13)+(Y457*'Settings'!$B$10)+(Z457*'Settings'!$B$11),VLOOKUP(B457,'Standard Deviations'!A1:C666,3,FALSE))</f>
        <v>193.458207676356</v>
      </c>
      <c r="J457" s="75">
        <f>IF(D457="G",I457/AJ457,I457/Q457)</f>
        <v>2.4595792724729</v>
      </c>
      <c r="K457" s="74">
        <f>VLOOKUP(B457,'D'!A1:F213,6,FALSE)</f>
        <v>-138.082000243726</v>
      </c>
      <c r="L457" s="76">
        <f>_xlfn.IFERROR(K457/H457,"N/A")</f>
        <v>-141.622564352539</v>
      </c>
      <c r="M457" s="109">
        <f>IF('Settings'!$E$9="YAHOO",VLOOKUP(B457,'ADP'!A1:E665,2,FALSE),IF('Settings'!$E$9="ESPN",VLOOKUP(B457,'ADP'!A1:E665,3,FALSE),IF('Settings'!$E$9="FANTRAX",VLOOKUP(B457,'ADP'!A1:E665,4,FALSE),VLOOKUP(B457,'ADP'!A1:E665,5,FALSE))))</f>
        <v>0</v>
      </c>
      <c r="N457" s="79">
        <f>_xlfn.IFERROR(M457-A457,"N/A")</f>
        <v>-446</v>
      </c>
      <c r="O457" s="77"/>
      <c r="P457" t="s" s="78">
        <f>IF('Settings'!$E$27="ON",VLOOKUP(B457,'ADP'!A1:H665,8,FALSE)," ")</f>
        <v>138</v>
      </c>
      <c r="Q457" s="79">
        <f>IF('Settings'!$E$12="YES",VLOOKUP(B457,'Player Data'!A1:E667,5,FALSE),82)</f>
        <v>78.655</v>
      </c>
      <c r="R457" s="108">
        <f>VLOOKUP(B457,'Player Data'!$A1:$AE667,6,FALSE)</f>
        <v>17.2132774731689</v>
      </c>
      <c r="S457" s="79">
        <f>VLOOKUP(B457,'Player Data'!$A1:$AE667,7,FALSE)*$Q457*_xlfn.IFERROR((VLOOKUP(P457,'Settings'!$E$28:$F$33,2,FALSE)+1),1)</f>
        <v>4.69454657126729</v>
      </c>
      <c r="T457" s="79">
        <f>VLOOKUP(B457,'Player Data'!$A1:$AE667,8,FALSE)*$Q457*_xlfn.IFERROR((VLOOKUP(P457,'Settings'!$E$28:$F$33,2,FALSE)+1),1)</f>
        <v>19.7381639884405</v>
      </c>
      <c r="U457" s="79">
        <f>SUM(S457:T457)</f>
        <v>24.4327105597078</v>
      </c>
      <c r="V457" s="79">
        <f>VLOOKUP(B457,'Player Data'!$A1:$AE667,10,FALSE)*$Q457*_xlfn.IFERROR(((VLOOKUP(P457,'Settings'!$E$28:$F$33,2,FALSE)/2)+1),1)</f>
        <v>89.0635750311895</v>
      </c>
      <c r="W457" s="79">
        <f>VLOOKUP(B457,'Player Data'!$A1:$AE667,11,FALSE)*$Q457*_xlfn.IFERROR((VLOOKUP(P457,'Settings'!$E$28:$F$33,2,FALSE)+1),1)</f>
        <v>0.67772922464331</v>
      </c>
      <c r="X457" s="79">
        <f>VLOOKUP(B457,'Player Data'!$A1:$AE667,12,FALSE)*$Q457*_xlfn.IFERROR((VLOOKUP(P457,'Settings'!$E$28:$F$33,2,FALSE)+1),1)</f>
        <v>4.72658596477866</v>
      </c>
      <c r="Y457" s="79">
        <f>VLOOKUP(B457,'Player Data'!$A1:$AE667,13,FALSE)*$Q457</f>
        <v>0.0216589463260267</v>
      </c>
      <c r="Z457" s="79">
        <f>VLOOKUP(B457,'Player Data'!$A1:$AE667,14,FALSE)*$Q457</f>
        <v>0.107822239604541</v>
      </c>
      <c r="AA457" s="79">
        <f>VLOOKUP(B457,'Player Data'!$A1:$AE667,15,FALSE)*$Q457</f>
        <v>94.8790247261246</v>
      </c>
      <c r="AB457" s="79">
        <f>VLOOKUP(B457,'Player Data'!$A1:$AE667,16,FALSE)*$Q457</f>
        <v>80.1767948925324</v>
      </c>
      <c r="AC457" s="79">
        <f>VLOOKUP(B457,'Player Data'!$A1:$AE667,17,FALSE)*$Q457*_xlfn.IFERROR((VLOOKUP(P457,'Settings'!$E$28:$F$33,2,FALSE)+1),1)</f>
        <v>1.36826564251939</v>
      </c>
      <c r="AD457" s="79">
        <f>VLOOKUP(B457,'Player Data'!$A1:$AE667,18,FALSE)*$Q457</f>
        <v>22.2155874766287</v>
      </c>
      <c r="AE457" s="79">
        <f>VLOOKUP(B457,'Player Data'!$A1:$AE667,19,FALSE)*$Q457*_xlfn.IFERROR((VLOOKUP(P457,'Settings'!$E$28:$F$33,2,FALSE)+1),1)</f>
        <v>0.739680372230077</v>
      </c>
      <c r="AF457" s="79">
        <f>VLOOKUP(B457,'Player Data'!$A1:$AE667,20,FALSE)*$Q457</f>
        <v>0</v>
      </c>
      <c r="AG457" s="79">
        <f>VLOOKUP(B457,'Player Data'!$A1:$AE667,21,FALSE)*$Q457</f>
        <v>0</v>
      </c>
      <c r="AH457" s="81">
        <f>VLOOKUP(B457,'Player Data'!$A1:$AE667,22,FALSE)</f>
        <v>0</v>
      </c>
      <c r="AI457" s="77"/>
      <c r="AJ457" s="89"/>
      <c r="AK457" s="79"/>
      <c r="AL457" s="79"/>
      <c r="AM457" s="79"/>
      <c r="AN457" s="79"/>
      <c r="AO457" s="79"/>
      <c r="AP457" s="79"/>
      <c r="AQ457" s="82"/>
      <c r="AR457" s="83"/>
      <c r="AS457" s="84"/>
    </row>
    <row r="458" ht="21.25" customHeight="1">
      <c r="A458" s="85">
        <f>RANK(K458,K$1:K$665)</f>
        <v>437</v>
      </c>
      <c r="B458" t="s" s="16">
        <v>648</v>
      </c>
      <c r="C458" t="s" s="69">
        <v>127</v>
      </c>
      <c r="D458" t="s" s="70">
        <f>VLOOKUP(B458,'Player Data'!A1:D667,4,FALSE)</f>
        <v>161</v>
      </c>
      <c r="E458" s="99">
        <f>VLOOKUP(B458,'G'!A1:D65,3,FALSE)</f>
        <v>55</v>
      </c>
      <c r="F458" t="s" s="104">
        <f>VLOOKUP(B458,'Player Data'!A1:B667,2,FALSE)</f>
        <v>201</v>
      </c>
      <c r="G458" s="11">
        <f>VLOOKUP(B458,'Player Data'!A1:D667,3,FALSE)</f>
        <v>30</v>
      </c>
      <c r="H458" s="73">
        <f>_xlfn.IFERROR(VLOOKUP(B458,'ADP'!A1:G665,7,FALSE)/1000000,VLOOKUP(B458,'ADP'!A1:G665,7,FALSE))</f>
        <v>3</v>
      </c>
      <c r="I458" s="74">
        <f>IF('Settings'!$E$15="POINTS",(AJ458*'Settings'!$B$29)+(AK458*'Settings'!$B$21)+(AL458*'Settings'!$B$22)+(AN458*'Settings'!$B$24)+(AO458*'Settings'!$B$25)+(AP458*'Settings'!$B$27)+(AM458*'Settings'!$B$23),VLOOKUP(B458,'Standard Deviations'!A1:C666,3,FALSE))</f>
        <v>133.079047938559</v>
      </c>
      <c r="J458" s="75">
        <f>IF(D458="G",I458/AJ458,I458/Q458)</f>
        <v>5.11842492071381</v>
      </c>
      <c r="K458" s="74">
        <f>VLOOKUP(B458,'G'!A1:F65,6,FALSE)</f>
        <v>-134.511966626031</v>
      </c>
      <c r="L458" s="76">
        <f>_xlfn.IFERROR(K458/H458,"N/A")</f>
        <v>-44.837322208677</v>
      </c>
      <c r="M458" s="77">
        <f>IF('Settings'!$E$9="YAHOO",VLOOKUP(B458,'ADP'!A1:E665,2,FALSE),IF('Settings'!$E$9="ESPN",VLOOKUP(B458,'ADP'!A1:E665,3,FALSE),IF('Settings'!$E$9="FANTRAX",VLOOKUP(B458,'ADP'!A1:E665,4,FALSE),VLOOKUP(B458,'ADP'!A1:E665,5,FALSE))))</f>
        <v>0</v>
      </c>
      <c r="N458" s="77">
        <f>_xlfn.IFERROR(M458-A458,"N/A")</f>
        <v>-437</v>
      </c>
      <c r="O458" s="77"/>
      <c r="P458" t="s" s="78">
        <f>IF('Settings'!$E$27="ON",VLOOKUP(B458,'ADP'!A1:H665,8,FALSE)," ")</f>
        <v>138</v>
      </c>
      <c r="Q458" s="79"/>
      <c r="R458" s="77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81"/>
      <c r="AI458" s="77"/>
      <c r="AJ458" s="89">
        <f>VLOOKUP(B458,'Player Data'!$A1:$AE667,24,FALSE)</f>
        <v>26</v>
      </c>
      <c r="AK458" s="79">
        <f>VLOOKUP(B458,'Player Data'!$A1:$AE667,25,FALSE)*$AJ458*_xlfn.IFERROR((VLOOKUP(P458,'Settings'!$E$28:$F$33,2,FALSE)+1),1)</f>
        <v>12.9479026771925</v>
      </c>
      <c r="AL458" s="79">
        <f>AJ458-AK458-AM458</f>
        <v>9.8020973228075</v>
      </c>
      <c r="AM458" s="79">
        <f>VLOOKUP(B458,'Player Data'!$A1:$AE667,27,FALSE)*$AJ458</f>
        <v>3.25</v>
      </c>
      <c r="AN458" s="79">
        <f>VLOOKUP(B458,'Player Data'!$A1:$AE667,28,FALSE)*AJ458</f>
        <v>1.18522910927653</v>
      </c>
      <c r="AO458" s="79">
        <f>VLOOKUP(B458,'Player Data'!$A1:$AE667,29,FALSE)*$AJ458*_xlfn.IFERROR((VLOOKUP(P458,'Settings'!$E$28:$F$33,2,FALSE)/4)+1,1)</f>
        <v>695.688394099247</v>
      </c>
      <c r="AP458" s="79">
        <f>VLOOKUP(B458,'Player Data'!$A1:$AE667,31,FALSE)*$AJ458*(_xlfn.IFERROR(1-(VLOOKUP(P458,'Settings'!$E$28:$F$33,2,FALSE)/4),1))</f>
        <v>76.6760176755924</v>
      </c>
      <c r="AQ458" s="82">
        <f>1-(AP458/(AO458+AP458))</f>
        <v>0.900725594671826</v>
      </c>
      <c r="AR458" s="83">
        <f>AP458/AJ458</f>
        <v>2.9490776029074</v>
      </c>
      <c r="AS458" s="84"/>
    </row>
    <row r="459" ht="21.25" customHeight="1">
      <c r="A459" s="85">
        <f>RANK(K459,K$1:K$665)</f>
        <v>470</v>
      </c>
      <c r="B459" t="s" s="16">
        <v>649</v>
      </c>
      <c r="C459" t="s" s="69">
        <v>127</v>
      </c>
      <c r="D459" t="s" s="70">
        <f>VLOOKUP(B459,'Player Data'!A1:D667,4,FALSE)</f>
        <v>178</v>
      </c>
      <c r="E459" s="102">
        <f>VLOOKUP(B459,'LW'!A1:C152,3,FALSE)</f>
        <v>113</v>
      </c>
      <c r="F459" t="s" s="78">
        <f>VLOOKUP(B459,'Player Data'!A1:B667,2,FALSE)</f>
        <v>134</v>
      </c>
      <c r="G459" s="11">
        <f>VLOOKUP(B459,'Player Data'!A1:D667,3,FALSE)</f>
        <v>25</v>
      </c>
      <c r="H459" s="73">
        <f>_xlfn.IFERROR(VLOOKUP(B459,'ADP'!A1:G665,7,FALSE)/1000000,VLOOKUP(B459,'ADP'!A1:G665,7,FALSE))</f>
        <v>0.825</v>
      </c>
      <c r="I459" s="74">
        <f>IF('Settings'!$E$15="POINTS",((R459*Q459)*'Settings'!$B$12)+(S459*'Settings'!$B$2)+(T459*'Settings'!$B$3)+(U459*'Settings'!$B$4)+(V459*'Settings'!$B$5)+(X459*'Settings'!$B$9)+(AA459*'Settings'!$B$6)+(W459*'Settings'!$B$8)+(AB459*'Settings'!$B$7)+(AC459*'Settings'!$B$14)+(AD459*'Settings'!$B$15)+(AE459*'Settings'!$B$16)+(AF459*'Settings'!$B$17)+(AG459*'Settings'!$B$18)+(Y459*'Settings'!$B$10)+(Z459*'Settings'!$B$11),VLOOKUP(B459,'Standard Deviations'!A1:C666,3,FALSE))</f>
        <v>186.498150196889</v>
      </c>
      <c r="J459" s="75">
        <f>IF(D459="G",I459/AJ459,I459/Q459)</f>
        <v>2.52493687861755</v>
      </c>
      <c r="K459" s="74">
        <f>IF('Settings'!$E$18="C/LW/RW",VLOOKUP(B459,'LW'!A1:F152,6,FALSE),VLOOKUP(B459,'F'!A1:F392,6,FALSE))</f>
        <v>-145.221961569323</v>
      </c>
      <c r="L459" s="76">
        <f>_xlfn.IFERROR(K459/H459,"N/A")</f>
        <v>-176.026620084028</v>
      </c>
      <c r="M459" s="109">
        <f>IF('Settings'!$E$9="YAHOO",VLOOKUP(B459,'ADP'!A1:E665,2,FALSE),IF('Settings'!$E$9="ESPN",VLOOKUP(B459,'ADP'!A1:E665,3,FALSE),IF('Settings'!$E$9="FANTRAX",VLOOKUP(B459,'ADP'!A1:E665,4,FALSE),VLOOKUP(B459,'ADP'!A1:E665,5,FALSE))))</f>
        <v>0</v>
      </c>
      <c r="N459" s="79">
        <f>_xlfn.IFERROR(M459-A459,"N/A")</f>
        <v>-470</v>
      </c>
      <c r="O459" s="77"/>
      <c r="P459" t="s" s="78">
        <f>IF('Settings'!$E$27="ON",VLOOKUP(B459,'ADP'!A1:H665,8,FALSE)," ")</f>
        <v>138</v>
      </c>
      <c r="Q459" s="79">
        <f>IF('Settings'!$E$12="YES",VLOOKUP(B459,'Player Data'!A1:E667,5,FALSE),82)</f>
        <v>73.8625</v>
      </c>
      <c r="R459" s="77">
        <f>VLOOKUP(B459,'Player Data'!$A1:$AE667,6,FALSE)</f>
        <v>11.1767400478136</v>
      </c>
      <c r="S459" s="79">
        <f>VLOOKUP(B459,'Player Data'!$A1:$AE667,7,FALSE)*$Q459*_xlfn.IFERROR((VLOOKUP(P459,'Settings'!$E$28:$F$33,2,FALSE)+1),1)</f>
        <v>5.91878800257525</v>
      </c>
      <c r="T459" s="79">
        <f>VLOOKUP(B459,'Player Data'!$A1:$AE667,8,FALSE)*$Q459*_xlfn.IFERROR((VLOOKUP(P459,'Settings'!$E$28:$F$33,2,FALSE)+1),1)</f>
        <v>7.68366669860243</v>
      </c>
      <c r="U459" s="79">
        <f>SUM(S459:T459)</f>
        <v>13.6024547011777</v>
      </c>
      <c r="V459" s="79">
        <f>VLOOKUP(B459,'Player Data'!$A1:$AE667,10,FALSE)*$Q459*_xlfn.IFERROR(((VLOOKUP(P459,'Settings'!$E$28:$F$33,2,FALSE)/2)+1),1)</f>
        <v>79.139182595153</v>
      </c>
      <c r="W459" s="79">
        <f>VLOOKUP(B459,'Player Data'!$A1:$AE667,11,FALSE)*$Q459*_xlfn.IFERROR((VLOOKUP(P459,'Settings'!$E$28:$F$33,2,FALSE)+1),1)</f>
        <v>0.057749629953176</v>
      </c>
      <c r="X459" s="79">
        <f>VLOOKUP(B459,'Player Data'!$A1:$AE667,12,FALSE)*$Q459*_xlfn.IFERROR((VLOOKUP(P459,'Settings'!$E$28:$F$33,2,FALSE)+1),1)</f>
        <v>0.134349703648874</v>
      </c>
      <c r="Y459" s="79">
        <f>VLOOKUP(B459,'Player Data'!$A1:$AE667,13,FALSE)*$Q459</f>
        <v>0.914175842460259</v>
      </c>
      <c r="Z459" s="79">
        <f>VLOOKUP(B459,'Player Data'!$A1:$AE667,14,FALSE)*$Q459</f>
        <v>1.66422392504064</v>
      </c>
      <c r="AA459" s="79">
        <f>VLOOKUP(B459,'Player Data'!$A1:$AE667,15,FALSE)*$Q459</f>
        <v>50.954411590802</v>
      </c>
      <c r="AB459" s="79">
        <f>VLOOKUP(B459,'Player Data'!$A1:$AE667,16,FALSE)*$Q459</f>
        <v>165.856670511857</v>
      </c>
      <c r="AC459" s="79">
        <f>VLOOKUP(B459,'Player Data'!$A1:$AE667,17,FALSE)*$Q459*_xlfn.IFERROR((VLOOKUP(P459,'Settings'!$E$28:$F$33,2,FALSE)+1),1)</f>
        <v>-2.53118719556569</v>
      </c>
      <c r="AD459" s="79">
        <f>VLOOKUP(B459,'Player Data'!$A1:$AE667,18,FALSE)*$Q459</f>
        <v>36.8312108189426</v>
      </c>
      <c r="AE459" s="79">
        <f>VLOOKUP(B459,'Player Data'!$A1:$AE667,19,FALSE)*$Q459*_xlfn.IFERROR((VLOOKUP(P459,'Settings'!$E$28:$F$33,2,FALSE)+1),1)</f>
        <v>0.884329990100955</v>
      </c>
      <c r="AF459" s="79">
        <f>VLOOKUP(B459,'Player Data'!$A1:$AE667,20,FALSE)*$Q459</f>
        <v>9.782150950865731</v>
      </c>
      <c r="AG459" s="79">
        <f>VLOOKUP(B459,'Player Data'!$A1:$AE667,21,FALSE)*$Q459</f>
        <v>25.4639730876737</v>
      </c>
      <c r="AH459" s="81">
        <f>VLOOKUP(B459,'Player Data'!$A1:$AE667,22,FALSE)</f>
        <v>0.277538345497779</v>
      </c>
      <c r="AI459" s="77"/>
      <c r="AJ459" s="89"/>
      <c r="AK459" s="79"/>
      <c r="AL459" s="79"/>
      <c r="AM459" s="79"/>
      <c r="AN459" s="79"/>
      <c r="AO459" s="79"/>
      <c r="AP459" s="79"/>
      <c r="AQ459" s="82"/>
      <c r="AR459" s="83"/>
      <c r="AS459" s="84"/>
    </row>
    <row r="460" ht="21.25" customHeight="1">
      <c r="A460" s="85">
        <f>RANK(K460,K$1:K$665)</f>
        <v>447</v>
      </c>
      <c r="B460" t="s" s="16">
        <v>650</v>
      </c>
      <c r="C460" t="s" s="69">
        <v>127</v>
      </c>
      <c r="D460" t="s" s="70">
        <f>VLOOKUP(B460,'Player Data'!A1:D667,4,FALSE)</f>
        <v>153</v>
      </c>
      <c r="E460" s="95">
        <f>VLOOKUP(B460,'D'!A1:C213,3,FALSE)</f>
        <v>148</v>
      </c>
      <c r="F460" t="s" s="78">
        <f>VLOOKUP(B460,'Player Data'!A1:B667,2,FALSE)</f>
        <v>261</v>
      </c>
      <c r="G460" s="96">
        <f>VLOOKUP(B460,'Player Data'!A1:D667,3,FALSE)</f>
        <v>24</v>
      </c>
      <c r="H460" s="73">
        <f>_xlfn.IFERROR(VLOOKUP(B460,'ADP'!A1:G665,7,FALSE)/1000000,VLOOKUP(B460,'ADP'!A1:G665,7,FALSE))</f>
        <v>1.4</v>
      </c>
      <c r="I460" s="74">
        <f>IF('Settings'!$E$15="POINTS",((R460*Q460)*'Settings'!$B$12)+(S460*'Settings'!$B$2)+(T460*'Settings'!$B$3)+(U460*'Settings'!$B$4)+(V460*'Settings'!$B$5)+(X460*'Settings'!$B$9)+(AA460*'Settings'!$B$6)+(W460*'Settings'!$B$8)+(AB460*'Settings'!$B$7)+(AC460*'Settings'!$B$14)+(AD460*'Settings'!$B$15)+(AE460*'Settings'!$B$16)+(AF460*'Settings'!$B$17)+(AG460*'Settings'!$B$18)+(U460*'Settings'!$B$13)+(Y460*'Settings'!$B$10)+(Z460*'Settings'!$B$11),VLOOKUP(B460,'Standard Deviations'!A1:C666,3,FALSE))</f>
        <v>192.623895747043</v>
      </c>
      <c r="J460" s="75">
        <f>IF(D460="G",I460/AJ460,I460/Q460)</f>
        <v>2.56917500162778</v>
      </c>
      <c r="K460" s="74">
        <f>VLOOKUP(B460,'D'!A1:F213,6,FALSE)</f>
        <v>-138.916312173039</v>
      </c>
      <c r="L460" s="76">
        <f>_xlfn.IFERROR(K460/H460,"N/A")</f>
        <v>-99.2259372664564</v>
      </c>
      <c r="M460" s="109">
        <f>IF('Settings'!$E$9="YAHOO",VLOOKUP(B460,'ADP'!A1:E665,2,FALSE),IF('Settings'!$E$9="ESPN",VLOOKUP(B460,'ADP'!A1:E665,3,FALSE),IF('Settings'!$E$9="FANTRAX",VLOOKUP(B460,'ADP'!A1:E665,4,FALSE),VLOOKUP(B460,'ADP'!A1:E665,5,FALSE))))</f>
        <v>0</v>
      </c>
      <c r="N460" s="79">
        <f>_xlfn.IFERROR(M460-A460,"N/A")</f>
        <v>-447</v>
      </c>
      <c r="O460" s="77"/>
      <c r="P460" t="s" s="78">
        <f>IF('Settings'!$E$27="ON",VLOOKUP(B460,'ADP'!A1:H665,8,FALSE)," ")</f>
        <v>138</v>
      </c>
      <c r="Q460" s="79">
        <f>IF('Settings'!$E$12="YES",VLOOKUP(B460,'Player Data'!A1:E667,5,FALSE),82)</f>
        <v>74.97499999999999</v>
      </c>
      <c r="R460" s="77">
        <f>VLOOKUP(B460,'Player Data'!$A1:$AE667,6,FALSE)</f>
        <v>15.798398522542</v>
      </c>
      <c r="S460" s="79">
        <f>VLOOKUP(B460,'Player Data'!$A1:$AE667,7,FALSE)*$Q460*_xlfn.IFERROR((VLOOKUP(P460,'Settings'!$E$28:$F$33,2,FALSE)+1),1)</f>
        <v>4.83359671020563</v>
      </c>
      <c r="T460" s="79">
        <f>VLOOKUP(B460,'Player Data'!$A1:$AE667,8,FALSE)*$Q460*_xlfn.IFERROR((VLOOKUP(P460,'Settings'!$E$28:$F$33,2,FALSE)+1),1)</f>
        <v>17.6817750779036</v>
      </c>
      <c r="U460" s="79">
        <f>SUM(S460:T460)</f>
        <v>22.5153717881092</v>
      </c>
      <c r="V460" s="79">
        <f>VLOOKUP(B460,'Player Data'!$A1:$AE667,10,FALSE)*$Q460*_xlfn.IFERROR(((VLOOKUP(P460,'Settings'!$E$28:$F$33,2,FALSE)/2)+1),1)</f>
        <v>85.1829717030126</v>
      </c>
      <c r="W460" s="79">
        <f>VLOOKUP(B460,'Player Data'!$A1:$AE667,11,FALSE)*$Q460*_xlfn.IFERROR((VLOOKUP(P460,'Settings'!$E$28:$F$33,2,FALSE)+1),1)</f>
        <v>0.0333533658999902</v>
      </c>
      <c r="X460" s="79">
        <f>VLOOKUP(B460,'Player Data'!$A1:$AE667,12,FALSE)*$Q460*_xlfn.IFERROR((VLOOKUP(P460,'Settings'!$E$28:$F$33,2,FALSE)+1),1)</f>
        <v>0.21168852118883</v>
      </c>
      <c r="Y460" s="79">
        <f>VLOOKUP(B460,'Player Data'!$A1:$AE667,13,FALSE)*$Q460</f>
        <v>0.0119506219855344</v>
      </c>
      <c r="Z460" s="79">
        <f>VLOOKUP(B460,'Player Data'!$A1:$AE667,14,FALSE)*$Q460</f>
        <v>0.0586238838144712</v>
      </c>
      <c r="AA460" s="79">
        <f>VLOOKUP(B460,'Player Data'!$A1:$AE667,15,FALSE)*$Q460</f>
        <v>76.7949297896312</v>
      </c>
      <c r="AB460" s="79">
        <f>VLOOKUP(B460,'Player Data'!$A1:$AE667,16,FALSE)*$Q460</f>
        <v>113.860293348614</v>
      </c>
      <c r="AC460" s="79">
        <f>VLOOKUP(B460,'Player Data'!$A1:$AE667,17,FALSE)*$Q460*_xlfn.IFERROR((VLOOKUP(P460,'Settings'!$E$28:$F$33,2,FALSE)+1),1)</f>
        <v>1.21732710314932</v>
      </c>
      <c r="AD460" s="79">
        <f>VLOOKUP(B460,'Player Data'!$A1:$AE667,18,FALSE)*$Q460</f>
        <v>49.9028495802788</v>
      </c>
      <c r="AE460" s="79">
        <f>VLOOKUP(B460,'Player Data'!$A1:$AE667,19,FALSE)*$Q460*_xlfn.IFERROR((VLOOKUP(P460,'Settings'!$E$28:$F$33,2,FALSE)+1),1)</f>
        <v>0.707297271851058</v>
      </c>
      <c r="AF460" s="79">
        <f>VLOOKUP(B460,'Player Data'!$A1:$AE667,20,FALSE)*$Q460</f>
        <v>0</v>
      </c>
      <c r="AG460" s="79">
        <f>VLOOKUP(B460,'Player Data'!$A1:$AE667,21,FALSE)*$Q460</f>
        <v>0</v>
      </c>
      <c r="AH460" s="81">
        <f>VLOOKUP(B460,'Player Data'!$A1:$AE667,22,FALSE)</f>
        <v>0</v>
      </c>
      <c r="AI460" s="77"/>
      <c r="AJ460" s="89"/>
      <c r="AK460" s="79"/>
      <c r="AL460" s="79"/>
      <c r="AM460" s="79"/>
      <c r="AN460" s="79"/>
      <c r="AO460" s="79"/>
      <c r="AP460" s="79"/>
      <c r="AQ460" s="82"/>
      <c r="AR460" s="83"/>
      <c r="AS460" s="84"/>
    </row>
    <row r="461" ht="21.25" customHeight="1">
      <c r="A461" s="85">
        <f>RANK(K461,K$1:K$665)</f>
        <v>448</v>
      </c>
      <c r="B461" t="s" s="16">
        <v>651</v>
      </c>
      <c r="C461" t="s" s="69">
        <v>127</v>
      </c>
      <c r="D461" t="s" s="70">
        <f>VLOOKUP(B461,'Player Data'!A1:D667,4,FALSE)</f>
        <v>153</v>
      </c>
      <c r="E461" s="95">
        <f>VLOOKUP(B461,'D'!A1:C213,3,FALSE)</f>
        <v>149</v>
      </c>
      <c r="F461" t="s" s="86">
        <f>VLOOKUP(B461,'Player Data'!A1:B667,2,FALSE)</f>
        <v>132</v>
      </c>
      <c r="G461" s="91">
        <f>VLOOKUP(B461,'Player Data'!A1:D667,3,FALSE)</f>
        <v>33</v>
      </c>
      <c r="H461" s="73">
        <f>_xlfn.IFERROR(VLOOKUP(B461,'ADP'!A1:G665,7,FALSE)/1000000,VLOOKUP(B461,'ADP'!A1:G665,7,FALSE))</f>
        <v>3.5</v>
      </c>
      <c r="I461" s="74">
        <f>IF('Settings'!$E$15="POINTS",((R461*Q461)*'Settings'!$B$12)+(S461*'Settings'!$B$2)+(T461*'Settings'!$B$3)+(U461*'Settings'!$B$4)+(V461*'Settings'!$B$5)+(X461*'Settings'!$B$9)+(AA461*'Settings'!$B$6)+(W461*'Settings'!$B$8)+(AB461*'Settings'!$B$7)+(AC461*'Settings'!$B$14)+(AD461*'Settings'!$B$15)+(AE461*'Settings'!$B$16)+(AF461*'Settings'!$B$17)+(AG461*'Settings'!$B$18)+(U461*'Settings'!$B$13)+(Y461*'Settings'!$B$10)+(Z461*'Settings'!$B$11),VLOOKUP(B461,'Standard Deviations'!A1:C666,3,FALSE))</f>
        <v>192.597620579442</v>
      </c>
      <c r="J461" s="75">
        <f>IF(D461="G",I461/AJ461,I461/Q461)</f>
        <v>2.48432919160841</v>
      </c>
      <c r="K461" s="74">
        <f>VLOOKUP(B461,'D'!A1:F213,6,FALSE)</f>
        <v>-138.942587340640</v>
      </c>
      <c r="L461" s="76">
        <f>_xlfn.IFERROR(K461/H461,"N/A")</f>
        <v>-39.6978820973257</v>
      </c>
      <c r="M461" s="77">
        <f>IF('Settings'!$E$9="YAHOO",VLOOKUP(B461,'ADP'!A1:E665,2,FALSE),IF('Settings'!$E$9="ESPN",VLOOKUP(B461,'ADP'!A1:E665,3,FALSE),IF('Settings'!$E$9="FANTRAX",VLOOKUP(B461,'ADP'!A1:E665,4,FALSE),VLOOKUP(B461,'ADP'!A1:E665,5,FALSE))))</f>
        <v>0</v>
      </c>
      <c r="N461" s="77">
        <f>_xlfn.IFERROR(M461-A461,"N/A")</f>
        <v>-448</v>
      </c>
      <c r="O461" s="77"/>
      <c r="P461" t="s" s="78">
        <f>IF('Settings'!$E$27="ON",VLOOKUP(B461,'ADP'!A1:H665,8,FALSE)," ")</f>
        <v>138</v>
      </c>
      <c r="Q461" s="79">
        <f>IF('Settings'!$E$12="YES",VLOOKUP(B461,'Player Data'!A1:E667,5,FALSE),82)</f>
        <v>77.52500000000001</v>
      </c>
      <c r="R461" s="77">
        <f>VLOOKUP(B461,'Player Data'!$A1:$AE667,6,FALSE)</f>
        <v>17.442476463920</v>
      </c>
      <c r="S461" s="79">
        <f>VLOOKUP(B461,'Player Data'!$A1:$AE667,7,FALSE)*$Q461*_xlfn.IFERROR((VLOOKUP(P461,'Settings'!$E$28:$F$33,2,FALSE)+1),1)</f>
        <v>4.66016017856628</v>
      </c>
      <c r="T461" s="79">
        <f>VLOOKUP(B461,'Player Data'!$A1:$AE667,8,FALSE)*$Q461*_xlfn.IFERROR((VLOOKUP(P461,'Settings'!$E$28:$F$33,2,FALSE)+1),1)</f>
        <v>20.2784362322408</v>
      </c>
      <c r="U461" s="79">
        <f>SUM(S461:T461)</f>
        <v>24.9385964108071</v>
      </c>
      <c r="V461" s="79">
        <f>VLOOKUP(B461,'Player Data'!$A1:$AE667,10,FALSE)*$Q461*_xlfn.IFERROR(((VLOOKUP(P461,'Settings'!$E$28:$F$33,2,FALSE)/2)+1),1)</f>
        <v>110.973701477424</v>
      </c>
      <c r="W461" s="79">
        <f>VLOOKUP(B461,'Player Data'!$A1:$AE667,11,FALSE)*$Q461*_xlfn.IFERROR((VLOOKUP(P461,'Settings'!$E$28:$F$33,2,FALSE)+1),1)</f>
        <v>0.953020637172616</v>
      </c>
      <c r="X461" s="79">
        <f>VLOOKUP(B461,'Player Data'!$A1:$AE667,12,FALSE)*$Q461*_xlfn.IFERROR((VLOOKUP(P461,'Settings'!$E$28:$F$33,2,FALSE)+1),1)</f>
        <v>7.38827999515089</v>
      </c>
      <c r="Y461" s="79">
        <f>VLOOKUP(B461,'Player Data'!$A1:$AE667,13,FALSE)*$Q461</f>
        <v>0.0133904148007212</v>
      </c>
      <c r="Z461" s="79">
        <f>VLOOKUP(B461,'Player Data'!$A1:$AE667,14,FALSE)*$Q461</f>
        <v>0.2166176133374</v>
      </c>
      <c r="AA461" s="79">
        <f>VLOOKUP(B461,'Player Data'!$A1:$AE667,15,FALSE)*$Q461</f>
        <v>71.7887935444538</v>
      </c>
      <c r="AB461" s="79">
        <f>VLOOKUP(B461,'Player Data'!$A1:$AE667,16,FALSE)*$Q461</f>
        <v>93.966210139513</v>
      </c>
      <c r="AC461" s="79">
        <f>VLOOKUP(B461,'Player Data'!$A1:$AE667,17,FALSE)*$Q461*_xlfn.IFERROR((VLOOKUP(P461,'Settings'!$E$28:$F$33,2,FALSE)+1),1)</f>
        <v>-0.137387882123474</v>
      </c>
      <c r="AD461" s="79">
        <f>VLOOKUP(B461,'Player Data'!$A1:$AE667,18,FALSE)*$Q461</f>
        <v>41.7137152214582</v>
      </c>
      <c r="AE461" s="79">
        <f>VLOOKUP(B461,'Player Data'!$A1:$AE667,19,FALSE)*$Q461*_xlfn.IFERROR((VLOOKUP(P461,'Settings'!$E$28:$F$33,2,FALSE)+1),1)</f>
        <v>0.745542092396853</v>
      </c>
      <c r="AF461" s="79">
        <f>VLOOKUP(B461,'Player Data'!$A1:$AE667,20,FALSE)*$Q461</f>
        <v>0</v>
      </c>
      <c r="AG461" s="79">
        <f>VLOOKUP(B461,'Player Data'!$A1:$AE667,21,FALSE)*$Q461</f>
        <v>0</v>
      </c>
      <c r="AH461" s="81">
        <f>VLOOKUP(B461,'Player Data'!$A1:$AE667,22,FALSE)</f>
        <v>0</v>
      </c>
      <c r="AI461" s="77"/>
      <c r="AJ461" s="79"/>
      <c r="AK461" s="79"/>
      <c r="AL461" s="79"/>
      <c r="AM461" s="79"/>
      <c r="AN461" s="79"/>
      <c r="AO461" s="79"/>
      <c r="AP461" s="79"/>
      <c r="AQ461" s="82"/>
      <c r="AR461" s="83"/>
      <c r="AS461" s="84"/>
    </row>
    <row r="462" ht="21.25" customHeight="1">
      <c r="A462" s="85">
        <f>RANK(K462,K$1:K$665)</f>
        <v>465</v>
      </c>
      <c r="B462" t="s" s="16">
        <v>652</v>
      </c>
      <c r="C462" t="s" s="69">
        <v>127</v>
      </c>
      <c r="D462" t="s" s="70">
        <f>VLOOKUP(B462,'Player Data'!A1:D667,4,FALSE)</f>
        <v>140</v>
      </c>
      <c r="E462" s="90">
        <f>VLOOKUP(B462,'RW'!A1:F136,3,FALSE)</f>
        <v>91</v>
      </c>
      <c r="F462" t="s" s="92">
        <f>VLOOKUP(B462,'Player Data'!A1:B667,2,FALSE)</f>
        <v>146</v>
      </c>
      <c r="G462" s="11">
        <f>VLOOKUP(B462,'Player Data'!A1:D667,3,FALSE)</f>
        <v>27</v>
      </c>
      <c r="H462" s="73">
        <f>_xlfn.IFERROR(VLOOKUP(B462,'ADP'!A1:G665,7,FALSE)/1000000,VLOOKUP(B462,'ADP'!A1:G665,7,FALSE))</f>
        <v>0.975</v>
      </c>
      <c r="I462" s="74">
        <f>IF('Settings'!$E$15="POINTS",((R462*Q462)*'Settings'!$B$12)+(S462*'Settings'!$B$2)+(T462*'Settings'!$B$3)+(U462*'Settings'!$B$4)+(V462*'Settings'!$B$5)+(X462*'Settings'!$B$9)+(AA462*'Settings'!$B$6)+(W462*'Settings'!$B$8)+(AB462*'Settings'!$B$7)+(AC462*'Settings'!$B$14)+(AD462*'Settings'!$B$15)+(AE462*'Settings'!$B$16)+(AF462*'Settings'!$B$17)+(AG462*'Settings'!$B$18)+(Y462*'Settings'!$B$10)+(Z462*'Settings'!$B$11),VLOOKUP(B462,'Standard Deviations'!A1:C666,3,FALSE))</f>
        <v>185.544934011670</v>
      </c>
      <c r="J462" s="75">
        <f>IF(D462="G",I462/AJ462,I462/Q462)</f>
        <v>2.41390664166617</v>
      </c>
      <c r="K462" s="74">
        <f>IF('Settings'!$E$18="C/LW/RW",VLOOKUP(B462,'RW'!A1:F136,6,FALSE),VLOOKUP(B462,'F'!A1:F392,6,FALSE))</f>
        <v>-144.146960069508</v>
      </c>
      <c r="L462" s="76">
        <f>_xlfn.IFERROR(K462/H462,"N/A")</f>
        <v>-147.843035968726</v>
      </c>
      <c r="M462" s="109">
        <f>IF('Settings'!$E$9="YAHOO",VLOOKUP(B462,'ADP'!A1:E665,2,FALSE),IF('Settings'!$E$9="ESPN",VLOOKUP(B462,'ADP'!A1:E665,3,FALSE),IF('Settings'!$E$9="FANTRAX",VLOOKUP(B462,'ADP'!A1:E665,4,FALSE),VLOOKUP(B462,'ADP'!A1:E665,5,FALSE))))</f>
        <v>0</v>
      </c>
      <c r="N462" s="79">
        <f>_xlfn.IFERROR(M462-A462,"N/A")</f>
        <v>-465</v>
      </c>
      <c r="O462" s="77"/>
      <c r="P462" t="s" s="78">
        <f>IF('Settings'!$E$27="ON",VLOOKUP(B462,'ADP'!A1:H665,8,FALSE)," ")</f>
        <v>138</v>
      </c>
      <c r="Q462" s="79">
        <f>IF('Settings'!$E$12="YES",VLOOKUP(B462,'Player Data'!A1:E667,5,FALSE),82)</f>
        <v>76.86499999999999</v>
      </c>
      <c r="R462" s="77">
        <f>VLOOKUP(B462,'Player Data'!$A1:$AE667,6,FALSE)</f>
        <v>12.3716708900217</v>
      </c>
      <c r="S462" s="79">
        <f>VLOOKUP(B462,'Player Data'!$A1:$AE667,7,FALSE)*$Q462*_xlfn.IFERROR((VLOOKUP(P462,'Settings'!$E$28:$F$33,2,FALSE)+1),1)</f>
        <v>17.9703574202855</v>
      </c>
      <c r="T462" s="79">
        <f>VLOOKUP(B462,'Player Data'!$A1:$AE667,8,FALSE)*$Q462*_xlfn.IFERROR((VLOOKUP(P462,'Settings'!$E$28:$F$33,2,FALSE)+1),1)</f>
        <v>21.0676131135495</v>
      </c>
      <c r="U462" s="79">
        <f>SUM(S462:T462)</f>
        <v>39.037970533835</v>
      </c>
      <c r="V462" s="79">
        <f>VLOOKUP(B462,'Player Data'!$A1:$AE667,10,FALSE)*$Q462*_xlfn.IFERROR(((VLOOKUP(P462,'Settings'!$E$28:$F$33,2,FALSE)/2)+1),1)</f>
        <v>160.533754821281</v>
      </c>
      <c r="W462" s="79">
        <f>VLOOKUP(B462,'Player Data'!$A1:$AE667,11,FALSE)*$Q462*_xlfn.IFERROR((VLOOKUP(P462,'Settings'!$E$28:$F$33,2,FALSE)+1),1)</f>
        <v>2.58685562925861</v>
      </c>
      <c r="X462" s="79">
        <f>VLOOKUP(B462,'Player Data'!$A1:$AE667,12,FALSE)*$Q462*_xlfn.IFERROR((VLOOKUP(P462,'Settings'!$E$28:$F$33,2,FALSE)+1),1)</f>
        <v>7.34106038216114</v>
      </c>
      <c r="Y462" s="79">
        <f>VLOOKUP(B462,'Player Data'!$A1:$AE667,13,FALSE)*$Q462</f>
        <v>0.0024246691358763</v>
      </c>
      <c r="Z462" s="79">
        <f>VLOOKUP(B462,'Player Data'!$A1:$AE667,14,FALSE)*$Q462</f>
        <v>0.00410172314467288</v>
      </c>
      <c r="AA462" s="79">
        <f>VLOOKUP(B462,'Player Data'!$A1:$AE667,15,FALSE)*$Q462</f>
        <v>20.5697326001591</v>
      </c>
      <c r="AB462" s="79">
        <f>VLOOKUP(B462,'Player Data'!$A1:$AE667,16,FALSE)*$Q462</f>
        <v>46.7697650548533</v>
      </c>
      <c r="AC462" s="79">
        <f>VLOOKUP(B462,'Player Data'!$A1:$AE667,17,FALSE)*$Q462*_xlfn.IFERROR((VLOOKUP(P462,'Settings'!$E$28:$F$33,2,FALSE)+1),1)</f>
        <v>-1.57474977570741</v>
      </c>
      <c r="AD462" s="79">
        <f>VLOOKUP(B462,'Player Data'!$A1:$AE667,18,FALSE)*$Q462</f>
        <v>20.000788540014</v>
      </c>
      <c r="AE462" s="79">
        <f>VLOOKUP(B462,'Player Data'!$A1:$AE667,19,FALSE)*$Q462*_xlfn.IFERROR((VLOOKUP(P462,'Settings'!$E$28:$F$33,2,FALSE)+1),1)</f>
        <v>3.06887347394175</v>
      </c>
      <c r="AF462" s="79">
        <f>VLOOKUP(B462,'Player Data'!$A1:$AE667,20,FALSE)*$Q462</f>
        <v>4.53227763493971</v>
      </c>
      <c r="AG462" s="79">
        <f>VLOOKUP(B462,'Player Data'!$A1:$AE667,21,FALSE)*$Q462</f>
        <v>6.12902620936512</v>
      </c>
      <c r="AH462" s="81">
        <f>VLOOKUP(B462,'Player Data'!$A1:$AE667,22,FALSE)</f>
        <v>0.425114760926808</v>
      </c>
      <c r="AI462" s="77"/>
      <c r="AJ462" s="79"/>
      <c r="AK462" s="79"/>
      <c r="AL462" s="79"/>
      <c r="AM462" s="79"/>
      <c r="AN462" s="79"/>
      <c r="AO462" s="79"/>
      <c r="AP462" s="79"/>
      <c r="AQ462" s="82"/>
      <c r="AR462" s="83"/>
      <c r="AS462" s="84"/>
    </row>
    <row r="463" ht="21.25" customHeight="1">
      <c r="A463" s="85">
        <f>RANK(K463,K$1:K$665)</f>
        <v>451</v>
      </c>
      <c r="B463" t="s" s="16">
        <v>653</v>
      </c>
      <c r="C463" t="s" s="69">
        <v>127</v>
      </c>
      <c r="D463" t="s" s="70">
        <f>VLOOKUP(B463,'Player Data'!A1:D667,4,FALSE)</f>
        <v>153</v>
      </c>
      <c r="E463" s="95">
        <f>VLOOKUP(B463,'D'!A1:C213,3,FALSE)</f>
        <v>150</v>
      </c>
      <c r="F463" t="s" s="88">
        <f>VLOOKUP(B463,'Player Data'!A1:B667,2,FALSE)</f>
        <v>137</v>
      </c>
      <c r="G463" s="96">
        <f>VLOOKUP(B463,'Player Data'!A1:D667,3,FALSE)</f>
        <v>24</v>
      </c>
      <c r="H463" s="94">
        <f>_xlfn.IFERROR(VLOOKUP(B463,'ADP'!A1:G665,7,FALSE)/1000000,VLOOKUP(B463,'ADP'!A1:G665,7,FALSE))</f>
        <v>0.805</v>
      </c>
      <c r="I463" s="74">
        <f>IF('Settings'!$E$15="POINTS",((R463*Q463)*'Settings'!$B$12)+(S463*'Settings'!$B$2)+(T463*'Settings'!$B$3)+(U463*'Settings'!$B$4)+(V463*'Settings'!$B$5)+(X463*'Settings'!$B$9)+(AA463*'Settings'!$B$6)+(W463*'Settings'!$B$8)+(AB463*'Settings'!$B$7)+(AC463*'Settings'!$B$14)+(AD463*'Settings'!$B$15)+(AE463*'Settings'!$B$16)+(AF463*'Settings'!$B$17)+(AG463*'Settings'!$B$18)+(U463*'Settings'!$B$13)+(Y463*'Settings'!$B$10)+(Z463*'Settings'!$B$11),VLOOKUP(B463,'Standard Deviations'!A1:C666,3,FALSE))</f>
        <v>191.835579060427</v>
      </c>
      <c r="J463" s="75">
        <f>IF(D463="G",I463/AJ463,I463/Q463)</f>
        <v>2.72426000724858</v>
      </c>
      <c r="K463" s="74">
        <f>VLOOKUP(B463,'D'!A1:F213,6,FALSE)</f>
        <v>-139.704628859655</v>
      </c>
      <c r="L463" s="76">
        <f>_xlfn.IFERROR(K463/H463,"N/A")</f>
        <v>-173.546122807025</v>
      </c>
      <c r="M463" s="109">
        <f>IF('Settings'!$E$9="YAHOO",VLOOKUP(B463,'ADP'!A1:E665,2,FALSE),IF('Settings'!$E$9="ESPN",VLOOKUP(B463,'ADP'!A1:E665,3,FALSE),IF('Settings'!$E$9="FANTRAX",VLOOKUP(B463,'ADP'!A1:E665,4,FALSE),VLOOKUP(B463,'ADP'!A1:E665,5,FALSE))))</f>
        <v>0</v>
      </c>
      <c r="N463" s="79">
        <f>_xlfn.IFERROR(M463-A463,"N/A")</f>
        <v>-451</v>
      </c>
      <c r="O463" s="77"/>
      <c r="P463" t="s" s="78">
        <f>IF('Settings'!$E$27="ON",VLOOKUP(B463,'ADP'!A1:H665,8,FALSE)," ")</f>
        <v>138</v>
      </c>
      <c r="Q463" s="79">
        <f>IF('Settings'!$E$12="YES",VLOOKUP(B463,'Player Data'!A1:E667,5,FALSE),82)</f>
        <v>70.4175</v>
      </c>
      <c r="R463" s="98">
        <f>VLOOKUP(B463,'Player Data'!$A1:$AE667,6,FALSE)</f>
        <v>16.8806776094541</v>
      </c>
      <c r="S463" s="79">
        <f>VLOOKUP(B463,'Player Data'!$A1:$AE667,7,FALSE)*$Q463*_xlfn.IFERROR((VLOOKUP(P463,'Settings'!$E$28:$F$33,2,FALSE)+1),1)</f>
        <v>3.52548977733105</v>
      </c>
      <c r="T463" s="79">
        <f>VLOOKUP(B463,'Player Data'!$A1:$AE667,8,FALSE)*$Q463*_xlfn.IFERROR((VLOOKUP(P463,'Settings'!$E$28:$F$33,2,FALSE)+1),1)</f>
        <v>10.9733876258354</v>
      </c>
      <c r="U463" s="79">
        <f>SUM(S463:T463)</f>
        <v>14.4988774031665</v>
      </c>
      <c r="V463" s="79">
        <f>VLOOKUP(B463,'Player Data'!$A1:$AE667,10,FALSE)*$Q463*_xlfn.IFERROR(((VLOOKUP(P463,'Settings'!$E$28:$F$33,2,FALSE)/2)+1),1)</f>
        <v>61.2967362633189</v>
      </c>
      <c r="W463" s="79">
        <f>VLOOKUP(B463,'Player Data'!$A1:$AE667,11,FALSE)*$Q463*_xlfn.IFERROR((VLOOKUP(P463,'Settings'!$E$28:$F$33,2,FALSE)+1),1)</f>
        <v>0.0240972275643811</v>
      </c>
      <c r="X463" s="79">
        <f>VLOOKUP(B463,'Player Data'!$A1:$AE667,12,FALSE)*$Q463*_xlfn.IFERROR((VLOOKUP(P463,'Settings'!$E$28:$F$33,2,FALSE)+1),1)</f>
        <v>0.154177380633634</v>
      </c>
      <c r="Y463" s="79">
        <f>VLOOKUP(B463,'Player Data'!$A1:$AE667,13,FALSE)*$Q463</f>
        <v>0.0336798676415324</v>
      </c>
      <c r="Z463" s="79">
        <f>VLOOKUP(B463,'Player Data'!$A1:$AE667,14,FALSE)*$Q463</f>
        <v>0.7939069817818331</v>
      </c>
      <c r="AA463" s="79">
        <f>VLOOKUP(B463,'Player Data'!$A1:$AE667,15,FALSE)*$Q463</f>
        <v>138.583502078123</v>
      </c>
      <c r="AB463" s="79">
        <f>VLOOKUP(B463,'Player Data'!$A1:$AE667,16,FALSE)*$Q463</f>
        <v>75.41808799506551</v>
      </c>
      <c r="AC463" s="79">
        <f>VLOOKUP(B463,'Player Data'!$A1:$AE667,17,FALSE)*$Q463*_xlfn.IFERROR((VLOOKUP(P463,'Settings'!$E$28:$F$33,2,FALSE)+1),1)</f>
        <v>-2.31775861660665</v>
      </c>
      <c r="AD463" s="79">
        <f>VLOOKUP(B463,'Player Data'!$A1:$AE667,18,FALSE)*$Q463</f>
        <v>29.4560576368725</v>
      </c>
      <c r="AE463" s="79">
        <f>VLOOKUP(B463,'Player Data'!$A1:$AE667,19,FALSE)*$Q463*_xlfn.IFERROR((VLOOKUP(P463,'Settings'!$E$28:$F$33,2,FALSE)+1),1)</f>
        <v>0.547382488278372</v>
      </c>
      <c r="AF463" s="79">
        <f>VLOOKUP(B463,'Player Data'!$A1:$AE667,20,FALSE)*$Q463</f>
        <v>0</v>
      </c>
      <c r="AG463" s="79">
        <f>VLOOKUP(B463,'Player Data'!$A1:$AE667,21,FALSE)*$Q463</f>
        <v>0</v>
      </c>
      <c r="AH463" s="81">
        <f>VLOOKUP(B463,'Player Data'!$A1:$AE667,22,FALSE)</f>
        <v>0</v>
      </c>
      <c r="AI463" s="77"/>
      <c r="AJ463" s="79"/>
      <c r="AK463" s="79"/>
      <c r="AL463" s="79"/>
      <c r="AM463" s="79"/>
      <c r="AN463" s="79"/>
      <c r="AO463" s="79"/>
      <c r="AP463" s="79"/>
      <c r="AQ463" s="82"/>
      <c r="AR463" s="83"/>
      <c r="AS463" s="84"/>
    </row>
    <row r="464" ht="21.25" customHeight="1">
      <c r="A464" s="85">
        <f>RANK(K464,K$1:K$665)</f>
        <v>467</v>
      </c>
      <c r="B464" t="s" s="16">
        <v>654</v>
      </c>
      <c r="C464" t="s" s="69">
        <v>127</v>
      </c>
      <c r="D464" t="s" s="70">
        <f>VLOOKUP(B464,'Player Data'!A1:D667,4,FALSE)</f>
        <v>145</v>
      </c>
      <c r="E464" s="87">
        <f>VLOOKUP(B464,'RW'!A1:C136,3,FALSE)</f>
        <v>92</v>
      </c>
      <c r="F464" t="s" s="78">
        <f>VLOOKUP(B464,'Player Data'!A1:B667,2,FALSE)</f>
        <v>244</v>
      </c>
      <c r="G464" s="11">
        <f>VLOOKUP(B464,'Player Data'!A1:D667,3,FALSE)</f>
        <v>24</v>
      </c>
      <c r="H464" s="94">
        <f>_xlfn.IFERROR(VLOOKUP(B464,'ADP'!A1:G665,7,FALSE)/1000000,VLOOKUP(B464,'ADP'!A1:G665,7,FALSE))</f>
        <v>2.25</v>
      </c>
      <c r="I464" s="74">
        <f>IF('Settings'!$E$15="POINTS",((R464*Q464)*'Settings'!$B$12)+(S464*'Settings'!$B$2)+(T464*'Settings'!$B$3)+(U464*'Settings'!$B$4)+(V464*'Settings'!$B$5)+(X464*'Settings'!$B$9)+(AA464*'Settings'!$B$6)+(W464*'Settings'!$B$8)+(AB464*'Settings'!$B$7)+(AC464*'Settings'!$B$14)+(AD464*'Settings'!$B$15)+(AE464*'Settings'!$B$16)+(AF464*'Settings'!$B$17)+(AG464*'Settings'!$B$18)+(Y464*'Settings'!$B$10)+(Z464*'Settings'!$B$11),VLOOKUP(B464,'Standard Deviations'!A1:C666,3,FALSE))</f>
        <v>184.645887838037</v>
      </c>
      <c r="J464" s="75">
        <f>IF(D464="G",I464/AJ464,I464/Q464)</f>
        <v>2.3783080062861</v>
      </c>
      <c r="K464" s="74">
        <f>IF('Settings'!$E$18="C/LW/RW",VLOOKUP(B464,'RW'!A1:F136,6,FALSE),VLOOKUP(B464,'F'!A1:F392,6,FALSE))</f>
        <v>-145.046006243141</v>
      </c>
      <c r="L464" s="76">
        <f>_xlfn.IFERROR(K464/H464,"N/A")</f>
        <v>-64.4648916636182</v>
      </c>
      <c r="M464" s="109">
        <f>IF('Settings'!$E$9="YAHOO",VLOOKUP(B464,'ADP'!A1:E665,2,FALSE),IF('Settings'!$E$9="ESPN",VLOOKUP(B464,'ADP'!A1:E665,3,FALSE),IF('Settings'!$E$9="FANTRAX",VLOOKUP(B464,'ADP'!A1:E665,4,FALSE),VLOOKUP(B464,'ADP'!A1:E665,5,FALSE))))</f>
        <v>0</v>
      </c>
      <c r="N464" s="79">
        <f>_xlfn.IFERROR(M464-A464,"N/A")</f>
        <v>-467</v>
      </c>
      <c r="O464" s="77"/>
      <c r="P464" t="s" s="78">
        <f>IF('Settings'!$E$27="ON",VLOOKUP(B464,'ADP'!A1:H665,8,FALSE)," ")</f>
        <v>138</v>
      </c>
      <c r="Q464" s="79">
        <f>IF('Settings'!$E$12="YES",VLOOKUP(B464,'Player Data'!A1:E667,5,FALSE),82)</f>
        <v>77.6375</v>
      </c>
      <c r="R464" s="108">
        <f>VLOOKUP(B464,'Player Data'!$A1:$AE667,6,FALSE)</f>
        <v>16.8867414702531</v>
      </c>
      <c r="S464" s="79">
        <f>VLOOKUP(B464,'Player Data'!$A1:$AE667,7,FALSE)*$Q464*_xlfn.IFERROR((VLOOKUP(P464,'Settings'!$E$28:$F$33,2,FALSE)+1),1)</f>
        <v>14.0783204175851</v>
      </c>
      <c r="T464" s="79">
        <f>VLOOKUP(B464,'Player Data'!$A1:$AE667,8,FALSE)*$Q464*_xlfn.IFERROR((VLOOKUP(P464,'Settings'!$E$28:$F$33,2,FALSE)+1),1)</f>
        <v>25.8262485789467</v>
      </c>
      <c r="U464" s="79">
        <f>SUM(S464:T464)</f>
        <v>39.9045689965318</v>
      </c>
      <c r="V464" s="79">
        <f>VLOOKUP(B464,'Player Data'!$A1:$AE667,10,FALSE)*$Q464*_xlfn.IFERROR(((VLOOKUP(P464,'Settings'!$E$28:$F$33,2,FALSE)/2)+1),1)</f>
        <v>125.0852273636</v>
      </c>
      <c r="W464" s="79">
        <f>VLOOKUP(B464,'Player Data'!$A1:$AE667,11,FALSE)*$Q464*_xlfn.IFERROR((VLOOKUP(P464,'Settings'!$E$28:$F$33,2,FALSE)+1),1)</f>
        <v>3.50883022827633</v>
      </c>
      <c r="X464" s="79">
        <f>VLOOKUP(B464,'Player Data'!$A1:$AE667,12,FALSE)*$Q464*_xlfn.IFERROR((VLOOKUP(P464,'Settings'!$E$28:$F$33,2,FALSE)+1),1)</f>
        <v>11.5043467593564</v>
      </c>
      <c r="Y464" s="79">
        <f>VLOOKUP(B464,'Player Data'!$A1:$AE667,13,FALSE)*$Q464</f>
        <v>0.06367097778934561</v>
      </c>
      <c r="Z464" s="79">
        <f>VLOOKUP(B464,'Player Data'!$A1:$AE667,14,FALSE)*$Q464</f>
        <v>0.107100643506238</v>
      </c>
      <c r="AA464" s="79">
        <f>VLOOKUP(B464,'Player Data'!$A1:$AE667,15,FALSE)*$Q464</f>
        <v>42.7132880295997</v>
      </c>
      <c r="AB464" s="79">
        <f>VLOOKUP(B464,'Player Data'!$A1:$AE667,16,FALSE)*$Q464</f>
        <v>35.3530994976628</v>
      </c>
      <c r="AC464" s="79">
        <f>VLOOKUP(B464,'Player Data'!$A1:$AE667,17,FALSE)*$Q464*_xlfn.IFERROR((VLOOKUP(P464,'Settings'!$E$28:$F$33,2,FALSE)+1),1)</f>
        <v>-10.3136143291233</v>
      </c>
      <c r="AD464" s="79">
        <f>VLOOKUP(B464,'Player Data'!$A1:$AE667,18,FALSE)*$Q464</f>
        <v>21.8862482014008</v>
      </c>
      <c r="AE464" s="79">
        <f>VLOOKUP(B464,'Player Data'!$A1:$AE667,19,FALSE)*$Q464*_xlfn.IFERROR((VLOOKUP(P464,'Settings'!$E$28:$F$33,2,FALSE)+1),1)</f>
        <v>1.81941519292598</v>
      </c>
      <c r="AF464" s="79">
        <f>VLOOKUP(B464,'Player Data'!$A1:$AE667,20,FALSE)*$Q464</f>
        <v>107.698074010394</v>
      </c>
      <c r="AG464" s="79">
        <f>VLOOKUP(B464,'Player Data'!$A1:$AE667,21,FALSE)*$Q464</f>
        <v>131.242093545672</v>
      </c>
      <c r="AH464" s="81">
        <f>VLOOKUP(B464,'Player Data'!$A1:$AE667,22,FALSE)</f>
        <v>0.450732395109431</v>
      </c>
      <c r="AI464" s="77"/>
      <c r="AJ464" s="89"/>
      <c r="AK464" s="79"/>
      <c r="AL464" s="79"/>
      <c r="AM464" s="79"/>
      <c r="AN464" s="79"/>
      <c r="AO464" s="79"/>
      <c r="AP464" s="79"/>
      <c r="AQ464" s="82"/>
      <c r="AR464" s="83"/>
      <c r="AS464" s="84"/>
    </row>
    <row r="465" ht="21.25" customHeight="1">
      <c r="A465" s="85">
        <f>RANK(K465,K$1:K$665)</f>
        <v>455</v>
      </c>
      <c r="B465" t="s" s="16">
        <v>655</v>
      </c>
      <c r="C465" t="s" s="69">
        <v>127</v>
      </c>
      <c r="D465" t="s" s="70">
        <f>VLOOKUP(B465,'Player Data'!A1:D667,4,FALSE)</f>
        <v>153</v>
      </c>
      <c r="E465" s="95">
        <f>VLOOKUP(B465,'D'!A1:C213,3,FALSE)</f>
        <v>151</v>
      </c>
      <c r="F465" t="s" s="78">
        <f>VLOOKUP(B465,'Player Data'!A1:B667,2,FALSE)</f>
        <v>261</v>
      </c>
      <c r="G465" s="11">
        <f>VLOOKUP(B465,'Player Data'!A1:D667,3,FALSE)</f>
        <v>27</v>
      </c>
      <c r="H465" s="73">
        <f>_xlfn.IFERROR(VLOOKUP(B465,'ADP'!A1:G665,7,FALSE)/1000000,VLOOKUP(B465,'ADP'!A1:G665,7,FALSE))</f>
        <v>4.4</v>
      </c>
      <c r="I465" s="74">
        <f>IF('Settings'!$E$15="POINTS",((R465*Q465)*'Settings'!$B$12)+(S465*'Settings'!$B$2)+(T465*'Settings'!$B$3)+(U465*'Settings'!$B$4)+(V465*'Settings'!$B$5)+(X465*'Settings'!$B$9)+(AA465*'Settings'!$B$6)+(W465*'Settings'!$B$8)+(AB465*'Settings'!$B$7)+(AC465*'Settings'!$B$14)+(AD465*'Settings'!$B$15)+(AE465*'Settings'!$B$16)+(AF465*'Settings'!$B$17)+(AG465*'Settings'!$B$18)+(U465*'Settings'!$B$13)+(Y465*'Settings'!$B$10)+(Z465*'Settings'!$B$11),VLOOKUP(B465,'Standard Deviations'!A1:C666,3,FALSE))</f>
        <v>191.515569652189</v>
      </c>
      <c r="J465" s="75">
        <f>IF(D465="G",I465/AJ465,I465/Q465)</f>
        <v>2.44865679593657</v>
      </c>
      <c r="K465" s="74">
        <f>VLOOKUP(B465,'D'!A1:F213,6,FALSE)</f>
        <v>-140.024638267893</v>
      </c>
      <c r="L465" s="76">
        <f>_xlfn.IFERROR(K465/H465,"N/A")</f>
        <v>-31.8237814245211</v>
      </c>
      <c r="M465" s="109">
        <f>IF('Settings'!$E$9="YAHOO",VLOOKUP(B465,'ADP'!A1:E665,2,FALSE),IF('Settings'!$E$9="ESPN",VLOOKUP(B465,'ADP'!A1:E665,3,FALSE),IF('Settings'!$E$9="FANTRAX",VLOOKUP(B465,'ADP'!A1:E665,4,FALSE),VLOOKUP(B465,'ADP'!A1:E665,5,FALSE))))</f>
        <v>0</v>
      </c>
      <c r="N465" s="79">
        <f>_xlfn.IFERROR(M465-A465,"N/A")</f>
        <v>-455</v>
      </c>
      <c r="O465" s="77"/>
      <c r="P465" t="s" s="78">
        <f>IF('Settings'!$E$27="ON",VLOOKUP(B465,'ADP'!A1:H665,8,FALSE)," ")</f>
        <v>138</v>
      </c>
      <c r="Q465" s="79">
        <f>IF('Settings'!$E$12="YES",VLOOKUP(B465,'Player Data'!A1:E667,5,FALSE),82)</f>
        <v>78.21250000000001</v>
      </c>
      <c r="R465" s="98">
        <f>VLOOKUP(B465,'Player Data'!$A1:$AE667,6,FALSE)</f>
        <v>22.0317708987113</v>
      </c>
      <c r="S465" s="79">
        <f>VLOOKUP(B465,'Player Data'!$A1:$AE667,7,FALSE)*$Q465*_xlfn.IFERROR((VLOOKUP(P465,'Settings'!$E$28:$F$33,2,FALSE)+1),1)</f>
        <v>4.28707419209549</v>
      </c>
      <c r="T465" s="79">
        <f>VLOOKUP(B465,'Player Data'!$A1:$AE667,8,FALSE)*$Q465*_xlfn.IFERROR((VLOOKUP(P465,'Settings'!$E$28:$F$33,2,FALSE)+1),1)</f>
        <v>21.908269885744</v>
      </c>
      <c r="U465" s="79">
        <f>SUM(S465:T465)</f>
        <v>26.1953440778395</v>
      </c>
      <c r="V465" s="79">
        <f>VLOOKUP(B465,'Player Data'!$A1:$AE667,10,FALSE)*$Q465*_xlfn.IFERROR(((VLOOKUP(P465,'Settings'!$E$28:$F$33,2,FALSE)/2)+1),1)</f>
        <v>78.1150179485202</v>
      </c>
      <c r="W465" s="79">
        <f>VLOOKUP(B465,'Player Data'!$A1:$AE667,11,FALSE)*$Q465*_xlfn.IFERROR((VLOOKUP(P465,'Settings'!$E$28:$F$33,2,FALSE)+1),1)</f>
        <v>0.0361309654726738</v>
      </c>
      <c r="X465" s="79">
        <f>VLOOKUP(B465,'Player Data'!$A1:$AE667,12,FALSE)*$Q465*_xlfn.IFERROR((VLOOKUP(P465,'Settings'!$E$28:$F$33,2,FALSE)+1),1)</f>
        <v>0.344209219578815</v>
      </c>
      <c r="Y465" s="79">
        <f>VLOOKUP(B465,'Player Data'!$A1:$AE667,13,FALSE)*$Q465</f>
        <v>0.0316691327905891</v>
      </c>
      <c r="Z465" s="79">
        <f>VLOOKUP(B465,'Player Data'!$A1:$AE667,14,FALSE)*$Q465</f>
        <v>0.792305805169408</v>
      </c>
      <c r="AA465" s="79">
        <f>VLOOKUP(B465,'Player Data'!$A1:$AE667,15,FALSE)*$Q465</f>
        <v>106.919534536007</v>
      </c>
      <c r="AB465" s="79">
        <f>VLOOKUP(B465,'Player Data'!$A1:$AE667,16,FALSE)*$Q465</f>
        <v>58.4213382020019</v>
      </c>
      <c r="AC465" s="79">
        <f>VLOOKUP(B465,'Player Data'!$A1:$AE667,17,FALSE)*$Q465*_xlfn.IFERROR((VLOOKUP(P465,'Settings'!$E$28:$F$33,2,FALSE)+1),1)</f>
        <v>0.236180958604571</v>
      </c>
      <c r="AD465" s="79">
        <f>VLOOKUP(B465,'Player Data'!$A1:$AE667,18,FALSE)*$Q465</f>
        <v>31.3958198808214</v>
      </c>
      <c r="AE465" s="79">
        <f>VLOOKUP(B465,'Player Data'!$A1:$AE667,19,FALSE)*$Q465*_xlfn.IFERROR((VLOOKUP(P465,'Settings'!$E$28:$F$33,2,FALSE)+1),1)</f>
        <v>0.627324963601116</v>
      </c>
      <c r="AF465" s="79">
        <f>VLOOKUP(B465,'Player Data'!$A1:$AE667,20,FALSE)*$Q465</f>
        <v>0</v>
      </c>
      <c r="AG465" s="79">
        <f>VLOOKUP(B465,'Player Data'!$A1:$AE667,21,FALSE)*$Q465</f>
        <v>0</v>
      </c>
      <c r="AH465" s="81">
        <f>VLOOKUP(B465,'Player Data'!$A1:$AE667,22,FALSE)</f>
        <v>0</v>
      </c>
      <c r="AI465" s="77"/>
      <c r="AJ465" s="79"/>
      <c r="AK465" s="79"/>
      <c r="AL465" s="79"/>
      <c r="AM465" s="79"/>
      <c r="AN465" s="79"/>
      <c r="AO465" s="79"/>
      <c r="AP465" s="79"/>
      <c r="AQ465" s="82"/>
      <c r="AR465" s="83"/>
      <c r="AS465" s="84"/>
    </row>
    <row r="466" ht="21.25" customHeight="1">
      <c r="A466" s="85">
        <f>RANK(K466,K$1:K$665)</f>
        <v>488</v>
      </c>
      <c r="B466" t="s" s="16">
        <v>656</v>
      </c>
      <c r="C466" t="s" s="69">
        <v>127</v>
      </c>
      <c r="D466" t="s" s="70">
        <f>VLOOKUP(B466,'Player Data'!A1:D667,4,FALSE)</f>
        <v>128</v>
      </c>
      <c r="E466" s="71">
        <f>VLOOKUP(B466,'C'!A1:C206,3,FALSE)</f>
        <v>142</v>
      </c>
      <c r="F466" t="s" s="88">
        <f>VLOOKUP(B466,'Player Data'!A1:B667,2,FALSE)</f>
        <v>143</v>
      </c>
      <c r="G466" s="11">
        <f>VLOOKUP(B466,'Player Data'!A1:D667,3,FALSE)</f>
        <v>25</v>
      </c>
      <c r="H466" s="94">
        <f>_xlfn.IFERROR(VLOOKUP(B466,'ADP'!A1:G665,7,FALSE)/1000000,VLOOKUP(B466,'ADP'!A1:G665,7,FALSE))</f>
        <v>0.835</v>
      </c>
      <c r="I466" s="74">
        <f>IF('Settings'!$E$15="POINTS",((R466*Q466)*'Settings'!$B$12)+(S466*'Settings'!$B$2)+(T466*'Settings'!$B$3)+(U466*'Settings'!$B$4)+(V466*'Settings'!$B$5)+(X466*'Settings'!$B$9)+(AA466*'Settings'!$B$6)+(W466*'Settings'!$B$8)+(AB466*'Settings'!$B$7)+(AC466*'Settings'!$B$14)+(AD466*'Settings'!$B$15)+(AE466*'Settings'!$B$16)+(AF466*'Settings'!$B$17)+(AG466*'Settings'!$B$18)+(Y466*'Settings'!$B$10)+(Z466*'Settings'!$B$11),VLOOKUP(B466,'Standard Deviations'!A1:C666,3,FALSE))</f>
        <v>179.281262659204</v>
      </c>
      <c r="J466" s="75">
        <f>IF(D466="G",I466/AJ466,I466/Q466)</f>
        <v>2.57144668185892</v>
      </c>
      <c r="K466" s="74">
        <f>IF('Settings'!$E$18="C/LW/RW",VLOOKUP(B466,'C'!A1:F206,6,FALSE),VLOOKUP(B466,'F'!A1:F392,6,FALSE))</f>
        <v>-150.410631421974</v>
      </c>
      <c r="L466" s="76">
        <f>_xlfn.IFERROR(K466/H466,"N/A")</f>
        <v>-180.132492720927</v>
      </c>
      <c r="M466" s="109">
        <f>IF('Settings'!$E$9="YAHOO",VLOOKUP(B466,'ADP'!A1:E665,2,FALSE),IF('Settings'!$E$9="ESPN",VLOOKUP(B466,'ADP'!A1:E665,3,FALSE),IF('Settings'!$E$9="FANTRAX",VLOOKUP(B466,'ADP'!A1:E665,4,FALSE),VLOOKUP(B466,'ADP'!A1:E665,5,FALSE))))</f>
        <v>0</v>
      </c>
      <c r="N466" s="79">
        <f>_xlfn.IFERROR(M466-A466,"N/A")</f>
        <v>-488</v>
      </c>
      <c r="O466" s="77"/>
      <c r="P466" t="s" s="78">
        <f>IF('Settings'!$E$27="ON",VLOOKUP(B466,'ADP'!A1:H665,8,FALSE)," ")</f>
        <v>138</v>
      </c>
      <c r="Q466" s="79">
        <f>IF('Settings'!$E$12="YES",VLOOKUP(B466,'Player Data'!A1:E667,5,FALSE),82)</f>
        <v>69.72</v>
      </c>
      <c r="R466" s="98">
        <f>VLOOKUP(B466,'Player Data'!$A1:$AE667,6,FALSE)</f>
        <v>9.86079460572906</v>
      </c>
      <c r="S466" s="79">
        <f>VLOOKUP(B466,'Player Data'!$A1:$AE667,7,FALSE)*$Q466*_xlfn.IFERROR((VLOOKUP(P466,'Settings'!$E$28:$F$33,2,FALSE)+1),1)</f>
        <v>7.31336167732456</v>
      </c>
      <c r="T466" s="79">
        <f>VLOOKUP(B466,'Player Data'!$A1:$AE667,8,FALSE)*$Q466*_xlfn.IFERROR((VLOOKUP(P466,'Settings'!$E$28:$F$33,2,FALSE)+1),1)</f>
        <v>6.89033623375487</v>
      </c>
      <c r="U466" s="79">
        <f>SUM(S466:T466)</f>
        <v>14.2036979110794</v>
      </c>
      <c r="V466" s="79">
        <f>VLOOKUP(B466,'Player Data'!$A1:$AE667,10,FALSE)*$Q466*_xlfn.IFERROR(((VLOOKUP(P466,'Settings'!$E$28:$F$33,2,FALSE)/2)+1),1)</f>
        <v>82.31700112883181</v>
      </c>
      <c r="W466" s="79">
        <f>VLOOKUP(B466,'Player Data'!$A1:$AE667,11,FALSE)*$Q466*_xlfn.IFERROR((VLOOKUP(P466,'Settings'!$E$28:$F$33,2,FALSE)+1),1)</f>
        <v>0.0523597996456752</v>
      </c>
      <c r="X466" s="79">
        <f>VLOOKUP(B466,'Player Data'!$A1:$AE667,12,FALSE)*$Q466*_xlfn.IFERROR((VLOOKUP(P466,'Settings'!$E$28:$F$33,2,FALSE)+1),1)</f>
        <v>0.121805323955461</v>
      </c>
      <c r="Y466" s="79">
        <f>VLOOKUP(B466,'Player Data'!$A1:$AE667,13,FALSE)*$Q466</f>
        <v>0.0346859819322388</v>
      </c>
      <c r="Z466" s="79">
        <f>VLOOKUP(B466,'Player Data'!$A1:$AE667,14,FALSE)*$Q466</f>
        <v>0.0591143917776376</v>
      </c>
      <c r="AA466" s="79">
        <f>VLOOKUP(B466,'Player Data'!$A1:$AE667,15,FALSE)*$Q466</f>
        <v>40.2244720478068</v>
      </c>
      <c r="AB466" s="79">
        <f>VLOOKUP(B466,'Player Data'!$A1:$AE667,16,FALSE)*$Q466</f>
        <v>161.931871075314</v>
      </c>
      <c r="AC466" s="79">
        <f>VLOOKUP(B466,'Player Data'!$A1:$AE667,17,FALSE)*$Q466*_xlfn.IFERROR((VLOOKUP(P466,'Settings'!$E$28:$F$33,2,FALSE)+1),1)</f>
        <v>-0.843060812537203</v>
      </c>
      <c r="AD466" s="79">
        <f>VLOOKUP(B466,'Player Data'!$A1:$AE667,18,FALSE)*$Q466</f>
        <v>55.2657022504526</v>
      </c>
      <c r="AE466" s="79">
        <f>VLOOKUP(B466,'Player Data'!$A1:$AE667,19,FALSE)*$Q466*_xlfn.IFERROR((VLOOKUP(P466,'Settings'!$E$28:$F$33,2,FALSE)+1),1)</f>
        <v>1.13908327208415</v>
      </c>
      <c r="AF466" s="79">
        <f>VLOOKUP(B466,'Player Data'!$A1:$AE667,20,FALSE)*$Q466</f>
        <v>299.043986312713</v>
      </c>
      <c r="AG466" s="79">
        <f>VLOOKUP(B466,'Player Data'!$A1:$AE667,21,FALSE)*$Q466</f>
        <v>236.210455144378</v>
      </c>
      <c r="AH466" s="81">
        <f>VLOOKUP(B466,'Player Data'!$A1:$AE667,22,FALSE)</f>
        <v>0.558695011476492</v>
      </c>
      <c r="AI466" s="77"/>
      <c r="AJ466" s="89"/>
      <c r="AK466" s="79"/>
      <c r="AL466" s="79"/>
      <c r="AM466" s="79"/>
      <c r="AN466" s="79"/>
      <c r="AO466" s="79"/>
      <c r="AP466" s="79"/>
      <c r="AQ466" s="82"/>
      <c r="AR466" s="83"/>
      <c r="AS466" s="84"/>
    </row>
    <row r="467" ht="21.25" customHeight="1">
      <c r="A467" s="85">
        <f>RANK(K467,K$1:K$665)</f>
        <v>471</v>
      </c>
      <c r="B467" t="s" s="16">
        <v>657</v>
      </c>
      <c r="C467" t="s" s="69">
        <v>127</v>
      </c>
      <c r="D467" t="s" s="70">
        <f>VLOOKUP(B467,'Player Data'!A1:D667,4,FALSE)</f>
        <v>140</v>
      </c>
      <c r="E467" s="90">
        <f>VLOOKUP(B467,'RW'!A1:F136,3,FALSE)</f>
        <v>93</v>
      </c>
      <c r="F467" t="s" s="86">
        <f>VLOOKUP(B467,'Player Data'!A1:B667,2,FALSE)</f>
        <v>165</v>
      </c>
      <c r="G467" s="11">
        <f>VLOOKUP(B467,'Player Data'!A1:D667,3,FALSE)</f>
        <v>29</v>
      </c>
      <c r="H467" s="73">
        <f>_xlfn.IFERROR(VLOOKUP(B467,'ADP'!A1:G665,7,FALSE)/1000000,VLOOKUP(B467,'ADP'!A1:G665,7,FALSE))</f>
        <v>0.9</v>
      </c>
      <c r="I467" s="74">
        <f>IF('Settings'!$E$15="POINTS",((R467*Q467)*'Settings'!$B$12)+(S467*'Settings'!$B$2)+(T467*'Settings'!$B$3)+(U467*'Settings'!$B$4)+(V467*'Settings'!$B$5)+(X467*'Settings'!$B$9)+(AA467*'Settings'!$B$6)+(W467*'Settings'!$B$8)+(AB467*'Settings'!$B$7)+(AC467*'Settings'!$B$14)+(AD467*'Settings'!$B$15)+(AE467*'Settings'!$B$16)+(AF467*'Settings'!$B$17)+(AG467*'Settings'!$B$18)+(Y467*'Settings'!$B$10)+(Z467*'Settings'!$B$11),VLOOKUP(B467,'Standard Deviations'!A1:C666,3,FALSE))</f>
        <v>184.285017537324</v>
      </c>
      <c r="J467" s="75">
        <f>IF(D467="G",I467/AJ467,I467/Q467)</f>
        <v>2.63546682212834</v>
      </c>
      <c r="K467" s="74">
        <f>IF('Settings'!$E$18="C/LW/RW",VLOOKUP(B467,'RW'!A1:F136,6,FALSE),VLOOKUP(B467,'F'!A1:F392,6,FALSE))</f>
        <v>-145.406876543854</v>
      </c>
      <c r="L467" s="76">
        <f>_xlfn.IFERROR(K467/H467,"N/A")</f>
        <v>-161.563196159838</v>
      </c>
      <c r="M467" s="109">
        <f>IF('Settings'!$E$9="YAHOO",VLOOKUP(B467,'ADP'!A1:E665,2,FALSE),IF('Settings'!$E$9="ESPN",VLOOKUP(B467,'ADP'!A1:E665,3,FALSE),IF('Settings'!$E$9="FANTRAX",VLOOKUP(B467,'ADP'!A1:E665,4,FALSE),VLOOKUP(B467,'ADP'!A1:E665,5,FALSE))))</f>
        <v>0</v>
      </c>
      <c r="N467" s="79">
        <f>_xlfn.IFERROR(M467-A467,"N/A")</f>
        <v>-471</v>
      </c>
      <c r="O467" s="77"/>
      <c r="P467" t="s" s="78">
        <f>IF('Settings'!$E$27="ON",VLOOKUP(B467,'ADP'!A1:H665,8,FALSE)," ")</f>
        <v>138</v>
      </c>
      <c r="Q467" s="79">
        <f>IF('Settings'!$E$12="YES",VLOOKUP(B467,'Player Data'!A1:E667,5,FALSE),82)</f>
        <v>69.925</v>
      </c>
      <c r="R467" s="77">
        <f>VLOOKUP(B467,'Player Data'!$A1:$AE667,6,FALSE)</f>
        <v>12.1916847964303</v>
      </c>
      <c r="S467" s="79">
        <f>VLOOKUP(B467,'Player Data'!$A1:$AE667,7,FALSE)*$Q467*_xlfn.IFERROR((VLOOKUP(P467,'Settings'!$E$28:$F$33,2,FALSE)+1),1)</f>
        <v>9.096275369990961</v>
      </c>
      <c r="T467" s="79">
        <f>VLOOKUP(B467,'Player Data'!$A1:$AE667,8,FALSE)*$Q467*_xlfn.IFERROR((VLOOKUP(P467,'Settings'!$E$28:$F$33,2,FALSE)+1),1)</f>
        <v>8.672214152129721</v>
      </c>
      <c r="U467" s="79">
        <f>SUM(S467:T467)</f>
        <v>17.7684895221207</v>
      </c>
      <c r="V467" s="79">
        <f>VLOOKUP(B467,'Player Data'!$A1:$AE667,10,FALSE)*$Q467*_xlfn.IFERROR(((VLOOKUP(P467,'Settings'!$E$28:$F$33,2,FALSE)/2)+1),1)</f>
        <v>87.0997825369937</v>
      </c>
      <c r="W467" s="79">
        <f>VLOOKUP(B467,'Player Data'!$A1:$AE667,11,FALSE)*$Q467*_xlfn.IFERROR((VLOOKUP(P467,'Settings'!$E$28:$F$33,2,FALSE)+1),1)</f>
        <v>0.0632991400012804</v>
      </c>
      <c r="X467" s="79">
        <f>VLOOKUP(B467,'Player Data'!$A1:$AE667,12,FALSE)*$Q467*_xlfn.IFERROR((VLOOKUP(P467,'Settings'!$E$28:$F$33,2,FALSE)+1),1)</f>
        <v>0.164530080968807</v>
      </c>
      <c r="Y467" s="79">
        <f>VLOOKUP(B467,'Player Data'!$A1:$AE667,13,FALSE)*$Q467</f>
        <v>0.315701415928605</v>
      </c>
      <c r="Z467" s="79">
        <f>VLOOKUP(B467,'Player Data'!$A1:$AE667,14,FALSE)*$Q467</f>
        <v>0.722316907206777</v>
      </c>
      <c r="AA467" s="79">
        <f>VLOOKUP(B467,'Player Data'!$A1:$AE667,15,FALSE)*$Q467</f>
        <v>49.3219272217979</v>
      </c>
      <c r="AB467" s="79">
        <f>VLOOKUP(B467,'Player Data'!$A1:$AE667,16,FALSE)*$Q467</f>
        <v>137.051321493908</v>
      </c>
      <c r="AC467" s="79">
        <f>VLOOKUP(B467,'Player Data'!$A1:$AE667,17,FALSE)*$Q467*_xlfn.IFERROR((VLOOKUP(P467,'Settings'!$E$28:$F$33,2,FALSE)+1),1)</f>
        <v>1.5101508022259</v>
      </c>
      <c r="AD467" s="79">
        <f>VLOOKUP(B467,'Player Data'!$A1:$AE667,18,FALSE)*$Q467</f>
        <v>56.5213947896331</v>
      </c>
      <c r="AE467" s="79">
        <f>VLOOKUP(B467,'Player Data'!$A1:$AE667,19,FALSE)*$Q467*_xlfn.IFERROR((VLOOKUP(P467,'Settings'!$E$28:$F$33,2,FALSE)+1),1)</f>
        <v>1.28796728134586</v>
      </c>
      <c r="AF467" s="79">
        <f>VLOOKUP(B467,'Player Data'!$A1:$AE667,20,FALSE)*$Q467</f>
        <v>332.476147706955</v>
      </c>
      <c r="AG467" s="79">
        <f>VLOOKUP(B467,'Player Data'!$A1:$AE667,21,FALSE)*$Q467</f>
        <v>276.154188523273</v>
      </c>
      <c r="AH467" s="81">
        <f>VLOOKUP(B467,'Player Data'!$A1:$AE667,22,FALSE)</f>
        <v>0.546269431402756</v>
      </c>
      <c r="AI467" s="77"/>
      <c r="AJ467" s="79"/>
      <c r="AK467" s="79"/>
      <c r="AL467" s="79"/>
      <c r="AM467" s="79"/>
      <c r="AN467" s="79"/>
      <c r="AO467" s="79"/>
      <c r="AP467" s="79"/>
      <c r="AQ467" s="82"/>
      <c r="AR467" s="83"/>
      <c r="AS467" s="84"/>
    </row>
    <row r="468" ht="21.25" customHeight="1">
      <c r="A468" s="85">
        <f>RANK(K468,K$1:K$665)</f>
        <v>441</v>
      </c>
      <c r="B468" t="s" s="16">
        <v>658</v>
      </c>
      <c r="C468" t="s" s="69">
        <v>127</v>
      </c>
      <c r="D468" t="s" s="70">
        <f>VLOOKUP(B468,'Player Data'!A1:D667,4,FALSE)</f>
        <v>161</v>
      </c>
      <c r="E468" s="99">
        <f>VLOOKUP(B468,'G'!A1:D65,3,FALSE)</f>
        <v>56</v>
      </c>
      <c r="F468" t="s" s="103">
        <f>VLOOKUP(B468,'Player Data'!A1:B667,2,FALSE)</f>
        <v>188</v>
      </c>
      <c r="G468" s="91">
        <f>VLOOKUP(B468,'Player Data'!A1:D667,3,FALSE)</f>
        <v>32</v>
      </c>
      <c r="H468" s="73">
        <f>_xlfn.IFERROR(VLOOKUP(B468,'ADP'!A1:G665,7,FALSE)/1000000,VLOOKUP(B468,'ADP'!A1:G665,7,FALSE))</f>
        <v>1</v>
      </c>
      <c r="I468" s="74">
        <f>IF('Settings'!$E$15="POINTS",(AJ468*'Settings'!$B$29)+(AK468*'Settings'!$B$21)+(AL468*'Settings'!$B$22)+(AN468*'Settings'!$B$24)+(AO468*'Settings'!$B$25)+(AP468*'Settings'!$B$27)+(AM468*'Settings'!$B$23),VLOOKUP(B468,'Standard Deviations'!A1:C666,3,FALSE))</f>
        <v>130.836400531068</v>
      </c>
      <c r="J468" s="75">
        <f>IF(D468="G",I468/AJ468,I468/Q468)</f>
        <v>5.4515166887945</v>
      </c>
      <c r="K468" s="74">
        <f>VLOOKUP(B468,'G'!A1:F65,6,FALSE)</f>
        <v>-136.754614033522</v>
      </c>
      <c r="L468" s="76">
        <f>_xlfn.IFERROR(K468/H468,"N/A")</f>
        <v>-136.754614033522</v>
      </c>
      <c r="M468" s="109">
        <f>IF('Settings'!$E$9="YAHOO",VLOOKUP(B468,'ADP'!A1:E665,2,FALSE),IF('Settings'!$E$9="ESPN",VLOOKUP(B468,'ADP'!A1:E665,3,FALSE),IF('Settings'!$E$9="FANTRAX",VLOOKUP(B468,'ADP'!A1:E665,4,FALSE),VLOOKUP(B468,'ADP'!A1:E665,5,FALSE))))</f>
        <v>0</v>
      </c>
      <c r="N468" s="79">
        <f>_xlfn.IFERROR(M468-A468,"N/A")</f>
        <v>-441</v>
      </c>
      <c r="O468" s="77"/>
      <c r="P468" t="s" s="78">
        <f>IF('Settings'!$E$27="ON",VLOOKUP(B468,'ADP'!A1:H665,8,FALSE)," ")</f>
        <v>138</v>
      </c>
      <c r="Q468" s="79"/>
      <c r="R468" s="77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81"/>
      <c r="AI468" s="77"/>
      <c r="AJ468" s="89">
        <f>VLOOKUP(B468,'Player Data'!$A1:$AE667,24,FALSE)</f>
        <v>24</v>
      </c>
      <c r="AK468" s="79">
        <f>VLOOKUP(B468,'Player Data'!$A1:$AE667,25,FALSE)*$AJ468*_xlfn.IFERROR((VLOOKUP(P468,'Settings'!$E$28:$F$33,2,FALSE)+1),1)</f>
        <v>14.6819588171246</v>
      </c>
      <c r="AL468" s="79">
        <f>AJ468-AK468-AM468</f>
        <v>6.3180411828754</v>
      </c>
      <c r="AM468" s="79">
        <f>VLOOKUP(B468,'Player Data'!$A1:$AE667,27,FALSE)*$AJ468</f>
        <v>3</v>
      </c>
      <c r="AN468" s="79">
        <f>VLOOKUP(B468,'Player Data'!$A1:$AE667,28,FALSE)*AJ468</f>
        <v>1.07733429079032</v>
      </c>
      <c r="AO468" s="79">
        <f>VLOOKUP(B468,'Player Data'!$A1:$AE667,29,FALSE)*$AJ468*_xlfn.IFERROR((VLOOKUP(P468,'Settings'!$E$28:$F$33,2,FALSE)/4)+1,1)</f>
        <v>647.637760195313</v>
      </c>
      <c r="AP468" s="79">
        <f>VLOOKUP(B468,'Player Data'!$A1:$AE667,31,FALSE)*$AJ468*(_xlfn.IFERROR(1-(VLOOKUP(P468,'Settings'!$E$28:$F$33,2,FALSE)/4),1))</f>
        <v>69.7590814568496</v>
      </c>
      <c r="AQ468" s="82">
        <f>1-(AP468/(AO468+AP468))</f>
        <v>0.902760818829095</v>
      </c>
      <c r="AR468" s="83">
        <f>AP468/AJ468</f>
        <v>2.9066283940354</v>
      </c>
      <c r="AS468" s="84"/>
    </row>
    <row r="469" ht="21.25" customHeight="1">
      <c r="A469" s="85">
        <f>RANK(K469,K$1:K$665)</f>
        <v>456</v>
      </c>
      <c r="B469" t="s" s="16">
        <v>659</v>
      </c>
      <c r="C469" t="s" s="69">
        <v>127</v>
      </c>
      <c r="D469" t="s" s="70">
        <f>VLOOKUP(B469,'Player Data'!A1:D667,4,FALSE)</f>
        <v>153</v>
      </c>
      <c r="E469" s="95">
        <f>VLOOKUP(B469,'D'!A1:C213,3,FALSE)</f>
        <v>152</v>
      </c>
      <c r="F469" t="s" s="106">
        <f>VLOOKUP(B469,'Player Data'!A1:B667,2,FALSE)</f>
        <v>242</v>
      </c>
      <c r="G469" s="96">
        <f>VLOOKUP(B469,'Player Data'!A1:D667,3,FALSE)</f>
        <v>22</v>
      </c>
      <c r="H469" s="73">
        <f>_xlfn.IFERROR(VLOOKUP(B469,'ADP'!A1:G665,7,FALSE)/1000000,VLOOKUP(B469,'ADP'!A1:G665,7,FALSE))</f>
        <v>2.3</v>
      </c>
      <c r="I469" s="74">
        <f>IF('Settings'!$E$15="POINTS",((R469*Q469)*'Settings'!$B$12)+(S469*'Settings'!$B$2)+(T469*'Settings'!$B$3)+(U469*'Settings'!$B$4)+(V469*'Settings'!$B$5)+(X469*'Settings'!$B$9)+(AA469*'Settings'!$B$6)+(W469*'Settings'!$B$8)+(AB469*'Settings'!$B$7)+(AC469*'Settings'!$B$14)+(AD469*'Settings'!$B$15)+(AE469*'Settings'!$B$16)+(AF469*'Settings'!$B$17)+(AG469*'Settings'!$B$18)+(U469*'Settings'!$B$13)+(Y469*'Settings'!$B$10)+(Z469*'Settings'!$B$11),VLOOKUP(B469,'Standard Deviations'!A1:C666,3,FALSE))</f>
        <v>190.402669899891</v>
      </c>
      <c r="J469" s="75">
        <f>IF(D469="G",I469/AJ469,I469/Q469)</f>
        <v>3.01103297066326</v>
      </c>
      <c r="K469" s="74">
        <f>VLOOKUP(B469,'D'!A1:F213,6,FALSE)</f>
        <v>-141.137538020191</v>
      </c>
      <c r="L469" s="76">
        <f>_xlfn.IFERROR(K469/H469,"N/A")</f>
        <v>-61.3641469653004</v>
      </c>
      <c r="M469" s="109">
        <f>IF('Settings'!$E$9="YAHOO",VLOOKUP(B469,'ADP'!A1:E665,2,FALSE),IF('Settings'!$E$9="ESPN",VLOOKUP(B469,'ADP'!A1:E665,3,FALSE),IF('Settings'!$E$9="FANTRAX",VLOOKUP(B469,'ADP'!A1:E665,4,FALSE),VLOOKUP(B469,'ADP'!A1:E665,5,FALSE))))</f>
        <v>0</v>
      </c>
      <c r="N469" s="79">
        <f>_xlfn.IFERROR(M469-A469,"N/A")</f>
        <v>-456</v>
      </c>
      <c r="O469" s="77"/>
      <c r="P469" t="s" s="78">
        <f>IF('Settings'!$E$27="ON",VLOOKUP(B469,'ADP'!A1:H665,8,FALSE)," ")</f>
        <v>130</v>
      </c>
      <c r="Q469" s="79">
        <f>IF('Settings'!$E$12="YES",VLOOKUP(B469,'Player Data'!A1:E667,5,FALSE),82)</f>
        <v>63.235</v>
      </c>
      <c r="R469" s="98">
        <f>VLOOKUP(B469,'Player Data'!$A1:$AE667,6,FALSE)</f>
        <v>20.8684631823832</v>
      </c>
      <c r="S469" s="79">
        <f>VLOOKUP(B469,'Player Data'!$A1:$AE667,7,FALSE)*$Q469*_xlfn.IFERROR((VLOOKUP(P469,'Settings'!$E$28:$F$33,2,FALSE)+1),1)</f>
        <v>5.12136717882546</v>
      </c>
      <c r="T469" s="79">
        <f>VLOOKUP(B469,'Player Data'!$A1:$AE667,8,FALSE)*$Q469*_xlfn.IFERROR((VLOOKUP(P469,'Settings'!$E$28:$F$33,2,FALSE)+1),1)</f>
        <v>21.1486136067879</v>
      </c>
      <c r="U469" s="79">
        <f>SUM(S469:T469)</f>
        <v>26.2699807856134</v>
      </c>
      <c r="V469" s="79">
        <f>VLOOKUP(B469,'Player Data'!$A1:$AE667,10,FALSE)*$Q469*_xlfn.IFERROR(((VLOOKUP(P469,'Settings'!$E$28:$F$33,2,FALSE)/2)+1),1)</f>
        <v>111.620318575835</v>
      </c>
      <c r="W469" s="79">
        <f>VLOOKUP(B469,'Player Data'!$A1:$AE667,11,FALSE)*$Q469*_xlfn.IFERROR((VLOOKUP(P469,'Settings'!$E$28:$F$33,2,FALSE)+1),1)</f>
        <v>1.15859773527978</v>
      </c>
      <c r="X469" s="101">
        <f>VLOOKUP(B469,'Player Data'!$A1:$AE667,12,FALSE)*$Q469*_xlfn.IFERROR((VLOOKUP(P469,'Settings'!$E$28:$F$33,2,FALSE)+1),1)</f>
        <v>8.955527406219961</v>
      </c>
      <c r="Y469" s="79">
        <f>VLOOKUP(B469,'Player Data'!$A1:$AE667,13,FALSE)*$Q469</f>
        <v>0.0223521276456561</v>
      </c>
      <c r="Z469" s="79">
        <f>VLOOKUP(B469,'Player Data'!$A1:$AE667,14,FALSE)*$Q469</f>
        <v>0.518740557904256</v>
      </c>
      <c r="AA469" s="79">
        <f>VLOOKUP(B469,'Player Data'!$A1:$AE667,15,FALSE)*$Q469</f>
        <v>86.37963193037641</v>
      </c>
      <c r="AB469" s="79">
        <f>VLOOKUP(B469,'Player Data'!$A1:$AE667,16,FALSE)*$Q469</f>
        <v>62.5365127404106</v>
      </c>
      <c r="AC469" s="79">
        <f>VLOOKUP(B469,'Player Data'!$A1:$AE667,17,FALSE)*$Q469*_xlfn.IFERROR((VLOOKUP(P469,'Settings'!$E$28:$F$33,2,FALSE)+1),1)</f>
        <v>-2.05401738475492</v>
      </c>
      <c r="AD469" s="79">
        <f>VLOOKUP(B469,'Player Data'!$A1:$AE667,18,FALSE)*$Q469</f>
        <v>20.4370336714421</v>
      </c>
      <c r="AE469" s="79">
        <f>VLOOKUP(B469,'Player Data'!$A1:$AE667,19,FALSE)*$Q469*_xlfn.IFERROR((VLOOKUP(P469,'Settings'!$E$28:$F$33,2,FALSE)+1),1)</f>
        <v>0.742339750192326</v>
      </c>
      <c r="AF469" s="79">
        <f>VLOOKUP(B469,'Player Data'!$A1:$AE667,20,FALSE)*$Q469</f>
        <v>0</v>
      </c>
      <c r="AG469" s="79">
        <f>VLOOKUP(B469,'Player Data'!$A1:$AE667,21,FALSE)*$Q469</f>
        <v>0</v>
      </c>
      <c r="AH469" s="81">
        <f>VLOOKUP(B469,'Player Data'!$A1:$AE667,22,FALSE)</f>
        <v>0</v>
      </c>
      <c r="AI469" s="77"/>
      <c r="AJ469" s="79"/>
      <c r="AK469" s="79"/>
      <c r="AL469" s="79"/>
      <c r="AM469" s="79"/>
      <c r="AN469" s="79"/>
      <c r="AO469" s="79"/>
      <c r="AP469" s="79"/>
      <c r="AQ469" s="82"/>
      <c r="AR469" s="83"/>
      <c r="AS469" s="84"/>
    </row>
    <row r="470" ht="21.25" customHeight="1">
      <c r="A470" s="85">
        <f>RANK(K470,K$1:K$665)</f>
        <v>479</v>
      </c>
      <c r="B470" t="s" s="16">
        <v>660</v>
      </c>
      <c r="C470" t="s" s="69">
        <v>127</v>
      </c>
      <c r="D470" t="s" s="70">
        <f>VLOOKUP(B470,'Player Data'!A1:D667,4,FALSE)</f>
        <v>178</v>
      </c>
      <c r="E470" s="102">
        <f>VLOOKUP(B470,'LW'!A1:C152,3,FALSE)</f>
        <v>114</v>
      </c>
      <c r="F470" t="s" s="104">
        <f>VLOOKUP(B470,'Player Data'!A1:B667,2,FALSE)</f>
        <v>271</v>
      </c>
      <c r="G470" s="91">
        <f>VLOOKUP(B470,'Player Data'!A1:D667,3,FALSE)</f>
        <v>31</v>
      </c>
      <c r="H470" s="73">
        <f>_xlfn.IFERROR(VLOOKUP(B470,'ADP'!A1:G665,7,FALSE)/1000000,VLOOKUP(B470,'ADP'!A1:G665,7,FALSE))</f>
        <v>4.5</v>
      </c>
      <c r="I470" s="74">
        <f>IF('Settings'!$E$15="POINTS",((R470*Q470)*'Settings'!$B$12)+(S470*'Settings'!$B$2)+(T470*'Settings'!$B$3)+(U470*'Settings'!$B$4)+(V470*'Settings'!$B$5)+(X470*'Settings'!$B$9)+(AA470*'Settings'!$B$6)+(W470*'Settings'!$B$8)+(AB470*'Settings'!$B$7)+(AC470*'Settings'!$B$14)+(AD470*'Settings'!$B$15)+(AE470*'Settings'!$B$16)+(AF470*'Settings'!$B$17)+(AG470*'Settings'!$B$18)+(Y470*'Settings'!$B$10)+(Z470*'Settings'!$B$11),VLOOKUP(B470,'Standard Deviations'!A1:C666,3,FALSE))</f>
        <v>183.094240997048</v>
      </c>
      <c r="J470" s="75">
        <f>IF(D470="G",I470/AJ470,I470/Q470)</f>
        <v>2.28532144658842</v>
      </c>
      <c r="K470" s="74">
        <f>IF('Settings'!$E$18="C/LW/RW",VLOOKUP(B470,'LW'!A1:F152,6,FALSE),VLOOKUP(B470,'F'!A1:F392,6,FALSE))</f>
        <v>-148.625870769164</v>
      </c>
      <c r="L470" s="76">
        <f>_xlfn.IFERROR(K470/H470,"N/A")</f>
        <v>-33.0279712820364</v>
      </c>
      <c r="M470" s="109">
        <f>IF('Settings'!$E$9="YAHOO",VLOOKUP(B470,'ADP'!A1:E665,2,FALSE),IF('Settings'!$E$9="ESPN",VLOOKUP(B470,'ADP'!A1:E665,3,FALSE),IF('Settings'!$E$9="FANTRAX",VLOOKUP(B470,'ADP'!A1:E665,4,FALSE),VLOOKUP(B470,'ADP'!A1:E665,5,FALSE))))</f>
        <v>0</v>
      </c>
      <c r="N470" s="79">
        <f>_xlfn.IFERROR(M470-A470,"N/A")</f>
        <v>-479</v>
      </c>
      <c r="O470" s="77"/>
      <c r="P470" t="s" s="78">
        <f>IF('Settings'!$E$27="ON",VLOOKUP(B470,'ADP'!A1:H665,8,FALSE)," ")</f>
        <v>138</v>
      </c>
      <c r="Q470" s="79">
        <f>IF('Settings'!$E$12="YES",VLOOKUP(B470,'Player Data'!A1:E667,5,FALSE),82)</f>
        <v>80.11750000000001</v>
      </c>
      <c r="R470" s="77">
        <f>VLOOKUP(B470,'Player Data'!$A1:$AE667,6,FALSE)</f>
        <v>16.0782158725592</v>
      </c>
      <c r="S470" s="79">
        <f>VLOOKUP(B470,'Player Data'!$A1:$AE667,7,FALSE)*$Q470*_xlfn.IFERROR((VLOOKUP(P470,'Settings'!$E$28:$F$33,2,FALSE)+1),1)</f>
        <v>22.0111378538699</v>
      </c>
      <c r="T470" s="79">
        <f>VLOOKUP(B470,'Player Data'!$A1:$AE667,8,FALSE)*$Q470*_xlfn.IFERROR((VLOOKUP(P470,'Settings'!$E$28:$F$33,2,FALSE)+1),1)</f>
        <v>19.2507929775238</v>
      </c>
      <c r="U470" s="79">
        <f>SUM(S470:T470)</f>
        <v>41.2619308313937</v>
      </c>
      <c r="V470" s="79">
        <f>VLOOKUP(B470,'Player Data'!$A1:$AE667,10,FALSE)*$Q470*_xlfn.IFERROR(((VLOOKUP(P470,'Settings'!$E$28:$F$33,2,FALSE)/2)+1),1)</f>
        <v>146.265793129971</v>
      </c>
      <c r="W470" s="79">
        <f>VLOOKUP(B470,'Player Data'!$A1:$AE667,11,FALSE)*$Q470*_xlfn.IFERROR((VLOOKUP(P470,'Settings'!$E$28:$F$33,2,FALSE)+1),1)</f>
        <v>3.94082370360036</v>
      </c>
      <c r="X470" s="79">
        <f>VLOOKUP(B470,'Player Data'!$A1:$AE667,12,FALSE)*$Q470*_xlfn.IFERROR((VLOOKUP(P470,'Settings'!$E$28:$F$33,2,FALSE)+1),1)</f>
        <v>5.91216600030278</v>
      </c>
      <c r="Y470" s="79">
        <f>VLOOKUP(B470,'Player Data'!$A1:$AE667,13,FALSE)*$Q470</f>
        <v>0.445765403079293</v>
      </c>
      <c r="Z470" s="79">
        <f>VLOOKUP(B470,'Player Data'!$A1:$AE667,14,FALSE)*$Q470</f>
        <v>0.81748637716061</v>
      </c>
      <c r="AA470" s="79">
        <f>VLOOKUP(B470,'Player Data'!$A1:$AE667,15,FALSE)*$Q470</f>
        <v>23.5986253050553</v>
      </c>
      <c r="AB470" s="79">
        <f>VLOOKUP(B470,'Player Data'!$A1:$AE667,16,FALSE)*$Q470</f>
        <v>27.2117659073181</v>
      </c>
      <c r="AC470" s="79">
        <f>VLOOKUP(B470,'Player Data'!$A1:$AE667,17,FALSE)*$Q470*_xlfn.IFERROR((VLOOKUP(P470,'Settings'!$E$28:$F$33,2,FALSE)+1),1)</f>
        <v>-4.40067075744047</v>
      </c>
      <c r="AD470" s="79">
        <f>VLOOKUP(B470,'Player Data'!$A1:$AE667,18,FALSE)*$Q470</f>
        <v>19.9942758517069</v>
      </c>
      <c r="AE470" s="79">
        <f>VLOOKUP(B470,'Player Data'!$A1:$AE667,19,FALSE)*$Q470*_xlfn.IFERROR((VLOOKUP(P470,'Settings'!$E$28:$F$33,2,FALSE)+1),1)</f>
        <v>2.65001098539372</v>
      </c>
      <c r="AF470" s="79">
        <f>VLOOKUP(B470,'Player Data'!$A1:$AE667,20,FALSE)*$Q470</f>
        <v>10.9547598560927</v>
      </c>
      <c r="AG470" s="79">
        <f>VLOOKUP(B470,'Player Data'!$A1:$AE667,21,FALSE)*$Q470</f>
        <v>13.3853504931984</v>
      </c>
      <c r="AH470" s="81">
        <f>VLOOKUP(B470,'Player Data'!$A1:$AE667,22,FALSE)</f>
        <v>0.450070262578401</v>
      </c>
      <c r="AI470" s="77"/>
      <c r="AJ470" s="79"/>
      <c r="AK470" s="79"/>
      <c r="AL470" s="79"/>
      <c r="AM470" s="79"/>
      <c r="AN470" s="79"/>
      <c r="AO470" s="79"/>
      <c r="AP470" s="79"/>
      <c r="AQ470" s="82"/>
      <c r="AR470" s="83"/>
      <c r="AS470" s="84"/>
    </row>
    <row r="471" ht="21.25" customHeight="1">
      <c r="A471" s="85">
        <f>RANK(K471,K$1:K$665)</f>
        <v>457</v>
      </c>
      <c r="B471" t="s" s="16">
        <v>661</v>
      </c>
      <c r="C471" t="s" s="69">
        <v>127</v>
      </c>
      <c r="D471" t="s" s="70">
        <f>VLOOKUP(B471,'Player Data'!A1:D667,4,FALSE)</f>
        <v>153</v>
      </c>
      <c r="E471" s="95">
        <f>VLOOKUP(B471,'D'!A1:C213,3,FALSE)</f>
        <v>153</v>
      </c>
      <c r="F471" t="s" s="92">
        <f>VLOOKUP(B471,'Player Data'!A1:B667,2,FALSE)</f>
        <v>146</v>
      </c>
      <c r="G471" s="11">
        <f>VLOOKUP(B471,'Player Data'!A1:D667,3,FALSE)</f>
        <v>28</v>
      </c>
      <c r="H471" s="73">
        <f>_xlfn.IFERROR(VLOOKUP(B471,'ADP'!A1:G665,7,FALSE)/1000000,VLOOKUP(B471,'ADP'!A1:G665,7,FALSE))</f>
        <v>2</v>
      </c>
      <c r="I471" s="74">
        <f>IF('Settings'!$E$15="POINTS",((R471*Q471)*'Settings'!$B$12)+(S471*'Settings'!$B$2)+(T471*'Settings'!$B$3)+(U471*'Settings'!$B$4)+(V471*'Settings'!$B$5)+(X471*'Settings'!$B$9)+(AA471*'Settings'!$B$6)+(W471*'Settings'!$B$8)+(AB471*'Settings'!$B$7)+(AC471*'Settings'!$B$14)+(AD471*'Settings'!$B$15)+(AE471*'Settings'!$B$16)+(AF471*'Settings'!$B$17)+(AG471*'Settings'!$B$18)+(U471*'Settings'!$B$13)+(Y471*'Settings'!$B$10)+(Z471*'Settings'!$B$11),VLOOKUP(B471,'Standard Deviations'!A1:C666,3,FALSE))</f>
        <v>189.664204810632</v>
      </c>
      <c r="J471" s="75">
        <f>IF(D471="G",I471/AJ471,I471/Q471)</f>
        <v>2.69428517381394</v>
      </c>
      <c r="K471" s="74">
        <f>VLOOKUP(B471,'D'!A1:F213,6,FALSE)</f>
        <v>-141.876003109450</v>
      </c>
      <c r="L471" s="76">
        <f>_xlfn.IFERROR(K471/H471,"N/A")</f>
        <v>-70.93800155472501</v>
      </c>
      <c r="M471" s="109">
        <f>IF('Settings'!$E$9="YAHOO",VLOOKUP(B471,'ADP'!A1:E665,2,FALSE),IF('Settings'!$E$9="ESPN",VLOOKUP(B471,'ADP'!A1:E665,3,FALSE),IF('Settings'!$E$9="FANTRAX",VLOOKUP(B471,'ADP'!A1:E665,4,FALSE),VLOOKUP(B471,'ADP'!A1:E665,5,FALSE))))</f>
        <v>0</v>
      </c>
      <c r="N471" s="79">
        <f>_xlfn.IFERROR(M471-A471,"N/A")</f>
        <v>-457</v>
      </c>
      <c r="O471" s="77"/>
      <c r="P471" t="s" s="78">
        <f>IF('Settings'!$E$27="ON",VLOOKUP(B471,'ADP'!A1:H665,8,FALSE)," ")</f>
        <v>138</v>
      </c>
      <c r="Q471" s="79">
        <f>IF('Settings'!$E$12="YES",VLOOKUP(B471,'Player Data'!A1:E667,5,FALSE),82)</f>
        <v>70.395</v>
      </c>
      <c r="R471" s="98">
        <f>VLOOKUP(B471,'Player Data'!$A1:$AE667,6,FALSE)</f>
        <v>17.2214199652237</v>
      </c>
      <c r="S471" s="79">
        <f>VLOOKUP(B471,'Player Data'!$A1:$AE667,7,FALSE)*$Q471*_xlfn.IFERROR((VLOOKUP(P471,'Settings'!$E$28:$F$33,2,FALSE)+1),1)</f>
        <v>1.48508471164726</v>
      </c>
      <c r="T471" s="79">
        <f>VLOOKUP(B471,'Player Data'!$A1:$AE667,8,FALSE)*$Q471*_xlfn.IFERROR((VLOOKUP(P471,'Settings'!$E$28:$F$33,2,FALSE)+1),1)</f>
        <v>11.2121345167516</v>
      </c>
      <c r="U471" s="79">
        <f>SUM(S471:T471)</f>
        <v>12.6972192283989</v>
      </c>
      <c r="V471" s="79">
        <f>VLOOKUP(B471,'Player Data'!$A1:$AE667,10,FALSE)*$Q471*_xlfn.IFERROR(((VLOOKUP(P471,'Settings'!$E$28:$F$33,2,FALSE)/2)+1),1)</f>
        <v>45.9022720135598</v>
      </c>
      <c r="W471" s="79">
        <f>VLOOKUP(B471,'Player Data'!$A1:$AE667,11,FALSE)*$Q471*_xlfn.IFERROR((VLOOKUP(P471,'Settings'!$E$28:$F$33,2,FALSE)+1),1)</f>
        <v>0.0222072730029244</v>
      </c>
      <c r="X471" s="79">
        <f>VLOOKUP(B471,'Player Data'!$A1:$AE667,12,FALSE)*$Q471*_xlfn.IFERROR((VLOOKUP(P471,'Settings'!$E$28:$F$33,2,FALSE)+1),1)</f>
        <v>0.148398579065323</v>
      </c>
      <c r="Y471" s="79">
        <f>VLOOKUP(B471,'Player Data'!$A1:$AE667,13,FALSE)*$Q471</f>
        <v>0.0354314178982826</v>
      </c>
      <c r="Z471" s="79">
        <f>VLOOKUP(B471,'Player Data'!$A1:$AE667,14,FALSE)*$Q471</f>
        <v>0.9692025753024121</v>
      </c>
      <c r="AA471" s="79">
        <f>VLOOKUP(B471,'Player Data'!$A1:$AE667,15,FALSE)*$Q471</f>
        <v>114.322080158272</v>
      </c>
      <c r="AB471" s="79">
        <f>VLOOKUP(B471,'Player Data'!$A1:$AE667,16,FALSE)*$Q471</f>
        <v>118.866051098164</v>
      </c>
      <c r="AC471" s="79">
        <f>VLOOKUP(B471,'Player Data'!$A1:$AE667,17,FALSE)*$Q471*_xlfn.IFERROR((VLOOKUP(P471,'Settings'!$E$28:$F$33,2,FALSE)+1),1)</f>
        <v>0.183593077274236</v>
      </c>
      <c r="AD471" s="79">
        <f>VLOOKUP(B471,'Player Data'!$A1:$AE667,18,FALSE)*$Q471</f>
        <v>49.6595709474286</v>
      </c>
      <c r="AE471" s="79">
        <f>VLOOKUP(B471,'Player Data'!$A1:$AE667,19,FALSE)*$Q471*_xlfn.IFERROR((VLOOKUP(P471,'Settings'!$E$28:$F$33,2,FALSE)+1),1)</f>
        <v>0.25361415866921</v>
      </c>
      <c r="AF471" s="79">
        <f>VLOOKUP(B471,'Player Data'!$A1:$AE667,20,FALSE)*$Q471</f>
        <v>0</v>
      </c>
      <c r="AG471" s="79">
        <f>VLOOKUP(B471,'Player Data'!$A1:$AE667,21,FALSE)*$Q471</f>
        <v>0</v>
      </c>
      <c r="AH471" s="81">
        <f>VLOOKUP(B471,'Player Data'!$A1:$AE667,22,FALSE)</f>
        <v>0</v>
      </c>
      <c r="AI471" s="77"/>
      <c r="AJ471" s="89"/>
      <c r="AK471" s="79"/>
      <c r="AL471" s="79"/>
      <c r="AM471" s="79"/>
      <c r="AN471" s="79"/>
      <c r="AO471" s="79"/>
      <c r="AP471" s="79"/>
      <c r="AQ471" s="82"/>
      <c r="AR471" s="83"/>
      <c r="AS471" s="84"/>
    </row>
    <row r="472" ht="21.25" customHeight="1">
      <c r="A472" s="85">
        <f>RANK(K472,K$1:K$665)</f>
        <v>474</v>
      </c>
      <c r="B472" t="s" s="16">
        <v>662</v>
      </c>
      <c r="C472" t="s" s="69">
        <v>127</v>
      </c>
      <c r="D472" t="s" s="70">
        <f>VLOOKUP(B472,'Player Data'!A1:D667,4,FALSE)</f>
        <v>140</v>
      </c>
      <c r="E472" s="90">
        <f>VLOOKUP(B472,'RW'!A1:F136,3,FALSE)</f>
        <v>94</v>
      </c>
      <c r="F472" t="s" s="103">
        <f>VLOOKUP(B472,'Player Data'!A1:B667,2,FALSE)</f>
        <v>227</v>
      </c>
      <c r="G472" s="11">
        <f>VLOOKUP(B472,'Player Data'!A1:D667,3,FALSE)</f>
        <v>27</v>
      </c>
      <c r="H472" s="94">
        <f>_xlfn.IFERROR(VLOOKUP(B472,'ADP'!A1:G665,7,FALSE)/1000000,VLOOKUP(B472,'ADP'!A1:G665,7,FALSE))</f>
        <v>2.8</v>
      </c>
      <c r="I472" s="74">
        <f>IF('Settings'!$E$15="POINTS",((R472*Q472)*'Settings'!$B$12)+(S472*'Settings'!$B$2)+(T472*'Settings'!$B$3)+(U472*'Settings'!$B$4)+(V472*'Settings'!$B$5)+(X472*'Settings'!$B$9)+(AA472*'Settings'!$B$6)+(W472*'Settings'!$B$8)+(AB472*'Settings'!$B$7)+(AC472*'Settings'!$B$14)+(AD472*'Settings'!$B$15)+(AE472*'Settings'!$B$16)+(AF472*'Settings'!$B$17)+(AG472*'Settings'!$B$18)+(Y472*'Settings'!$B$10)+(Z472*'Settings'!$B$11),VLOOKUP(B472,'Standard Deviations'!A1:C666,3,FALSE))</f>
        <v>182.548445862807</v>
      </c>
      <c r="J472" s="75">
        <f>IF(D472="G",I472/AJ472,I472/Q472)</f>
        <v>2.36584299977718</v>
      </c>
      <c r="K472" s="74">
        <f>IF('Settings'!$E$18="C/LW/RW",VLOOKUP(B472,'RW'!A1:F136,6,FALSE),VLOOKUP(B472,'F'!A1:F392,6,FALSE))</f>
        <v>-147.143448218371</v>
      </c>
      <c r="L472" s="76">
        <f>_xlfn.IFERROR(K472/H472,"N/A")</f>
        <v>-52.5512315065611</v>
      </c>
      <c r="M472" s="109">
        <f>IF('Settings'!$E$9="YAHOO",VLOOKUP(B472,'ADP'!A1:E665,2,FALSE),IF('Settings'!$E$9="ESPN",VLOOKUP(B472,'ADP'!A1:E665,3,FALSE),IF('Settings'!$E$9="FANTRAX",VLOOKUP(B472,'ADP'!A1:E665,4,FALSE),VLOOKUP(B472,'ADP'!A1:E665,5,FALSE))))</f>
        <v>0</v>
      </c>
      <c r="N472" s="79">
        <f>_xlfn.IFERROR(M472-A472,"N/A")</f>
        <v>-474</v>
      </c>
      <c r="O472" s="77"/>
      <c r="P472" t="s" s="78">
        <f>IF('Settings'!$E$27="ON",VLOOKUP(B472,'ADP'!A1:H665,8,FALSE)," ")</f>
        <v>138</v>
      </c>
      <c r="Q472" s="79">
        <f>IF('Settings'!$E$12="YES",VLOOKUP(B472,'Player Data'!A1:E667,5,FALSE),82)</f>
        <v>77.16</v>
      </c>
      <c r="R472" s="77">
        <f>VLOOKUP(B472,'Player Data'!$A1:$AE667,6,FALSE)</f>
        <v>15.1235895865437</v>
      </c>
      <c r="S472" s="79">
        <f>VLOOKUP(B472,'Player Data'!$A1:$AE667,7,FALSE)*$Q472*_xlfn.IFERROR((VLOOKUP(P472,'Settings'!$E$28:$F$33,2,FALSE)+1),1)</f>
        <v>12.322605278717</v>
      </c>
      <c r="T472" s="79">
        <f>VLOOKUP(B472,'Player Data'!$A1:$AE667,8,FALSE)*$Q472*_xlfn.IFERROR((VLOOKUP(P472,'Settings'!$E$28:$F$33,2,FALSE)+1),1)</f>
        <v>25.2864194416346</v>
      </c>
      <c r="U472" s="79">
        <f>SUM(S472:T472)</f>
        <v>37.6090247203516</v>
      </c>
      <c r="V472" s="79">
        <f>VLOOKUP(B472,'Player Data'!$A1:$AE667,10,FALSE)*$Q472*_xlfn.IFERROR(((VLOOKUP(P472,'Settings'!$E$28:$F$33,2,FALSE)/2)+1),1)</f>
        <v>138.707129090309</v>
      </c>
      <c r="W472" s="79">
        <f>VLOOKUP(B472,'Player Data'!$A1:$AE667,11,FALSE)*$Q472*_xlfn.IFERROR((VLOOKUP(P472,'Settings'!$E$28:$F$33,2,FALSE)+1),1)</f>
        <v>1.60923010090095</v>
      </c>
      <c r="X472" s="79">
        <f>VLOOKUP(B472,'Player Data'!$A1:$AE667,12,FALSE)*$Q472*_xlfn.IFERROR((VLOOKUP(P472,'Settings'!$E$28:$F$33,2,FALSE)+1),1)</f>
        <v>6.24354051259937</v>
      </c>
      <c r="Y472" s="79">
        <f>VLOOKUP(B472,'Player Data'!$A1:$AE667,13,FALSE)*$Q472</f>
        <v>0.7022293773935711</v>
      </c>
      <c r="Z472" s="79">
        <f>VLOOKUP(B472,'Player Data'!$A1:$AE667,14,FALSE)*$Q472</f>
        <v>0.935433419215085</v>
      </c>
      <c r="AA472" s="79">
        <f>VLOOKUP(B472,'Player Data'!$A1:$AE667,15,FALSE)*$Q472</f>
        <v>35.580175003224</v>
      </c>
      <c r="AB472" s="79">
        <f>VLOOKUP(B472,'Player Data'!$A1:$AE667,16,FALSE)*$Q472</f>
        <v>46.5622294056951</v>
      </c>
      <c r="AC472" s="79">
        <f>VLOOKUP(B472,'Player Data'!$A1:$AE667,17,FALSE)*$Q472*_xlfn.IFERROR((VLOOKUP(P472,'Settings'!$E$28:$F$33,2,FALSE)+1),1)</f>
        <v>0.295212760687261</v>
      </c>
      <c r="AD472" s="79">
        <f>VLOOKUP(B472,'Player Data'!$A1:$AE667,18,FALSE)*$Q472</f>
        <v>18.3705779507846</v>
      </c>
      <c r="AE472" s="79">
        <f>VLOOKUP(B472,'Player Data'!$A1:$AE667,19,FALSE)*$Q472*_xlfn.IFERROR((VLOOKUP(P472,'Settings'!$E$28:$F$33,2,FALSE)+1),1)</f>
        <v>2.13532987879412</v>
      </c>
      <c r="AF472" s="79">
        <f>VLOOKUP(B472,'Player Data'!$A1:$AE667,20,FALSE)*$Q472</f>
        <v>175.134412550128</v>
      </c>
      <c r="AG472" s="79">
        <f>VLOOKUP(B472,'Player Data'!$A1:$AE667,21,FALSE)*$Q472</f>
        <v>224.464512623920</v>
      </c>
      <c r="AH472" s="81">
        <f>VLOOKUP(B472,'Player Data'!$A1:$AE667,22,FALSE)</f>
        <v>0.438275484534517</v>
      </c>
      <c r="AI472" s="77"/>
      <c r="AJ472" s="79"/>
      <c r="AK472" s="79"/>
      <c r="AL472" s="79"/>
      <c r="AM472" s="79"/>
      <c r="AN472" s="79"/>
      <c r="AO472" s="79"/>
      <c r="AP472" s="79"/>
      <c r="AQ472" s="82"/>
      <c r="AR472" s="83"/>
      <c r="AS472" s="84"/>
    </row>
    <row r="473" ht="21.25" customHeight="1">
      <c r="A473" s="85">
        <f>RANK(K473,K$1:K$665)</f>
        <v>483</v>
      </c>
      <c r="B473" t="s" s="16">
        <v>663</v>
      </c>
      <c r="C473" t="s" s="69">
        <v>127</v>
      </c>
      <c r="D473" t="s" s="70">
        <f>VLOOKUP(B473,'Player Data'!A1:D667,4,FALSE)</f>
        <v>178</v>
      </c>
      <c r="E473" s="102">
        <f>VLOOKUP(B473,'LW'!A1:C152,3,FALSE)</f>
        <v>115</v>
      </c>
      <c r="F473" t="s" s="86">
        <f>VLOOKUP(B473,'Player Data'!A1:B667,2,FALSE)</f>
        <v>132</v>
      </c>
      <c r="G473" s="96">
        <f>VLOOKUP(B473,'Player Data'!A1:D667,3,FALSE)</f>
        <v>22</v>
      </c>
      <c r="H473" t="s" s="86">
        <f>_xlfn.IFERROR(VLOOKUP(B473,'ADP'!A1:G665,7,FALSE)/1000000,VLOOKUP(B473,'ADP'!A1:G665,7,FALSE))</f>
        <v>157</v>
      </c>
      <c r="I473" s="74">
        <f>IF('Settings'!$E$15="POINTS",((R473*Q473)*'Settings'!$B$12)+(S473*'Settings'!$B$2)+(T473*'Settings'!$B$3)+(U473*'Settings'!$B$4)+(V473*'Settings'!$B$5)+(X473*'Settings'!$B$9)+(AA473*'Settings'!$B$6)+(W473*'Settings'!$B$8)+(AB473*'Settings'!$B$7)+(AC473*'Settings'!$B$14)+(AD473*'Settings'!$B$15)+(AE473*'Settings'!$B$16)+(AF473*'Settings'!$B$17)+(AG473*'Settings'!$B$18)+(Y473*'Settings'!$B$10)+(Z473*'Settings'!$B$11),VLOOKUP(B473,'Standard Deviations'!A1:C666,3,FALSE))</f>
        <v>182.509036065290</v>
      </c>
      <c r="J473" s="75">
        <f>IF(D473="G",I473/AJ473,I473/Q473)</f>
        <v>2.61137553391458</v>
      </c>
      <c r="K473" s="74">
        <f>IF('Settings'!$E$18="C/LW/RW",VLOOKUP(B473,'LW'!A1:F152,6,FALSE),VLOOKUP(B473,'F'!A1:F392,6,FALSE))</f>
        <v>-149.211075700922</v>
      </c>
      <c r="L473" t="s" s="97">
        <f>_xlfn.IFERROR(K473/H473,"N/A")</f>
        <v>158</v>
      </c>
      <c r="M473" s="109">
        <f>IF('Settings'!$E$9="YAHOO",VLOOKUP(B473,'ADP'!A1:E665,2,FALSE),IF('Settings'!$E$9="ESPN",VLOOKUP(B473,'ADP'!A1:E665,3,FALSE),IF('Settings'!$E$9="FANTRAX",VLOOKUP(B473,'ADP'!A1:E665,4,FALSE),VLOOKUP(B473,'ADP'!A1:E665,5,FALSE))))</f>
        <v>0</v>
      </c>
      <c r="N473" s="79">
        <f>_xlfn.IFERROR(M473-A473,"N/A")</f>
        <v>-483</v>
      </c>
      <c r="O473" s="77"/>
      <c r="P473" t="s" s="78">
        <f>IF('Settings'!$E$27="ON",VLOOKUP(B473,'ADP'!A1:H665,8,FALSE)," ")</f>
        <v>138</v>
      </c>
      <c r="Q473" s="79">
        <f>IF('Settings'!$E$12="YES",VLOOKUP(B473,'Player Data'!A1:E667,5,FALSE),82)</f>
        <v>69.89</v>
      </c>
      <c r="R473" s="98">
        <f>VLOOKUP(B473,'Player Data'!$A1:$AE667,6,FALSE)</f>
        <v>12.9891207974517</v>
      </c>
      <c r="S473" s="79">
        <f>VLOOKUP(B473,'Player Data'!$A1:$AE667,7,FALSE)*$Q473*_xlfn.IFERROR((VLOOKUP(P473,'Settings'!$E$28:$F$33,2,FALSE)+1),1)</f>
        <v>16.4492309636877</v>
      </c>
      <c r="T473" s="79">
        <f>VLOOKUP(B473,'Player Data'!$A1:$AE667,8,FALSE)*$Q473*_xlfn.IFERROR((VLOOKUP(P473,'Settings'!$E$28:$F$33,2,FALSE)+1),1)</f>
        <v>17.5449351732128</v>
      </c>
      <c r="U473" s="79">
        <f>SUM(S473:T473)</f>
        <v>33.9941661369005</v>
      </c>
      <c r="V473" s="79">
        <f>VLOOKUP(B473,'Player Data'!$A1:$AE667,10,FALSE)*$Q473*_xlfn.IFERROR(((VLOOKUP(P473,'Settings'!$E$28:$F$33,2,FALSE)/2)+1),1)</f>
        <v>130.368042384580</v>
      </c>
      <c r="W473" s="79">
        <f>VLOOKUP(B473,'Player Data'!$A1:$AE667,11,FALSE)*$Q473*_xlfn.IFERROR((VLOOKUP(P473,'Settings'!$E$28:$F$33,2,FALSE)+1),1)</f>
        <v>1.51826326874923</v>
      </c>
      <c r="X473" s="79">
        <f>VLOOKUP(B473,'Player Data'!$A1:$AE667,12,FALSE)*$Q473*_xlfn.IFERROR((VLOOKUP(P473,'Settings'!$E$28:$F$33,2,FALSE)+1),1)</f>
        <v>3.98994799889679</v>
      </c>
      <c r="Y473" s="79">
        <f>VLOOKUP(B473,'Player Data'!$A1:$AE667,13,FALSE)*$Q473</f>
        <v>0.0100952649834492</v>
      </c>
      <c r="Z473" s="79">
        <f>VLOOKUP(B473,'Player Data'!$A1:$AE667,14,FALSE)*$Q473</f>
        <v>0.0170776209573966</v>
      </c>
      <c r="AA473" s="79">
        <f>VLOOKUP(B473,'Player Data'!$A1:$AE667,15,FALSE)*$Q473</f>
        <v>33.6936931240132</v>
      </c>
      <c r="AB473" s="79">
        <f>VLOOKUP(B473,'Player Data'!$A1:$AE667,16,FALSE)*$Q473</f>
        <v>63.5626508610758</v>
      </c>
      <c r="AC473" s="79">
        <f>VLOOKUP(B473,'Player Data'!$A1:$AE667,17,FALSE)*$Q473*_xlfn.IFERROR((VLOOKUP(P473,'Settings'!$E$28:$F$33,2,FALSE)+1),1)</f>
        <v>4.85066085161401</v>
      </c>
      <c r="AD473" s="79">
        <f>VLOOKUP(B473,'Player Data'!$A1:$AE667,18,FALSE)*$Q473</f>
        <v>14.185065073022</v>
      </c>
      <c r="AE473" s="79">
        <f>VLOOKUP(B473,'Player Data'!$A1:$AE667,19,FALSE)*$Q473*_xlfn.IFERROR((VLOOKUP(P473,'Settings'!$E$28:$F$33,2,FALSE)+1),1)</f>
        <v>2.63158209183268</v>
      </c>
      <c r="AF473" s="79">
        <f>VLOOKUP(B473,'Player Data'!$A1:$AE667,20,FALSE)*$Q473</f>
        <v>4.83228892755738</v>
      </c>
      <c r="AG473" s="79">
        <f>VLOOKUP(B473,'Player Data'!$A1:$AE667,21,FALSE)*$Q473</f>
        <v>10.4119137213351</v>
      </c>
      <c r="AH473" s="81">
        <f>VLOOKUP(B473,'Player Data'!$A1:$AE667,22,FALSE)</f>
        <v>0.316991910882821</v>
      </c>
      <c r="AI473" s="77"/>
      <c r="AJ473" s="89"/>
      <c r="AK473" s="79"/>
      <c r="AL473" s="79"/>
      <c r="AM473" s="79"/>
      <c r="AN473" s="79"/>
      <c r="AO473" s="79"/>
      <c r="AP473" s="79"/>
      <c r="AQ473" s="82"/>
      <c r="AR473" s="83"/>
      <c r="AS473" s="84"/>
    </row>
    <row r="474" ht="21.25" customHeight="1">
      <c r="A474" s="85">
        <f>RANK(K474,K$1:K$665)</f>
        <v>461</v>
      </c>
      <c r="B474" t="s" s="16">
        <v>664</v>
      </c>
      <c r="C474" t="s" s="69">
        <v>127</v>
      </c>
      <c r="D474" t="s" s="70">
        <f>VLOOKUP(B474,'Player Data'!A1:D667,4,FALSE)</f>
        <v>153</v>
      </c>
      <c r="E474" s="95">
        <f>VLOOKUP(B474,'D'!A1:C213,3,FALSE)</f>
        <v>154</v>
      </c>
      <c r="F474" t="s" s="92">
        <f>VLOOKUP(B474,'Player Data'!A1:B667,2,FALSE)</f>
        <v>146</v>
      </c>
      <c r="G474" s="91">
        <f>VLOOKUP(B474,'Player Data'!A1:D667,3,FALSE)</f>
        <v>32</v>
      </c>
      <c r="H474" s="94">
        <f>_xlfn.IFERROR(VLOOKUP(B474,'ADP'!A1:G665,7,FALSE)/1000000,VLOOKUP(B474,'ADP'!A1:G665,7,FALSE))</f>
        <v>1.5</v>
      </c>
      <c r="I474" s="74">
        <f>IF('Settings'!$E$15="POINTS",((R474*Q474)*'Settings'!$B$12)+(S474*'Settings'!$B$2)+(T474*'Settings'!$B$3)+(U474*'Settings'!$B$4)+(V474*'Settings'!$B$5)+(X474*'Settings'!$B$9)+(AA474*'Settings'!$B$6)+(W474*'Settings'!$B$8)+(AB474*'Settings'!$B$7)+(AC474*'Settings'!$B$14)+(AD474*'Settings'!$B$15)+(AE474*'Settings'!$B$16)+(AF474*'Settings'!$B$17)+(AG474*'Settings'!$B$18)+(U474*'Settings'!$B$13)+(Y474*'Settings'!$B$10)+(Z474*'Settings'!$B$11),VLOOKUP(B474,'Standard Deviations'!A1:C666,3,FALSE))</f>
        <v>188.824493776881</v>
      </c>
      <c r="J474" s="75">
        <f>IF(D474="G",I474/AJ474,I474/Q474)</f>
        <v>2.72719976568884</v>
      </c>
      <c r="K474" s="74">
        <f>VLOOKUP(B474,'D'!A1:F213,6,FALSE)</f>
        <v>-142.715714143201</v>
      </c>
      <c r="L474" s="76">
        <f>_xlfn.IFERROR(K474/H474,"N/A")</f>
        <v>-95.14380942880069</v>
      </c>
      <c r="M474" s="109">
        <f>IF('Settings'!$E$9="YAHOO",VLOOKUP(B474,'ADP'!A1:E665,2,FALSE),IF('Settings'!$E$9="ESPN",VLOOKUP(B474,'ADP'!A1:E665,3,FALSE),IF('Settings'!$E$9="FANTRAX",VLOOKUP(B474,'ADP'!A1:E665,4,FALSE),VLOOKUP(B474,'ADP'!A1:E665,5,FALSE))))</f>
        <v>0</v>
      </c>
      <c r="N474" s="79">
        <f>_xlfn.IFERROR(M474-A474,"N/A")</f>
        <v>-461</v>
      </c>
      <c r="O474" s="77"/>
      <c r="P474" t="s" s="78">
        <f>IF('Settings'!$E$27="ON",VLOOKUP(B474,'ADP'!A1:H665,8,FALSE)," ")</f>
        <v>138</v>
      </c>
      <c r="Q474" s="79">
        <f>IF('Settings'!$E$12="YES",VLOOKUP(B474,'Player Data'!A1:E667,5,FALSE),82)</f>
        <v>69.2375</v>
      </c>
      <c r="R474" s="77">
        <f>VLOOKUP(B474,'Player Data'!$A1:$AE667,6,FALSE)</f>
        <v>17.3935415695676</v>
      </c>
      <c r="S474" s="79">
        <f>VLOOKUP(B474,'Player Data'!$A1:$AE667,7,FALSE)*$Q474*_xlfn.IFERROR((VLOOKUP(P474,'Settings'!$E$28:$F$33,2,FALSE)+1),1)</f>
        <v>3.05689913335152</v>
      </c>
      <c r="T474" s="79">
        <f>VLOOKUP(B474,'Player Data'!$A1:$AE667,8,FALSE)*$Q474*_xlfn.IFERROR((VLOOKUP(P474,'Settings'!$E$28:$F$33,2,FALSE)+1),1)</f>
        <v>8.834101531289249</v>
      </c>
      <c r="U474" s="79">
        <f>SUM(S474:T474)</f>
        <v>11.8910006646408</v>
      </c>
      <c r="V474" s="79">
        <f>VLOOKUP(B474,'Player Data'!$A1:$AE667,10,FALSE)*$Q474*_xlfn.IFERROR(((VLOOKUP(P474,'Settings'!$E$28:$F$33,2,FALSE)/2)+1),1)</f>
        <v>50.0143206560912</v>
      </c>
      <c r="W474" s="79">
        <f>VLOOKUP(B474,'Player Data'!$A1:$AE667,11,FALSE)*$Q474*_xlfn.IFERROR((VLOOKUP(P474,'Settings'!$E$28:$F$33,2,FALSE)+1),1)</f>
        <v>0.0104679345735551</v>
      </c>
      <c r="X474" s="79">
        <f>VLOOKUP(B474,'Player Data'!$A1:$AE667,12,FALSE)*$Q474*_xlfn.IFERROR((VLOOKUP(P474,'Settings'!$E$28:$F$33,2,FALSE)+1),1)</f>
        <v>0.06866139925639719</v>
      </c>
      <c r="Y474" s="79">
        <f>VLOOKUP(B474,'Player Data'!$A1:$AE667,13,FALSE)*$Q474</f>
        <v>0.531346964008329</v>
      </c>
      <c r="Z474" s="79">
        <f>VLOOKUP(B474,'Player Data'!$A1:$AE667,14,FALSE)*$Q474</f>
        <v>0.804145374082037</v>
      </c>
      <c r="AA474" s="79">
        <f>VLOOKUP(B474,'Player Data'!$A1:$AE667,15,FALSE)*$Q474</f>
        <v>111.812895745922</v>
      </c>
      <c r="AB474" s="79">
        <f>VLOOKUP(B474,'Player Data'!$A1:$AE667,16,FALSE)*$Q474</f>
        <v>120.469459080985</v>
      </c>
      <c r="AC474" s="79">
        <f>VLOOKUP(B474,'Player Data'!$A1:$AE667,17,FALSE)*$Q474*_xlfn.IFERROR((VLOOKUP(P474,'Settings'!$E$28:$F$33,2,FALSE)+1),1)</f>
        <v>1.7521387929834</v>
      </c>
      <c r="AD474" s="79">
        <f>VLOOKUP(B474,'Player Data'!$A1:$AE667,18,FALSE)*$Q474</f>
        <v>31.5241499609927</v>
      </c>
      <c r="AE474" s="79">
        <f>VLOOKUP(B474,'Player Data'!$A1:$AE667,19,FALSE)*$Q474*_xlfn.IFERROR((VLOOKUP(P474,'Settings'!$E$28:$F$33,2,FALSE)+1),1)</f>
        <v>0.522039514487797</v>
      </c>
      <c r="AF474" s="79">
        <f>VLOOKUP(B474,'Player Data'!$A1:$AE667,20,FALSE)*$Q474</f>
        <v>0</v>
      </c>
      <c r="AG474" s="79">
        <f>VLOOKUP(B474,'Player Data'!$A1:$AE667,21,FALSE)*$Q474</f>
        <v>0</v>
      </c>
      <c r="AH474" s="81">
        <f>VLOOKUP(B474,'Player Data'!$A1:$AE667,22,FALSE)</f>
        <v>0</v>
      </c>
      <c r="AI474" s="77"/>
      <c r="AJ474" s="89"/>
      <c r="AK474" s="79"/>
      <c r="AL474" s="79"/>
      <c r="AM474" s="79"/>
      <c r="AN474" s="79"/>
      <c r="AO474" s="79"/>
      <c r="AP474" s="79"/>
      <c r="AQ474" s="82"/>
      <c r="AR474" s="83"/>
      <c r="AS474" s="84"/>
    </row>
    <row r="475" ht="21.25" customHeight="1">
      <c r="A475" s="85">
        <f>RANK(K475,K$1:K$665)</f>
        <v>476</v>
      </c>
      <c r="B475" t="s" s="16">
        <v>665</v>
      </c>
      <c r="C475" t="s" s="69">
        <v>127</v>
      </c>
      <c r="D475" t="s" s="70">
        <f>VLOOKUP(B475,'Player Data'!A1:D667,4,FALSE)</f>
        <v>140</v>
      </c>
      <c r="E475" s="90">
        <f>VLOOKUP(B475,'RW'!A1:F136,3,FALSE)</f>
        <v>95</v>
      </c>
      <c r="F475" t="s" s="88">
        <f>VLOOKUP(B475,'Player Data'!A1:B667,2,FALSE)</f>
        <v>239</v>
      </c>
      <c r="G475" s="91">
        <f>VLOOKUP(B475,'Player Data'!A1:D667,3,FALSE)</f>
        <v>30</v>
      </c>
      <c r="H475" s="73">
        <f>_xlfn.IFERROR(VLOOKUP(B475,'ADP'!A1:G665,7,FALSE)/1000000,VLOOKUP(B475,'ADP'!A1:G665,7,FALSE))</f>
        <v>5.5</v>
      </c>
      <c r="I475" s="74">
        <f>IF('Settings'!$E$15="POINTS",((R475*Q475)*'Settings'!$B$12)+(S475*'Settings'!$B$2)+(T475*'Settings'!$B$3)+(U475*'Settings'!$B$4)+(V475*'Settings'!$B$5)+(X475*'Settings'!$B$9)+(AA475*'Settings'!$B$6)+(W475*'Settings'!$B$8)+(AB475*'Settings'!$B$7)+(AC475*'Settings'!$B$14)+(AD475*'Settings'!$B$15)+(AE475*'Settings'!$B$16)+(AF475*'Settings'!$B$17)+(AG475*'Settings'!$B$18)+(Y475*'Settings'!$B$10)+(Z475*'Settings'!$B$11),VLOOKUP(B475,'Standard Deviations'!A1:C666,3,FALSE))</f>
        <v>181.828069219637</v>
      </c>
      <c r="J475" s="75">
        <f>IF(D475="G",I475/AJ475,I475/Q475)</f>
        <v>2.32420118518055</v>
      </c>
      <c r="K475" s="74">
        <f>IF('Settings'!$E$18="C/LW/RW",VLOOKUP(B475,'RW'!A1:F136,6,FALSE),VLOOKUP(B475,'F'!A1:F392,6,FALSE))</f>
        <v>-147.863824861541</v>
      </c>
      <c r="L475" s="76">
        <f>_xlfn.IFERROR(K475/H475,"N/A")</f>
        <v>-26.8843317930075</v>
      </c>
      <c r="M475" s="109">
        <f>IF('Settings'!$E$9="YAHOO",VLOOKUP(B475,'ADP'!A1:E665,2,FALSE),IF('Settings'!$E$9="ESPN",VLOOKUP(B475,'ADP'!A1:E665,3,FALSE),IF('Settings'!$E$9="FANTRAX",VLOOKUP(B475,'ADP'!A1:E665,4,FALSE),VLOOKUP(B475,'ADP'!A1:E665,5,FALSE))))</f>
        <v>0</v>
      </c>
      <c r="N475" s="79">
        <f>_xlfn.IFERROR(M475-A475,"N/A")</f>
        <v>-476</v>
      </c>
      <c r="O475" s="77"/>
      <c r="P475" t="s" s="78">
        <f>IF('Settings'!$E$27="ON",VLOOKUP(B475,'ADP'!A1:H665,8,FALSE)," ")</f>
        <v>138</v>
      </c>
      <c r="Q475" s="79">
        <f>IF('Settings'!$E$12="YES",VLOOKUP(B475,'Player Data'!A1:E667,5,FALSE),82)</f>
        <v>78.2325</v>
      </c>
      <c r="R475" s="108">
        <f>VLOOKUP(B475,'Player Data'!$A1:$AE667,6,FALSE)</f>
        <v>12.4850969146562</v>
      </c>
      <c r="S475" s="79">
        <f>VLOOKUP(B475,'Player Data'!$A1:$AE667,7,FALSE)*$Q475*_xlfn.IFERROR((VLOOKUP(P475,'Settings'!$E$28:$F$33,2,FALSE)+1),1)</f>
        <v>11.0305578521856</v>
      </c>
      <c r="T475" s="79">
        <f>VLOOKUP(B475,'Player Data'!$A1:$AE667,8,FALSE)*$Q475*_xlfn.IFERROR((VLOOKUP(P475,'Settings'!$E$28:$F$33,2,FALSE)+1),1)</f>
        <v>9.912042202944461</v>
      </c>
      <c r="U475" s="79">
        <f>SUM(S475:T475)</f>
        <v>20.9426000551301</v>
      </c>
      <c r="V475" s="79">
        <f>VLOOKUP(B475,'Player Data'!$A1:$AE667,10,FALSE)*$Q475*_xlfn.IFERROR(((VLOOKUP(P475,'Settings'!$E$28:$F$33,2,FALSE)/2)+1),1)</f>
        <v>118.807025195865</v>
      </c>
      <c r="W475" s="79">
        <f>VLOOKUP(B475,'Player Data'!$A1:$AE667,11,FALSE)*$Q475*_xlfn.IFERROR((VLOOKUP(P475,'Settings'!$E$28:$F$33,2,FALSE)+1),1)</f>
        <v>1.59605818635664</v>
      </c>
      <c r="X475" s="79">
        <f>VLOOKUP(B475,'Player Data'!$A1:$AE667,12,FALSE)*$Q475*_xlfn.IFERROR((VLOOKUP(P475,'Settings'!$E$28:$F$33,2,FALSE)+1),1)</f>
        <v>3.27048061049283</v>
      </c>
      <c r="Y475" s="79">
        <f>VLOOKUP(B475,'Player Data'!$A1:$AE667,13,FALSE)*$Q475</f>
        <v>0.0377239267042437</v>
      </c>
      <c r="Z475" s="79">
        <f>VLOOKUP(B475,'Player Data'!$A1:$AE667,14,FALSE)*$Q475</f>
        <v>0.0454812302310167</v>
      </c>
      <c r="AA475" s="79">
        <f>VLOOKUP(B475,'Player Data'!$A1:$AE667,15,FALSE)*$Q475</f>
        <v>33.7262744940591</v>
      </c>
      <c r="AB475" s="79">
        <f>VLOOKUP(B475,'Player Data'!$A1:$AE667,16,FALSE)*$Q475</f>
        <v>129.708177321076</v>
      </c>
      <c r="AC475" s="79">
        <f>VLOOKUP(B475,'Player Data'!$A1:$AE667,17,FALSE)*$Q475*_xlfn.IFERROR((VLOOKUP(P475,'Settings'!$E$28:$F$33,2,FALSE)+1),1)</f>
        <v>-5.89683883238045</v>
      </c>
      <c r="AD475" s="79">
        <f>VLOOKUP(B475,'Player Data'!$A1:$AE667,18,FALSE)*$Q475</f>
        <v>49.4259908487946</v>
      </c>
      <c r="AE475" s="79">
        <f>VLOOKUP(B475,'Player Data'!$A1:$AE667,19,FALSE)*$Q475*_xlfn.IFERROR((VLOOKUP(P475,'Settings'!$E$28:$F$33,2,FALSE)+1),1)</f>
        <v>1.27845569327116</v>
      </c>
      <c r="AF475" s="79">
        <f>VLOOKUP(B475,'Player Data'!$A1:$AE667,20,FALSE)*$Q475</f>
        <v>13.0599604863648</v>
      </c>
      <c r="AG475" s="79">
        <f>VLOOKUP(B475,'Player Data'!$A1:$AE667,21,FALSE)*$Q475</f>
        <v>15.0600915813291</v>
      </c>
      <c r="AH475" s="81">
        <f>VLOOKUP(B475,'Player Data'!$A1:$AE667,22,FALSE)</f>
        <v>0.464435857192774</v>
      </c>
      <c r="AI475" s="77"/>
      <c r="AJ475" s="89"/>
      <c r="AK475" s="79"/>
      <c r="AL475" s="79"/>
      <c r="AM475" s="79"/>
      <c r="AN475" s="79"/>
      <c r="AO475" s="79"/>
      <c r="AP475" s="79"/>
      <c r="AQ475" s="82"/>
      <c r="AR475" s="83"/>
      <c r="AS475" s="84"/>
    </row>
    <row r="476" ht="21.25" customHeight="1">
      <c r="A476" s="85">
        <f>RANK(K476,K$1:K$665)</f>
        <v>477</v>
      </c>
      <c r="B476" t="s" s="16">
        <v>666</v>
      </c>
      <c r="C476" t="s" s="69">
        <v>127</v>
      </c>
      <c r="D476" t="s" s="70">
        <f>VLOOKUP(B476,'Player Data'!A1:D667,4,FALSE)</f>
        <v>140</v>
      </c>
      <c r="E476" s="90">
        <f>VLOOKUP(B476,'RW'!A1:F136,3,FALSE)</f>
        <v>96</v>
      </c>
      <c r="F476" t="s" s="104">
        <f>VLOOKUP(B476,'Player Data'!A1:B667,2,FALSE)</f>
        <v>281</v>
      </c>
      <c r="G476" s="96">
        <f>VLOOKUP(B476,'Player Data'!A1:D667,3,FALSE)</f>
        <v>23</v>
      </c>
      <c r="H476" s="73">
        <f>_xlfn.IFERROR(VLOOKUP(B476,'ADP'!A1:G665,7,FALSE)/1000000,VLOOKUP(B476,'ADP'!A1:G665,7,FALSE))</f>
        <v>2.1</v>
      </c>
      <c r="I476" s="74">
        <f>IF('Settings'!$E$15="POINTS",((R476*Q476)*'Settings'!$B$12)+(S476*'Settings'!$B$2)+(T476*'Settings'!$B$3)+(U476*'Settings'!$B$4)+(V476*'Settings'!$B$5)+(X476*'Settings'!$B$9)+(AA476*'Settings'!$B$6)+(W476*'Settings'!$B$8)+(AB476*'Settings'!$B$7)+(AC476*'Settings'!$B$14)+(AD476*'Settings'!$B$15)+(AE476*'Settings'!$B$16)+(AF476*'Settings'!$B$17)+(AG476*'Settings'!$B$18)+(Y476*'Settings'!$B$10)+(Z476*'Settings'!$B$11),VLOOKUP(B476,'Standard Deviations'!A1:C666,3,FALSE))</f>
        <v>181.285072804627</v>
      </c>
      <c r="J476" s="75">
        <f>IF(D476="G",I476/AJ476,I476/Q476)</f>
        <v>2.67648577572992</v>
      </c>
      <c r="K476" s="74">
        <f>IF('Settings'!$E$18="C/LW/RW",VLOOKUP(B476,'RW'!A1:F136,6,FALSE),VLOOKUP(B476,'F'!A1:F392,6,FALSE))</f>
        <v>-148.406821276551</v>
      </c>
      <c r="L476" s="76">
        <f>_xlfn.IFERROR(K476/H476,"N/A")</f>
        <v>-70.6699148935957</v>
      </c>
      <c r="M476" s="109">
        <f>IF('Settings'!$E$9="YAHOO",VLOOKUP(B476,'ADP'!A1:E665,2,FALSE),IF('Settings'!$E$9="ESPN",VLOOKUP(B476,'ADP'!A1:E665,3,FALSE),IF('Settings'!$E$9="FANTRAX",VLOOKUP(B476,'ADP'!A1:E665,4,FALSE),VLOOKUP(B476,'ADP'!A1:E665,5,FALSE))))</f>
        <v>0</v>
      </c>
      <c r="N476" s="79">
        <f>_xlfn.IFERROR(M476-A476,"N/A")</f>
        <v>-477</v>
      </c>
      <c r="O476" s="77"/>
      <c r="P476" t="s" s="78">
        <f>IF('Settings'!$E$27="ON",VLOOKUP(B476,'ADP'!A1:H665,8,FALSE)," ")</f>
        <v>138</v>
      </c>
      <c r="Q476" s="79">
        <f>IF('Settings'!$E$12="YES",VLOOKUP(B476,'Player Data'!A1:E667,5,FALSE),82)</f>
        <v>67.7325</v>
      </c>
      <c r="R476" s="77">
        <f>VLOOKUP(B476,'Player Data'!$A1:$AE667,6,FALSE)</f>
        <v>14.7597522326436</v>
      </c>
      <c r="S476" s="79">
        <f>VLOOKUP(B476,'Player Data'!$A1:$AE667,7,FALSE)*$Q476*_xlfn.IFERROR((VLOOKUP(P476,'Settings'!$E$28:$F$33,2,FALSE)+1),1)</f>
        <v>16.0496447128583</v>
      </c>
      <c r="T476" s="79">
        <f>VLOOKUP(B476,'Player Data'!$A1:$AE667,8,FALSE)*$Q476*_xlfn.IFERROR((VLOOKUP(P476,'Settings'!$E$28:$F$33,2,FALSE)+1),1)</f>
        <v>17.7897995158522</v>
      </c>
      <c r="U476" s="79">
        <f>SUM(S476:T476)</f>
        <v>33.8394442287105</v>
      </c>
      <c r="V476" s="79">
        <f>VLOOKUP(B476,'Player Data'!$A1:$AE667,10,FALSE)*$Q476*_xlfn.IFERROR(((VLOOKUP(P476,'Settings'!$E$28:$F$33,2,FALSE)/2)+1),1)</f>
        <v>129.960422688380</v>
      </c>
      <c r="W476" s="79">
        <f>VLOOKUP(B476,'Player Data'!$A1:$AE667,11,FALSE)*$Q476*_xlfn.IFERROR((VLOOKUP(P476,'Settings'!$E$28:$F$33,2,FALSE)+1),1)</f>
        <v>1.64869138924089</v>
      </c>
      <c r="X476" s="79">
        <f>VLOOKUP(B476,'Player Data'!$A1:$AE667,12,FALSE)*$Q476*_xlfn.IFERROR((VLOOKUP(P476,'Settings'!$E$28:$F$33,2,FALSE)+1),1)</f>
        <v>3.80873488155701</v>
      </c>
      <c r="Y476" s="79">
        <f>VLOOKUP(B476,'Player Data'!$A1:$AE667,13,FALSE)*$Q476</f>
        <v>0.122202075903404</v>
      </c>
      <c r="Z476" s="79">
        <f>VLOOKUP(B476,'Player Data'!$A1:$AE667,14,FALSE)*$Q476</f>
        <v>0.206729418560667</v>
      </c>
      <c r="AA476" s="79">
        <f>VLOOKUP(B476,'Player Data'!$A1:$AE667,15,FALSE)*$Q476</f>
        <v>34.8623090536668</v>
      </c>
      <c r="AB476" s="79">
        <f>VLOOKUP(B476,'Player Data'!$A1:$AE667,16,FALSE)*$Q476</f>
        <v>61.7935720777396</v>
      </c>
      <c r="AC476" s="79">
        <f>VLOOKUP(B476,'Player Data'!$A1:$AE667,17,FALSE)*$Q476*_xlfn.IFERROR((VLOOKUP(P476,'Settings'!$E$28:$F$33,2,FALSE)+1),1)</f>
        <v>-7.38901207758486</v>
      </c>
      <c r="AD476" s="79">
        <f>VLOOKUP(B476,'Player Data'!$A1:$AE667,18,FALSE)*$Q476</f>
        <v>18.2139010041122</v>
      </c>
      <c r="AE476" s="79">
        <f>VLOOKUP(B476,'Player Data'!$A1:$AE667,19,FALSE)*$Q476*_xlfn.IFERROR((VLOOKUP(P476,'Settings'!$E$28:$F$33,2,FALSE)+1),1)</f>
        <v>1.77483951436811</v>
      </c>
      <c r="AF476" s="79">
        <f>VLOOKUP(B476,'Player Data'!$A1:$AE667,20,FALSE)*$Q476</f>
        <v>1.5972257058687</v>
      </c>
      <c r="AG476" s="79">
        <f>VLOOKUP(B476,'Player Data'!$A1:$AE667,21,FALSE)*$Q476</f>
        <v>13.5734122219491</v>
      </c>
      <c r="AH476" s="81">
        <f>VLOOKUP(B476,'Player Data'!$A1:$AE667,22,FALSE)</f>
        <v>0.105284017288418</v>
      </c>
      <c r="AI476" s="77"/>
      <c r="AJ476" s="79"/>
      <c r="AK476" s="79"/>
      <c r="AL476" s="79"/>
      <c r="AM476" s="79"/>
      <c r="AN476" s="79"/>
      <c r="AO476" s="79"/>
      <c r="AP476" s="79"/>
      <c r="AQ476" s="82"/>
      <c r="AR476" s="83"/>
      <c r="AS476" s="84"/>
    </row>
    <row r="477" ht="21.25" customHeight="1">
      <c r="A477" s="85">
        <f>RANK(K477,K$1:K$665)</f>
        <v>452</v>
      </c>
      <c r="B477" t="s" s="16">
        <v>667</v>
      </c>
      <c r="C477" t="s" s="69">
        <v>127</v>
      </c>
      <c r="D477" t="s" s="70">
        <f>VLOOKUP(B477,'Player Data'!A1:D667,4,FALSE)</f>
        <v>161</v>
      </c>
      <c r="E477" s="99">
        <f>VLOOKUP(B477,'G'!A1:D65,3,FALSE)</f>
        <v>57</v>
      </c>
      <c r="F477" t="s" s="78">
        <f>VLOOKUP(B477,'Player Data'!A1:B667,2,FALSE)</f>
        <v>194</v>
      </c>
      <c r="G477" s="91">
        <f>VLOOKUP(B477,'Player Data'!A1:D667,3,FALSE)</f>
        <v>33</v>
      </c>
      <c r="H477" s="94">
        <f>_xlfn.IFERROR(VLOOKUP(B477,'ADP'!A1:G665,7,FALSE)/1000000,VLOOKUP(B477,'ADP'!A1:G665,7,FALSE))</f>
        <v>1.925</v>
      </c>
      <c r="I477" s="74">
        <f>IF('Settings'!$E$15="POINTS",(AJ477*'Settings'!$B$29)+(AK477*'Settings'!$B$21)+(AL477*'Settings'!$B$22)+(AN477*'Settings'!$B$24)+(AO477*'Settings'!$B$25)+(AP477*'Settings'!$B$27)+(AM477*'Settings'!$B$23),VLOOKUP(B477,'Standard Deviations'!A1:C666,3,FALSE))</f>
        <v>127.703220268417</v>
      </c>
      <c r="J477" s="75">
        <f>IF(D477="G",I477/AJ477,I477/Q477)</f>
        <v>5.32096751118404</v>
      </c>
      <c r="K477" s="74">
        <f>VLOOKUP(B477,'G'!A1:F65,6,FALSE)</f>
        <v>-139.887794296173</v>
      </c>
      <c r="L477" s="76">
        <f>_xlfn.IFERROR(K477/H477,"N/A")</f>
        <v>-72.668984049960</v>
      </c>
      <c r="M477" s="77">
        <f>IF('Settings'!$E$9="YAHOO",VLOOKUP(B477,'ADP'!A1:E665,2,FALSE),IF('Settings'!$E$9="ESPN",VLOOKUP(B477,'ADP'!A1:E665,3,FALSE),IF('Settings'!$E$9="FANTRAX",VLOOKUP(B477,'ADP'!A1:E665,4,FALSE),VLOOKUP(B477,'ADP'!A1:E665,5,FALSE))))</f>
        <v>0</v>
      </c>
      <c r="N477" s="77">
        <f>_xlfn.IFERROR(M477-A477,"N/A")</f>
        <v>-452</v>
      </c>
      <c r="O477" s="77"/>
      <c r="P477" t="s" s="78">
        <f>IF('Settings'!$E$27="ON",VLOOKUP(B477,'ADP'!A1:H665,8,FALSE)," ")</f>
        <v>138</v>
      </c>
      <c r="Q477" s="79"/>
      <c r="R477" s="77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81"/>
      <c r="AI477" s="77"/>
      <c r="AJ477" s="89">
        <f>VLOOKUP(B477,'Player Data'!$A1:$AE667,24,FALSE)</f>
        <v>24</v>
      </c>
      <c r="AK477" s="79">
        <f>VLOOKUP(B477,'Player Data'!$A1:$AE667,25,FALSE)*$AJ477*_xlfn.IFERROR((VLOOKUP(P477,'Settings'!$E$28:$F$33,2,FALSE)+1),1)</f>
        <v>12.8149943306995</v>
      </c>
      <c r="AL477" s="79">
        <f>AJ477-AK477-AM477</f>
        <v>8.1850056693005</v>
      </c>
      <c r="AM477" s="79">
        <f>VLOOKUP(B477,'Player Data'!$A1:$AE667,27,FALSE)*$AJ477</f>
        <v>3</v>
      </c>
      <c r="AN477" s="79">
        <f>VLOOKUP(B477,'Player Data'!$A1:$AE667,28,FALSE)*AJ477</f>
        <v>1.16181347118478</v>
      </c>
      <c r="AO477" s="79">
        <f>VLOOKUP(B477,'Player Data'!$A1:$AE667,29,FALSE)*$AJ477*_xlfn.IFERROR((VLOOKUP(P477,'Settings'!$E$28:$F$33,2,FALSE)/4)+1,1)</f>
        <v>650.4124248029279</v>
      </c>
      <c r="AP477" s="79">
        <f>VLOOKUP(B477,'Player Data'!$A1:$AE667,31,FALSE)*$AJ477*(_xlfn.IFERROR(1-(VLOOKUP(P477,'Settings'!$E$28:$F$33,2,FALSE)/4),1))</f>
        <v>69.8671153996488</v>
      </c>
      <c r="AQ477" s="82">
        <f>1-(AP477/(AO477+AP477))</f>
        <v>0.903000000000002</v>
      </c>
      <c r="AR477" s="83">
        <f>AP477/AJ477</f>
        <v>2.9111298083187</v>
      </c>
      <c r="AS477" s="84"/>
    </row>
    <row r="478" ht="21.25" customHeight="1">
      <c r="A478" s="85">
        <f>RANK(K478,K$1:K$665)</f>
        <v>466</v>
      </c>
      <c r="B478" t="s" s="16">
        <v>668</v>
      </c>
      <c r="C478" t="s" s="69">
        <v>127</v>
      </c>
      <c r="D478" t="s" s="70">
        <f>VLOOKUP(B478,'Player Data'!A1:D667,4,FALSE)</f>
        <v>153</v>
      </c>
      <c r="E478" s="95">
        <f>VLOOKUP(B478,'D'!A1:C213,3,FALSE)</f>
        <v>155</v>
      </c>
      <c r="F478" t="s" s="78">
        <f>VLOOKUP(B478,'Player Data'!A1:B667,2,FALSE)</f>
        <v>134</v>
      </c>
      <c r="G478" s="91">
        <f>VLOOKUP(B478,'Player Data'!A1:D667,3,FALSE)</f>
        <v>33</v>
      </c>
      <c r="H478" s="94">
        <f>_xlfn.IFERROR(VLOOKUP(B478,'ADP'!A1:G665,7,FALSE)/1000000,VLOOKUP(B478,'ADP'!A1:G665,7,FALSE))</f>
        <v>0.8</v>
      </c>
      <c r="I478" s="74">
        <f>IF('Settings'!$E$15="POINTS",((R478*Q478)*'Settings'!$B$12)+(S478*'Settings'!$B$2)+(T478*'Settings'!$B$3)+(U478*'Settings'!$B$4)+(V478*'Settings'!$B$5)+(X478*'Settings'!$B$9)+(AA478*'Settings'!$B$6)+(W478*'Settings'!$B$8)+(AB478*'Settings'!$B$7)+(AC478*'Settings'!$B$14)+(AD478*'Settings'!$B$15)+(AE478*'Settings'!$B$16)+(AF478*'Settings'!$B$17)+(AG478*'Settings'!$B$18)+(U478*'Settings'!$B$13)+(Y478*'Settings'!$B$10)+(Z478*'Settings'!$B$11),VLOOKUP(B478,'Standard Deviations'!A1:C666,3,FALSE))</f>
        <v>186.620954102539</v>
      </c>
      <c r="J478" s="75">
        <f>IF(D478="G",I478/AJ478,I478/Q478)</f>
        <v>2.56841390176905</v>
      </c>
      <c r="K478" s="74">
        <f>VLOOKUP(B478,'D'!A1:F213,6,FALSE)</f>
        <v>-144.919253817543</v>
      </c>
      <c r="L478" s="76">
        <f>_xlfn.IFERROR(K478/H478,"N/A")</f>
        <v>-181.149067271929</v>
      </c>
      <c r="M478" s="109">
        <f>IF('Settings'!$E$9="YAHOO",VLOOKUP(B478,'ADP'!A1:E665,2,FALSE),IF('Settings'!$E$9="ESPN",VLOOKUP(B478,'ADP'!A1:E665,3,FALSE),IF('Settings'!$E$9="FANTRAX",VLOOKUP(B478,'ADP'!A1:E665,4,FALSE),VLOOKUP(B478,'ADP'!A1:E665,5,FALSE))))</f>
        <v>0</v>
      </c>
      <c r="N478" s="79">
        <f>_xlfn.IFERROR(M478-A478,"N/A")</f>
        <v>-466</v>
      </c>
      <c r="O478" s="77"/>
      <c r="P478" t="s" s="78">
        <f>IF('Settings'!$E$27="ON",VLOOKUP(B478,'ADP'!A1:H665,8,FALSE)," ")</f>
        <v>138</v>
      </c>
      <c r="Q478" s="79">
        <f>IF('Settings'!$E$12="YES",VLOOKUP(B478,'Player Data'!A1:E667,5,FALSE),82)</f>
        <v>72.66</v>
      </c>
      <c r="R478" s="77">
        <f>VLOOKUP(B478,'Player Data'!$A1:$AE667,6,FALSE)</f>
        <v>16.651405615791</v>
      </c>
      <c r="S478" s="79">
        <f>VLOOKUP(B478,'Player Data'!$A1:$AE667,7,FALSE)*$Q478*_xlfn.IFERROR((VLOOKUP(P478,'Settings'!$E$28:$F$33,2,FALSE)+1),1)</f>
        <v>2.97380219292295</v>
      </c>
      <c r="T478" s="79">
        <f>VLOOKUP(B478,'Player Data'!$A1:$AE667,8,FALSE)*$Q478*_xlfn.IFERROR((VLOOKUP(P478,'Settings'!$E$28:$F$33,2,FALSE)+1),1)</f>
        <v>8.994827466405191</v>
      </c>
      <c r="U478" s="79">
        <f>SUM(S478:T478)</f>
        <v>11.9686296593281</v>
      </c>
      <c r="V478" s="79">
        <f>VLOOKUP(B478,'Player Data'!$A1:$AE667,10,FALSE)*$Q478*_xlfn.IFERROR(((VLOOKUP(P478,'Settings'!$E$28:$F$33,2,FALSE)/2)+1),1)</f>
        <v>73.4961254962699</v>
      </c>
      <c r="W478" s="79">
        <f>VLOOKUP(B478,'Player Data'!$A1:$AE667,11,FALSE)*$Q478*_xlfn.IFERROR((VLOOKUP(P478,'Settings'!$E$28:$F$33,2,FALSE)+1),1)</f>
        <v>0.0108609708211801</v>
      </c>
      <c r="X478" s="79">
        <f>VLOOKUP(B478,'Player Data'!$A1:$AE667,12,FALSE)*$Q478*_xlfn.IFERROR((VLOOKUP(P478,'Settings'!$E$28:$F$33,2,FALSE)+1),1)</f>
        <v>0.0718217099173286</v>
      </c>
      <c r="Y478" s="79">
        <f>VLOOKUP(B478,'Player Data'!$A1:$AE667,13,FALSE)*$Q478</f>
        <v>0.0378577585278931</v>
      </c>
      <c r="Z478" s="79">
        <f>VLOOKUP(B478,'Player Data'!$A1:$AE667,14,FALSE)*$Q478</f>
        <v>0.17045430957928</v>
      </c>
      <c r="AA478" s="79">
        <f>VLOOKUP(B478,'Player Data'!$A1:$AE667,15,FALSE)*$Q478</f>
        <v>105.787715455335</v>
      </c>
      <c r="AB478" s="79">
        <f>VLOOKUP(B478,'Player Data'!$A1:$AE667,16,FALSE)*$Q478</f>
        <v>116.793188091648</v>
      </c>
      <c r="AC478" s="79">
        <f>VLOOKUP(B478,'Player Data'!$A1:$AE667,17,FALSE)*$Q478*_xlfn.IFERROR((VLOOKUP(P478,'Settings'!$E$28:$F$33,2,FALSE)+1),1)</f>
        <v>0.902849178782488</v>
      </c>
      <c r="AD478" s="79">
        <f>VLOOKUP(B478,'Player Data'!$A1:$AE667,18,FALSE)*$Q478</f>
        <v>29.7357124737219</v>
      </c>
      <c r="AE478" s="79">
        <f>VLOOKUP(B478,'Player Data'!$A1:$AE667,19,FALSE)*$Q478*_xlfn.IFERROR((VLOOKUP(P478,'Settings'!$E$28:$F$33,2,FALSE)+1),1)</f>
        <v>0.444317732394796</v>
      </c>
      <c r="AF478" s="79">
        <f>VLOOKUP(B478,'Player Data'!$A1:$AE667,20,FALSE)*$Q478</f>
        <v>0</v>
      </c>
      <c r="AG478" s="79">
        <f>VLOOKUP(B478,'Player Data'!$A1:$AE667,21,FALSE)*$Q478</f>
        <v>0</v>
      </c>
      <c r="AH478" s="81">
        <f>VLOOKUP(B478,'Player Data'!$A1:$AE667,22,FALSE)</f>
        <v>0</v>
      </c>
      <c r="AI478" s="77"/>
      <c r="AJ478" s="79"/>
      <c r="AK478" s="79"/>
      <c r="AL478" s="79"/>
      <c r="AM478" s="79"/>
      <c r="AN478" s="79"/>
      <c r="AO478" s="79"/>
      <c r="AP478" s="79"/>
      <c r="AQ478" s="82"/>
      <c r="AR478" s="83"/>
      <c r="AS478" s="93"/>
    </row>
    <row r="479" ht="21.25" customHeight="1">
      <c r="A479" s="85">
        <f>RANK(K479,K$1:K$665)</f>
        <v>468</v>
      </c>
      <c r="B479" t="s" s="16">
        <v>669</v>
      </c>
      <c r="C479" t="s" s="69">
        <v>127</v>
      </c>
      <c r="D479" t="s" s="70">
        <f>VLOOKUP(B479,'Player Data'!A1:D667,4,FALSE)</f>
        <v>153</v>
      </c>
      <c r="E479" s="95">
        <f>VLOOKUP(B479,'D'!A1:C213,3,FALSE)</f>
        <v>156</v>
      </c>
      <c r="F479" t="s" s="103">
        <f>VLOOKUP(B479,'Player Data'!A1:B667,2,FALSE)</f>
        <v>225</v>
      </c>
      <c r="G479" s="96">
        <f>VLOOKUP(B479,'Player Data'!A1:D667,3,FALSE)</f>
        <v>23</v>
      </c>
      <c r="H479" s="73">
        <f>_xlfn.IFERROR(VLOOKUP(B479,'ADP'!A1:G665,7,FALSE)/1000000,VLOOKUP(B479,'ADP'!A1:G665,7,FALSE))</f>
        <v>1.5</v>
      </c>
      <c r="I479" s="74">
        <f>IF('Settings'!$E$15="POINTS",((R479*Q479)*'Settings'!$B$12)+(S479*'Settings'!$B$2)+(T479*'Settings'!$B$3)+(U479*'Settings'!$B$4)+(V479*'Settings'!$B$5)+(X479*'Settings'!$B$9)+(AA479*'Settings'!$B$6)+(W479*'Settings'!$B$8)+(AB479*'Settings'!$B$7)+(AC479*'Settings'!$B$14)+(AD479*'Settings'!$B$15)+(AE479*'Settings'!$B$16)+(AF479*'Settings'!$B$17)+(AG479*'Settings'!$B$18)+(U479*'Settings'!$B$13)+(Y479*'Settings'!$B$10)+(Z479*'Settings'!$B$11),VLOOKUP(B479,'Standard Deviations'!A1:C666,3,FALSE))</f>
        <v>186.485614182956</v>
      </c>
      <c r="J479" s="75">
        <f>IF(D479="G",I479/AJ479,I479/Q479)</f>
        <v>2.67929476933955</v>
      </c>
      <c r="K479" s="74">
        <f>VLOOKUP(B479,'D'!A1:F213,6,FALSE)</f>
        <v>-145.054593737126</v>
      </c>
      <c r="L479" s="76">
        <f>_xlfn.IFERROR(K479/H479,"N/A")</f>
        <v>-96.7030624914173</v>
      </c>
      <c r="M479" s="109">
        <f>IF('Settings'!$E$9="YAHOO",VLOOKUP(B479,'ADP'!A1:E665,2,FALSE),IF('Settings'!$E$9="ESPN",VLOOKUP(B479,'ADP'!A1:E665,3,FALSE),IF('Settings'!$E$9="FANTRAX",VLOOKUP(B479,'ADP'!A1:E665,4,FALSE),VLOOKUP(B479,'ADP'!A1:E665,5,FALSE))))</f>
        <v>0</v>
      </c>
      <c r="N479" s="79">
        <f>_xlfn.IFERROR(M479-A479,"N/A")</f>
        <v>-468</v>
      </c>
      <c r="O479" s="77"/>
      <c r="P479" t="s" s="78">
        <f>IF('Settings'!$E$27="ON",VLOOKUP(B479,'ADP'!A1:H665,8,FALSE)," ")</f>
        <v>138</v>
      </c>
      <c r="Q479" s="79">
        <f>IF('Settings'!$E$12="YES",VLOOKUP(B479,'Player Data'!A1:E667,5,FALSE),82)</f>
        <v>69.60250000000001</v>
      </c>
      <c r="R479" s="98">
        <f>VLOOKUP(B479,'Player Data'!$A1:$AE667,6,FALSE)</f>
        <v>17.6277917519808</v>
      </c>
      <c r="S479" s="79">
        <f>VLOOKUP(B479,'Player Data'!$A1:$AE667,7,FALSE)*$Q479*_xlfn.IFERROR((VLOOKUP(P479,'Settings'!$E$28:$F$33,2,FALSE)+1),1)</f>
        <v>3.19985650017322</v>
      </c>
      <c r="T479" s="79">
        <f>VLOOKUP(B479,'Player Data'!$A1:$AE667,8,FALSE)*$Q479*_xlfn.IFERROR((VLOOKUP(P479,'Settings'!$E$28:$F$33,2,FALSE)+1),1)</f>
        <v>21.576600725697</v>
      </c>
      <c r="U479" s="79">
        <f>SUM(S479:T479)</f>
        <v>24.7764572258702</v>
      </c>
      <c r="V479" s="79">
        <f>VLOOKUP(B479,'Player Data'!$A1:$AE667,10,FALSE)*$Q479*_xlfn.IFERROR(((VLOOKUP(P479,'Settings'!$E$28:$F$33,2,FALSE)/2)+1),1)</f>
        <v>91.44525501473569</v>
      </c>
      <c r="W479" s="79">
        <f>VLOOKUP(B479,'Player Data'!$A1:$AE667,11,FALSE)*$Q479*_xlfn.IFERROR((VLOOKUP(P479,'Settings'!$E$28:$F$33,2,FALSE)+1),1)</f>
        <v>0.800852488212576</v>
      </c>
      <c r="X479" s="79">
        <f>VLOOKUP(B479,'Player Data'!$A1:$AE667,12,FALSE)*$Q479*_xlfn.IFERROR((VLOOKUP(P479,'Settings'!$E$28:$F$33,2,FALSE)+1),1)</f>
        <v>5.4947373032405</v>
      </c>
      <c r="Y479" s="79">
        <f>VLOOKUP(B479,'Player Data'!$A1:$AE667,13,FALSE)*$Q479</f>
        <v>0.039961897524258</v>
      </c>
      <c r="Z479" s="79">
        <f>VLOOKUP(B479,'Player Data'!$A1:$AE667,14,FALSE)*$Q479</f>
        <v>0.191402996577087</v>
      </c>
      <c r="AA479" s="79">
        <f>VLOOKUP(B479,'Player Data'!$A1:$AE667,15,FALSE)*$Q479</f>
        <v>79.4741048392781</v>
      </c>
      <c r="AB479" s="79">
        <f>VLOOKUP(B479,'Player Data'!$A1:$AE667,16,FALSE)*$Q479</f>
        <v>85.9649539357313</v>
      </c>
      <c r="AC479" s="79">
        <f>VLOOKUP(B479,'Player Data'!$A1:$AE667,17,FALSE)*$Q479*_xlfn.IFERROR((VLOOKUP(P479,'Settings'!$E$28:$F$33,2,FALSE)+1),1)</f>
        <v>2.08515667779862</v>
      </c>
      <c r="AD479" s="79">
        <f>VLOOKUP(B479,'Player Data'!$A1:$AE667,18,FALSE)*$Q479</f>
        <v>18.7810930145242</v>
      </c>
      <c r="AE479" s="79">
        <f>VLOOKUP(B479,'Player Data'!$A1:$AE667,19,FALSE)*$Q479*_xlfn.IFERROR((VLOOKUP(P479,'Settings'!$E$28:$F$33,2,FALSE)+1),1)</f>
        <v>0.570251771806501</v>
      </c>
      <c r="AF479" s="79">
        <f>VLOOKUP(B479,'Player Data'!$A1:$AE667,20,FALSE)*$Q479</f>
        <v>0</v>
      </c>
      <c r="AG479" s="79">
        <f>VLOOKUP(B479,'Player Data'!$A1:$AE667,21,FALSE)*$Q479</f>
        <v>0</v>
      </c>
      <c r="AH479" s="81">
        <f>VLOOKUP(B479,'Player Data'!$A1:$AE667,22,FALSE)</f>
        <v>0</v>
      </c>
      <c r="AI479" s="77"/>
      <c r="AJ479" s="79"/>
      <c r="AK479" s="79"/>
      <c r="AL479" s="79"/>
      <c r="AM479" s="79"/>
      <c r="AN479" s="79"/>
      <c r="AO479" s="79"/>
      <c r="AP479" s="79"/>
      <c r="AQ479" s="82"/>
      <c r="AR479" s="83"/>
      <c r="AS479" s="84"/>
    </row>
    <row r="480" ht="21.25" customHeight="1">
      <c r="A480" s="85">
        <f>RANK(K480,K$1:K$665)</f>
        <v>469</v>
      </c>
      <c r="B480" t="s" s="16">
        <v>670</v>
      </c>
      <c r="C480" t="s" s="69">
        <v>127</v>
      </c>
      <c r="D480" t="s" s="70">
        <f>VLOOKUP(B480,'Player Data'!A1:D667,4,FALSE)</f>
        <v>153</v>
      </c>
      <c r="E480" s="95">
        <f>VLOOKUP(B480,'D'!A1:C213,3,FALSE)</f>
        <v>157</v>
      </c>
      <c r="F480" t="s" s="104">
        <f>VLOOKUP(B480,'Player Data'!A1:B667,2,FALSE)</f>
        <v>271</v>
      </c>
      <c r="G480" s="91">
        <f>VLOOKUP(B480,'Player Data'!A1:D667,3,FALSE)</f>
        <v>33</v>
      </c>
      <c r="H480" s="73">
        <f>_xlfn.IFERROR(VLOOKUP(B480,'ADP'!A1:G665,7,FALSE)/1000000,VLOOKUP(B480,'ADP'!A1:G665,7,FALSE))</f>
        <v>4</v>
      </c>
      <c r="I480" s="74">
        <f>IF('Settings'!$E$15="POINTS",((R480*Q480)*'Settings'!$B$12)+(S480*'Settings'!$B$2)+(T480*'Settings'!$B$3)+(U480*'Settings'!$B$4)+(V480*'Settings'!$B$5)+(X480*'Settings'!$B$9)+(AA480*'Settings'!$B$6)+(W480*'Settings'!$B$8)+(AB480*'Settings'!$B$7)+(AC480*'Settings'!$B$14)+(AD480*'Settings'!$B$15)+(AE480*'Settings'!$B$16)+(AF480*'Settings'!$B$17)+(AG480*'Settings'!$B$18)+(U480*'Settings'!$B$13)+(Y480*'Settings'!$B$10)+(Z480*'Settings'!$B$11),VLOOKUP(B480,'Standard Deviations'!A1:C666,3,FALSE))</f>
        <v>186.412093850344</v>
      </c>
      <c r="J480" s="75">
        <f>IF(D480="G",I480/AJ480,I480/Q480)</f>
        <v>2.30765157031869</v>
      </c>
      <c r="K480" s="74">
        <f>VLOOKUP(B480,'D'!A1:F213,6,FALSE)</f>
        <v>-145.128114069738</v>
      </c>
      <c r="L480" s="76">
        <f>_xlfn.IFERROR(K480/H480,"N/A")</f>
        <v>-36.2820285174345</v>
      </c>
      <c r="M480" s="109">
        <f>IF('Settings'!$E$9="YAHOO",VLOOKUP(B480,'ADP'!A1:E665,2,FALSE),IF('Settings'!$E$9="ESPN",VLOOKUP(B480,'ADP'!A1:E665,3,FALSE),IF('Settings'!$E$9="FANTRAX",VLOOKUP(B480,'ADP'!A1:E665,4,FALSE),VLOOKUP(B480,'ADP'!A1:E665,5,FALSE))))</f>
        <v>0</v>
      </c>
      <c r="N480" s="79">
        <f>_xlfn.IFERROR(M480-A480,"N/A")</f>
        <v>-469</v>
      </c>
      <c r="O480" s="77"/>
      <c r="P480" t="s" s="78">
        <f>IF('Settings'!$E$27="ON",VLOOKUP(B480,'ADP'!A1:H665,8,FALSE)," ")</f>
        <v>138</v>
      </c>
      <c r="Q480" s="79">
        <f>IF('Settings'!$E$12="YES",VLOOKUP(B480,'Player Data'!A1:E667,5,FALSE),82)</f>
        <v>80.78</v>
      </c>
      <c r="R480" s="108">
        <f>VLOOKUP(B480,'Player Data'!$A1:$AE667,6,FALSE)</f>
        <v>20.5916946877764</v>
      </c>
      <c r="S480" s="79">
        <f>VLOOKUP(B480,'Player Data'!$A1:$AE667,7,FALSE)*$Q480*_xlfn.IFERROR((VLOOKUP(P480,'Settings'!$E$28:$F$33,2,FALSE)+1),1)</f>
        <v>2.6282697633965</v>
      </c>
      <c r="T480" s="79">
        <f>VLOOKUP(B480,'Player Data'!$A1:$AE667,8,FALSE)*$Q480*_xlfn.IFERROR((VLOOKUP(P480,'Settings'!$E$28:$F$33,2,FALSE)+1),1)</f>
        <v>18.7511454909221</v>
      </c>
      <c r="U480" s="79">
        <f>SUM(S480:T480)</f>
        <v>21.3794152543186</v>
      </c>
      <c r="V480" s="79">
        <f>VLOOKUP(B480,'Player Data'!$A1:$AE667,10,FALSE)*$Q480*_xlfn.IFERROR(((VLOOKUP(P480,'Settings'!$E$28:$F$33,2,FALSE)/2)+1),1)</f>
        <v>72.5795608079072</v>
      </c>
      <c r="W480" s="79">
        <f>VLOOKUP(B480,'Player Data'!$A1:$AE667,11,FALSE)*$Q480*_xlfn.IFERROR((VLOOKUP(P480,'Settings'!$E$28:$F$33,2,FALSE)+1),1)</f>
        <v>0.00776871442088945</v>
      </c>
      <c r="X480" s="79">
        <f>VLOOKUP(B480,'Player Data'!$A1:$AE667,12,FALSE)*$Q480*_xlfn.IFERROR((VLOOKUP(P480,'Settings'!$E$28:$F$33,2,FALSE)+1),1)</f>
        <v>0.165726710041071</v>
      </c>
      <c r="Y480" s="79">
        <f>VLOOKUP(B480,'Player Data'!$A1:$AE667,13,FALSE)*$Q480</f>
        <v>0.5274860018645861</v>
      </c>
      <c r="Z480" s="79">
        <f>VLOOKUP(B480,'Player Data'!$A1:$AE667,14,FALSE)*$Q480</f>
        <v>1.30325236085356</v>
      </c>
      <c r="AA480" s="79">
        <f>VLOOKUP(B480,'Player Data'!$A1:$AE667,15,FALSE)*$Q480</f>
        <v>117.0541795083</v>
      </c>
      <c r="AB480" s="79">
        <f>VLOOKUP(B480,'Player Data'!$A1:$AE667,16,FALSE)*$Q480</f>
        <v>58.3728351983325</v>
      </c>
      <c r="AC480" s="79">
        <f>VLOOKUP(B480,'Player Data'!$A1:$AE667,17,FALSE)*$Q480*_xlfn.IFERROR((VLOOKUP(P480,'Settings'!$E$28:$F$33,2,FALSE)+1),1)</f>
        <v>-4.81517888826362</v>
      </c>
      <c r="AD480" s="79">
        <f>VLOOKUP(B480,'Player Data'!$A1:$AE667,18,FALSE)*$Q480</f>
        <v>22.3223149272542</v>
      </c>
      <c r="AE480" s="79">
        <f>VLOOKUP(B480,'Player Data'!$A1:$AE667,19,FALSE)*$Q480*_xlfn.IFERROR((VLOOKUP(P480,'Settings'!$E$28:$F$33,2,FALSE)+1),1)</f>
        <v>0.316428155228438</v>
      </c>
      <c r="AF480" s="79">
        <f>VLOOKUP(B480,'Player Data'!$A1:$AE667,20,FALSE)*$Q480</f>
        <v>0</v>
      </c>
      <c r="AG480" s="79">
        <f>VLOOKUP(B480,'Player Data'!$A1:$AE667,21,FALSE)*$Q480</f>
        <v>0</v>
      </c>
      <c r="AH480" s="81">
        <f>VLOOKUP(B480,'Player Data'!$A1:$AE667,22,FALSE)</f>
        <v>0</v>
      </c>
      <c r="AI480" s="77"/>
      <c r="AJ480" s="89"/>
      <c r="AK480" s="79"/>
      <c r="AL480" s="79"/>
      <c r="AM480" s="79"/>
      <c r="AN480" s="79"/>
      <c r="AO480" s="79"/>
      <c r="AP480" s="79"/>
      <c r="AQ480" s="82"/>
      <c r="AR480" s="83"/>
      <c r="AS480" s="84"/>
    </row>
    <row r="481" ht="21.25" customHeight="1">
      <c r="A481" s="85">
        <f>RANK(K481,K$1:K$665)</f>
        <v>490</v>
      </c>
      <c r="B481" t="s" s="16">
        <v>671</v>
      </c>
      <c r="C481" t="s" s="69">
        <v>127</v>
      </c>
      <c r="D481" t="s" s="70">
        <f>VLOOKUP(B481,'Player Data'!A1:D667,4,FALSE)</f>
        <v>140</v>
      </c>
      <c r="E481" s="90">
        <f>VLOOKUP(B481,'RW'!A1:F136,3,FALSE)</f>
        <v>97</v>
      </c>
      <c r="F481" t="s" s="104">
        <f>VLOOKUP(B481,'Player Data'!A1:B667,2,FALSE)</f>
        <v>333</v>
      </c>
      <c r="G481" s="11">
        <f>VLOOKUP(B481,'Player Data'!A1:D667,3,FALSE)</f>
        <v>26</v>
      </c>
      <c r="H481" s="73">
        <f>_xlfn.IFERROR(VLOOKUP(B481,'ADP'!A1:G665,7,FALSE)/1000000,VLOOKUP(B481,'ADP'!A1:G665,7,FALSE))</f>
        <v>1.8</v>
      </c>
      <c r="I481" s="74">
        <f>IF('Settings'!$E$15="POINTS",((R481*Q481)*'Settings'!$B$12)+(S481*'Settings'!$B$2)+(T481*'Settings'!$B$3)+(U481*'Settings'!$B$4)+(V481*'Settings'!$B$5)+(X481*'Settings'!$B$9)+(AA481*'Settings'!$B$6)+(W481*'Settings'!$B$8)+(AB481*'Settings'!$B$7)+(AC481*'Settings'!$B$14)+(AD481*'Settings'!$B$15)+(AE481*'Settings'!$B$16)+(AF481*'Settings'!$B$17)+(AG481*'Settings'!$B$18)+(Y481*'Settings'!$B$10)+(Z481*'Settings'!$B$11),VLOOKUP(B481,'Standard Deviations'!A1:C666,3,FALSE))</f>
        <v>178.514349069410</v>
      </c>
      <c r="J481" s="75">
        <f>IF(D481="G",I481/AJ481,I481/Q481)</f>
        <v>2.54611301935333</v>
      </c>
      <c r="K481" s="74">
        <f>IF('Settings'!$E$18="C/LW/RW",VLOOKUP(B481,'RW'!A1:F136,6,FALSE),VLOOKUP(B481,'F'!A1:F392,6,FALSE))</f>
        <v>-151.177545011768</v>
      </c>
      <c r="L481" s="76">
        <f>_xlfn.IFERROR(K481/H481,"N/A")</f>
        <v>-83.98752500653779</v>
      </c>
      <c r="M481" s="109">
        <f>IF('Settings'!$E$9="YAHOO",VLOOKUP(B481,'ADP'!A1:E665,2,FALSE),IF('Settings'!$E$9="ESPN",VLOOKUP(B481,'ADP'!A1:E665,3,FALSE),IF('Settings'!$E$9="FANTRAX",VLOOKUP(B481,'ADP'!A1:E665,4,FALSE),VLOOKUP(B481,'ADP'!A1:E665,5,FALSE))))</f>
        <v>0</v>
      </c>
      <c r="N481" s="79">
        <f>_xlfn.IFERROR(M481-A481,"N/A")</f>
        <v>-490</v>
      </c>
      <c r="O481" s="77"/>
      <c r="P481" t="s" s="78">
        <f>IF('Settings'!$E$27="ON",VLOOKUP(B481,'ADP'!A1:H665,8,FALSE)," ")</f>
        <v>138</v>
      </c>
      <c r="Q481" s="79">
        <f>IF('Settings'!$E$12="YES",VLOOKUP(B481,'Player Data'!A1:E667,5,FALSE),82)</f>
        <v>70.1125</v>
      </c>
      <c r="R481" s="77">
        <f>VLOOKUP(B481,'Player Data'!$A1:$AE667,6,FALSE)</f>
        <v>10.5956183332136</v>
      </c>
      <c r="S481" s="79">
        <f>VLOOKUP(B481,'Player Data'!$A1:$AE667,7,FALSE)*$Q481*_xlfn.IFERROR((VLOOKUP(P481,'Settings'!$E$28:$F$33,2,FALSE)+1),1)</f>
        <v>10.0074202622349</v>
      </c>
      <c r="T481" s="79">
        <f>VLOOKUP(B481,'Player Data'!$A1:$AE667,8,FALSE)*$Q481*_xlfn.IFERROR((VLOOKUP(P481,'Settings'!$E$28:$F$33,2,FALSE)+1),1)</f>
        <v>7.77951156512217</v>
      </c>
      <c r="U481" s="79">
        <f>SUM(S481:T481)</f>
        <v>17.7869318273571</v>
      </c>
      <c r="V481" s="79">
        <f>VLOOKUP(B481,'Player Data'!$A1:$AE667,10,FALSE)*$Q481*_xlfn.IFERROR(((VLOOKUP(P481,'Settings'!$E$28:$F$33,2,FALSE)/2)+1),1)</f>
        <v>113.926489655593</v>
      </c>
      <c r="W481" s="79">
        <f>VLOOKUP(B481,'Player Data'!$A1:$AE667,11,FALSE)*$Q481*_xlfn.IFERROR((VLOOKUP(P481,'Settings'!$E$28:$F$33,2,FALSE)+1),1)</f>
        <v>0.128857877494948</v>
      </c>
      <c r="X481" s="79">
        <f>VLOOKUP(B481,'Player Data'!$A1:$AE667,12,FALSE)*$Q481*_xlfn.IFERROR((VLOOKUP(P481,'Settings'!$E$28:$F$33,2,FALSE)+1),1)</f>
        <v>0.204795199542885</v>
      </c>
      <c r="Y481" s="79">
        <f>VLOOKUP(B481,'Player Data'!$A1:$AE667,13,FALSE)*$Q481</f>
        <v>0.06474668773028761</v>
      </c>
      <c r="Z481" s="79">
        <f>VLOOKUP(B481,'Player Data'!$A1:$AE667,14,FALSE)*$Q481</f>
        <v>0.0738255881926464</v>
      </c>
      <c r="AA481" s="79">
        <f>VLOOKUP(B481,'Player Data'!$A1:$AE667,15,FALSE)*$Q481</f>
        <v>23.2217659312784</v>
      </c>
      <c r="AB481" s="79">
        <f>VLOOKUP(B481,'Player Data'!$A1:$AE667,16,FALSE)*$Q481</f>
        <v>155.630064195082</v>
      </c>
      <c r="AC481" s="79">
        <f>VLOOKUP(B481,'Player Data'!$A1:$AE667,17,FALSE)*$Q481*_xlfn.IFERROR((VLOOKUP(P481,'Settings'!$E$28:$F$33,2,FALSE)+1),1)</f>
        <v>1.29279539946453</v>
      </c>
      <c r="AD481" s="79">
        <f>VLOOKUP(B481,'Player Data'!$A1:$AE667,18,FALSE)*$Q481</f>
        <v>20.9820131943078</v>
      </c>
      <c r="AE481" s="79">
        <f>VLOOKUP(B481,'Player Data'!$A1:$AE667,19,FALSE)*$Q481*_xlfn.IFERROR((VLOOKUP(P481,'Settings'!$E$28:$F$33,2,FALSE)+1),1)</f>
        <v>1.06889380831836</v>
      </c>
      <c r="AF481" s="79">
        <f>VLOOKUP(B481,'Player Data'!$A1:$AE667,20,FALSE)*$Q481</f>
        <v>4.67906375584349</v>
      </c>
      <c r="AG481" s="79">
        <f>VLOOKUP(B481,'Player Data'!$A1:$AE667,21,FALSE)*$Q481</f>
        <v>10.0682281826279</v>
      </c>
      <c r="AH481" s="81">
        <f>VLOOKUP(B481,'Player Data'!$A1:$AE667,22,FALSE)</f>
        <v>0.317282913728533</v>
      </c>
      <c r="AI481" s="77"/>
      <c r="AJ481" s="89"/>
      <c r="AK481" s="79"/>
      <c r="AL481" s="79"/>
      <c r="AM481" s="79"/>
      <c r="AN481" s="79"/>
      <c r="AO481" s="79"/>
      <c r="AP481" s="79"/>
      <c r="AQ481" s="82"/>
      <c r="AR481" s="83"/>
      <c r="AS481" s="84"/>
    </row>
    <row r="482" ht="21.25" customHeight="1">
      <c r="A482" s="85">
        <f>RANK(K482,K$1:K$665)</f>
        <v>491</v>
      </c>
      <c r="B482" t="s" s="16">
        <v>672</v>
      </c>
      <c r="C482" t="s" s="69">
        <v>127</v>
      </c>
      <c r="D482" t="s" s="70">
        <f>VLOOKUP(B482,'Player Data'!A1:D667,4,FALSE)</f>
        <v>140</v>
      </c>
      <c r="E482" s="90">
        <f>VLOOKUP(B482,'RW'!A1:F136,3,FALSE)</f>
        <v>98</v>
      </c>
      <c r="F482" t="s" s="86">
        <f>VLOOKUP(B482,'Player Data'!A1:B667,2,FALSE)</f>
        <v>174</v>
      </c>
      <c r="G482" s="11">
        <f>VLOOKUP(B482,'Player Data'!A1:D667,3,FALSE)</f>
        <v>29</v>
      </c>
      <c r="H482" s="94">
        <f>_xlfn.IFERROR(VLOOKUP(B482,'ADP'!A1:G665,7,FALSE)/1000000,VLOOKUP(B482,'ADP'!A1:G665,7,FALSE))</f>
        <v>3.5</v>
      </c>
      <c r="I482" s="74">
        <f>IF('Settings'!$E$15="POINTS",((R482*Q482)*'Settings'!$B$12)+(S482*'Settings'!$B$2)+(T482*'Settings'!$B$3)+(U482*'Settings'!$B$4)+(V482*'Settings'!$B$5)+(X482*'Settings'!$B$9)+(AA482*'Settings'!$B$6)+(W482*'Settings'!$B$8)+(AB482*'Settings'!$B$7)+(AC482*'Settings'!$B$14)+(AD482*'Settings'!$B$15)+(AE482*'Settings'!$B$16)+(AF482*'Settings'!$B$17)+(AG482*'Settings'!$B$18)+(Y482*'Settings'!$B$10)+(Z482*'Settings'!$B$11),VLOOKUP(B482,'Standard Deviations'!A1:C666,3,FALSE))</f>
        <v>178.453457738741</v>
      </c>
      <c r="J482" s="75">
        <f>IF(D482="G",I482/AJ482,I482/Q482)</f>
        <v>2.40998626204451</v>
      </c>
      <c r="K482" s="74">
        <f>IF('Settings'!$E$18="C/LW/RW",VLOOKUP(B482,'RW'!A1:F136,6,FALSE),VLOOKUP(B482,'F'!A1:F392,6,FALSE))</f>
        <v>-151.238436342437</v>
      </c>
      <c r="L482" s="76">
        <f>_xlfn.IFERROR(K482/H482,"N/A")</f>
        <v>-43.2109818121249</v>
      </c>
      <c r="M482" s="109">
        <f>IF('Settings'!$E$9="YAHOO",VLOOKUP(B482,'ADP'!A1:E665,2,FALSE),IF('Settings'!$E$9="ESPN",VLOOKUP(B482,'ADP'!A1:E665,3,FALSE),IF('Settings'!$E$9="FANTRAX",VLOOKUP(B482,'ADP'!A1:E665,4,FALSE),VLOOKUP(B482,'ADP'!A1:E665,5,FALSE))))</f>
        <v>0</v>
      </c>
      <c r="N482" s="79">
        <f>_xlfn.IFERROR(M482-A482,"N/A")</f>
        <v>-491</v>
      </c>
      <c r="O482" s="77"/>
      <c r="P482" t="s" s="78">
        <f>IF('Settings'!$E$27="ON",VLOOKUP(B482,'ADP'!A1:H665,8,FALSE)," ")</f>
        <v>138</v>
      </c>
      <c r="Q482" s="79">
        <f>IF('Settings'!$E$12="YES",VLOOKUP(B482,'Player Data'!A1:E667,5,FALSE),82)</f>
        <v>74.0475</v>
      </c>
      <c r="R482" s="77">
        <f>VLOOKUP(B482,'Player Data'!$A1:$AE667,6,FALSE)</f>
        <v>13.8291653734943</v>
      </c>
      <c r="S482" s="79">
        <f>VLOOKUP(B482,'Player Data'!$A1:$AE667,7,FALSE)*$Q482*_xlfn.IFERROR((VLOOKUP(P482,'Settings'!$E$28:$F$33,2,FALSE)+1),1)</f>
        <v>16.3826308788389</v>
      </c>
      <c r="T482" s="79">
        <f>VLOOKUP(B482,'Player Data'!$A1:$AE667,8,FALSE)*$Q482*_xlfn.IFERROR((VLOOKUP(P482,'Settings'!$E$28:$F$33,2,FALSE)+1),1)</f>
        <v>18.6425387934243</v>
      </c>
      <c r="U482" s="79">
        <f>SUM(S482:T482)</f>
        <v>35.0251696722632</v>
      </c>
      <c r="V482" s="79">
        <f>VLOOKUP(B482,'Player Data'!$A1:$AE667,10,FALSE)*$Q482*_xlfn.IFERROR(((VLOOKUP(P482,'Settings'!$E$28:$F$33,2,FALSE)/2)+1),1)</f>
        <v>116.561716572858</v>
      </c>
      <c r="W482" s="79">
        <f>VLOOKUP(B482,'Player Data'!$A1:$AE667,11,FALSE)*$Q482*_xlfn.IFERROR((VLOOKUP(P482,'Settings'!$E$28:$F$33,2,FALSE)+1),1)</f>
        <v>1.69669962863712</v>
      </c>
      <c r="X482" s="79">
        <f>VLOOKUP(B482,'Player Data'!$A1:$AE667,12,FALSE)*$Q482*_xlfn.IFERROR((VLOOKUP(P482,'Settings'!$E$28:$F$33,2,FALSE)+1),1)</f>
        <v>4.52037860815364</v>
      </c>
      <c r="Y482" s="79">
        <f>VLOOKUP(B482,'Player Data'!$A1:$AE667,13,FALSE)*$Q482</f>
        <v>0.00324203559370543</v>
      </c>
      <c r="Z482" s="79">
        <f>VLOOKUP(B482,'Player Data'!$A1:$AE667,14,FALSE)*$Q482</f>
        <v>0.00550016123512907</v>
      </c>
      <c r="AA482" s="79">
        <f>VLOOKUP(B482,'Player Data'!$A1:$AE667,15,FALSE)*$Q482</f>
        <v>29.4893971626044</v>
      </c>
      <c r="AB482" s="79">
        <f>VLOOKUP(B482,'Player Data'!$A1:$AE667,16,FALSE)*$Q482</f>
        <v>63.3578125071119</v>
      </c>
      <c r="AC482" s="79">
        <f>VLOOKUP(B482,'Player Data'!$A1:$AE667,17,FALSE)*$Q482*_xlfn.IFERROR((VLOOKUP(P482,'Settings'!$E$28:$F$33,2,FALSE)+1),1)</f>
        <v>1.40317191802444</v>
      </c>
      <c r="AD482" s="79">
        <f>VLOOKUP(B482,'Player Data'!$A1:$AE667,18,FALSE)*$Q482</f>
        <v>26.9469019602892</v>
      </c>
      <c r="AE482" s="79">
        <f>VLOOKUP(B482,'Player Data'!$A1:$AE667,19,FALSE)*$Q482*_xlfn.IFERROR((VLOOKUP(P482,'Settings'!$E$28:$F$33,2,FALSE)+1),1)</f>
        <v>2.380130513330</v>
      </c>
      <c r="AF482" s="79">
        <f>VLOOKUP(B482,'Player Data'!$A1:$AE667,20,FALSE)*$Q482</f>
        <v>5.04500017036535</v>
      </c>
      <c r="AG482" s="79">
        <f>VLOOKUP(B482,'Player Data'!$A1:$AE667,21,FALSE)*$Q482</f>
        <v>6.45787203194382</v>
      </c>
      <c r="AH482" s="81">
        <f>VLOOKUP(B482,'Player Data'!$A1:$AE667,22,FALSE)</f>
        <v>0.438586127154623</v>
      </c>
      <c r="AI482" s="77"/>
      <c r="AJ482" s="79"/>
      <c r="AK482" s="79"/>
      <c r="AL482" s="79"/>
      <c r="AM482" s="79"/>
      <c r="AN482" s="79"/>
      <c r="AO482" s="79"/>
      <c r="AP482" s="79"/>
      <c r="AQ482" s="82"/>
      <c r="AR482" s="83"/>
      <c r="AS482" s="84"/>
    </row>
    <row r="483" ht="21.25" customHeight="1">
      <c r="A483" s="85">
        <f>RANK(K483,K$1:K$665)</f>
        <v>492</v>
      </c>
      <c r="B483" t="s" s="16">
        <v>673</v>
      </c>
      <c r="C483" t="s" s="69">
        <v>127</v>
      </c>
      <c r="D483" t="s" s="70">
        <f>VLOOKUP(B483,'Player Data'!A1:D667,4,FALSE)</f>
        <v>145</v>
      </c>
      <c r="E483" s="87">
        <f>VLOOKUP(B483,'RW'!A1:C136,3,FALSE)</f>
        <v>99</v>
      </c>
      <c r="F483" t="s" s="86">
        <f>VLOOKUP(B483,'Player Data'!A1:B667,2,FALSE)</f>
        <v>174</v>
      </c>
      <c r="G483" s="96">
        <f>VLOOKUP(B483,'Player Data'!A1:D667,3,FALSE)</f>
        <v>22</v>
      </c>
      <c r="H483" s="94">
        <f>_xlfn.IFERROR(VLOOKUP(B483,'ADP'!A1:G665,7,FALSE)/1000000,VLOOKUP(B483,'ADP'!A1:G665,7,FALSE))</f>
        <v>0.863333</v>
      </c>
      <c r="I483" s="74">
        <f>IF('Settings'!$E$15="POINTS",((R483*Q483)*'Settings'!$B$12)+(S483*'Settings'!$B$2)+(T483*'Settings'!$B$3)+(U483*'Settings'!$B$4)+(V483*'Settings'!$B$5)+(X483*'Settings'!$B$9)+(AA483*'Settings'!$B$6)+(W483*'Settings'!$B$8)+(AB483*'Settings'!$B$7)+(AC483*'Settings'!$B$14)+(AD483*'Settings'!$B$15)+(AE483*'Settings'!$B$16)+(AF483*'Settings'!$B$17)+(AG483*'Settings'!$B$18)+(Y483*'Settings'!$B$10)+(Z483*'Settings'!$B$11),VLOOKUP(B483,'Standard Deviations'!A1:C666,3,FALSE))</f>
        <v>178.425040179140</v>
      </c>
      <c r="J483" s="75">
        <f>IF(D483="G",I483/AJ483,I483/Q483)</f>
        <v>2.4064338819764</v>
      </c>
      <c r="K483" s="74">
        <f>IF('Settings'!$E$18="C/LW/RW",VLOOKUP(B483,'RW'!A1:F136,6,FALSE),VLOOKUP(B483,'F'!A1:F392,6,FALSE))</f>
        <v>-151.266853902038</v>
      </c>
      <c r="L483" s="76">
        <f>_xlfn.IFERROR(K483/H483,"N/A")</f>
        <v>-175.212639736971</v>
      </c>
      <c r="M483" s="109">
        <f>IF('Settings'!$E$9="YAHOO",VLOOKUP(B483,'ADP'!A1:E665,2,FALSE),IF('Settings'!$E$9="ESPN",VLOOKUP(B483,'ADP'!A1:E665,3,FALSE),IF('Settings'!$E$9="FANTRAX",VLOOKUP(B483,'ADP'!A1:E665,4,FALSE),VLOOKUP(B483,'ADP'!A1:E665,5,FALSE))))</f>
        <v>0</v>
      </c>
      <c r="N483" s="79">
        <f>_xlfn.IFERROR(M483-A483,"N/A")</f>
        <v>-492</v>
      </c>
      <c r="O483" s="77"/>
      <c r="P483" t="s" s="78">
        <f>IF('Settings'!$E$27="ON",VLOOKUP(B483,'ADP'!A1:H665,8,FALSE)," ")</f>
        <v>138</v>
      </c>
      <c r="Q483" s="79">
        <f>IF('Settings'!$E$12="YES",VLOOKUP(B483,'Player Data'!A1:E667,5,FALSE),82)</f>
        <v>74.145</v>
      </c>
      <c r="R483" s="77">
        <f>VLOOKUP(B483,'Player Data'!$A1:$AE667,6,FALSE)</f>
        <v>15.0506128312774</v>
      </c>
      <c r="S483" s="79">
        <f>VLOOKUP(B483,'Player Data'!$A1:$AE667,7,FALSE)*$Q483*_xlfn.IFERROR((VLOOKUP(P483,'Settings'!$E$28:$F$33,2,FALSE)+1),1)</f>
        <v>16.3704093917093</v>
      </c>
      <c r="T483" s="79">
        <f>VLOOKUP(B483,'Player Data'!$A1:$AE667,8,FALSE)*$Q483*_xlfn.IFERROR((VLOOKUP(P483,'Settings'!$E$28:$F$33,2,FALSE)+1),1)</f>
        <v>22.9720291166312</v>
      </c>
      <c r="U483" s="79">
        <f>SUM(S483:T483)</f>
        <v>39.3424385083405</v>
      </c>
      <c r="V483" s="79">
        <f>VLOOKUP(B483,'Player Data'!$A1:$AE667,10,FALSE)*$Q483*_xlfn.IFERROR(((VLOOKUP(P483,'Settings'!$E$28:$F$33,2,FALSE)/2)+1),1)</f>
        <v>111.340536476297</v>
      </c>
      <c r="W483" s="79">
        <f>VLOOKUP(B483,'Player Data'!$A1:$AE667,11,FALSE)*$Q483*_xlfn.IFERROR((VLOOKUP(P483,'Settings'!$E$28:$F$33,2,FALSE)+1),1)</f>
        <v>1.82287118830216</v>
      </c>
      <c r="X483" s="79">
        <f>VLOOKUP(B483,'Player Data'!$A1:$AE667,12,FALSE)*$Q483*_xlfn.IFERROR((VLOOKUP(P483,'Settings'!$E$28:$F$33,2,FALSE)+1),1)</f>
        <v>5.67658512684623</v>
      </c>
      <c r="Y483" s="79">
        <f>VLOOKUP(B483,'Player Data'!$A1:$AE667,13,FALSE)*$Q483</f>
        <v>0.00103334697187018</v>
      </c>
      <c r="Z483" s="79">
        <f>VLOOKUP(B483,'Player Data'!$A1:$AE667,14,FALSE)*$Q483</f>
        <v>0.00173716749720104</v>
      </c>
      <c r="AA483" s="79">
        <f>VLOOKUP(B483,'Player Data'!$A1:$AE667,15,FALSE)*$Q483</f>
        <v>34.2519115347205</v>
      </c>
      <c r="AB483" s="79">
        <f>VLOOKUP(B483,'Player Data'!$A1:$AE667,16,FALSE)*$Q483</f>
        <v>42.3962294447891</v>
      </c>
      <c r="AC483" s="79">
        <f>VLOOKUP(B483,'Player Data'!$A1:$AE667,17,FALSE)*$Q483*_xlfn.IFERROR((VLOOKUP(P483,'Settings'!$E$28:$F$33,2,FALSE)+1),1)</f>
        <v>-0.537773944837866</v>
      </c>
      <c r="AD483" s="79">
        <f>VLOOKUP(B483,'Player Data'!$A1:$AE667,18,FALSE)*$Q483</f>
        <v>28.7088596609693</v>
      </c>
      <c r="AE483" s="79">
        <f>VLOOKUP(B483,'Player Data'!$A1:$AE667,19,FALSE)*$Q483*_xlfn.IFERROR((VLOOKUP(P483,'Settings'!$E$28:$F$33,2,FALSE)+1),1)</f>
        <v>2.37835492950279</v>
      </c>
      <c r="AF483" s="79">
        <f>VLOOKUP(B483,'Player Data'!$A1:$AE667,20,FALSE)*$Q483</f>
        <v>56.8268051613214</v>
      </c>
      <c r="AG483" s="79">
        <f>VLOOKUP(B483,'Player Data'!$A1:$AE667,21,FALSE)*$Q483</f>
        <v>69.58384305467921</v>
      </c>
      <c r="AH483" s="81">
        <f>VLOOKUP(B483,'Player Data'!$A1:$AE667,22,FALSE)</f>
        <v>0.44954128440367</v>
      </c>
      <c r="AI483" s="77"/>
      <c r="AJ483" s="79"/>
      <c r="AK483" s="79"/>
      <c r="AL483" s="79"/>
      <c r="AM483" s="79"/>
      <c r="AN483" s="79"/>
      <c r="AO483" s="79"/>
      <c r="AP483" s="79"/>
      <c r="AQ483" s="82"/>
      <c r="AR483" s="83"/>
      <c r="AS483" s="84"/>
    </row>
    <row r="484" ht="21.25" customHeight="1">
      <c r="A484" s="85">
        <f>RANK(K484,K$1:K$665)</f>
        <v>496</v>
      </c>
      <c r="B484" t="s" s="16">
        <v>674</v>
      </c>
      <c r="C484" t="s" s="69">
        <v>127</v>
      </c>
      <c r="D484" t="s" s="70">
        <f>VLOOKUP(B484,'Player Data'!A1:D667,4,FALSE)</f>
        <v>136</v>
      </c>
      <c r="E484" s="87">
        <f>VLOOKUP(B484,'LW'!A1:C152,3,FALSE)</f>
        <v>116</v>
      </c>
      <c r="F484" t="s" s="86">
        <f>VLOOKUP(B484,'Player Data'!A1:B667,2,FALSE)</f>
        <v>156</v>
      </c>
      <c r="G484" s="91">
        <f>VLOOKUP(B484,'Player Data'!A1:D667,3,FALSE)</f>
        <v>30</v>
      </c>
      <c r="H484" s="73">
        <f>_xlfn.IFERROR(VLOOKUP(B484,'ADP'!A1:G665,7,FALSE)/1000000,VLOOKUP(B484,'ADP'!A1:G665,7,FALSE))</f>
        <v>5.625</v>
      </c>
      <c r="I484" s="74">
        <f>IF('Settings'!$E$15="POINTS",((R484*Q484)*'Settings'!$B$12)+(S484*'Settings'!$B$2)+(T484*'Settings'!$B$3)+(U484*'Settings'!$B$4)+(V484*'Settings'!$B$5)+(X484*'Settings'!$B$9)+(AA484*'Settings'!$B$6)+(W484*'Settings'!$B$8)+(AB484*'Settings'!$B$7)+(AC484*'Settings'!$B$14)+(AD484*'Settings'!$B$15)+(AE484*'Settings'!$B$16)+(AF484*'Settings'!$B$17)+(AG484*'Settings'!$B$18)+(Y484*'Settings'!$B$10)+(Z484*'Settings'!$B$11),VLOOKUP(B484,'Standard Deviations'!A1:C666,3,FALSE))</f>
        <v>178.333883067631</v>
      </c>
      <c r="J484" s="75">
        <f>IF(D484="G",I484/AJ484,I484/Q484)</f>
        <v>2.21539654110539</v>
      </c>
      <c r="K484" s="74">
        <f>IF('Settings'!$E$18="C/LW/RW",VLOOKUP(B484,'LW'!A1:F152,6,FALSE),VLOOKUP(B484,'F'!A1:F392,6,FALSE))</f>
        <v>-153.386228698581</v>
      </c>
      <c r="L484" s="76">
        <f>_xlfn.IFERROR(K484/H484,"N/A")</f>
        <v>-27.2686628797477</v>
      </c>
      <c r="M484" s="109">
        <f>IF('Settings'!$E$9="YAHOO",VLOOKUP(B484,'ADP'!A1:E665,2,FALSE),IF('Settings'!$E$9="ESPN",VLOOKUP(B484,'ADP'!A1:E665,3,FALSE),IF('Settings'!$E$9="FANTRAX",VLOOKUP(B484,'ADP'!A1:E665,4,FALSE),VLOOKUP(B484,'ADP'!A1:E665,5,FALSE))))</f>
        <v>0</v>
      </c>
      <c r="N484" s="79">
        <f>_xlfn.IFERROR(M484-A484,"N/A")</f>
        <v>-496</v>
      </c>
      <c r="O484" s="77"/>
      <c r="P484" t="s" s="78">
        <f>IF('Settings'!$E$27="ON",VLOOKUP(B484,'ADP'!A1:H665,8,FALSE)," ")</f>
        <v>138</v>
      </c>
      <c r="Q484" s="79">
        <f>IF('Settings'!$E$12="YES",VLOOKUP(B484,'Player Data'!A1:E667,5,FALSE),82)</f>
        <v>80.4975</v>
      </c>
      <c r="R484" s="77">
        <f>VLOOKUP(B484,'Player Data'!$A1:$AE667,6,FALSE)</f>
        <v>15.5836923000268</v>
      </c>
      <c r="S484" s="79">
        <f>VLOOKUP(B484,'Player Data'!$A1:$AE667,7,FALSE)*$Q484*_xlfn.IFERROR((VLOOKUP(P484,'Settings'!$E$28:$F$33,2,FALSE)+1),1)</f>
        <v>11.2467612241482</v>
      </c>
      <c r="T484" s="79">
        <f>VLOOKUP(B484,'Player Data'!$A1:$AE667,8,FALSE)*$Q484*_xlfn.IFERROR((VLOOKUP(P484,'Settings'!$E$28:$F$33,2,FALSE)+1),1)</f>
        <v>22.474050328299</v>
      </c>
      <c r="U484" s="79">
        <f>SUM(S484:T484)</f>
        <v>33.7208115524472</v>
      </c>
      <c r="V484" s="79">
        <f>VLOOKUP(B484,'Player Data'!$A1:$AE667,10,FALSE)*$Q484*_xlfn.IFERROR(((VLOOKUP(P484,'Settings'!$E$28:$F$33,2,FALSE)/2)+1),1)</f>
        <v>114.980852996128</v>
      </c>
      <c r="W484" s="79">
        <f>VLOOKUP(B484,'Player Data'!$A1:$AE667,11,FALSE)*$Q484*_xlfn.IFERROR((VLOOKUP(P484,'Settings'!$E$28:$F$33,2,FALSE)+1),1)</f>
        <v>1.11634404163011</v>
      </c>
      <c r="X484" s="79">
        <f>VLOOKUP(B484,'Player Data'!$A1:$AE667,12,FALSE)*$Q484*_xlfn.IFERROR((VLOOKUP(P484,'Settings'!$E$28:$F$33,2,FALSE)+1),1)</f>
        <v>3.49437483960434</v>
      </c>
      <c r="Y484" s="79">
        <f>VLOOKUP(B484,'Player Data'!$A1:$AE667,13,FALSE)*$Q484</f>
        <v>0.943652697876592</v>
      </c>
      <c r="Z484" s="79">
        <f>VLOOKUP(B484,'Player Data'!$A1:$AE667,14,FALSE)*$Q484</f>
        <v>2.162633366303</v>
      </c>
      <c r="AA484" s="79">
        <f>VLOOKUP(B484,'Player Data'!$A1:$AE667,15,FALSE)*$Q484</f>
        <v>46.5789471639355</v>
      </c>
      <c r="AB484" s="79">
        <f>VLOOKUP(B484,'Player Data'!$A1:$AE667,16,FALSE)*$Q484</f>
        <v>40.465408553599</v>
      </c>
      <c r="AC484" s="79">
        <f>VLOOKUP(B484,'Player Data'!$A1:$AE667,17,FALSE)*$Q484*_xlfn.IFERROR((VLOOKUP(P484,'Settings'!$E$28:$F$33,2,FALSE)+1),1)</f>
        <v>-2.93513044936619</v>
      </c>
      <c r="AD484" s="79">
        <f>VLOOKUP(B484,'Player Data'!$A1:$AE667,18,FALSE)*$Q484</f>
        <v>23.3511604415853</v>
      </c>
      <c r="AE484" s="79">
        <f>VLOOKUP(B484,'Player Data'!$A1:$AE667,19,FALSE)*$Q484*_xlfn.IFERROR((VLOOKUP(P484,'Settings'!$E$28:$F$33,2,FALSE)+1),1)</f>
        <v>1.54466016055816</v>
      </c>
      <c r="AF484" s="79">
        <f>VLOOKUP(B484,'Player Data'!$A1:$AE667,20,FALSE)*$Q484</f>
        <v>492.349401273337</v>
      </c>
      <c r="AG484" s="79">
        <f>VLOOKUP(B484,'Player Data'!$A1:$AE667,21,FALSE)*$Q484</f>
        <v>453.198870450899</v>
      </c>
      <c r="AH484" s="81">
        <f>VLOOKUP(B484,'Player Data'!$A1:$AE667,22,FALSE)</f>
        <v>0.520702555328585</v>
      </c>
      <c r="AI484" s="77"/>
      <c r="AJ484" s="79"/>
      <c r="AK484" s="79"/>
      <c r="AL484" s="79"/>
      <c r="AM484" s="79"/>
      <c r="AN484" s="79"/>
      <c r="AO484" s="79"/>
      <c r="AP484" s="79"/>
      <c r="AQ484" s="82"/>
      <c r="AR484" s="83"/>
      <c r="AS484" s="93"/>
    </row>
    <row r="485" ht="21.25" customHeight="1">
      <c r="A485" s="85">
        <f>RANK(K485,K$1:K$665)</f>
        <v>502</v>
      </c>
      <c r="B485" t="s" s="16">
        <v>675</v>
      </c>
      <c r="C485" t="s" s="69">
        <v>127</v>
      </c>
      <c r="D485" t="s" s="70">
        <f>VLOOKUP(B485,'Player Data'!A1:D667,4,FALSE)</f>
        <v>128</v>
      </c>
      <c r="E485" s="71">
        <f>VLOOKUP(B485,'C'!A1:C206,3,FALSE)</f>
        <v>145</v>
      </c>
      <c r="F485" t="s" s="88">
        <f>VLOOKUP(B485,'Player Data'!A1:B667,2,FALSE)</f>
        <v>137</v>
      </c>
      <c r="G485" s="11">
        <f>VLOOKUP(B485,'Player Data'!A1:D667,3,FALSE)</f>
        <v>26</v>
      </c>
      <c r="H485" s="94">
        <f>_xlfn.IFERROR(VLOOKUP(B485,'ADP'!A1:G665,7,FALSE)/1000000,VLOOKUP(B485,'ADP'!A1:G665,7,FALSE))</f>
        <v>0.85</v>
      </c>
      <c r="I485" s="74">
        <f>IF('Settings'!$E$15="POINTS",((R485*Q485)*'Settings'!$B$12)+(S485*'Settings'!$B$2)+(T485*'Settings'!$B$3)+(U485*'Settings'!$B$4)+(V485*'Settings'!$B$5)+(X485*'Settings'!$B$9)+(AA485*'Settings'!$B$6)+(W485*'Settings'!$B$8)+(AB485*'Settings'!$B$7)+(AC485*'Settings'!$B$14)+(AD485*'Settings'!$B$15)+(AE485*'Settings'!$B$16)+(AF485*'Settings'!$B$17)+(AG485*'Settings'!$B$18)+(Y485*'Settings'!$B$10)+(Z485*'Settings'!$B$11),VLOOKUP(B485,'Standard Deviations'!A1:C666,3,FALSE))</f>
        <v>173.141888035767</v>
      </c>
      <c r="J485" s="75">
        <f>IF(D485="G",I485/AJ485,I485/Q485)</f>
        <v>2.36145510141526</v>
      </c>
      <c r="K485" s="74">
        <f>IF('Settings'!$E$18="C/LW/RW",VLOOKUP(B485,'C'!A1:F206,6,FALSE),VLOOKUP(B485,'F'!A1:F392,6,FALSE))</f>
        <v>-156.550006045411</v>
      </c>
      <c r="L485" s="76">
        <f>_xlfn.IFERROR(K485/H485,"N/A")</f>
        <v>-184.176477700484</v>
      </c>
      <c r="M485" s="109">
        <f>IF('Settings'!$E$9="YAHOO",VLOOKUP(B485,'ADP'!A1:E665,2,FALSE),IF('Settings'!$E$9="ESPN",VLOOKUP(B485,'ADP'!A1:E665,3,FALSE),IF('Settings'!$E$9="FANTRAX",VLOOKUP(B485,'ADP'!A1:E665,4,FALSE),VLOOKUP(B485,'ADP'!A1:E665,5,FALSE))))</f>
        <v>0</v>
      </c>
      <c r="N485" s="79">
        <f>_xlfn.IFERROR(M485-A485,"N/A")</f>
        <v>-502</v>
      </c>
      <c r="O485" s="77"/>
      <c r="P485" t="s" s="78">
        <f>IF('Settings'!$E$27="ON",VLOOKUP(B485,'ADP'!A1:H665,8,FALSE)," ")</f>
        <v>138</v>
      </c>
      <c r="Q485" s="79">
        <f>IF('Settings'!$E$12="YES",VLOOKUP(B485,'Player Data'!A1:E667,5,FALSE),82)</f>
        <v>73.31999999999999</v>
      </c>
      <c r="R485" s="77">
        <f>VLOOKUP(B485,'Player Data'!$A1:$AE667,6,FALSE)</f>
        <v>11.6473825405281</v>
      </c>
      <c r="S485" s="79">
        <f>VLOOKUP(B485,'Player Data'!$A1:$AE667,7,FALSE)*$Q485*_xlfn.IFERROR((VLOOKUP(P485,'Settings'!$E$28:$F$33,2,FALSE)+1),1)</f>
        <v>6.44957796630326</v>
      </c>
      <c r="T485" s="79">
        <f>VLOOKUP(B485,'Player Data'!$A1:$AE667,8,FALSE)*$Q485*_xlfn.IFERROR((VLOOKUP(P485,'Settings'!$E$28:$F$33,2,FALSE)+1),1)</f>
        <v>7.42020656377811</v>
      </c>
      <c r="U485" s="79">
        <f>SUM(S485:T485)</f>
        <v>13.8697845300814</v>
      </c>
      <c r="V485" s="79">
        <f>VLOOKUP(B485,'Player Data'!$A1:$AE667,10,FALSE)*$Q485*_xlfn.IFERROR(((VLOOKUP(P485,'Settings'!$E$28:$F$33,2,FALSE)/2)+1),1)</f>
        <v>123.822421052612</v>
      </c>
      <c r="W485" s="79">
        <f>VLOOKUP(B485,'Player Data'!$A1:$AE667,11,FALSE)*$Q485*_xlfn.IFERROR((VLOOKUP(P485,'Settings'!$E$28:$F$33,2,FALSE)+1),1)</f>
        <v>0.0630683727361103</v>
      </c>
      <c r="X485" s="79">
        <f>VLOOKUP(B485,'Player Data'!$A1:$AE667,12,FALSE)*$Q485*_xlfn.IFERROR((VLOOKUP(P485,'Settings'!$E$28:$F$33,2,FALSE)+1),1)</f>
        <v>0.140007621009005</v>
      </c>
      <c r="Y485" s="79">
        <f>VLOOKUP(B485,'Player Data'!$A1:$AE667,13,FALSE)*$Q485</f>
        <v>0.171017264928215</v>
      </c>
      <c r="Z485" s="79">
        <f>VLOOKUP(B485,'Player Data'!$A1:$AE667,14,FALSE)*$Q485</f>
        <v>0.724442431717059</v>
      </c>
      <c r="AA485" s="79">
        <f>VLOOKUP(B485,'Player Data'!$A1:$AE667,15,FALSE)*$Q485</f>
        <v>36.2356998948102</v>
      </c>
      <c r="AB485" s="79">
        <f>VLOOKUP(B485,'Player Data'!$A1:$AE667,16,FALSE)*$Q485</f>
        <v>142.156549592146</v>
      </c>
      <c r="AC485" s="79">
        <f>VLOOKUP(B485,'Player Data'!$A1:$AE667,17,FALSE)*$Q485*_xlfn.IFERROR((VLOOKUP(P485,'Settings'!$E$28:$F$33,2,FALSE)+1),1)</f>
        <v>2.67959246530246</v>
      </c>
      <c r="AD485" s="79">
        <f>VLOOKUP(B485,'Player Data'!$A1:$AE667,18,FALSE)*$Q485</f>
        <v>25.0729031316263</v>
      </c>
      <c r="AE485" s="79">
        <f>VLOOKUP(B485,'Player Data'!$A1:$AE667,19,FALSE)*$Q485*_xlfn.IFERROR((VLOOKUP(P485,'Settings'!$E$28:$F$33,2,FALSE)+1),1)</f>
        <v>1.0013888164535</v>
      </c>
      <c r="AF485" s="79">
        <f>VLOOKUP(B485,'Player Data'!$A1:$AE667,20,FALSE)*$Q485</f>
        <v>12.1711792345428</v>
      </c>
      <c r="AG485" s="79">
        <f>VLOOKUP(B485,'Player Data'!$A1:$AE667,21,FALSE)*$Q485</f>
        <v>16.6745985979387</v>
      </c>
      <c r="AH485" s="81">
        <f>VLOOKUP(B485,'Player Data'!$A1:$AE667,22,FALSE)</f>
        <v>0.421939713507659</v>
      </c>
      <c r="AI485" s="77"/>
      <c r="AJ485" s="89"/>
      <c r="AK485" s="79"/>
      <c r="AL485" s="79"/>
      <c r="AM485" s="79"/>
      <c r="AN485" s="79"/>
      <c r="AO485" s="79"/>
      <c r="AP485" s="79"/>
      <c r="AQ485" s="82"/>
      <c r="AR485" s="83"/>
      <c r="AS485" s="84"/>
    </row>
    <row r="486" ht="21.25" customHeight="1">
      <c r="A486" s="85">
        <f>RANK(K486,K$1:K$665)</f>
        <v>473</v>
      </c>
      <c r="B486" t="s" s="16">
        <v>676</v>
      </c>
      <c r="C486" t="s" s="69">
        <v>127</v>
      </c>
      <c r="D486" t="s" s="70">
        <f>VLOOKUP(B486,'Player Data'!A1:D667,4,FALSE)</f>
        <v>153</v>
      </c>
      <c r="E486" s="95">
        <f>VLOOKUP(B486,'D'!A1:C213,3,FALSE)</f>
        <v>158</v>
      </c>
      <c r="F486" t="s" s="88">
        <f>VLOOKUP(B486,'Player Data'!A1:B667,2,FALSE)</f>
        <v>137</v>
      </c>
      <c r="G486" s="91">
        <f>VLOOKUP(B486,'Player Data'!A1:D667,3,FALSE)</f>
        <v>34</v>
      </c>
      <c r="H486" s="94">
        <f>_xlfn.IFERROR(VLOOKUP(B486,'ADP'!A1:G665,7,FALSE)/1000000,VLOOKUP(B486,'ADP'!A1:G665,7,FALSE))</f>
        <v>1.1</v>
      </c>
      <c r="I486" s="74">
        <f>IF('Settings'!$E$15="POINTS",((R486*Q486)*'Settings'!$B$12)+(S486*'Settings'!$B$2)+(T486*'Settings'!$B$3)+(U486*'Settings'!$B$4)+(V486*'Settings'!$B$5)+(X486*'Settings'!$B$9)+(AA486*'Settings'!$B$6)+(W486*'Settings'!$B$8)+(AB486*'Settings'!$B$7)+(AC486*'Settings'!$B$14)+(AD486*'Settings'!$B$15)+(AE486*'Settings'!$B$16)+(AF486*'Settings'!$B$17)+(AG486*'Settings'!$B$18)+(U486*'Settings'!$B$13)+(Y486*'Settings'!$B$10)+(Z486*'Settings'!$B$11),VLOOKUP(B486,'Standard Deviations'!A1:C666,3,FALSE))</f>
        <v>184.675337925402</v>
      </c>
      <c r="J486" s="75">
        <f>IF(D486="G",I486/AJ486,I486/Q486)</f>
        <v>2.59621604646824</v>
      </c>
      <c r="K486" s="74">
        <f>VLOOKUP(B486,'D'!A1:F213,6,FALSE)</f>
        <v>-146.864869994680</v>
      </c>
      <c r="L486" s="76">
        <f>_xlfn.IFERROR(K486/H486,"N/A")</f>
        <v>-133.513518176982</v>
      </c>
      <c r="M486" s="109">
        <f>IF('Settings'!$E$9="YAHOO",VLOOKUP(B486,'ADP'!A1:E665,2,FALSE),IF('Settings'!$E$9="ESPN",VLOOKUP(B486,'ADP'!A1:E665,3,FALSE),IF('Settings'!$E$9="FANTRAX",VLOOKUP(B486,'ADP'!A1:E665,4,FALSE),VLOOKUP(B486,'ADP'!A1:E665,5,FALSE))))</f>
        <v>0</v>
      </c>
      <c r="N486" s="79">
        <f>_xlfn.IFERROR(M486-A486,"N/A")</f>
        <v>-473</v>
      </c>
      <c r="O486" s="77"/>
      <c r="P486" t="s" s="78">
        <f>IF('Settings'!$E$27="ON",VLOOKUP(B486,'ADP'!A1:H665,8,FALSE)," ")</f>
        <v>138</v>
      </c>
      <c r="Q486" s="79">
        <f>IF('Settings'!$E$12="YES",VLOOKUP(B486,'Player Data'!A1:E667,5,FALSE),82)</f>
        <v>71.13249999999999</v>
      </c>
      <c r="R486" s="98">
        <f>VLOOKUP(B486,'Player Data'!$A1:$AE667,6,FALSE)</f>
        <v>15.8660415511094</v>
      </c>
      <c r="S486" s="79">
        <f>VLOOKUP(B486,'Player Data'!$A1:$AE667,7,FALSE)*$Q486*_xlfn.IFERROR((VLOOKUP(P486,'Settings'!$E$28:$F$33,2,FALSE)+1),1)</f>
        <v>3.96994525346915</v>
      </c>
      <c r="T486" s="79">
        <f>VLOOKUP(B486,'Player Data'!$A1:$AE667,8,FALSE)*$Q486*_xlfn.IFERROR((VLOOKUP(P486,'Settings'!$E$28:$F$33,2,FALSE)+1),1)</f>
        <v>9.094299920757299</v>
      </c>
      <c r="U486" s="79">
        <f>SUM(S486:T486)</f>
        <v>13.0642451742265</v>
      </c>
      <c r="V486" s="79">
        <f>VLOOKUP(B486,'Player Data'!$A1:$AE667,10,FALSE)*$Q486*_xlfn.IFERROR(((VLOOKUP(P486,'Settings'!$E$28:$F$33,2,FALSE)/2)+1),1)</f>
        <v>92.1994265567054</v>
      </c>
      <c r="W486" s="79">
        <f>VLOOKUP(B486,'Player Data'!$A1:$AE667,11,FALSE)*$Q486*_xlfn.IFERROR((VLOOKUP(P486,'Settings'!$E$28:$F$33,2,FALSE)+1),1)</f>
        <v>0.014222122902411</v>
      </c>
      <c r="X486" s="79">
        <f>VLOOKUP(B486,'Player Data'!$A1:$AE667,12,FALSE)*$Q486*_xlfn.IFERROR((VLOOKUP(P486,'Settings'!$E$28:$F$33,2,FALSE)+1),1)</f>
        <v>0.121196406451808</v>
      </c>
      <c r="Y486" s="79">
        <f>VLOOKUP(B486,'Player Data'!$A1:$AE667,13,FALSE)*$Q486</f>
        <v>0.0158840423753603</v>
      </c>
      <c r="Z486" s="79">
        <f>VLOOKUP(B486,'Player Data'!$A1:$AE667,14,FALSE)*$Q486</f>
        <v>0.418884183817444</v>
      </c>
      <c r="AA486" s="79">
        <f>VLOOKUP(B486,'Player Data'!$A1:$AE667,15,FALSE)*$Q486</f>
        <v>109.474851024890</v>
      </c>
      <c r="AB486" s="79">
        <f>VLOOKUP(B486,'Player Data'!$A1:$AE667,16,FALSE)*$Q486</f>
        <v>92.6513291894381</v>
      </c>
      <c r="AC486" s="79">
        <f>VLOOKUP(B486,'Player Data'!$A1:$AE667,17,FALSE)*$Q486*_xlfn.IFERROR((VLOOKUP(P486,'Settings'!$E$28:$F$33,2,FALSE)+1),1)</f>
        <v>-2.75800544492462</v>
      </c>
      <c r="AD486" s="79">
        <f>VLOOKUP(B486,'Player Data'!$A1:$AE667,18,FALSE)*$Q486</f>
        <v>38.4551942830492</v>
      </c>
      <c r="AE486" s="79">
        <f>VLOOKUP(B486,'Player Data'!$A1:$AE667,19,FALSE)*$Q486*_xlfn.IFERROR((VLOOKUP(P486,'Settings'!$E$28:$F$33,2,FALSE)+1),1)</f>
        <v>0.616390529663647</v>
      </c>
      <c r="AF486" s="79">
        <f>VLOOKUP(B486,'Player Data'!$A1:$AE667,20,FALSE)*$Q486</f>
        <v>0</v>
      </c>
      <c r="AG486" s="79">
        <f>VLOOKUP(B486,'Player Data'!$A1:$AE667,21,FALSE)*$Q486</f>
        <v>3.7173712908258e-05</v>
      </c>
      <c r="AH486" s="81">
        <f>VLOOKUP(B486,'Player Data'!$A1:$AE667,22,FALSE)</f>
        <v>0</v>
      </c>
      <c r="AI486" s="77"/>
      <c r="AJ486" s="79"/>
      <c r="AK486" s="79"/>
      <c r="AL486" s="79"/>
      <c r="AM486" s="79"/>
      <c r="AN486" s="79"/>
      <c r="AO486" s="79"/>
      <c r="AP486" s="79"/>
      <c r="AQ486" s="82"/>
      <c r="AR486" s="83"/>
      <c r="AS486" s="84"/>
    </row>
    <row r="487" ht="21.25" customHeight="1">
      <c r="A487" s="85">
        <f>RANK(K487,K$1:K$665)</f>
        <v>497</v>
      </c>
      <c r="B487" t="s" s="16">
        <v>677</v>
      </c>
      <c r="C487" t="s" s="69">
        <v>127</v>
      </c>
      <c r="D487" t="s" s="70">
        <f>VLOOKUP(B487,'Player Data'!A1:D667,4,FALSE)</f>
        <v>178</v>
      </c>
      <c r="E487" s="102">
        <f>VLOOKUP(B487,'LW'!A1:C152,3,FALSE)</f>
        <v>117</v>
      </c>
      <c r="F487" t="s" s="78">
        <f>VLOOKUP(B487,'Player Data'!A1:B667,2,FALSE)</f>
        <v>216</v>
      </c>
      <c r="G487" s="96">
        <f>VLOOKUP(B487,'Player Data'!A1:D667,3,FALSE)</f>
        <v>23</v>
      </c>
      <c r="H487" s="73">
        <f>_xlfn.IFERROR(VLOOKUP(B487,'ADP'!A1:G665,7,FALSE)/1000000,VLOOKUP(B487,'ADP'!A1:G665,7,FALSE))</f>
        <v>1.835</v>
      </c>
      <c r="I487" s="74">
        <f>IF('Settings'!$E$15="POINTS",((R487*Q487)*'Settings'!$B$12)+(S487*'Settings'!$B$2)+(T487*'Settings'!$B$3)+(U487*'Settings'!$B$4)+(V487*'Settings'!$B$5)+(X487*'Settings'!$B$9)+(AA487*'Settings'!$B$6)+(W487*'Settings'!$B$8)+(AB487*'Settings'!$B$7)+(AC487*'Settings'!$B$14)+(AD487*'Settings'!$B$15)+(AE487*'Settings'!$B$16)+(AF487*'Settings'!$B$17)+(AG487*'Settings'!$B$18)+(Y487*'Settings'!$B$10)+(Z487*'Settings'!$B$11),VLOOKUP(B487,'Standard Deviations'!A1:C666,3,FALSE))</f>
        <v>177.624466954397</v>
      </c>
      <c r="J487" s="75">
        <f>IF(D487="G",I487/AJ487,I487/Q487)</f>
        <v>2.74832843809991</v>
      </c>
      <c r="K487" s="74">
        <f>IF('Settings'!$E$18="C/LW/RW",VLOOKUP(B487,'LW'!A1:F152,6,FALSE),VLOOKUP(B487,'F'!A1:F392,6,FALSE))</f>
        <v>-154.095644811815</v>
      </c>
      <c r="L487" s="76">
        <f>_xlfn.IFERROR(K487/H487,"N/A")</f>
        <v>-83.9758282353215</v>
      </c>
      <c r="M487" s="109">
        <f>IF('Settings'!$E$9="YAHOO",VLOOKUP(B487,'ADP'!A1:E665,2,FALSE),IF('Settings'!$E$9="ESPN",VLOOKUP(B487,'ADP'!A1:E665,3,FALSE),IF('Settings'!$E$9="FANTRAX",VLOOKUP(B487,'ADP'!A1:E665,4,FALSE),VLOOKUP(B487,'ADP'!A1:E665,5,FALSE))))</f>
        <v>0</v>
      </c>
      <c r="N487" s="79">
        <f>_xlfn.IFERROR(M487-A487,"N/A")</f>
        <v>-497</v>
      </c>
      <c r="O487" s="77"/>
      <c r="P487" t="s" s="78">
        <f>IF('Settings'!$E$27="ON",VLOOKUP(B487,'ADP'!A1:H665,8,FALSE)," ")</f>
        <v>138</v>
      </c>
      <c r="Q487" s="79">
        <f>IF('Settings'!$E$12="YES",VLOOKUP(B487,'Player Data'!A1:E667,5,FALSE),82)</f>
        <v>64.63</v>
      </c>
      <c r="R487" s="98">
        <f>VLOOKUP(B487,'Player Data'!$A1:$AE667,6,FALSE)</f>
        <v>14.6131877009357</v>
      </c>
      <c r="S487" s="79">
        <f>VLOOKUP(B487,'Player Data'!$A1:$AE667,7,FALSE)*$Q487*_xlfn.IFERROR((VLOOKUP(P487,'Settings'!$E$28:$F$33,2,FALSE)+1),1)</f>
        <v>19.6334905871081</v>
      </c>
      <c r="T487" s="79">
        <f>VLOOKUP(B487,'Player Data'!$A1:$AE667,8,FALSE)*$Q487*_xlfn.IFERROR((VLOOKUP(P487,'Settings'!$E$28:$F$33,2,FALSE)+1),1)</f>
        <v>16.6001274535734</v>
      </c>
      <c r="U487" s="79">
        <f>SUM(S487:T487)</f>
        <v>36.2336180406815</v>
      </c>
      <c r="V487" s="79">
        <f>VLOOKUP(B487,'Player Data'!$A1:$AE667,10,FALSE)*$Q487*_xlfn.IFERROR(((VLOOKUP(P487,'Settings'!$E$28:$F$33,2,FALSE)/2)+1),1)</f>
        <v>139.396817969893</v>
      </c>
      <c r="W487" s="79">
        <f>VLOOKUP(B487,'Player Data'!$A1:$AE667,11,FALSE)*$Q487*_xlfn.IFERROR((VLOOKUP(P487,'Settings'!$E$28:$F$33,2,FALSE)+1),1)</f>
        <v>0.642867521128652</v>
      </c>
      <c r="X487" s="79">
        <f>VLOOKUP(B487,'Player Data'!$A1:$AE667,12,FALSE)*$Q487*_xlfn.IFERROR((VLOOKUP(P487,'Settings'!$E$28:$F$33,2,FALSE)+1),1)</f>
        <v>1.51469859816609</v>
      </c>
      <c r="Y487" s="79">
        <f>VLOOKUP(B487,'Player Data'!$A1:$AE667,13,FALSE)*$Q487</f>
        <v>0.00257422638441642</v>
      </c>
      <c r="Z487" s="79">
        <f>VLOOKUP(B487,'Player Data'!$A1:$AE667,14,FALSE)*$Q487</f>
        <v>0.00436543894604117</v>
      </c>
      <c r="AA487" s="79">
        <f>VLOOKUP(B487,'Player Data'!$A1:$AE667,15,FALSE)*$Q487</f>
        <v>34.8966783525112</v>
      </c>
      <c r="AB487" s="79">
        <f>VLOOKUP(B487,'Player Data'!$A1:$AE667,16,FALSE)*$Q487</f>
        <v>36.2068771418064</v>
      </c>
      <c r="AC487" s="79">
        <f>VLOOKUP(B487,'Player Data'!$A1:$AE667,17,FALSE)*$Q487*_xlfn.IFERROR((VLOOKUP(P487,'Settings'!$E$28:$F$33,2,FALSE)+1),1)</f>
        <v>3.27421656558089</v>
      </c>
      <c r="AD487" s="79">
        <f>VLOOKUP(B487,'Player Data'!$A1:$AE667,18,FALSE)*$Q487</f>
        <v>22.4807894333131</v>
      </c>
      <c r="AE487" s="79">
        <f>VLOOKUP(B487,'Player Data'!$A1:$AE667,19,FALSE)*$Q487*_xlfn.IFERROR((VLOOKUP(P487,'Settings'!$E$28:$F$33,2,FALSE)+1),1)</f>
        <v>2.98627922508324</v>
      </c>
      <c r="AF487" s="79">
        <f>VLOOKUP(B487,'Player Data'!$A1:$AE667,20,FALSE)*$Q487</f>
        <v>2.16100656603555</v>
      </c>
      <c r="AG487" s="79">
        <f>VLOOKUP(B487,'Player Data'!$A1:$AE667,21,FALSE)*$Q487</f>
        <v>3.68554208664123</v>
      </c>
      <c r="AH487" s="81">
        <f>VLOOKUP(B487,'Player Data'!$A1:$AE667,22,FALSE)</f>
        <v>0.369620898484468</v>
      </c>
      <c r="AI487" s="77"/>
      <c r="AJ487" s="79"/>
      <c r="AK487" s="79"/>
      <c r="AL487" s="79"/>
      <c r="AM487" s="79"/>
      <c r="AN487" s="79"/>
      <c r="AO487" s="79"/>
      <c r="AP487" s="79"/>
      <c r="AQ487" s="82"/>
      <c r="AR487" s="83"/>
      <c r="AS487" s="84"/>
    </row>
    <row r="488" ht="21.25" customHeight="1">
      <c r="A488" s="85">
        <f>RANK(K488,K$1:K$665)</f>
        <v>507</v>
      </c>
      <c r="B488" t="s" s="16">
        <v>678</v>
      </c>
      <c r="C488" t="s" s="69">
        <v>127</v>
      </c>
      <c r="D488" t="s" s="70">
        <f>VLOOKUP(B488,'Player Data'!A1:D667,4,FALSE)</f>
        <v>128</v>
      </c>
      <c r="E488" s="71">
        <f>VLOOKUP(B488,'C'!A1:C206,3,FALSE)</f>
        <v>147</v>
      </c>
      <c r="F488" t="s" s="104">
        <f>VLOOKUP(B488,'Player Data'!A1:B667,2,FALSE)</f>
        <v>333</v>
      </c>
      <c r="G488" s="11">
        <f>VLOOKUP(B488,'Player Data'!A1:D667,3,FALSE)</f>
        <v>26</v>
      </c>
      <c r="H488" s="94">
        <f>_xlfn.IFERROR(VLOOKUP(B488,'ADP'!A1:G665,7,FALSE)/1000000,VLOOKUP(B488,'ADP'!A1:G665,7,FALSE))</f>
        <v>2.75</v>
      </c>
      <c r="I488" s="74">
        <f>IF('Settings'!$E$15="POINTS",((R488*Q488)*'Settings'!$B$12)+(S488*'Settings'!$B$2)+(T488*'Settings'!$B$3)+(U488*'Settings'!$B$4)+(V488*'Settings'!$B$5)+(X488*'Settings'!$B$9)+(AA488*'Settings'!$B$6)+(W488*'Settings'!$B$8)+(AB488*'Settings'!$B$7)+(AC488*'Settings'!$B$14)+(AD488*'Settings'!$B$15)+(AE488*'Settings'!$B$16)+(AF488*'Settings'!$B$17)+(AG488*'Settings'!$B$18)+(Y488*'Settings'!$B$10)+(Z488*'Settings'!$B$11),VLOOKUP(B488,'Standard Deviations'!A1:C666,3,FALSE))</f>
        <v>171.119176589080</v>
      </c>
      <c r="J488" s="75">
        <f>IF(D488="G",I488/AJ488,I488/Q488)</f>
        <v>2.30836606757156</v>
      </c>
      <c r="K488" s="74">
        <f>IF('Settings'!$E$18="C/LW/RW",VLOOKUP(B488,'C'!A1:F206,6,FALSE),VLOOKUP(B488,'F'!A1:F392,6,FALSE))</f>
        <v>-158.572717492098</v>
      </c>
      <c r="L488" s="76">
        <f>_xlfn.IFERROR(K488/H488,"N/A")</f>
        <v>-57.6628063607629</v>
      </c>
      <c r="M488" s="109">
        <f>IF('Settings'!$E$9="YAHOO",VLOOKUP(B488,'ADP'!A1:E665,2,FALSE),IF('Settings'!$E$9="ESPN",VLOOKUP(B488,'ADP'!A1:E665,3,FALSE),IF('Settings'!$E$9="FANTRAX",VLOOKUP(B488,'ADP'!A1:E665,4,FALSE),VLOOKUP(B488,'ADP'!A1:E665,5,FALSE))))</f>
        <v>0</v>
      </c>
      <c r="N488" s="79">
        <f>_xlfn.IFERROR(M488-A488,"N/A")</f>
        <v>-507</v>
      </c>
      <c r="O488" s="77"/>
      <c r="P488" t="s" s="78">
        <f>IF('Settings'!$E$27="ON",VLOOKUP(B488,'ADP'!A1:H665,8,FALSE)," ")</f>
        <v>138</v>
      </c>
      <c r="Q488" s="79">
        <f>IF('Settings'!$E$12="YES",VLOOKUP(B488,'Player Data'!A1:E667,5,FALSE),82)</f>
        <v>74.13</v>
      </c>
      <c r="R488" s="108">
        <f>VLOOKUP(B488,'Player Data'!$A1:$AE667,6,FALSE)</f>
        <v>12.7538652974937</v>
      </c>
      <c r="S488" s="79">
        <f>VLOOKUP(B488,'Player Data'!$A1:$AE667,7,FALSE)*$Q488*_xlfn.IFERROR((VLOOKUP(P488,'Settings'!$E$28:$F$33,2,FALSE)+1),1)</f>
        <v>9.516781281082899</v>
      </c>
      <c r="T488" s="79">
        <f>VLOOKUP(B488,'Player Data'!$A1:$AE667,8,FALSE)*$Q488*_xlfn.IFERROR((VLOOKUP(P488,'Settings'!$E$28:$F$33,2,FALSE)+1),1)</f>
        <v>8.63206351245414</v>
      </c>
      <c r="U488" s="79">
        <f>SUM(S488:T488)</f>
        <v>18.148844793537</v>
      </c>
      <c r="V488" s="79">
        <f>VLOOKUP(B488,'Player Data'!$A1:$AE667,10,FALSE)*$Q488*_xlfn.IFERROR(((VLOOKUP(P488,'Settings'!$E$28:$F$33,2,FALSE)/2)+1),1)</f>
        <v>87.7326445619258</v>
      </c>
      <c r="W488" s="79">
        <f>VLOOKUP(B488,'Player Data'!$A1:$AE667,11,FALSE)*$Q488*_xlfn.IFERROR((VLOOKUP(P488,'Settings'!$E$28:$F$33,2,FALSE)+1),1)</f>
        <v>1.06704913687091</v>
      </c>
      <c r="X488" s="79">
        <f>VLOOKUP(B488,'Player Data'!$A1:$AE667,12,FALSE)*$Q488*_xlfn.IFERROR((VLOOKUP(P488,'Settings'!$E$28:$F$33,2,FALSE)+1),1)</f>
        <v>2.67483309566844</v>
      </c>
      <c r="Y488" s="79">
        <f>VLOOKUP(B488,'Player Data'!$A1:$AE667,13,FALSE)*$Q488</f>
        <v>0.0562818049100323</v>
      </c>
      <c r="Z488" s="79">
        <f>VLOOKUP(B488,'Player Data'!$A1:$AE667,14,FALSE)*$Q488</f>
        <v>0.0958782005773165</v>
      </c>
      <c r="AA488" s="79">
        <f>VLOOKUP(B488,'Player Data'!$A1:$AE667,15,FALSE)*$Q488</f>
        <v>43.6423462588935</v>
      </c>
      <c r="AB488" s="79">
        <f>VLOOKUP(B488,'Player Data'!$A1:$AE667,16,FALSE)*$Q488</f>
        <v>128.560233715629</v>
      </c>
      <c r="AC488" s="79">
        <f>VLOOKUP(B488,'Player Data'!$A1:$AE667,17,FALSE)*$Q488*_xlfn.IFERROR((VLOOKUP(P488,'Settings'!$E$28:$F$33,2,FALSE)+1),1)</f>
        <v>-10.6185189649106</v>
      </c>
      <c r="AD488" s="79">
        <f>VLOOKUP(B488,'Player Data'!$A1:$AE667,18,FALSE)*$Q488</f>
        <v>59.5367218548892</v>
      </c>
      <c r="AE488" s="79">
        <f>VLOOKUP(B488,'Player Data'!$A1:$AE667,19,FALSE)*$Q488*_xlfn.IFERROR((VLOOKUP(P488,'Settings'!$E$28:$F$33,2,FALSE)+1),1)</f>
        <v>1.01648859745177</v>
      </c>
      <c r="AF488" s="79">
        <f>VLOOKUP(B488,'Player Data'!$A1:$AE667,20,FALSE)*$Q488</f>
        <v>137.137505447065</v>
      </c>
      <c r="AG488" s="79">
        <f>VLOOKUP(B488,'Player Data'!$A1:$AE667,21,FALSE)*$Q488</f>
        <v>172.021903675009</v>
      </c>
      <c r="AH488" s="81">
        <f>VLOOKUP(B488,'Player Data'!$A1:$AE667,22,FALSE)</f>
        <v>0.443581859069071</v>
      </c>
      <c r="AI488" s="77"/>
      <c r="AJ488" s="79"/>
      <c r="AK488" s="79"/>
      <c r="AL488" s="79"/>
      <c r="AM488" s="79"/>
      <c r="AN488" s="79"/>
      <c r="AO488" s="79"/>
      <c r="AP488" s="79"/>
      <c r="AQ488" s="82"/>
      <c r="AR488" s="83"/>
      <c r="AS488" s="84"/>
    </row>
    <row r="489" ht="21.25" customHeight="1">
      <c r="A489" s="85">
        <f>RANK(K489,K$1:K$665)</f>
        <v>478</v>
      </c>
      <c r="B489" t="s" s="16">
        <v>679</v>
      </c>
      <c r="C489" t="s" s="69">
        <v>127</v>
      </c>
      <c r="D489" t="s" s="70">
        <f>VLOOKUP(B489,'Player Data'!A1:D667,4,FALSE)</f>
        <v>153</v>
      </c>
      <c r="E489" s="95">
        <f>VLOOKUP(B489,'D'!A1:C213,3,FALSE)</f>
        <v>159</v>
      </c>
      <c r="F489" t="s" s="103">
        <f>VLOOKUP(B489,'Player Data'!A1:B667,2,FALSE)</f>
        <v>182</v>
      </c>
      <c r="G489" s="91">
        <f>VLOOKUP(B489,'Player Data'!A1:D667,3,FALSE)</f>
        <v>34</v>
      </c>
      <c r="H489" s="73">
        <f>_xlfn.IFERROR(VLOOKUP(B489,'ADP'!A1:G665,7,FALSE)/1000000,VLOOKUP(B489,'ADP'!A1:G665,7,FALSE))</f>
        <v>1.25</v>
      </c>
      <c r="I489" s="74">
        <f>IF('Settings'!$E$15="POINTS",((R489*Q489)*'Settings'!$B$12)+(S489*'Settings'!$B$2)+(T489*'Settings'!$B$3)+(U489*'Settings'!$B$4)+(V489*'Settings'!$B$5)+(X489*'Settings'!$B$9)+(AA489*'Settings'!$B$6)+(W489*'Settings'!$B$8)+(AB489*'Settings'!$B$7)+(AC489*'Settings'!$B$14)+(AD489*'Settings'!$B$15)+(AE489*'Settings'!$B$16)+(AF489*'Settings'!$B$17)+(AG489*'Settings'!$B$18)+(U489*'Settings'!$B$13)+(Y489*'Settings'!$B$10)+(Z489*'Settings'!$B$11),VLOOKUP(B489,'Standard Deviations'!A1:C666,3,FALSE))</f>
        <v>182.926765207971</v>
      </c>
      <c r="J489" s="75">
        <f>IF(D489="G",I489/AJ489,I489/Q489)</f>
        <v>2.58873893802188</v>
      </c>
      <c r="K489" s="74">
        <f>VLOOKUP(B489,'D'!A1:F213,6,FALSE)</f>
        <v>-148.613442712111</v>
      </c>
      <c r="L489" s="76">
        <f>_xlfn.IFERROR(K489/H489,"N/A")</f>
        <v>-118.890754169689</v>
      </c>
      <c r="M489" s="109">
        <f>IF('Settings'!$E$9="YAHOO",VLOOKUP(B489,'ADP'!A1:E665,2,FALSE),IF('Settings'!$E$9="ESPN",VLOOKUP(B489,'ADP'!A1:E665,3,FALSE),IF('Settings'!$E$9="FANTRAX",VLOOKUP(B489,'ADP'!A1:E665,4,FALSE),VLOOKUP(B489,'ADP'!A1:E665,5,FALSE))))</f>
        <v>0</v>
      </c>
      <c r="N489" s="79">
        <f>_xlfn.IFERROR(M489-A489,"N/A")</f>
        <v>-478</v>
      </c>
      <c r="O489" s="77"/>
      <c r="P489" t="s" s="78">
        <f>IF('Settings'!$E$27="ON",VLOOKUP(B489,'ADP'!A1:H665,8,FALSE)," ")</f>
        <v>138</v>
      </c>
      <c r="Q489" s="79">
        <f>IF('Settings'!$E$12="YES",VLOOKUP(B489,'Player Data'!A1:E667,5,FALSE),82)</f>
        <v>70.66249999999999</v>
      </c>
      <c r="R489" s="77">
        <f>VLOOKUP(B489,'Player Data'!$A1:$AE667,6,FALSE)</f>
        <v>17.2676238651163</v>
      </c>
      <c r="S489" s="79">
        <f>VLOOKUP(B489,'Player Data'!$A1:$AE667,7,FALSE)*$Q489*_xlfn.IFERROR((VLOOKUP(P489,'Settings'!$E$28:$F$33,2,FALSE)+1),1)</f>
        <v>2.6834260889313</v>
      </c>
      <c r="T489" s="79">
        <f>VLOOKUP(B489,'Player Data'!$A1:$AE667,8,FALSE)*$Q489*_xlfn.IFERROR((VLOOKUP(P489,'Settings'!$E$28:$F$33,2,FALSE)+1),1)</f>
        <v>9.53964304808729</v>
      </c>
      <c r="U489" s="79">
        <f>SUM(S489:T489)</f>
        <v>12.2230691370186</v>
      </c>
      <c r="V489" s="79">
        <f>VLOOKUP(B489,'Player Data'!$A1:$AE667,10,FALSE)*$Q489*_xlfn.IFERROR(((VLOOKUP(P489,'Settings'!$E$28:$F$33,2,FALSE)/2)+1),1)</f>
        <v>84.574971628773</v>
      </c>
      <c r="W489" s="79">
        <f>VLOOKUP(B489,'Player Data'!$A1:$AE667,11,FALSE)*$Q489*_xlfn.IFERROR((VLOOKUP(P489,'Settings'!$E$28:$F$33,2,FALSE)+1),1)</f>
        <v>0.0180495866373013</v>
      </c>
      <c r="X489" s="79">
        <f>VLOOKUP(B489,'Player Data'!$A1:$AE667,12,FALSE)*$Q489*_xlfn.IFERROR((VLOOKUP(P489,'Settings'!$E$28:$F$33,2,FALSE)+1),1)</f>
        <v>0.122255559818223</v>
      </c>
      <c r="Y489" s="79">
        <f>VLOOKUP(B489,'Player Data'!$A1:$AE667,13,FALSE)*$Q489</f>
        <v>0.0160768871060343</v>
      </c>
      <c r="Z489" s="79">
        <f>VLOOKUP(B489,'Player Data'!$A1:$AE667,14,FALSE)*$Q489</f>
        <v>0.401188967367465</v>
      </c>
      <c r="AA489" s="79">
        <f>VLOOKUP(B489,'Player Data'!$A1:$AE667,15,FALSE)*$Q489</f>
        <v>88.7886021643744</v>
      </c>
      <c r="AB489" s="79">
        <f>VLOOKUP(B489,'Player Data'!$A1:$AE667,16,FALSE)*$Q489</f>
        <v>124.753774055613</v>
      </c>
      <c r="AC489" s="79">
        <f>VLOOKUP(B489,'Player Data'!$A1:$AE667,17,FALSE)*$Q489*_xlfn.IFERROR((VLOOKUP(P489,'Settings'!$E$28:$F$33,2,FALSE)+1),1)</f>
        <v>0.256013965111106</v>
      </c>
      <c r="AD489" s="79">
        <f>VLOOKUP(B489,'Player Data'!$A1:$AE667,18,FALSE)*$Q489</f>
        <v>43.6707286593288</v>
      </c>
      <c r="AE489" s="79">
        <f>VLOOKUP(B489,'Player Data'!$A1:$AE667,19,FALSE)*$Q489*_xlfn.IFERROR((VLOOKUP(P489,'Settings'!$E$28:$F$33,2,FALSE)+1),1)</f>
        <v>0.442977636255399</v>
      </c>
      <c r="AF489" s="79">
        <f>VLOOKUP(B489,'Player Data'!$A1:$AE667,20,FALSE)*$Q489</f>
        <v>0.0454937716863273</v>
      </c>
      <c r="AG489" s="79">
        <f>VLOOKUP(B489,'Player Data'!$A1:$AE667,21,FALSE)*$Q489</f>
        <v>0.127098204950218</v>
      </c>
      <c r="AH489" s="81">
        <f>VLOOKUP(B489,'Player Data'!$A1:$AE667,22,FALSE)</f>
        <v>0.263591463362929</v>
      </c>
      <c r="AI489" s="77"/>
      <c r="AJ489" s="79"/>
      <c r="AK489" s="79"/>
      <c r="AL489" s="79"/>
      <c r="AM489" s="79"/>
      <c r="AN489" s="79"/>
      <c r="AO489" s="79"/>
      <c r="AP489" s="79"/>
      <c r="AQ489" s="82"/>
      <c r="AR489" s="83"/>
      <c r="AS489" s="84"/>
    </row>
    <row r="490" ht="21.25" customHeight="1">
      <c r="A490" s="85">
        <f>RANK(K490,K$1:K$665)</f>
        <v>480</v>
      </c>
      <c r="B490" t="s" s="16">
        <v>680</v>
      </c>
      <c r="C490" t="s" s="69">
        <v>127</v>
      </c>
      <c r="D490" t="s" s="70">
        <f>VLOOKUP(B490,'Player Data'!A1:D667,4,FALSE)</f>
        <v>153</v>
      </c>
      <c r="E490" s="95">
        <f>VLOOKUP(B490,'D'!A1:C213,3,FALSE)</f>
        <v>160</v>
      </c>
      <c r="F490" t="s" s="86">
        <f>VLOOKUP(B490,'Player Data'!A1:B667,2,FALSE)</f>
        <v>149</v>
      </c>
      <c r="G490" s="96">
        <f>VLOOKUP(B490,'Player Data'!A1:D667,3,FALSE)</f>
        <v>24</v>
      </c>
      <c r="H490" s="94">
        <f>_xlfn.IFERROR(VLOOKUP(B490,'ADP'!A1:G665,7,FALSE)/1000000,VLOOKUP(B490,'ADP'!A1:G665,7,FALSE))</f>
        <v>0.775</v>
      </c>
      <c r="I490" s="74">
        <f>IF('Settings'!$E$15="POINTS",((R490*Q490)*'Settings'!$B$12)+(S490*'Settings'!$B$2)+(T490*'Settings'!$B$3)+(U490*'Settings'!$B$4)+(V490*'Settings'!$B$5)+(X490*'Settings'!$B$9)+(AA490*'Settings'!$B$6)+(W490*'Settings'!$B$8)+(AB490*'Settings'!$B$7)+(AC490*'Settings'!$B$14)+(AD490*'Settings'!$B$15)+(AE490*'Settings'!$B$16)+(AF490*'Settings'!$B$17)+(AG490*'Settings'!$B$18)+(U490*'Settings'!$B$13)+(Y490*'Settings'!$B$10)+(Z490*'Settings'!$B$11),VLOOKUP(B490,'Standard Deviations'!A1:C666,3,FALSE))</f>
        <v>182.648494294366</v>
      </c>
      <c r="J490" s="75">
        <f>IF(D490="G",I490/AJ490,I490/Q490)</f>
        <v>2.7784520904258</v>
      </c>
      <c r="K490" s="74">
        <f>VLOOKUP(B490,'D'!A1:F213,6,FALSE)</f>
        <v>-148.891713625716</v>
      </c>
      <c r="L490" s="76">
        <f>_xlfn.IFERROR(K490/H490,"N/A")</f>
        <v>-192.118340162214</v>
      </c>
      <c r="M490" s="109">
        <f>IF('Settings'!$E$9="YAHOO",VLOOKUP(B490,'ADP'!A1:E665,2,FALSE),IF('Settings'!$E$9="ESPN",VLOOKUP(B490,'ADP'!A1:E665,3,FALSE),IF('Settings'!$E$9="FANTRAX",VLOOKUP(B490,'ADP'!A1:E665,4,FALSE),VLOOKUP(B490,'ADP'!A1:E665,5,FALSE))))</f>
        <v>0</v>
      </c>
      <c r="N490" s="79">
        <f>_xlfn.IFERROR(M490-A490,"N/A")</f>
        <v>-480</v>
      </c>
      <c r="O490" s="77"/>
      <c r="P490" t="s" s="78">
        <f>IF('Settings'!$E$27="ON",VLOOKUP(B490,'ADP'!A1:H665,8,FALSE)," ")</f>
        <v>138</v>
      </c>
      <c r="Q490" s="79">
        <f>IF('Settings'!$E$12="YES",VLOOKUP(B490,'Player Data'!A1:E667,5,FALSE),82)</f>
        <v>65.7375</v>
      </c>
      <c r="R490" s="77">
        <f>VLOOKUP(B490,'Player Data'!$A1:$AE667,6,FALSE)</f>
        <v>18.9984364827877</v>
      </c>
      <c r="S490" s="79">
        <f>VLOOKUP(B490,'Player Data'!$A1:$AE667,7,FALSE)*$Q490*_xlfn.IFERROR((VLOOKUP(P490,'Settings'!$E$28:$F$33,2,FALSE)+1),1)</f>
        <v>6.90867622019254</v>
      </c>
      <c r="T490" s="79">
        <f>VLOOKUP(B490,'Player Data'!$A1:$AE667,8,FALSE)*$Q490*_xlfn.IFERROR((VLOOKUP(P490,'Settings'!$E$28:$F$33,2,FALSE)+1),1)</f>
        <v>22.280106565364</v>
      </c>
      <c r="U490" s="79">
        <f>SUM(S490:T490)</f>
        <v>29.1887827855565</v>
      </c>
      <c r="V490" s="79">
        <f>VLOOKUP(B490,'Player Data'!$A1:$AE667,10,FALSE)*$Q490*_xlfn.IFERROR(((VLOOKUP(P490,'Settings'!$E$28:$F$33,2,FALSE)/2)+1),1)</f>
        <v>94.4494344582621</v>
      </c>
      <c r="W490" s="79">
        <f>VLOOKUP(B490,'Player Data'!$A1:$AE667,11,FALSE)*$Q490*_xlfn.IFERROR((VLOOKUP(P490,'Settings'!$E$28:$F$33,2,FALSE)+1),1)</f>
        <v>1.54280692251115</v>
      </c>
      <c r="X490" s="101">
        <f>VLOOKUP(B490,'Player Data'!$A1:$AE667,12,FALSE)*$Q490*_xlfn.IFERROR((VLOOKUP(P490,'Settings'!$E$28:$F$33,2,FALSE)+1),1)</f>
        <v>12.2497110763556</v>
      </c>
      <c r="Y490" s="79">
        <f>VLOOKUP(B490,'Player Data'!$A1:$AE667,13,FALSE)*$Q490</f>
        <v>0.00363475077859788</v>
      </c>
      <c r="Z490" s="79">
        <f>VLOOKUP(B490,'Player Data'!$A1:$AE667,14,FALSE)*$Q490</f>
        <v>0.0178305995574068</v>
      </c>
      <c r="AA490" s="79">
        <f>VLOOKUP(B490,'Player Data'!$A1:$AE667,15,FALSE)*$Q490</f>
        <v>79.6552875486648</v>
      </c>
      <c r="AB490" s="79">
        <f>VLOOKUP(B490,'Player Data'!$A1:$AE667,16,FALSE)*$Q490</f>
        <v>50.8846843990988</v>
      </c>
      <c r="AC490" s="79">
        <f>VLOOKUP(B490,'Player Data'!$A1:$AE667,17,FALSE)*$Q490*_xlfn.IFERROR((VLOOKUP(P490,'Settings'!$E$28:$F$33,2,FALSE)+1),1)</f>
        <v>-6.5995791019404</v>
      </c>
      <c r="AD490" s="79">
        <f>VLOOKUP(B490,'Player Data'!$A1:$AE667,18,FALSE)*$Q490</f>
        <v>15.8872019052873</v>
      </c>
      <c r="AE490" s="79">
        <f>VLOOKUP(B490,'Player Data'!$A1:$AE667,19,FALSE)*$Q490*_xlfn.IFERROR((VLOOKUP(P490,'Settings'!$E$28:$F$33,2,FALSE)+1),1)</f>
        <v>1.17697403667513</v>
      </c>
      <c r="AF490" s="79">
        <f>VLOOKUP(B490,'Player Data'!$A1:$AE667,20,FALSE)*$Q490</f>
        <v>0</v>
      </c>
      <c r="AG490" s="79">
        <f>VLOOKUP(B490,'Player Data'!$A1:$AE667,21,FALSE)*$Q490</f>
        <v>0</v>
      </c>
      <c r="AH490" s="81">
        <f>VLOOKUP(B490,'Player Data'!$A1:$AE667,22,FALSE)</f>
        <v>0</v>
      </c>
      <c r="AI490" s="77"/>
      <c r="AJ490" s="79"/>
      <c r="AK490" s="79"/>
      <c r="AL490" s="79"/>
      <c r="AM490" s="79"/>
      <c r="AN490" s="79"/>
      <c r="AO490" s="79"/>
      <c r="AP490" s="79"/>
      <c r="AQ490" s="82"/>
      <c r="AR490" s="83"/>
      <c r="AS490" s="84"/>
    </row>
    <row r="491" ht="21.25" customHeight="1">
      <c r="A491" s="85">
        <f>RANK(K491,K$1:K$665)</f>
        <v>481</v>
      </c>
      <c r="B491" t="s" s="16">
        <v>681</v>
      </c>
      <c r="C491" t="s" s="69">
        <v>127</v>
      </c>
      <c r="D491" t="s" s="70">
        <f>VLOOKUP(B491,'Player Data'!A1:D667,4,FALSE)</f>
        <v>153</v>
      </c>
      <c r="E491" s="95">
        <f>VLOOKUP(B491,'D'!A1:C213,3,FALSE)</f>
        <v>161</v>
      </c>
      <c r="F491" t="s" s="86">
        <f>VLOOKUP(B491,'Player Data'!A1:B667,2,FALSE)</f>
        <v>174</v>
      </c>
      <c r="G491" s="11">
        <f>VLOOKUP(B491,'Player Data'!A1:D667,3,FALSE)</f>
        <v>25</v>
      </c>
      <c r="H491" s="94">
        <f>_xlfn.IFERROR(VLOOKUP(B491,'ADP'!A1:G665,7,FALSE)/1000000,VLOOKUP(B491,'ADP'!A1:G665,7,FALSE))</f>
        <v>0.775</v>
      </c>
      <c r="I491" s="74">
        <f>IF('Settings'!$E$15="POINTS",((R491*Q491)*'Settings'!$B$12)+(S491*'Settings'!$B$2)+(T491*'Settings'!$B$3)+(U491*'Settings'!$B$4)+(V491*'Settings'!$B$5)+(X491*'Settings'!$B$9)+(AA491*'Settings'!$B$6)+(W491*'Settings'!$B$8)+(AB491*'Settings'!$B$7)+(AC491*'Settings'!$B$14)+(AD491*'Settings'!$B$15)+(AE491*'Settings'!$B$16)+(AF491*'Settings'!$B$17)+(AG491*'Settings'!$B$18)+(U491*'Settings'!$B$13)+(Y491*'Settings'!$B$10)+(Z491*'Settings'!$B$11),VLOOKUP(B491,'Standard Deviations'!A1:C666,3,FALSE))</f>
        <v>182.451960423081</v>
      </c>
      <c r="J491" s="75">
        <f>IF(D491="G",I491/AJ491,I491/Q491)</f>
        <v>2.79085216708346</v>
      </c>
      <c r="K491" s="74">
        <f>VLOOKUP(B491,'D'!A1:F213,6,FALSE)</f>
        <v>-149.088247497001</v>
      </c>
      <c r="L491" s="76">
        <f>_xlfn.IFERROR(K491/H491,"N/A")</f>
        <v>-192.371932254195</v>
      </c>
      <c r="M491" s="109">
        <f>IF('Settings'!$E$9="YAHOO",VLOOKUP(B491,'ADP'!A1:E665,2,FALSE),IF('Settings'!$E$9="ESPN",VLOOKUP(B491,'ADP'!A1:E665,3,FALSE),IF('Settings'!$E$9="FANTRAX",VLOOKUP(B491,'ADP'!A1:E665,4,FALSE),VLOOKUP(B491,'ADP'!A1:E665,5,FALSE))))</f>
        <v>0</v>
      </c>
      <c r="N491" s="79">
        <f>_xlfn.IFERROR(M491-A491,"N/A")</f>
        <v>-481</v>
      </c>
      <c r="O491" s="77"/>
      <c r="P491" t="s" s="78">
        <f>IF('Settings'!$E$27="ON",VLOOKUP(B491,'ADP'!A1:H665,8,FALSE)," ")</f>
        <v>138</v>
      </c>
      <c r="Q491" s="79">
        <f>IF('Settings'!$E$12="YES",VLOOKUP(B491,'Player Data'!A1:E667,5,FALSE),82)</f>
        <v>65.375</v>
      </c>
      <c r="R491" s="77">
        <f>VLOOKUP(B491,'Player Data'!$A1:$AE667,6,FALSE)</f>
        <v>15.0296302942423</v>
      </c>
      <c r="S491" s="79">
        <f>VLOOKUP(B491,'Player Data'!$A1:$AE667,7,FALSE)*$Q491*_xlfn.IFERROR((VLOOKUP(P491,'Settings'!$E$28:$F$33,2,FALSE)+1),1)</f>
        <v>2.62562202667196</v>
      </c>
      <c r="T491" s="79">
        <f>VLOOKUP(B491,'Player Data'!$A1:$AE667,8,FALSE)*$Q491*_xlfn.IFERROR((VLOOKUP(P491,'Settings'!$E$28:$F$33,2,FALSE)+1),1)</f>
        <v>8.59315811522826</v>
      </c>
      <c r="U491" s="79">
        <f>SUM(S491:T491)</f>
        <v>11.2187801419002</v>
      </c>
      <c r="V491" s="79">
        <f>VLOOKUP(B491,'Player Data'!$A1:$AE667,10,FALSE)*$Q491*_xlfn.IFERROR(((VLOOKUP(P491,'Settings'!$E$28:$F$33,2,FALSE)/2)+1),1)</f>
        <v>69.61971325356021</v>
      </c>
      <c r="W491" s="79">
        <f>VLOOKUP(B491,'Player Data'!$A1:$AE667,11,FALSE)*$Q491*_xlfn.IFERROR((VLOOKUP(P491,'Settings'!$E$28:$F$33,2,FALSE)+1),1)</f>
        <v>0.0111370613426708</v>
      </c>
      <c r="X491" s="79">
        <f>VLOOKUP(B491,'Player Data'!$A1:$AE667,12,FALSE)*$Q491*_xlfn.IFERROR((VLOOKUP(P491,'Settings'!$E$28:$F$33,2,FALSE)+1),1)</f>
        <v>0.07133390855953969</v>
      </c>
      <c r="Y491" s="79">
        <f>VLOOKUP(B491,'Player Data'!$A1:$AE667,13,FALSE)*$Q491</f>
        <v>0.041447403561174</v>
      </c>
      <c r="Z491" s="79">
        <f>VLOOKUP(B491,'Player Data'!$A1:$AE667,14,FALSE)*$Q491</f>
        <v>0.978066535445686</v>
      </c>
      <c r="AA491" s="79">
        <f>VLOOKUP(B491,'Player Data'!$A1:$AE667,15,FALSE)*$Q491</f>
        <v>85.7897497334895</v>
      </c>
      <c r="AB491" s="79">
        <f>VLOOKUP(B491,'Player Data'!$A1:$AE667,16,FALSE)*$Q491</f>
        <v>135.633199099887</v>
      </c>
      <c r="AC491" s="79">
        <f>VLOOKUP(B491,'Player Data'!$A1:$AE667,17,FALSE)*$Q491*_xlfn.IFERROR((VLOOKUP(P491,'Settings'!$E$28:$F$33,2,FALSE)+1),1)</f>
        <v>-0.517072383521413</v>
      </c>
      <c r="AD491" s="79">
        <f>VLOOKUP(B491,'Player Data'!$A1:$AE667,18,FALSE)*$Q491</f>
        <v>44.8488508935621</v>
      </c>
      <c r="AE491" s="79">
        <f>VLOOKUP(B491,'Player Data'!$A1:$AE667,19,FALSE)*$Q491*_xlfn.IFERROR((VLOOKUP(P491,'Settings'!$E$28:$F$33,2,FALSE)+1),1)</f>
        <v>0.381460288544094</v>
      </c>
      <c r="AF491" s="79">
        <f>VLOOKUP(B491,'Player Data'!$A1:$AE667,20,FALSE)*$Q491</f>
        <v>0</v>
      </c>
      <c r="AG491" s="79">
        <f>VLOOKUP(B491,'Player Data'!$A1:$AE667,21,FALSE)*$Q491</f>
        <v>0</v>
      </c>
      <c r="AH491" s="81">
        <f>VLOOKUP(B491,'Player Data'!$A1:$AE667,22,FALSE)</f>
        <v>0</v>
      </c>
      <c r="AI491" s="77"/>
      <c r="AJ491" s="89"/>
      <c r="AK491" s="79"/>
      <c r="AL491" s="79"/>
      <c r="AM491" s="79"/>
      <c r="AN491" s="79"/>
      <c r="AO491" s="79"/>
      <c r="AP491" s="79"/>
      <c r="AQ491" s="82"/>
      <c r="AR491" s="83"/>
      <c r="AS491" s="84"/>
    </row>
    <row r="492" ht="21.25" customHeight="1">
      <c r="A492" s="85">
        <f>RANK(K492,K$1:K$665)</f>
        <v>482</v>
      </c>
      <c r="B492" t="s" s="16">
        <v>682</v>
      </c>
      <c r="C492" t="s" s="69">
        <v>127</v>
      </c>
      <c r="D492" t="s" s="70">
        <f>VLOOKUP(B492,'Player Data'!A1:D667,4,FALSE)</f>
        <v>153</v>
      </c>
      <c r="E492" s="95">
        <f>VLOOKUP(B492,'D'!A1:C213,3,FALSE)</f>
        <v>162</v>
      </c>
      <c r="F492" t="s" s="86">
        <f>VLOOKUP(B492,'Player Data'!A1:B667,2,FALSE)</f>
        <v>129</v>
      </c>
      <c r="G492" s="11">
        <f>VLOOKUP(B492,'Player Data'!A1:D667,3,FALSE)</f>
        <v>30</v>
      </c>
      <c r="H492" s="73">
        <f>_xlfn.IFERROR(VLOOKUP(B492,'ADP'!A1:G665,7,FALSE)/1000000,VLOOKUP(B492,'ADP'!A1:G665,7,FALSE))</f>
        <v>2.75</v>
      </c>
      <c r="I492" s="74">
        <f>IF('Settings'!$E$15="POINTS",((R492*Q492)*'Settings'!$B$12)+(S492*'Settings'!$B$2)+(T492*'Settings'!$B$3)+(U492*'Settings'!$B$4)+(V492*'Settings'!$B$5)+(X492*'Settings'!$B$9)+(AA492*'Settings'!$B$6)+(W492*'Settings'!$B$8)+(AB492*'Settings'!$B$7)+(AC492*'Settings'!$B$14)+(AD492*'Settings'!$B$15)+(AE492*'Settings'!$B$16)+(AF492*'Settings'!$B$17)+(AG492*'Settings'!$B$18)+(U492*'Settings'!$B$13)+(Y492*'Settings'!$B$10)+(Z492*'Settings'!$B$11),VLOOKUP(B492,'Standard Deviations'!A1:C666,3,FALSE))</f>
        <v>182.380234758302</v>
      </c>
      <c r="J492" s="75">
        <f>IF(D492="G",I492/AJ492,I492/Q492)</f>
        <v>2.24523248502157</v>
      </c>
      <c r="K492" s="74">
        <f>VLOOKUP(B492,'D'!A1:F213,6,FALSE)</f>
        <v>-149.159973161780</v>
      </c>
      <c r="L492" s="76">
        <f>_xlfn.IFERROR(K492/H492,"N/A")</f>
        <v>-54.2399902406473</v>
      </c>
      <c r="M492" s="109">
        <f>IF('Settings'!$E$9="YAHOO",VLOOKUP(B492,'ADP'!A1:E665,2,FALSE),IF('Settings'!$E$9="ESPN",VLOOKUP(B492,'ADP'!A1:E665,3,FALSE),IF('Settings'!$E$9="FANTRAX",VLOOKUP(B492,'ADP'!A1:E665,4,FALSE),VLOOKUP(B492,'ADP'!A1:E665,5,FALSE))))</f>
        <v>0</v>
      </c>
      <c r="N492" s="79">
        <f>_xlfn.IFERROR(M492-A492,"N/A")</f>
        <v>-482</v>
      </c>
      <c r="O492" s="77"/>
      <c r="P492" t="s" s="78">
        <f>IF('Settings'!$E$27="ON",VLOOKUP(B492,'ADP'!A1:H665,8,FALSE)," ")</f>
        <v>138</v>
      </c>
      <c r="Q492" s="79">
        <f>IF('Settings'!$E$12="YES",VLOOKUP(B492,'Player Data'!A1:E667,5,FALSE),82)</f>
        <v>81.23</v>
      </c>
      <c r="R492" s="77">
        <f>VLOOKUP(B492,'Player Data'!$A1:$AE667,6,FALSE)</f>
        <v>15.8793733742738</v>
      </c>
      <c r="S492" s="79">
        <f>VLOOKUP(B492,'Player Data'!$A1:$AE667,7,FALSE)*$Q492*_xlfn.IFERROR((VLOOKUP(P492,'Settings'!$E$28:$F$33,2,FALSE)+1),1)</f>
        <v>3.17769443887428</v>
      </c>
      <c r="T492" s="79">
        <f>VLOOKUP(B492,'Player Data'!$A1:$AE667,8,FALSE)*$Q492*_xlfn.IFERROR((VLOOKUP(P492,'Settings'!$E$28:$F$33,2,FALSE)+1),1)</f>
        <v>13.5274312461735</v>
      </c>
      <c r="U492" s="79">
        <f>SUM(S492:T492)</f>
        <v>16.7051256850478</v>
      </c>
      <c r="V492" s="79">
        <f>VLOOKUP(B492,'Player Data'!$A1:$AE667,10,FALSE)*$Q492*_xlfn.IFERROR(((VLOOKUP(P492,'Settings'!$E$28:$F$33,2,FALSE)/2)+1),1)</f>
        <v>92.2937864120037</v>
      </c>
      <c r="W492" s="79">
        <f>VLOOKUP(B492,'Player Data'!$A1:$AE667,11,FALSE)*$Q492*_xlfn.IFERROR((VLOOKUP(P492,'Settings'!$E$28:$F$33,2,FALSE)+1),1)</f>
        <v>0.0185179897962042</v>
      </c>
      <c r="X492" s="79">
        <f>VLOOKUP(B492,'Player Data'!$A1:$AE667,12,FALSE)*$Q492*_xlfn.IFERROR((VLOOKUP(P492,'Settings'!$E$28:$F$33,2,FALSE)+1),1)</f>
        <v>0.180150947580074</v>
      </c>
      <c r="Y492" s="79">
        <f>VLOOKUP(B492,'Player Data'!$A1:$AE667,13,FALSE)*$Q492</f>
        <v>0.0232145982360811</v>
      </c>
      <c r="Z492" s="79">
        <f>VLOOKUP(B492,'Player Data'!$A1:$AE667,14,FALSE)*$Q492</f>
        <v>0.784211034046035</v>
      </c>
      <c r="AA492" s="79">
        <f>VLOOKUP(B492,'Player Data'!$A1:$AE667,15,FALSE)*$Q492</f>
        <v>94.6337323755089</v>
      </c>
      <c r="AB492" s="79">
        <f>VLOOKUP(B492,'Player Data'!$A1:$AE667,16,FALSE)*$Q492</f>
        <v>91.59785865363089</v>
      </c>
      <c r="AC492" s="79">
        <f>VLOOKUP(B492,'Player Data'!$A1:$AE667,17,FALSE)*$Q492*_xlfn.IFERROR((VLOOKUP(P492,'Settings'!$E$28:$F$33,2,FALSE)+1),1)</f>
        <v>6.3221723573473</v>
      </c>
      <c r="AD492" s="79">
        <f>VLOOKUP(B492,'Player Data'!$A1:$AE667,18,FALSE)*$Q492</f>
        <v>36.0267835760533</v>
      </c>
      <c r="AE492" s="79">
        <f>VLOOKUP(B492,'Player Data'!$A1:$AE667,19,FALSE)*$Q492*_xlfn.IFERROR((VLOOKUP(P492,'Settings'!$E$28:$F$33,2,FALSE)+1),1)</f>
        <v>0.513118710036754</v>
      </c>
      <c r="AF492" s="79">
        <f>VLOOKUP(B492,'Player Data'!$A1:$AE667,20,FALSE)*$Q492</f>
        <v>0</v>
      </c>
      <c r="AG492" s="79">
        <f>VLOOKUP(B492,'Player Data'!$A1:$AE667,21,FALSE)*$Q492</f>
        <v>0</v>
      </c>
      <c r="AH492" s="81">
        <f>VLOOKUP(B492,'Player Data'!$A1:$AE667,22,FALSE)</f>
        <v>0</v>
      </c>
      <c r="AI492" s="77"/>
      <c r="AJ492" s="89"/>
      <c r="AK492" s="79"/>
      <c r="AL492" s="79"/>
      <c r="AM492" s="79"/>
      <c r="AN492" s="79"/>
      <c r="AO492" s="79"/>
      <c r="AP492" s="79"/>
      <c r="AQ492" s="82"/>
      <c r="AR492" s="83"/>
      <c r="AS492" s="84"/>
    </row>
    <row r="493" ht="21.25" customHeight="1">
      <c r="A493" s="85">
        <f>RANK(K493,K$1:K$665)</f>
        <v>484</v>
      </c>
      <c r="B493" t="s" s="16">
        <v>683</v>
      </c>
      <c r="C493" t="s" s="69">
        <v>127</v>
      </c>
      <c r="D493" t="s" s="70">
        <f>VLOOKUP(B493,'Player Data'!A1:D667,4,FALSE)</f>
        <v>153</v>
      </c>
      <c r="E493" s="95">
        <f>VLOOKUP(B493,'D'!A1:C213,3,FALSE)</f>
        <v>163</v>
      </c>
      <c r="F493" t="s" s="104">
        <f>VLOOKUP(B493,'Player Data'!A1:B667,2,FALSE)</f>
        <v>333</v>
      </c>
      <c r="G493" s="91">
        <f>VLOOKUP(B493,'Player Data'!A1:D667,3,FALSE)</f>
        <v>34</v>
      </c>
      <c r="H493" s="94">
        <f>_xlfn.IFERROR(VLOOKUP(B493,'ADP'!A1:G665,7,FALSE)/1000000,VLOOKUP(B493,'ADP'!A1:G665,7,FALSE))</f>
        <v>2.75</v>
      </c>
      <c r="I493" s="74">
        <f>IF('Settings'!$E$15="POINTS",((R493*Q493)*'Settings'!$B$12)+(S493*'Settings'!$B$2)+(T493*'Settings'!$B$3)+(U493*'Settings'!$B$4)+(V493*'Settings'!$B$5)+(X493*'Settings'!$B$9)+(AA493*'Settings'!$B$6)+(W493*'Settings'!$B$8)+(AB493*'Settings'!$B$7)+(AC493*'Settings'!$B$14)+(AD493*'Settings'!$B$15)+(AE493*'Settings'!$B$16)+(AF493*'Settings'!$B$17)+(AG493*'Settings'!$B$18)+(U493*'Settings'!$B$13)+(Y493*'Settings'!$B$10)+(Z493*'Settings'!$B$11),VLOOKUP(B493,'Standard Deviations'!A1:C666,3,FALSE))</f>
        <v>182.270403115011</v>
      </c>
      <c r="J493" s="75">
        <f>IF(D493="G",I493/AJ493,I493/Q493)</f>
        <v>2.41265962626177</v>
      </c>
      <c r="K493" s="74">
        <f>VLOOKUP(B493,'D'!A1:F213,6,FALSE)</f>
        <v>-149.269804805071</v>
      </c>
      <c r="L493" s="76">
        <f>_xlfn.IFERROR(K493/H493,"N/A")</f>
        <v>-54.2799290200258</v>
      </c>
      <c r="M493" s="109">
        <f>IF('Settings'!$E$9="YAHOO",VLOOKUP(B493,'ADP'!A1:E665,2,FALSE),IF('Settings'!$E$9="ESPN",VLOOKUP(B493,'ADP'!A1:E665,3,FALSE),IF('Settings'!$E$9="FANTRAX",VLOOKUP(B493,'ADP'!A1:E665,4,FALSE),VLOOKUP(B493,'ADP'!A1:E665,5,FALSE))))</f>
        <v>0</v>
      </c>
      <c r="N493" s="79">
        <f>_xlfn.IFERROR(M493-A493,"N/A")</f>
        <v>-484</v>
      </c>
      <c r="O493" s="77"/>
      <c r="P493" t="s" s="78">
        <f>IF('Settings'!$E$27="ON",VLOOKUP(B493,'ADP'!A1:H665,8,FALSE)," ")</f>
        <v>138</v>
      </c>
      <c r="Q493" s="79">
        <f>IF('Settings'!$E$12="YES",VLOOKUP(B493,'Player Data'!A1:E667,5,FALSE),82)</f>
        <v>75.5475</v>
      </c>
      <c r="R493" s="108">
        <f>VLOOKUP(B493,'Player Data'!$A1:$AE667,6,FALSE)</f>
        <v>17.9314382327549</v>
      </c>
      <c r="S493" s="79">
        <f>VLOOKUP(B493,'Player Data'!$A1:$AE667,7,FALSE)*$Q493*_xlfn.IFERROR((VLOOKUP(P493,'Settings'!$E$28:$F$33,2,FALSE)+1),1)</f>
        <v>3.64693475784966</v>
      </c>
      <c r="T493" s="79">
        <f>VLOOKUP(B493,'Player Data'!$A1:$AE667,8,FALSE)*$Q493*_xlfn.IFERROR((VLOOKUP(P493,'Settings'!$E$28:$F$33,2,FALSE)+1),1)</f>
        <v>12.4068374444998</v>
      </c>
      <c r="U493" s="79">
        <f>SUM(S493:T493)</f>
        <v>16.0537722023495</v>
      </c>
      <c r="V493" s="79">
        <f>VLOOKUP(B493,'Player Data'!$A1:$AE667,10,FALSE)*$Q493*_xlfn.IFERROR(((VLOOKUP(P493,'Settings'!$E$28:$F$33,2,FALSE)/2)+1),1)</f>
        <v>75.46221887254229</v>
      </c>
      <c r="W493" s="79">
        <f>VLOOKUP(B493,'Player Data'!$A1:$AE667,11,FALSE)*$Q493*_xlfn.IFERROR((VLOOKUP(P493,'Settings'!$E$28:$F$33,2,FALSE)+1),1)</f>
        <v>0.0389217942249566</v>
      </c>
      <c r="X493" s="79">
        <f>VLOOKUP(B493,'Player Data'!$A1:$AE667,12,FALSE)*$Q493*_xlfn.IFERROR((VLOOKUP(P493,'Settings'!$E$28:$F$33,2,FALSE)+1),1)</f>
        <v>0.25969311982071</v>
      </c>
      <c r="Y493" s="79">
        <f>VLOOKUP(B493,'Player Data'!$A1:$AE667,13,FALSE)*$Q493</f>
        <v>0.021783508400871</v>
      </c>
      <c r="Z493" s="79">
        <f>VLOOKUP(B493,'Player Data'!$A1:$AE667,14,FALSE)*$Q493</f>
        <v>0.837714943020971</v>
      </c>
      <c r="AA493" s="79">
        <f>VLOOKUP(B493,'Player Data'!$A1:$AE667,15,FALSE)*$Q493</f>
        <v>106.831246071730</v>
      </c>
      <c r="AB493" s="79">
        <f>VLOOKUP(B493,'Player Data'!$A1:$AE667,16,FALSE)*$Q493</f>
        <v>85.34912204317951</v>
      </c>
      <c r="AC493" s="79">
        <f>VLOOKUP(B493,'Player Data'!$A1:$AE667,17,FALSE)*$Q493*_xlfn.IFERROR((VLOOKUP(P493,'Settings'!$E$28:$F$33,2,FALSE)+1),1)</f>
        <v>-9.54760389039315</v>
      </c>
      <c r="AD493" s="79">
        <f>VLOOKUP(B493,'Player Data'!$A1:$AE667,18,FALSE)*$Q493</f>
        <v>37.5403529959313</v>
      </c>
      <c r="AE493" s="79">
        <f>VLOOKUP(B493,'Player Data'!$A1:$AE667,19,FALSE)*$Q493*_xlfn.IFERROR((VLOOKUP(P493,'Settings'!$E$28:$F$33,2,FALSE)+1),1)</f>
        <v>0.389529557054492</v>
      </c>
      <c r="AF493" s="79">
        <f>VLOOKUP(B493,'Player Data'!$A1:$AE667,20,FALSE)*$Q493</f>
        <v>0</v>
      </c>
      <c r="AG493" s="79">
        <f>VLOOKUP(B493,'Player Data'!$A1:$AE667,21,FALSE)*$Q493</f>
        <v>0</v>
      </c>
      <c r="AH493" s="81">
        <f>VLOOKUP(B493,'Player Data'!$A1:$AE667,22,FALSE)</f>
        <v>0</v>
      </c>
      <c r="AI493" s="77"/>
      <c r="AJ493" s="79"/>
      <c r="AK493" s="79"/>
      <c r="AL493" s="79"/>
      <c r="AM493" s="79"/>
      <c r="AN493" s="79"/>
      <c r="AO493" s="79"/>
      <c r="AP493" s="79"/>
      <c r="AQ493" s="82"/>
      <c r="AR493" s="83"/>
      <c r="AS493" s="84"/>
    </row>
    <row r="494" ht="21.25" customHeight="1">
      <c r="A494" s="85">
        <f>RANK(K494,K$1:K$665)</f>
        <v>509</v>
      </c>
      <c r="B494" t="s" s="16">
        <v>684</v>
      </c>
      <c r="C494" t="s" s="69">
        <v>127</v>
      </c>
      <c r="D494" t="s" s="70">
        <f>VLOOKUP(B494,'Player Data'!A1:D667,4,FALSE)</f>
        <v>128</v>
      </c>
      <c r="E494" s="71">
        <f>VLOOKUP(B494,'C'!A1:C206,3,FALSE)</f>
        <v>149</v>
      </c>
      <c r="F494" t="s" s="78">
        <f>VLOOKUP(B494,'Player Data'!A1:B667,2,FALSE)</f>
        <v>244</v>
      </c>
      <c r="G494" s="11">
        <f>VLOOKUP(B494,'Player Data'!A1:D667,3,FALSE)</f>
        <v>28</v>
      </c>
      <c r="H494" s="94">
        <f>_xlfn.IFERROR(VLOOKUP(B494,'ADP'!A1:G665,7,FALSE)/1000000,VLOOKUP(B494,'ADP'!A1:G665,7,FALSE))</f>
        <v>2</v>
      </c>
      <c r="I494" s="74">
        <f>IF('Settings'!$E$15="POINTS",((R494*Q494)*'Settings'!$B$12)+(S494*'Settings'!$B$2)+(T494*'Settings'!$B$3)+(U494*'Settings'!$B$4)+(V494*'Settings'!$B$5)+(X494*'Settings'!$B$9)+(AA494*'Settings'!$B$6)+(W494*'Settings'!$B$8)+(AB494*'Settings'!$B$7)+(AC494*'Settings'!$B$14)+(AD494*'Settings'!$B$15)+(AE494*'Settings'!$B$16)+(AF494*'Settings'!$B$17)+(AG494*'Settings'!$B$18)+(Y494*'Settings'!$B$10)+(Z494*'Settings'!$B$11),VLOOKUP(B494,'Standard Deviations'!A1:C666,3,FALSE))</f>
        <v>170.034629831937</v>
      </c>
      <c r="J494" s="75">
        <f>IF(D494="G",I494/AJ494,I494/Q494)</f>
        <v>2.15213277007799</v>
      </c>
      <c r="K494" s="74">
        <f>IF('Settings'!$E$18="C/LW/RW",VLOOKUP(B494,'C'!A1:F206,6,FALSE),VLOOKUP(B494,'F'!A1:F392,6,FALSE))</f>
        <v>-159.657264249241</v>
      </c>
      <c r="L494" s="76">
        <f>_xlfn.IFERROR(K494/H494,"N/A")</f>
        <v>-79.8286321246205</v>
      </c>
      <c r="M494" s="109">
        <f>IF('Settings'!$E$9="YAHOO",VLOOKUP(B494,'ADP'!A1:E665,2,FALSE),IF('Settings'!$E$9="ESPN",VLOOKUP(B494,'ADP'!A1:E665,3,FALSE),IF('Settings'!$E$9="FANTRAX",VLOOKUP(B494,'ADP'!A1:E665,4,FALSE),VLOOKUP(B494,'ADP'!A1:E665,5,FALSE))))</f>
        <v>0</v>
      </c>
      <c r="N494" s="79">
        <f>_xlfn.IFERROR(M494-A494,"N/A")</f>
        <v>-509</v>
      </c>
      <c r="O494" s="77"/>
      <c r="P494" t="s" s="78">
        <f>IF('Settings'!$E$27="ON",VLOOKUP(B494,'ADP'!A1:H665,8,FALSE)," ")</f>
        <v>138</v>
      </c>
      <c r="Q494" s="79">
        <f>IF('Settings'!$E$12="YES",VLOOKUP(B494,'Player Data'!A1:E667,5,FALSE),82)</f>
        <v>79.00749999999999</v>
      </c>
      <c r="R494" s="108">
        <f>VLOOKUP(B494,'Player Data'!$A1:$AE667,6,FALSE)</f>
        <v>12.4778169410715</v>
      </c>
      <c r="S494" s="79">
        <f>VLOOKUP(B494,'Player Data'!$A1:$AE667,7,FALSE)*$Q494*_xlfn.IFERROR((VLOOKUP(P494,'Settings'!$E$28:$F$33,2,FALSE)+1),1)</f>
        <v>12.0909455630642</v>
      </c>
      <c r="T494" s="79">
        <f>VLOOKUP(B494,'Player Data'!$A1:$AE667,8,FALSE)*$Q494*_xlfn.IFERROR((VLOOKUP(P494,'Settings'!$E$28:$F$33,2,FALSE)+1),1)</f>
        <v>14.5623832839828</v>
      </c>
      <c r="U494" s="79">
        <f>SUM(S494:T494)</f>
        <v>26.653328847047</v>
      </c>
      <c r="V494" s="79">
        <f>VLOOKUP(B494,'Player Data'!$A1:$AE667,10,FALSE)*$Q494*_xlfn.IFERROR(((VLOOKUP(P494,'Settings'!$E$28:$F$33,2,FALSE)/2)+1),1)</f>
        <v>131.598211379745</v>
      </c>
      <c r="W494" s="79">
        <f>VLOOKUP(B494,'Player Data'!$A1:$AE667,11,FALSE)*$Q494*_xlfn.IFERROR((VLOOKUP(P494,'Settings'!$E$28:$F$33,2,FALSE)+1),1)</f>
        <v>0.452569977612198</v>
      </c>
      <c r="X494" s="79">
        <f>VLOOKUP(B494,'Player Data'!$A1:$AE667,12,FALSE)*$Q494*_xlfn.IFERROR((VLOOKUP(P494,'Settings'!$E$28:$F$33,2,FALSE)+1),1)</f>
        <v>1.30014889983108</v>
      </c>
      <c r="Y494" s="79">
        <f>VLOOKUP(B494,'Player Data'!$A1:$AE667,13,FALSE)*$Q494</f>
        <v>0.124836687595993</v>
      </c>
      <c r="Z494" s="79">
        <f>VLOOKUP(B494,'Player Data'!$A1:$AE667,14,FALSE)*$Q494</f>
        <v>0.212444448528199</v>
      </c>
      <c r="AA494" s="79">
        <f>VLOOKUP(B494,'Player Data'!$A1:$AE667,15,FALSE)*$Q494</f>
        <v>23.3162915980152</v>
      </c>
      <c r="AB494" s="79">
        <f>VLOOKUP(B494,'Player Data'!$A1:$AE667,16,FALSE)*$Q494</f>
        <v>92.98065691050201</v>
      </c>
      <c r="AC494" s="79">
        <f>VLOOKUP(B494,'Player Data'!$A1:$AE667,17,FALSE)*$Q494*_xlfn.IFERROR((VLOOKUP(P494,'Settings'!$E$28:$F$33,2,FALSE)+1),1)</f>
        <v>-5.762785517624</v>
      </c>
      <c r="AD494" s="79">
        <f>VLOOKUP(B494,'Player Data'!$A1:$AE667,18,FALSE)*$Q494</f>
        <v>29.8328052472437</v>
      </c>
      <c r="AE494" s="79">
        <f>VLOOKUP(B494,'Player Data'!$A1:$AE667,19,FALSE)*$Q494*_xlfn.IFERROR((VLOOKUP(P494,'Settings'!$E$28:$F$33,2,FALSE)+1),1)</f>
        <v>1.56257631604988</v>
      </c>
      <c r="AF494" s="79">
        <f>VLOOKUP(B494,'Player Data'!$A1:$AE667,20,FALSE)*$Q494</f>
        <v>74.1301604202586</v>
      </c>
      <c r="AG494" s="79">
        <f>VLOOKUP(B494,'Player Data'!$A1:$AE667,21,FALSE)*$Q494</f>
        <v>100.706386734341</v>
      </c>
      <c r="AH494" s="81">
        <f>VLOOKUP(B494,'Player Data'!$A1:$AE667,22,FALSE)</f>
        <v>0.423996936720039</v>
      </c>
      <c r="AI494" s="77"/>
      <c r="AJ494" s="89"/>
      <c r="AK494" s="79"/>
      <c r="AL494" s="79"/>
      <c r="AM494" s="79"/>
      <c r="AN494" s="79"/>
      <c r="AO494" s="79"/>
      <c r="AP494" s="79"/>
      <c r="AQ494" s="82"/>
      <c r="AR494" s="83"/>
      <c r="AS494" s="84"/>
    </row>
    <row r="495" ht="21.25" customHeight="1">
      <c r="A495" s="85">
        <f>RANK(K495,K$1:K$665)</f>
        <v>510</v>
      </c>
      <c r="B495" t="s" s="16">
        <v>685</v>
      </c>
      <c r="C495" t="s" s="69">
        <v>127</v>
      </c>
      <c r="D495" t="s" s="70">
        <f>VLOOKUP(B495,'Player Data'!A1:D667,4,FALSE)</f>
        <v>128</v>
      </c>
      <c r="E495" s="71">
        <f>VLOOKUP(B495,'C'!A1:C206,3,FALSE)</f>
        <v>150</v>
      </c>
      <c r="F495" t="s" s="104">
        <f>VLOOKUP(B495,'Player Data'!A1:B667,2,FALSE)</f>
        <v>333</v>
      </c>
      <c r="G495" s="11">
        <f>VLOOKUP(B495,'Player Data'!A1:D667,3,FALSE)</f>
        <v>29</v>
      </c>
      <c r="H495" s="73">
        <f>_xlfn.IFERROR(VLOOKUP(B495,'ADP'!A1:G665,7,FALSE)/1000000,VLOOKUP(B495,'ADP'!A1:G665,7,FALSE))</f>
        <v>5</v>
      </c>
      <c r="I495" s="74">
        <f>IF('Settings'!$E$15="POINTS",((R495*Q495)*'Settings'!$B$12)+(S495*'Settings'!$B$2)+(T495*'Settings'!$B$3)+(U495*'Settings'!$B$4)+(V495*'Settings'!$B$5)+(X495*'Settings'!$B$9)+(AA495*'Settings'!$B$6)+(W495*'Settings'!$B$8)+(AB495*'Settings'!$B$7)+(AC495*'Settings'!$B$14)+(AD495*'Settings'!$B$15)+(AE495*'Settings'!$B$16)+(AF495*'Settings'!$B$17)+(AG495*'Settings'!$B$18)+(Y495*'Settings'!$B$10)+(Z495*'Settings'!$B$11),VLOOKUP(B495,'Standard Deviations'!A1:C666,3,FALSE))</f>
        <v>170.026103004533</v>
      </c>
      <c r="J495" s="75">
        <f>IF(D495="G",I495/AJ495,I495/Q495)</f>
        <v>2.09140629176215</v>
      </c>
      <c r="K495" s="74">
        <f>IF('Settings'!$E$18="C/LW/RW",VLOOKUP(B495,'C'!A1:F206,6,FALSE),VLOOKUP(B495,'F'!A1:F392,6,FALSE))</f>
        <v>-159.665791076645</v>
      </c>
      <c r="L495" s="76">
        <f>_xlfn.IFERROR(K495/H495,"N/A")</f>
        <v>-31.933158215329</v>
      </c>
      <c r="M495" s="109">
        <f>IF('Settings'!$E$9="YAHOO",VLOOKUP(B495,'ADP'!A1:E665,2,FALSE),IF('Settings'!$E$9="ESPN",VLOOKUP(B495,'ADP'!A1:E665,3,FALSE),IF('Settings'!$E$9="FANTRAX",VLOOKUP(B495,'ADP'!A1:E665,4,FALSE),VLOOKUP(B495,'ADP'!A1:E665,5,FALSE))))</f>
        <v>0</v>
      </c>
      <c r="N495" s="79">
        <f>_xlfn.IFERROR(M495-A495,"N/A")</f>
        <v>-510</v>
      </c>
      <c r="O495" s="77"/>
      <c r="P495" t="s" s="78">
        <f>IF('Settings'!$E$27="ON",VLOOKUP(B495,'ADP'!A1:H665,8,FALSE)," ")</f>
        <v>138</v>
      </c>
      <c r="Q495" s="79">
        <f>IF('Settings'!$E$12="YES",VLOOKUP(B495,'Player Data'!A1:E667,5,FALSE),82)</f>
        <v>81.2975</v>
      </c>
      <c r="R495" s="108">
        <f>VLOOKUP(B495,'Player Data'!$A1:$AE667,6,FALSE)</f>
        <v>16.9513507207558</v>
      </c>
      <c r="S495" s="79">
        <f>VLOOKUP(B495,'Player Data'!$A1:$AE667,7,FALSE)*$Q495*_xlfn.IFERROR((VLOOKUP(P495,'Settings'!$E$28:$F$33,2,FALSE)+1),1)</f>
        <v>9.803660563284881</v>
      </c>
      <c r="T495" s="79">
        <f>VLOOKUP(B495,'Player Data'!$A1:$AE667,8,FALSE)*$Q495*_xlfn.IFERROR((VLOOKUP(P495,'Settings'!$E$28:$F$33,2,FALSE)+1),1)</f>
        <v>20.0392313091717</v>
      </c>
      <c r="U495" s="79">
        <f>SUM(S495:T495)</f>
        <v>29.8428918724566</v>
      </c>
      <c r="V495" s="79">
        <f>VLOOKUP(B495,'Player Data'!$A1:$AE667,10,FALSE)*$Q495*_xlfn.IFERROR(((VLOOKUP(P495,'Settings'!$E$28:$F$33,2,FALSE)/2)+1),1)</f>
        <v>91.7656737641914</v>
      </c>
      <c r="W495" s="79">
        <f>VLOOKUP(B495,'Player Data'!$A1:$AE667,11,FALSE)*$Q495*_xlfn.IFERROR((VLOOKUP(P495,'Settings'!$E$28:$F$33,2,FALSE)+1),1)</f>
        <v>2.20211664552806</v>
      </c>
      <c r="X495" s="79">
        <f>VLOOKUP(B495,'Player Data'!$A1:$AE667,12,FALSE)*$Q495*_xlfn.IFERROR((VLOOKUP(P495,'Settings'!$E$28:$F$33,2,FALSE)+1),1)</f>
        <v>5.25160850044334</v>
      </c>
      <c r="Y495" s="79">
        <f>VLOOKUP(B495,'Player Data'!$A1:$AE667,13,FALSE)*$Q495</f>
        <v>0.522489952128267</v>
      </c>
      <c r="Z495" s="79">
        <f>VLOOKUP(B495,'Player Data'!$A1:$AE667,14,FALSE)*$Q495</f>
        <v>0.787750406353386</v>
      </c>
      <c r="AA495" s="79">
        <f>VLOOKUP(B495,'Player Data'!$A1:$AE667,15,FALSE)*$Q495</f>
        <v>65.72503811661841</v>
      </c>
      <c r="AB495" s="79">
        <f>VLOOKUP(B495,'Player Data'!$A1:$AE667,16,FALSE)*$Q495</f>
        <v>48.0768689867104</v>
      </c>
      <c r="AC495" s="79">
        <f>VLOOKUP(B495,'Player Data'!$A1:$AE667,17,FALSE)*$Q495*_xlfn.IFERROR((VLOOKUP(P495,'Settings'!$E$28:$F$33,2,FALSE)+1),1)</f>
        <v>-0.216101914741308</v>
      </c>
      <c r="AD495" s="79">
        <f>VLOOKUP(B495,'Player Data'!$A1:$AE667,18,FALSE)*$Q495</f>
        <v>22.3775811122094</v>
      </c>
      <c r="AE495" s="79">
        <f>VLOOKUP(B495,'Player Data'!$A1:$AE667,19,FALSE)*$Q495*_xlfn.IFERROR((VLOOKUP(P495,'Settings'!$E$28:$F$33,2,FALSE)+1),1)</f>
        <v>1.04713020942021</v>
      </c>
      <c r="AF495" s="79">
        <f>VLOOKUP(B495,'Player Data'!$A1:$AE667,20,FALSE)*$Q495</f>
        <v>537.970742538149</v>
      </c>
      <c r="AG495" s="79">
        <f>VLOOKUP(B495,'Player Data'!$A1:$AE667,21,FALSE)*$Q495</f>
        <v>626.598424361641</v>
      </c>
      <c r="AH495" s="81">
        <f>VLOOKUP(B495,'Player Data'!$A1:$AE667,22,FALSE)</f>
        <v>0.461948296270187</v>
      </c>
      <c r="AI495" s="77"/>
      <c r="AJ495" s="79"/>
      <c r="AK495" s="79"/>
      <c r="AL495" s="79"/>
      <c r="AM495" s="79"/>
      <c r="AN495" s="79"/>
      <c r="AO495" s="79"/>
      <c r="AP495" s="79"/>
      <c r="AQ495" s="82"/>
      <c r="AR495" s="83"/>
      <c r="AS495" s="84"/>
    </row>
    <row r="496" ht="21.25" customHeight="1">
      <c r="A496" s="85">
        <f>RANK(K496,K$1:K$665)</f>
        <v>485</v>
      </c>
      <c r="B496" t="s" s="16">
        <v>686</v>
      </c>
      <c r="C496" t="s" s="69">
        <v>127</v>
      </c>
      <c r="D496" t="s" s="70">
        <f>VLOOKUP(B496,'Player Data'!A1:D667,4,FALSE)</f>
        <v>153</v>
      </c>
      <c r="E496" s="95">
        <f>VLOOKUP(B496,'D'!A1:C213,3,FALSE)</f>
        <v>164</v>
      </c>
      <c r="F496" t="s" s="107">
        <f>VLOOKUP(B496,'Player Data'!A1:B667,2,FALSE)</f>
        <v>279</v>
      </c>
      <c r="G496" s="91">
        <f>VLOOKUP(B496,'Player Data'!A1:D667,3,FALSE)</f>
        <v>32</v>
      </c>
      <c r="H496" s="94">
        <f>_xlfn.IFERROR(VLOOKUP(B496,'ADP'!A1:G665,7,FALSE)/1000000,VLOOKUP(B496,'ADP'!A1:G665,7,FALSE))</f>
        <v>3.15</v>
      </c>
      <c r="I496" s="74">
        <f>IF('Settings'!$E$15="POINTS",((R496*Q496)*'Settings'!$B$12)+(S496*'Settings'!$B$2)+(T496*'Settings'!$B$3)+(U496*'Settings'!$B$4)+(V496*'Settings'!$B$5)+(X496*'Settings'!$B$9)+(AA496*'Settings'!$B$6)+(W496*'Settings'!$B$8)+(AB496*'Settings'!$B$7)+(AC496*'Settings'!$B$14)+(AD496*'Settings'!$B$15)+(AE496*'Settings'!$B$16)+(AF496*'Settings'!$B$17)+(AG496*'Settings'!$B$18)+(U496*'Settings'!$B$13)+(Y496*'Settings'!$B$10)+(Z496*'Settings'!$B$11),VLOOKUP(B496,'Standard Deviations'!A1:C666,3,FALSE))</f>
        <v>181.923429581638</v>
      </c>
      <c r="J496" s="75">
        <f>IF(D496="G",I496/AJ496,I496/Q496)</f>
        <v>2.24389058996778</v>
      </c>
      <c r="K496" s="74">
        <f>VLOOKUP(B496,'D'!A1:F213,6,FALSE)</f>
        <v>-149.616778338444</v>
      </c>
      <c r="L496" s="76">
        <f>_xlfn.IFERROR(K496/H496,"N/A")</f>
        <v>-47.4973899487124</v>
      </c>
      <c r="M496" s="109">
        <f>IF('Settings'!$E$9="YAHOO",VLOOKUP(B496,'ADP'!A1:E665,2,FALSE),IF('Settings'!$E$9="ESPN",VLOOKUP(B496,'ADP'!A1:E665,3,FALSE),IF('Settings'!$E$9="FANTRAX",VLOOKUP(B496,'ADP'!A1:E665,4,FALSE),VLOOKUP(B496,'ADP'!A1:E665,5,FALSE))))</f>
        <v>0</v>
      </c>
      <c r="N496" s="79">
        <f>_xlfn.IFERROR(M496-A496,"N/A")</f>
        <v>-485</v>
      </c>
      <c r="O496" s="77"/>
      <c r="P496" t="s" s="78">
        <f>IF('Settings'!$E$27="ON",VLOOKUP(B496,'ADP'!A1:H665,8,FALSE)," ")</f>
        <v>138</v>
      </c>
      <c r="Q496" s="79">
        <f>IF('Settings'!$E$12="YES",VLOOKUP(B496,'Player Data'!A1:E667,5,FALSE),82)</f>
        <v>81.075</v>
      </c>
      <c r="R496" s="77">
        <f>VLOOKUP(B496,'Player Data'!$A1:$AE667,6,FALSE)</f>
        <v>17.6396054296744</v>
      </c>
      <c r="S496" s="79">
        <f>VLOOKUP(B496,'Player Data'!$A1:$AE667,7,FALSE)*$Q496*_xlfn.IFERROR((VLOOKUP(P496,'Settings'!$E$28:$F$33,2,FALSE)+1),1)</f>
        <v>2.74241991752901</v>
      </c>
      <c r="T496" s="79">
        <f>VLOOKUP(B496,'Player Data'!$A1:$AE667,8,FALSE)*$Q496*_xlfn.IFERROR((VLOOKUP(P496,'Settings'!$E$28:$F$33,2,FALSE)+1),1)</f>
        <v>14.1229868915267</v>
      </c>
      <c r="U496" s="79">
        <f>SUM(S496:T496)</f>
        <v>16.8654068090557</v>
      </c>
      <c r="V496" s="79">
        <f>VLOOKUP(B496,'Player Data'!$A1:$AE667,10,FALSE)*$Q496*_xlfn.IFERROR(((VLOOKUP(P496,'Settings'!$E$28:$F$33,2,FALSE)/2)+1),1)</f>
        <v>69.9573818410671</v>
      </c>
      <c r="W496" s="79">
        <f>VLOOKUP(B496,'Player Data'!$A1:$AE667,11,FALSE)*$Q496*_xlfn.IFERROR((VLOOKUP(P496,'Settings'!$E$28:$F$33,2,FALSE)+1),1)</f>
        <v>0.0353608103251267</v>
      </c>
      <c r="X496" s="79">
        <f>VLOOKUP(B496,'Player Data'!$A1:$AE667,12,FALSE)*$Q496*_xlfn.IFERROR((VLOOKUP(P496,'Settings'!$E$28:$F$33,2,FALSE)+1),1)</f>
        <v>0.245888696341748</v>
      </c>
      <c r="Y496" s="79">
        <f>VLOOKUP(B496,'Player Data'!$A1:$AE667,13,FALSE)*$Q496</f>
        <v>0.0228547942606129</v>
      </c>
      <c r="Z496" s="79">
        <f>VLOOKUP(B496,'Player Data'!$A1:$AE667,14,FALSE)*$Q496</f>
        <v>0.569010263218112</v>
      </c>
      <c r="AA496" s="79">
        <f>VLOOKUP(B496,'Player Data'!$A1:$AE667,15,FALSE)*$Q496</f>
        <v>104.177800149266</v>
      </c>
      <c r="AB496" s="79">
        <f>VLOOKUP(B496,'Player Data'!$A1:$AE667,16,FALSE)*$Q496</f>
        <v>90.06009676728991</v>
      </c>
      <c r="AC496" s="79">
        <f>VLOOKUP(B496,'Player Data'!$A1:$AE667,17,FALSE)*$Q496*_xlfn.IFERROR((VLOOKUP(P496,'Settings'!$E$28:$F$33,2,FALSE)+1),1)</f>
        <v>-0.944762955604088</v>
      </c>
      <c r="AD496" s="79">
        <f>VLOOKUP(B496,'Player Data'!$A1:$AE667,18,FALSE)*$Q496</f>
        <v>21.9965424869273</v>
      </c>
      <c r="AE496" s="79">
        <f>VLOOKUP(B496,'Player Data'!$A1:$AE667,19,FALSE)*$Q496*_xlfn.IFERROR((VLOOKUP(P496,'Settings'!$E$28:$F$33,2,FALSE)+1),1)</f>
        <v>0.319655229661115</v>
      </c>
      <c r="AF496" s="79">
        <f>VLOOKUP(B496,'Player Data'!$A1:$AE667,20,FALSE)*$Q496</f>
        <v>0</v>
      </c>
      <c r="AG496" s="79">
        <f>VLOOKUP(B496,'Player Data'!$A1:$AE667,21,FALSE)*$Q496</f>
        <v>0</v>
      </c>
      <c r="AH496" s="81">
        <f>VLOOKUP(B496,'Player Data'!$A1:$AE667,22,FALSE)</f>
        <v>0</v>
      </c>
      <c r="AI496" s="77"/>
      <c r="AJ496" s="79"/>
      <c r="AK496" s="79"/>
      <c r="AL496" s="79"/>
      <c r="AM496" s="79"/>
      <c r="AN496" s="79"/>
      <c r="AO496" s="79"/>
      <c r="AP496" s="79"/>
      <c r="AQ496" s="82"/>
      <c r="AR496" s="83"/>
      <c r="AS496" s="84"/>
    </row>
    <row r="497" ht="21.25" customHeight="1">
      <c r="A497" s="85">
        <f>RANK(K497,K$1:K$665)</f>
        <v>499</v>
      </c>
      <c r="B497" t="s" s="16">
        <v>687</v>
      </c>
      <c r="C497" t="s" s="69">
        <v>127</v>
      </c>
      <c r="D497" t="s" s="70">
        <f>VLOOKUP(B497,'Player Data'!A1:D667,4,FALSE)</f>
        <v>140</v>
      </c>
      <c r="E497" s="90">
        <f>VLOOKUP(B497,'RW'!A1:F136,3,FALSE)</f>
        <v>100</v>
      </c>
      <c r="F497" t="s" s="78">
        <f>VLOOKUP(B497,'Player Data'!A1:B667,2,FALSE)</f>
        <v>194</v>
      </c>
      <c r="G497" s="11">
        <f>VLOOKUP(B497,'Player Data'!A1:D667,3,FALSE)</f>
        <v>26</v>
      </c>
      <c r="H497" s="94">
        <f>_xlfn.IFERROR(VLOOKUP(B497,'ADP'!A1:G665,7,FALSE)/1000000,VLOOKUP(B497,'ADP'!A1:G665,7,FALSE))</f>
        <v>1.35</v>
      </c>
      <c r="I497" s="74">
        <f>IF('Settings'!$E$15="POINTS",((R497*Q497)*'Settings'!$B$12)+(S497*'Settings'!$B$2)+(T497*'Settings'!$B$3)+(U497*'Settings'!$B$4)+(V497*'Settings'!$B$5)+(X497*'Settings'!$B$9)+(AA497*'Settings'!$B$6)+(W497*'Settings'!$B$8)+(AB497*'Settings'!$B$7)+(AC497*'Settings'!$B$14)+(AD497*'Settings'!$B$15)+(AE497*'Settings'!$B$16)+(AF497*'Settings'!$B$17)+(AG497*'Settings'!$B$18)+(Y497*'Settings'!$B$10)+(Z497*'Settings'!$B$11),VLOOKUP(B497,'Standard Deviations'!A1:C666,3,FALSE))</f>
        <v>174.9607097228</v>
      </c>
      <c r="J497" s="75">
        <f>IF(D497="G",I497/AJ497,I497/Q497)</f>
        <v>2.47477930227802</v>
      </c>
      <c r="K497" s="74">
        <f>IF('Settings'!$E$18="C/LW/RW",VLOOKUP(B497,'RW'!A1:F136,6,FALSE),VLOOKUP(B497,'F'!A1:F392,6,FALSE))</f>
        <v>-154.731184358378</v>
      </c>
      <c r="L497" s="76">
        <f>_xlfn.IFERROR(K497/H497,"N/A")</f>
        <v>-114.615692117317</v>
      </c>
      <c r="M497" s="109">
        <f>IF('Settings'!$E$9="YAHOO",VLOOKUP(B497,'ADP'!A1:E665,2,FALSE),IF('Settings'!$E$9="ESPN",VLOOKUP(B497,'ADP'!A1:E665,3,FALSE),IF('Settings'!$E$9="FANTRAX",VLOOKUP(B497,'ADP'!A1:E665,4,FALSE),VLOOKUP(B497,'ADP'!A1:E665,5,FALSE))))</f>
        <v>0</v>
      </c>
      <c r="N497" s="79">
        <f>_xlfn.IFERROR(M497-A497,"N/A")</f>
        <v>-499</v>
      </c>
      <c r="O497" s="77"/>
      <c r="P497" t="s" s="78">
        <f>IF('Settings'!$E$27="ON",VLOOKUP(B497,'ADP'!A1:H665,8,FALSE)," ")</f>
        <v>138</v>
      </c>
      <c r="Q497" s="79">
        <f>IF('Settings'!$E$12="YES",VLOOKUP(B497,'Player Data'!A1:E667,5,FALSE),82)</f>
        <v>70.69750000000001</v>
      </c>
      <c r="R497" s="77">
        <f>VLOOKUP(B497,'Player Data'!$A1:$AE667,6,FALSE)</f>
        <v>10.059342697174</v>
      </c>
      <c r="S497" s="79">
        <f>VLOOKUP(B497,'Player Data'!$A1:$AE667,7,FALSE)*$Q497*_xlfn.IFERROR((VLOOKUP(P497,'Settings'!$E$28:$F$33,2,FALSE)+1),1)</f>
        <v>7.27416381574754</v>
      </c>
      <c r="T497" s="79">
        <f>VLOOKUP(B497,'Player Data'!$A1:$AE667,8,FALSE)*$Q497*_xlfn.IFERROR((VLOOKUP(P497,'Settings'!$E$28:$F$33,2,FALSE)+1),1)</f>
        <v>8.890276244965889</v>
      </c>
      <c r="U497" s="79">
        <f>SUM(S497:T497)</f>
        <v>16.1644400607134</v>
      </c>
      <c r="V497" s="79">
        <f>VLOOKUP(B497,'Player Data'!$A1:$AE667,10,FALSE)*$Q497*_xlfn.IFERROR(((VLOOKUP(P497,'Settings'!$E$28:$F$33,2,FALSE)/2)+1),1)</f>
        <v>73.934535384385</v>
      </c>
      <c r="W497" s="79">
        <f>VLOOKUP(B497,'Player Data'!$A1:$AE667,11,FALSE)*$Q497*_xlfn.IFERROR((VLOOKUP(P497,'Settings'!$E$28:$F$33,2,FALSE)+1),1)</f>
        <v>0.264371170560778</v>
      </c>
      <c r="X497" s="79">
        <f>VLOOKUP(B497,'Player Data'!$A1:$AE667,12,FALSE)*$Q497*_xlfn.IFERROR((VLOOKUP(P497,'Settings'!$E$28:$F$33,2,FALSE)+1),1)</f>
        <v>0.497545565110925</v>
      </c>
      <c r="Y497" s="79">
        <f>VLOOKUP(B497,'Player Data'!$A1:$AE667,13,FALSE)*$Q497</f>
        <v>0.14968483495785</v>
      </c>
      <c r="Z497" s="79">
        <f>VLOOKUP(B497,'Player Data'!$A1:$AE667,14,FALSE)*$Q497</f>
        <v>0.254773079125984</v>
      </c>
      <c r="AA497" s="79">
        <f>VLOOKUP(B497,'Player Data'!$A1:$AE667,15,FALSE)*$Q497</f>
        <v>38.8967598512331</v>
      </c>
      <c r="AB497" s="79">
        <f>VLOOKUP(B497,'Player Data'!$A1:$AE667,16,FALSE)*$Q497</f>
        <v>156.509270867615</v>
      </c>
      <c r="AC497" s="79">
        <f>VLOOKUP(B497,'Player Data'!$A1:$AE667,17,FALSE)*$Q497*_xlfn.IFERROR((VLOOKUP(P497,'Settings'!$E$28:$F$33,2,FALSE)+1),1)</f>
        <v>1.58499093733933</v>
      </c>
      <c r="AD497" s="79">
        <f>VLOOKUP(B497,'Player Data'!$A1:$AE667,18,FALSE)*$Q497</f>
        <v>33.2316117541972</v>
      </c>
      <c r="AE497" s="79">
        <f>VLOOKUP(B497,'Player Data'!$A1:$AE667,19,FALSE)*$Q497*_xlfn.IFERROR((VLOOKUP(P497,'Settings'!$E$28:$F$33,2,FALSE)+1),1)</f>
        <v>1.0974990753909</v>
      </c>
      <c r="AF497" s="79">
        <f>VLOOKUP(B497,'Player Data'!$A1:$AE667,20,FALSE)*$Q497</f>
        <v>16.6569329801672</v>
      </c>
      <c r="AG497" s="79">
        <f>VLOOKUP(B497,'Player Data'!$A1:$AE667,21,FALSE)*$Q497</f>
        <v>21.2259399183459</v>
      </c>
      <c r="AH497" s="81">
        <f>VLOOKUP(B497,'Player Data'!$A1:$AE667,22,FALSE)</f>
        <v>0.439695611913874</v>
      </c>
      <c r="AI497" s="77"/>
      <c r="AJ497" s="79"/>
      <c r="AK497" s="79"/>
      <c r="AL497" s="79"/>
      <c r="AM497" s="79"/>
      <c r="AN497" s="79"/>
      <c r="AO497" s="79"/>
      <c r="AP497" s="79"/>
      <c r="AQ497" s="82"/>
      <c r="AR497" s="83"/>
      <c r="AS497" s="84"/>
    </row>
    <row r="498" ht="21.25" customHeight="1">
      <c r="A498" s="85">
        <f>RANK(K498,K$1:K$665)</f>
        <v>486</v>
      </c>
      <c r="B498" t="s" s="16">
        <v>688</v>
      </c>
      <c r="C498" t="s" s="69">
        <v>127</v>
      </c>
      <c r="D498" t="s" s="70">
        <f>VLOOKUP(B498,'Player Data'!A1:D667,4,FALSE)</f>
        <v>153</v>
      </c>
      <c r="E498" s="95">
        <f>VLOOKUP(B498,'D'!A1:C213,3,FALSE)</f>
        <v>165</v>
      </c>
      <c r="F498" t="s" s="88">
        <f>VLOOKUP(B498,'Player Data'!A1:B667,2,FALSE)</f>
        <v>239</v>
      </c>
      <c r="G498" s="96">
        <f>VLOOKUP(B498,'Player Data'!A1:D667,3,FALSE)</f>
        <v>22</v>
      </c>
      <c r="H498" s="73">
        <f>_xlfn.IFERROR(VLOOKUP(B498,'ADP'!A1:G665,7,FALSE)/1000000,VLOOKUP(B498,'ADP'!A1:G665,7,FALSE))</f>
        <v>1.15</v>
      </c>
      <c r="I498" s="74">
        <f>IF('Settings'!$E$15="POINTS",((R498*Q498)*'Settings'!$B$12)+(S498*'Settings'!$B$2)+(T498*'Settings'!$B$3)+(U498*'Settings'!$B$4)+(V498*'Settings'!$B$5)+(X498*'Settings'!$B$9)+(AA498*'Settings'!$B$6)+(W498*'Settings'!$B$8)+(AB498*'Settings'!$B$7)+(AC498*'Settings'!$B$14)+(AD498*'Settings'!$B$15)+(AE498*'Settings'!$B$16)+(AF498*'Settings'!$B$17)+(AG498*'Settings'!$B$18)+(U498*'Settings'!$B$13)+(Y498*'Settings'!$B$10)+(Z498*'Settings'!$B$11),VLOOKUP(B498,'Standard Deviations'!A1:C666,3,FALSE))</f>
        <v>181.425638369851</v>
      </c>
      <c r="J498" s="75">
        <f>IF(D498="G",I498/AJ498,I498/Q498)</f>
        <v>2.73715744532646</v>
      </c>
      <c r="K498" s="74">
        <f>VLOOKUP(B498,'D'!A1:F213,6,FALSE)</f>
        <v>-150.114569550231</v>
      </c>
      <c r="L498" s="76">
        <f>_xlfn.IFERROR(K498/H498,"N/A")</f>
        <v>-130.534408304549</v>
      </c>
      <c r="M498" s="109">
        <f>IF('Settings'!$E$9="YAHOO",VLOOKUP(B498,'ADP'!A1:E665,2,FALSE),IF('Settings'!$E$9="ESPN",VLOOKUP(B498,'ADP'!A1:E665,3,FALSE),IF('Settings'!$E$9="FANTRAX",VLOOKUP(B498,'ADP'!A1:E665,4,FALSE),VLOOKUP(B498,'ADP'!A1:E665,5,FALSE))))</f>
        <v>0</v>
      </c>
      <c r="N498" s="79">
        <f>_xlfn.IFERROR(M498-A498,"N/A")</f>
        <v>-486</v>
      </c>
      <c r="O498" s="77"/>
      <c r="P498" t="s" s="78">
        <f>IF('Settings'!$E$27="ON",VLOOKUP(B498,'ADP'!A1:H665,8,FALSE)," ")</f>
        <v>138</v>
      </c>
      <c r="Q498" s="79">
        <f>IF('Settings'!$E$12="YES",VLOOKUP(B498,'Player Data'!A1:E667,5,FALSE),82)</f>
        <v>66.2825</v>
      </c>
      <c r="R498" s="77">
        <f>VLOOKUP(B498,'Player Data'!$A1:$AE667,6,FALSE)</f>
        <v>17.9805948410822</v>
      </c>
      <c r="S498" s="79">
        <f>VLOOKUP(B498,'Player Data'!$A1:$AE667,7,FALSE)*$Q498*_xlfn.IFERROR((VLOOKUP(P498,'Settings'!$E$28:$F$33,2,FALSE)+1),1)</f>
        <v>6.80781279712687</v>
      </c>
      <c r="T498" s="79">
        <f>VLOOKUP(B498,'Player Data'!$A1:$AE667,8,FALSE)*$Q498*_xlfn.IFERROR((VLOOKUP(P498,'Settings'!$E$28:$F$33,2,FALSE)+1),1)</f>
        <v>13.276807717913</v>
      </c>
      <c r="U498" s="79">
        <f>SUM(S498:T498)</f>
        <v>20.0846205150399</v>
      </c>
      <c r="V498" s="79">
        <f>VLOOKUP(B498,'Player Data'!$A1:$AE667,10,FALSE)*$Q498*_xlfn.IFERROR(((VLOOKUP(P498,'Settings'!$E$28:$F$33,2,FALSE)/2)+1),1)</f>
        <v>78.10679405545299</v>
      </c>
      <c r="W498" s="79">
        <f>VLOOKUP(B498,'Player Data'!$A1:$AE667,11,FALSE)*$Q498*_xlfn.IFERROR((VLOOKUP(P498,'Settings'!$E$28:$F$33,2,FALSE)+1),1)</f>
        <v>0.499422012156706</v>
      </c>
      <c r="X498" s="79">
        <f>VLOOKUP(B498,'Player Data'!$A1:$AE667,12,FALSE)*$Q498*_xlfn.IFERROR((VLOOKUP(P498,'Settings'!$E$28:$F$33,2,FALSE)+1),1)</f>
        <v>1.13271253782113</v>
      </c>
      <c r="Y498" s="79">
        <f>VLOOKUP(B498,'Player Data'!$A1:$AE667,13,FALSE)*$Q498</f>
        <v>0.280620737116641</v>
      </c>
      <c r="Z498" s="79">
        <f>VLOOKUP(B498,'Player Data'!$A1:$AE667,14,FALSE)*$Q498</f>
        <v>0.383175466117946</v>
      </c>
      <c r="AA498" s="79">
        <f>VLOOKUP(B498,'Player Data'!$A1:$AE667,15,FALSE)*$Q498</f>
        <v>86.2929952746352</v>
      </c>
      <c r="AB498" s="79">
        <f>VLOOKUP(B498,'Player Data'!$A1:$AE667,16,FALSE)*$Q498</f>
        <v>89.5178668127412</v>
      </c>
      <c r="AC498" s="79">
        <f>VLOOKUP(B498,'Player Data'!$A1:$AE667,17,FALSE)*$Q498*_xlfn.IFERROR((VLOOKUP(P498,'Settings'!$E$28:$F$33,2,FALSE)+1),1)</f>
        <v>-3.70012077189213</v>
      </c>
      <c r="AD498" s="79">
        <f>VLOOKUP(B498,'Player Data'!$A1:$AE667,18,FALSE)*$Q498</f>
        <v>29.2359497015481</v>
      </c>
      <c r="AE498" s="79">
        <f>VLOOKUP(B498,'Player Data'!$A1:$AE667,19,FALSE)*$Q498*_xlfn.IFERROR((VLOOKUP(P498,'Settings'!$E$28:$F$33,2,FALSE)+1),1)</f>
        <v>0.789034167250805</v>
      </c>
      <c r="AF498" s="79">
        <f>VLOOKUP(B498,'Player Data'!$A1:$AE667,20,FALSE)*$Q498</f>
        <v>0</v>
      </c>
      <c r="AG498" s="79">
        <f>VLOOKUP(B498,'Player Data'!$A1:$AE667,21,FALSE)*$Q498</f>
        <v>0</v>
      </c>
      <c r="AH498" s="81">
        <f>VLOOKUP(B498,'Player Data'!$A1:$AE667,22,FALSE)</f>
        <v>0</v>
      </c>
      <c r="AI498" s="77"/>
      <c r="AJ498" s="79"/>
      <c r="AK498" s="79"/>
      <c r="AL498" s="79"/>
      <c r="AM498" s="79"/>
      <c r="AN498" s="79"/>
      <c r="AO498" s="79"/>
      <c r="AP498" s="79"/>
      <c r="AQ498" s="82"/>
      <c r="AR498" s="83"/>
      <c r="AS498" s="84"/>
    </row>
    <row r="499" ht="21.25" customHeight="1">
      <c r="A499" s="85">
        <f>RANK(K499,K$1:K$665)</f>
        <v>511</v>
      </c>
      <c r="B499" t="s" s="16">
        <v>689</v>
      </c>
      <c r="C499" t="s" s="69">
        <v>127</v>
      </c>
      <c r="D499" t="s" s="70">
        <f>VLOOKUP(B499,'Player Data'!A1:D667,4,FALSE)</f>
        <v>128</v>
      </c>
      <c r="E499" s="71">
        <f>VLOOKUP(B499,'C'!A1:C206,3,FALSE)</f>
        <v>151</v>
      </c>
      <c r="F499" t="s" s="88">
        <f>VLOOKUP(B499,'Player Data'!A1:B667,2,FALSE)</f>
        <v>304</v>
      </c>
      <c r="G499" s="91">
        <f>VLOOKUP(B499,'Player Data'!A1:D667,3,FALSE)</f>
        <v>32</v>
      </c>
      <c r="H499" s="73">
        <f>_xlfn.IFERROR(VLOOKUP(B499,'ADP'!A1:G665,7,FALSE)/1000000,VLOOKUP(B499,'ADP'!A1:G665,7,FALSE))</f>
        <v>5.5</v>
      </c>
      <c r="I499" s="74">
        <f>IF('Settings'!$E$15="POINTS",((R499*Q499)*'Settings'!$B$12)+(S499*'Settings'!$B$2)+(T499*'Settings'!$B$3)+(U499*'Settings'!$B$4)+(V499*'Settings'!$B$5)+(X499*'Settings'!$B$9)+(AA499*'Settings'!$B$6)+(W499*'Settings'!$B$8)+(AB499*'Settings'!$B$7)+(AC499*'Settings'!$B$14)+(AD499*'Settings'!$B$15)+(AE499*'Settings'!$B$16)+(AF499*'Settings'!$B$17)+(AG499*'Settings'!$B$18)+(Y499*'Settings'!$B$10)+(Z499*'Settings'!$B$11),VLOOKUP(B499,'Standard Deviations'!A1:C666,3,FALSE))</f>
        <v>169.167095893387</v>
      </c>
      <c r="J499" s="75">
        <f>IF(D499="G",I499/AJ499,I499/Q499)</f>
        <v>2.33438570246506</v>
      </c>
      <c r="K499" s="74">
        <f>IF('Settings'!$E$18="C/LW/RW",VLOOKUP(B499,'C'!A1:F206,6,FALSE),VLOOKUP(B499,'F'!A1:F392,6,FALSE))</f>
        <v>-160.524798187791</v>
      </c>
      <c r="L499" s="76">
        <f>_xlfn.IFERROR(K499/H499,"N/A")</f>
        <v>-29.1863269432347</v>
      </c>
      <c r="M499" s="109">
        <f>IF('Settings'!$E$9="YAHOO",VLOOKUP(B499,'ADP'!A1:E665,2,FALSE),IF('Settings'!$E$9="ESPN",VLOOKUP(B499,'ADP'!A1:E665,3,FALSE),IF('Settings'!$E$9="FANTRAX",VLOOKUP(B499,'ADP'!A1:E665,4,FALSE),VLOOKUP(B499,'ADP'!A1:E665,5,FALSE))))</f>
        <v>0</v>
      </c>
      <c r="N499" s="79">
        <f>_xlfn.IFERROR(M499-A499,"N/A")</f>
        <v>-511</v>
      </c>
      <c r="O499" s="77"/>
      <c r="P499" t="s" s="78">
        <f>IF('Settings'!$E$27="ON",VLOOKUP(B499,'ADP'!A1:H665,8,FALSE)," ")</f>
        <v>138</v>
      </c>
      <c r="Q499" s="79">
        <f>IF('Settings'!$E$12="YES",VLOOKUP(B499,'Player Data'!A1:E667,5,FALSE),82)</f>
        <v>72.4675</v>
      </c>
      <c r="R499" s="108">
        <f>VLOOKUP(B499,'Player Data'!$A1:$AE667,6,FALSE)</f>
        <v>14.9908889762362</v>
      </c>
      <c r="S499" s="79">
        <f>VLOOKUP(B499,'Player Data'!$A1:$AE667,7,FALSE)*$Q499*_xlfn.IFERROR((VLOOKUP(P499,'Settings'!$E$28:$F$33,2,FALSE)+1),1)</f>
        <v>14.1017364240792</v>
      </c>
      <c r="T499" s="79">
        <f>VLOOKUP(B499,'Player Data'!$A1:$AE667,8,FALSE)*$Q499*_xlfn.IFERROR((VLOOKUP(P499,'Settings'!$E$28:$F$33,2,FALSE)+1),1)</f>
        <v>17.7590450118876</v>
      </c>
      <c r="U499" s="79">
        <f>SUM(S499:T499)</f>
        <v>31.8607814359668</v>
      </c>
      <c r="V499" s="79">
        <f>VLOOKUP(B499,'Player Data'!$A1:$AE667,10,FALSE)*$Q499*_xlfn.IFERROR(((VLOOKUP(P499,'Settings'!$E$28:$F$33,2,FALSE)/2)+1),1)</f>
        <v>132.795068130826</v>
      </c>
      <c r="W499" s="79">
        <f>VLOOKUP(B499,'Player Data'!$A1:$AE667,11,FALSE)*$Q499*_xlfn.IFERROR((VLOOKUP(P499,'Settings'!$E$28:$F$33,2,FALSE)+1),1)</f>
        <v>4.48025778271559</v>
      </c>
      <c r="X499" s="79">
        <f>VLOOKUP(B499,'Player Data'!$A1:$AE667,12,FALSE)*$Q499*_xlfn.IFERROR((VLOOKUP(P499,'Settings'!$E$28:$F$33,2,FALSE)+1),1)</f>
        <v>7.47388763318789</v>
      </c>
      <c r="Y499" s="79">
        <f>VLOOKUP(B499,'Player Data'!$A1:$AE667,13,FALSE)*$Q499</f>
        <v>0.00668849849460258</v>
      </c>
      <c r="Z499" s="79">
        <f>VLOOKUP(B499,'Player Data'!$A1:$AE667,14,FALSE)*$Q499</f>
        <v>0.0114335945354107</v>
      </c>
      <c r="AA499" s="79">
        <f>VLOOKUP(B499,'Player Data'!$A1:$AE667,15,FALSE)*$Q499</f>
        <v>27.8502840666694</v>
      </c>
      <c r="AB499" s="79">
        <f>VLOOKUP(B499,'Player Data'!$A1:$AE667,16,FALSE)*$Q499</f>
        <v>55.371045815703</v>
      </c>
      <c r="AC499" s="79">
        <f>VLOOKUP(B499,'Player Data'!$A1:$AE667,17,FALSE)*$Q499*_xlfn.IFERROR((VLOOKUP(P499,'Settings'!$E$28:$F$33,2,FALSE)+1),1)</f>
        <v>-1.6255277267354</v>
      </c>
      <c r="AD499" s="79">
        <f>VLOOKUP(B499,'Player Data'!$A1:$AE667,18,FALSE)*$Q499</f>
        <v>24.061782652691</v>
      </c>
      <c r="AE499" s="79">
        <f>VLOOKUP(B499,'Player Data'!$A1:$AE667,19,FALSE)*$Q499*_xlfn.IFERROR((VLOOKUP(P499,'Settings'!$E$28:$F$33,2,FALSE)+1),1)</f>
        <v>2.14131583095783</v>
      </c>
      <c r="AF499" s="79">
        <f>VLOOKUP(B499,'Player Data'!$A1:$AE667,20,FALSE)*$Q499</f>
        <v>79.2094565578156</v>
      </c>
      <c r="AG499" s="79">
        <f>VLOOKUP(B499,'Player Data'!$A1:$AE667,21,FALSE)*$Q499</f>
        <v>75.3147026727525</v>
      </c>
      <c r="AH499" s="81">
        <f>VLOOKUP(B499,'Player Data'!$A1:$AE667,22,FALSE)</f>
        <v>0.512602410860723</v>
      </c>
      <c r="AI499" s="77"/>
      <c r="AJ499" s="79"/>
      <c r="AK499" s="79"/>
      <c r="AL499" s="79"/>
      <c r="AM499" s="79"/>
      <c r="AN499" s="79"/>
      <c r="AO499" s="79"/>
      <c r="AP499" s="79"/>
      <c r="AQ499" s="82"/>
      <c r="AR499" s="83"/>
      <c r="AS499" s="84"/>
    </row>
    <row r="500" ht="21.25" customHeight="1">
      <c r="A500" s="85">
        <f>RANK(K500,K$1:K$665)</f>
        <v>487</v>
      </c>
      <c r="B500" t="s" s="16">
        <v>690</v>
      </c>
      <c r="C500" t="s" s="69">
        <v>127</v>
      </c>
      <c r="D500" t="s" s="70">
        <f>VLOOKUP(B500,'Player Data'!A1:D667,4,FALSE)</f>
        <v>153</v>
      </c>
      <c r="E500" s="95">
        <f>VLOOKUP(B500,'D'!A1:C213,3,FALSE)</f>
        <v>166</v>
      </c>
      <c r="F500" t="s" s="86">
        <f>VLOOKUP(B500,'Player Data'!A1:B667,2,FALSE)</f>
        <v>154</v>
      </c>
      <c r="G500" s="11">
        <f>VLOOKUP(B500,'Player Data'!A1:D667,3,FALSE)</f>
        <v>25</v>
      </c>
      <c r="H500" s="94">
        <f>_xlfn.IFERROR(VLOOKUP(B500,'ADP'!A1:G665,7,FALSE)/1000000,VLOOKUP(B500,'ADP'!A1:G665,7,FALSE))</f>
        <v>3.1</v>
      </c>
      <c r="I500" s="74">
        <f>IF('Settings'!$E$15="POINTS",((R500*Q500)*'Settings'!$B$12)+(S500*'Settings'!$B$2)+(T500*'Settings'!$B$3)+(U500*'Settings'!$B$4)+(V500*'Settings'!$B$5)+(X500*'Settings'!$B$9)+(AA500*'Settings'!$B$6)+(W500*'Settings'!$B$8)+(AB500*'Settings'!$B$7)+(AC500*'Settings'!$B$14)+(AD500*'Settings'!$B$15)+(AE500*'Settings'!$B$16)+(AF500*'Settings'!$B$17)+(AG500*'Settings'!$B$18)+(U500*'Settings'!$B$13)+(Y500*'Settings'!$B$10)+(Z500*'Settings'!$B$11),VLOOKUP(B500,'Standard Deviations'!A1:C666,3,FALSE))</f>
        <v>181.183776571693</v>
      </c>
      <c r="J500" s="75">
        <f>IF(D500="G",I500/AJ500,I500/Q500)</f>
        <v>2.40344599816532</v>
      </c>
      <c r="K500" s="74">
        <f>VLOOKUP(B500,'D'!A1:F213,6,FALSE)</f>
        <v>-150.356431348389</v>
      </c>
      <c r="L500" s="76">
        <f>_xlfn.IFERROR(K500/H500,"N/A")</f>
        <v>-48.5020746285126</v>
      </c>
      <c r="M500" s="109">
        <f>IF('Settings'!$E$9="YAHOO",VLOOKUP(B500,'ADP'!A1:E665,2,FALSE),IF('Settings'!$E$9="ESPN",VLOOKUP(B500,'ADP'!A1:E665,3,FALSE),IF('Settings'!$E$9="FANTRAX",VLOOKUP(B500,'ADP'!A1:E665,4,FALSE),VLOOKUP(B500,'ADP'!A1:E665,5,FALSE))))</f>
        <v>0</v>
      </c>
      <c r="N500" s="79">
        <f>_xlfn.IFERROR(M500-A500,"N/A")</f>
        <v>-487</v>
      </c>
      <c r="O500" s="77"/>
      <c r="P500" t="s" s="78">
        <f>IF('Settings'!$E$27="ON",VLOOKUP(B500,'ADP'!A1:H665,8,FALSE)," ")</f>
        <v>138</v>
      </c>
      <c r="Q500" s="79">
        <f>IF('Settings'!$E$12="YES",VLOOKUP(B500,'Player Data'!A1:E667,5,FALSE),82)</f>
        <v>75.38500000000001</v>
      </c>
      <c r="R500" s="108">
        <f>VLOOKUP(B500,'Player Data'!$A1:$AE667,6,FALSE)</f>
        <v>17.7538207656562</v>
      </c>
      <c r="S500" s="79">
        <f>VLOOKUP(B500,'Player Data'!$A1:$AE667,7,FALSE)*$Q500*_xlfn.IFERROR((VLOOKUP(P500,'Settings'!$E$28:$F$33,2,FALSE)+1),1)</f>
        <v>3.37919085834343</v>
      </c>
      <c r="T500" s="79">
        <f>VLOOKUP(B500,'Player Data'!$A1:$AE667,8,FALSE)*$Q500*_xlfn.IFERROR((VLOOKUP(P500,'Settings'!$E$28:$F$33,2,FALSE)+1),1)</f>
        <v>14.9478595908652</v>
      </c>
      <c r="U500" s="79">
        <f>SUM(S500:T500)</f>
        <v>18.3270504492086</v>
      </c>
      <c r="V500" s="79">
        <f>VLOOKUP(B500,'Player Data'!$A1:$AE667,10,FALSE)*$Q500*_xlfn.IFERROR(((VLOOKUP(P500,'Settings'!$E$28:$F$33,2,FALSE)/2)+1),1)</f>
        <v>83.0988982215772</v>
      </c>
      <c r="W500" s="79">
        <f>VLOOKUP(B500,'Player Data'!$A1:$AE667,11,FALSE)*$Q500*_xlfn.IFERROR((VLOOKUP(P500,'Settings'!$E$28:$F$33,2,FALSE)+1),1)</f>
        <v>0.0232768574248817</v>
      </c>
      <c r="X500" s="79">
        <f>VLOOKUP(B500,'Player Data'!$A1:$AE667,12,FALSE)*$Q500*_xlfn.IFERROR((VLOOKUP(P500,'Settings'!$E$28:$F$33,2,FALSE)+1),1)</f>
        <v>0.290261175629039</v>
      </c>
      <c r="Y500" s="79">
        <f>VLOOKUP(B500,'Player Data'!$A1:$AE667,13,FALSE)*$Q500</f>
        <v>0.0128850136245198</v>
      </c>
      <c r="Z500" s="79">
        <f>VLOOKUP(B500,'Player Data'!$A1:$AE667,14,FALSE)*$Q500</f>
        <v>0.301365050136601</v>
      </c>
      <c r="AA500" s="79">
        <f>VLOOKUP(B500,'Player Data'!$A1:$AE667,15,FALSE)*$Q500</f>
        <v>94.06660036206389</v>
      </c>
      <c r="AB500" s="79">
        <f>VLOOKUP(B500,'Player Data'!$A1:$AE667,16,FALSE)*$Q500</f>
        <v>90.025815737855</v>
      </c>
      <c r="AC500" s="79">
        <f>VLOOKUP(B500,'Player Data'!$A1:$AE667,17,FALSE)*$Q500*_xlfn.IFERROR((VLOOKUP(P500,'Settings'!$E$28:$F$33,2,FALSE)+1),1)</f>
        <v>-1.2871219450054</v>
      </c>
      <c r="AD500" s="79">
        <f>VLOOKUP(B500,'Player Data'!$A1:$AE667,18,FALSE)*$Q500</f>
        <v>25.2567151321432</v>
      </c>
      <c r="AE500" s="79">
        <f>VLOOKUP(B500,'Player Data'!$A1:$AE667,19,FALSE)*$Q500*_xlfn.IFERROR((VLOOKUP(P500,'Settings'!$E$28:$F$33,2,FALSE)+1),1)</f>
        <v>0.478004915764455</v>
      </c>
      <c r="AF500" s="79">
        <f>VLOOKUP(B500,'Player Data'!$A1:$AE667,20,FALSE)*$Q500</f>
        <v>0</v>
      </c>
      <c r="AG500" s="79">
        <f>VLOOKUP(B500,'Player Data'!$A1:$AE667,21,FALSE)*$Q500</f>
        <v>0</v>
      </c>
      <c r="AH500" s="81">
        <f>VLOOKUP(B500,'Player Data'!$A1:$AE667,22,FALSE)</f>
        <v>0</v>
      </c>
      <c r="AI500" s="77"/>
      <c r="AJ500" s="79"/>
      <c r="AK500" s="79"/>
      <c r="AL500" s="79"/>
      <c r="AM500" s="79"/>
      <c r="AN500" s="79"/>
      <c r="AO500" s="79"/>
      <c r="AP500" s="79"/>
      <c r="AQ500" s="82"/>
      <c r="AR500" s="83"/>
      <c r="AS500" s="84"/>
    </row>
    <row r="501" ht="21.25" customHeight="1">
      <c r="A501" s="85">
        <f>RANK(K501,K$1:K$665)</f>
        <v>489</v>
      </c>
      <c r="B501" t="s" s="16">
        <v>691</v>
      </c>
      <c r="C501" t="s" s="69">
        <v>127</v>
      </c>
      <c r="D501" t="s" s="70">
        <f>VLOOKUP(B501,'Player Data'!A1:D667,4,FALSE)</f>
        <v>153</v>
      </c>
      <c r="E501" s="95">
        <f>VLOOKUP(B501,'D'!A1:C213,3,FALSE)</f>
        <v>167</v>
      </c>
      <c r="F501" t="s" s="104">
        <f>VLOOKUP(B501,'Player Data'!A1:B667,2,FALSE)</f>
        <v>333</v>
      </c>
      <c r="G501" s="96">
        <f>VLOOKUP(B501,'Player Data'!A1:D667,3,FALSE)</f>
        <v>23</v>
      </c>
      <c r="H501" s="73">
        <f>_xlfn.IFERROR(VLOOKUP(B501,'ADP'!A1:G665,7,FALSE)/1000000,VLOOKUP(B501,'ADP'!A1:G665,7,FALSE))</f>
        <v>1</v>
      </c>
      <c r="I501" s="74">
        <f>IF('Settings'!$E$15="POINTS",((R501*Q501)*'Settings'!$B$12)+(S501*'Settings'!$B$2)+(T501*'Settings'!$B$3)+(U501*'Settings'!$B$4)+(V501*'Settings'!$B$5)+(X501*'Settings'!$B$9)+(AA501*'Settings'!$B$6)+(W501*'Settings'!$B$8)+(AB501*'Settings'!$B$7)+(AC501*'Settings'!$B$14)+(AD501*'Settings'!$B$15)+(AE501*'Settings'!$B$16)+(AF501*'Settings'!$B$17)+(AG501*'Settings'!$B$18)+(U501*'Settings'!$B$13)+(Y501*'Settings'!$B$10)+(Z501*'Settings'!$B$11),VLOOKUP(B501,'Standard Deviations'!A1:C666,3,FALSE))</f>
        <v>181.017392940484</v>
      </c>
      <c r="J501" s="75">
        <f>IF(D501="G",I501/AJ501,I501/Q501)</f>
        <v>2.75144236115647</v>
      </c>
      <c r="K501" s="74">
        <f>VLOOKUP(B501,'D'!A1:F213,6,FALSE)</f>
        <v>-150.522814979598</v>
      </c>
      <c r="L501" s="76">
        <f>_xlfn.IFERROR(K501/H501,"N/A")</f>
        <v>-150.522814979598</v>
      </c>
      <c r="M501" s="109">
        <f>IF('Settings'!$E$9="YAHOO",VLOOKUP(B501,'ADP'!A1:E665,2,FALSE),IF('Settings'!$E$9="ESPN",VLOOKUP(B501,'ADP'!A1:E665,3,FALSE),IF('Settings'!$E$9="FANTRAX",VLOOKUP(B501,'ADP'!A1:E665,4,FALSE),VLOOKUP(B501,'ADP'!A1:E665,5,FALSE))))</f>
        <v>0</v>
      </c>
      <c r="N501" s="79">
        <f>_xlfn.IFERROR(M501-A501,"N/A")</f>
        <v>-489</v>
      </c>
      <c r="O501" s="77"/>
      <c r="P501" t="s" s="78">
        <f>IF('Settings'!$E$27="ON",VLOOKUP(B501,'ADP'!A1:H665,8,FALSE)," ")</f>
        <v>138</v>
      </c>
      <c r="Q501" s="79">
        <f>IF('Settings'!$E$12="YES",VLOOKUP(B501,'Player Data'!A1:E667,5,FALSE),82)</f>
        <v>65.79000000000001</v>
      </c>
      <c r="R501" s="77">
        <f>VLOOKUP(B501,'Player Data'!$A1:$AE667,6,FALSE)</f>
        <v>19.8952403780526</v>
      </c>
      <c r="S501" s="79">
        <f>VLOOKUP(B501,'Player Data'!$A1:$AE667,7,FALSE)*$Q501*_xlfn.IFERROR((VLOOKUP(P501,'Settings'!$E$28:$F$33,2,FALSE)+1),1)</f>
        <v>6.83929486568911</v>
      </c>
      <c r="T501" s="79">
        <f>VLOOKUP(B501,'Player Data'!$A1:$AE667,8,FALSE)*$Q501*_xlfn.IFERROR((VLOOKUP(P501,'Settings'!$E$28:$F$33,2,FALSE)+1),1)</f>
        <v>19.869880321873</v>
      </c>
      <c r="U501" s="79">
        <f>SUM(S501:T501)</f>
        <v>26.7091751875621</v>
      </c>
      <c r="V501" s="79">
        <f>VLOOKUP(B501,'Player Data'!$A1:$AE667,10,FALSE)*$Q501*_xlfn.IFERROR(((VLOOKUP(P501,'Settings'!$E$28:$F$33,2,FALSE)/2)+1),1)</f>
        <v>76.1641964102225</v>
      </c>
      <c r="W501" s="79">
        <f>VLOOKUP(B501,'Player Data'!$A1:$AE667,11,FALSE)*$Q501*_xlfn.IFERROR((VLOOKUP(P501,'Settings'!$E$28:$F$33,2,FALSE)+1),1)</f>
        <v>4.92597854181354</v>
      </c>
      <c r="X501" s="101">
        <f>VLOOKUP(B501,'Player Data'!$A1:$AE667,12,FALSE)*$Q501*_xlfn.IFERROR((VLOOKUP(P501,'Settings'!$E$28:$F$33,2,FALSE)+1),1)</f>
        <v>14.9796228850133</v>
      </c>
      <c r="Y501" s="79">
        <f>VLOOKUP(B501,'Player Data'!$A1:$AE667,13,FALSE)*$Q501</f>
        <v>0.018360800197633</v>
      </c>
      <c r="Z501" s="79">
        <f>VLOOKUP(B501,'Player Data'!$A1:$AE667,14,FALSE)*$Q501</f>
        <v>0.0903254458866232</v>
      </c>
      <c r="AA501" s="79">
        <f>VLOOKUP(B501,'Player Data'!$A1:$AE667,15,FALSE)*$Q501</f>
        <v>87.804742851003</v>
      </c>
      <c r="AB501" s="79">
        <f>VLOOKUP(B501,'Player Data'!$A1:$AE667,16,FALSE)*$Q501</f>
        <v>54.6995304625577</v>
      </c>
      <c r="AC501" s="79">
        <f>VLOOKUP(B501,'Player Data'!$A1:$AE667,17,FALSE)*$Q501*_xlfn.IFERROR((VLOOKUP(P501,'Settings'!$E$28:$F$33,2,FALSE)+1),1)</f>
        <v>-9.18814914269859</v>
      </c>
      <c r="AD501" s="79">
        <f>VLOOKUP(B501,'Player Data'!$A1:$AE667,18,FALSE)*$Q501</f>
        <v>25.1457633377723</v>
      </c>
      <c r="AE501" s="79">
        <f>VLOOKUP(B501,'Player Data'!$A1:$AE667,19,FALSE)*$Q501*_xlfn.IFERROR((VLOOKUP(P501,'Settings'!$E$28:$F$33,2,FALSE)+1),1)</f>
        <v>0.73050593895674</v>
      </c>
      <c r="AF501" s="79">
        <f>VLOOKUP(B501,'Player Data'!$A1:$AE667,20,FALSE)*$Q501</f>
        <v>0</v>
      </c>
      <c r="AG501" s="79">
        <f>VLOOKUP(B501,'Player Data'!$A1:$AE667,21,FALSE)*$Q501</f>
        <v>0</v>
      </c>
      <c r="AH501" s="81">
        <f>VLOOKUP(B501,'Player Data'!$A1:$AE667,22,FALSE)</f>
        <v>0</v>
      </c>
      <c r="AI501" s="77"/>
      <c r="AJ501" s="79"/>
      <c r="AK501" s="79"/>
      <c r="AL501" s="79"/>
      <c r="AM501" s="79"/>
      <c r="AN501" s="79"/>
      <c r="AO501" s="79"/>
      <c r="AP501" s="79"/>
      <c r="AQ501" s="82"/>
      <c r="AR501" s="83"/>
      <c r="AS501" s="84"/>
    </row>
    <row r="502" ht="21.25" customHeight="1">
      <c r="A502" s="85">
        <f>RANK(K502,K$1:K$665)</f>
        <v>504</v>
      </c>
      <c r="B502" t="s" s="16">
        <v>692</v>
      </c>
      <c r="C502" t="s" s="69">
        <v>127</v>
      </c>
      <c r="D502" t="s" s="70">
        <f>VLOOKUP(B502,'Player Data'!A1:D667,4,FALSE)</f>
        <v>178</v>
      </c>
      <c r="E502" s="102">
        <f>VLOOKUP(B502,'LW'!A1:C152,3,FALSE)</f>
        <v>118</v>
      </c>
      <c r="F502" t="s" s="103">
        <f>VLOOKUP(B502,'Player Data'!A1:B667,2,FALSE)</f>
        <v>227</v>
      </c>
      <c r="G502" s="91">
        <f>VLOOKUP(B502,'Player Data'!A1:D667,3,FALSE)</f>
        <v>32</v>
      </c>
      <c r="H502" s="73">
        <f>_xlfn.IFERROR(VLOOKUP(B502,'ADP'!A1:G665,7,FALSE)/1000000,VLOOKUP(B502,'ADP'!A1:G665,7,FALSE))</f>
        <v>3.05</v>
      </c>
      <c r="I502" s="74">
        <f>IF('Settings'!$E$15="POINTS",((R502*Q502)*'Settings'!$B$12)+(S502*'Settings'!$B$2)+(T502*'Settings'!$B$3)+(U502*'Settings'!$B$4)+(V502*'Settings'!$B$5)+(X502*'Settings'!$B$9)+(AA502*'Settings'!$B$6)+(W502*'Settings'!$B$8)+(AB502*'Settings'!$B$7)+(AC502*'Settings'!$B$14)+(AD502*'Settings'!$B$15)+(AE502*'Settings'!$B$16)+(AF502*'Settings'!$B$17)+(AG502*'Settings'!$B$18)+(Y502*'Settings'!$B$10)+(Z502*'Settings'!$B$11),VLOOKUP(B502,'Standard Deviations'!A1:C666,3,FALSE))</f>
        <v>173.689480031543</v>
      </c>
      <c r="J502" s="75">
        <f>IF(D502="G",I502/AJ502,I502/Q502)</f>
        <v>2.17847083947752</v>
      </c>
      <c r="K502" s="74">
        <f>IF('Settings'!$E$18="C/LW/RW",VLOOKUP(B502,'LW'!A1:F152,6,FALSE),VLOOKUP(B502,'F'!A1:F392,6,FALSE))</f>
        <v>-158.030631734669</v>
      </c>
      <c r="L502" s="76">
        <f>_xlfn.IFERROR(K502/H502,"N/A")</f>
        <v>-51.8133218802193</v>
      </c>
      <c r="M502" s="109">
        <f>IF('Settings'!$E$9="YAHOO",VLOOKUP(B502,'ADP'!A1:E665,2,FALSE),IF('Settings'!$E$9="ESPN",VLOOKUP(B502,'ADP'!A1:E665,3,FALSE),IF('Settings'!$E$9="FANTRAX",VLOOKUP(B502,'ADP'!A1:E665,4,FALSE),VLOOKUP(B502,'ADP'!A1:E665,5,FALSE))))</f>
        <v>0</v>
      </c>
      <c r="N502" s="79">
        <f>_xlfn.IFERROR(M502-A502,"N/A")</f>
        <v>-504</v>
      </c>
      <c r="O502" s="77"/>
      <c r="P502" t="s" s="78">
        <f>IF('Settings'!$E$27="ON",VLOOKUP(B502,'ADP'!A1:H665,8,FALSE)," ")</f>
        <v>138</v>
      </c>
      <c r="Q502" s="79">
        <f>IF('Settings'!$E$12="YES",VLOOKUP(B502,'Player Data'!A1:E667,5,FALSE),82)</f>
        <v>79.73</v>
      </c>
      <c r="R502" s="77">
        <f>VLOOKUP(B502,'Player Data'!$A1:$AE667,6,FALSE)</f>
        <v>14.6335691611988</v>
      </c>
      <c r="S502" s="79">
        <f>VLOOKUP(B502,'Player Data'!$A1:$AE667,7,FALSE)*$Q502*_xlfn.IFERROR((VLOOKUP(P502,'Settings'!$E$28:$F$33,2,FALSE)+1),1)</f>
        <v>11.725731896146</v>
      </c>
      <c r="T502" s="79">
        <f>VLOOKUP(B502,'Player Data'!$A1:$AE667,8,FALSE)*$Q502*_xlfn.IFERROR((VLOOKUP(P502,'Settings'!$E$28:$F$33,2,FALSE)+1),1)</f>
        <v>17.2360220538375</v>
      </c>
      <c r="U502" s="79">
        <f>SUM(S502:T502)</f>
        <v>28.9617539499835</v>
      </c>
      <c r="V502" s="79">
        <f>VLOOKUP(B502,'Player Data'!$A1:$AE667,10,FALSE)*$Q502*_xlfn.IFERROR(((VLOOKUP(P502,'Settings'!$E$28:$F$33,2,FALSE)/2)+1),1)</f>
        <v>140.662902140327</v>
      </c>
      <c r="W502" s="79">
        <f>VLOOKUP(B502,'Player Data'!$A1:$AE667,11,FALSE)*$Q502*_xlfn.IFERROR((VLOOKUP(P502,'Settings'!$E$28:$F$33,2,FALSE)+1),1)</f>
        <v>0.0557436601224147</v>
      </c>
      <c r="X502" s="79">
        <f>VLOOKUP(B502,'Player Data'!$A1:$AE667,12,FALSE)*$Q502*_xlfn.IFERROR((VLOOKUP(P502,'Settings'!$E$28:$F$33,2,FALSE)+1),1)</f>
        <v>0.131686127302872</v>
      </c>
      <c r="Y502" s="79">
        <f>VLOOKUP(B502,'Player Data'!$A1:$AE667,13,FALSE)*$Q502</f>
        <v>0.507050972650379</v>
      </c>
      <c r="Z502" s="79">
        <f>VLOOKUP(B502,'Player Data'!$A1:$AE667,14,FALSE)*$Q502</f>
        <v>0.589553671688709</v>
      </c>
      <c r="AA502" s="79">
        <f>VLOOKUP(B502,'Player Data'!$A1:$AE667,15,FALSE)*$Q502</f>
        <v>33.828288162435</v>
      </c>
      <c r="AB502" s="79">
        <f>VLOOKUP(B502,'Player Data'!$A1:$AE667,16,FALSE)*$Q502</f>
        <v>69.224286102001</v>
      </c>
      <c r="AC502" s="79">
        <f>VLOOKUP(B502,'Player Data'!$A1:$AE667,17,FALSE)*$Q502*_xlfn.IFERROR((VLOOKUP(P502,'Settings'!$E$28:$F$33,2,FALSE)+1),1)</f>
        <v>5.70522118267518</v>
      </c>
      <c r="AD502" s="79">
        <f>VLOOKUP(B502,'Player Data'!$A1:$AE667,18,FALSE)*$Q502</f>
        <v>40.5889904834102</v>
      </c>
      <c r="AE502" s="79">
        <f>VLOOKUP(B502,'Player Data'!$A1:$AE667,19,FALSE)*$Q502*_xlfn.IFERROR((VLOOKUP(P502,'Settings'!$E$28:$F$33,2,FALSE)+1),1)</f>
        <v>2.03190032482942</v>
      </c>
      <c r="AF502" s="79">
        <f>VLOOKUP(B502,'Player Data'!$A1:$AE667,20,FALSE)*$Q502</f>
        <v>41.6191828601711</v>
      </c>
      <c r="AG502" s="79">
        <f>VLOOKUP(B502,'Player Data'!$A1:$AE667,21,FALSE)*$Q502</f>
        <v>45.9183214815908</v>
      </c>
      <c r="AH502" s="81">
        <f>VLOOKUP(B502,'Player Data'!$A1:$AE667,22,FALSE)</f>
        <v>0.4754440188023</v>
      </c>
      <c r="AI502" s="77"/>
      <c r="AJ502" s="79"/>
      <c r="AK502" s="79"/>
      <c r="AL502" s="79"/>
      <c r="AM502" s="79"/>
      <c r="AN502" s="79"/>
      <c r="AO502" s="79"/>
      <c r="AP502" s="79"/>
      <c r="AQ502" s="82"/>
      <c r="AR502" s="83"/>
      <c r="AS502" s="84"/>
    </row>
    <row r="503" ht="21.25" customHeight="1">
      <c r="A503" s="85">
        <f>RANK(K503,K$1:K$665)</f>
        <v>503</v>
      </c>
      <c r="B503" t="s" s="16">
        <v>693</v>
      </c>
      <c r="C503" t="s" s="69">
        <v>127</v>
      </c>
      <c r="D503" t="s" s="70">
        <f>VLOOKUP(B503,'Player Data'!A1:D667,4,FALSE)</f>
        <v>140</v>
      </c>
      <c r="E503" s="90">
        <f>VLOOKUP(B503,'RW'!A1:F136,3,FALSE)</f>
        <v>101</v>
      </c>
      <c r="F503" t="s" s="103">
        <f>VLOOKUP(B503,'Player Data'!A1:B667,2,FALSE)</f>
        <v>225</v>
      </c>
      <c r="G503" s="96">
        <f>VLOOKUP(B503,'Player Data'!A1:D667,3,FALSE)</f>
        <v>22</v>
      </c>
      <c r="H503" s="94">
        <f>_xlfn.IFERROR(VLOOKUP(B503,'ADP'!A1:G665,7,FALSE)/1000000,VLOOKUP(B503,'ADP'!A1:G665,7,FALSE))</f>
        <v>0.875</v>
      </c>
      <c r="I503" s="74">
        <f>IF('Settings'!$E$15="POINTS",((R503*Q503)*'Settings'!$B$12)+(S503*'Settings'!$B$2)+(T503*'Settings'!$B$3)+(U503*'Settings'!$B$4)+(V503*'Settings'!$B$5)+(X503*'Settings'!$B$9)+(AA503*'Settings'!$B$6)+(W503*'Settings'!$B$8)+(AB503*'Settings'!$B$7)+(AC503*'Settings'!$B$14)+(AD503*'Settings'!$B$15)+(AE503*'Settings'!$B$16)+(AF503*'Settings'!$B$17)+(AG503*'Settings'!$B$18)+(Y503*'Settings'!$B$10)+(Z503*'Settings'!$B$11),VLOOKUP(B503,'Standard Deviations'!A1:C666,3,FALSE))</f>
        <v>172.949966077644</v>
      </c>
      <c r="J503" s="75">
        <f>IF(D503="G",I503/AJ503,I503/Q503)</f>
        <v>2.14538195221291</v>
      </c>
      <c r="K503" s="74">
        <f>IF('Settings'!$E$18="C/LW/RW",VLOOKUP(B503,'RW'!A1:F136,6,FALSE),VLOOKUP(B503,'F'!A1:F392,6,FALSE))</f>
        <v>-156.741928003534</v>
      </c>
      <c r="L503" s="76">
        <f>_xlfn.IFERROR(K503/H503,"N/A")</f>
        <v>-179.133632004039</v>
      </c>
      <c r="M503" s="109">
        <f>IF('Settings'!$E$9="YAHOO",VLOOKUP(B503,'ADP'!A1:E665,2,FALSE),IF('Settings'!$E$9="ESPN",VLOOKUP(B503,'ADP'!A1:E665,3,FALSE),IF('Settings'!$E$9="FANTRAX",VLOOKUP(B503,'ADP'!A1:E665,4,FALSE),VLOOKUP(B503,'ADP'!A1:E665,5,FALSE))))</f>
        <v>0</v>
      </c>
      <c r="N503" s="79">
        <f>_xlfn.IFERROR(M503-A503,"N/A")</f>
        <v>-503</v>
      </c>
      <c r="O503" s="77"/>
      <c r="P503" t="s" s="78">
        <f>IF('Settings'!$E$27="ON",VLOOKUP(B503,'ADP'!A1:H665,8,FALSE)," ")</f>
        <v>138</v>
      </c>
      <c r="Q503" s="79">
        <f>IF('Settings'!$E$12="YES",VLOOKUP(B503,'Player Data'!A1:E667,5,FALSE),82)</f>
        <v>80.61499999999999</v>
      </c>
      <c r="R503" s="77">
        <f>VLOOKUP(B503,'Player Data'!$A1:$AE667,6,FALSE)</f>
        <v>12.3957657527663</v>
      </c>
      <c r="S503" s="79">
        <f>VLOOKUP(B503,'Player Data'!$A1:$AE667,7,FALSE)*$Q503*_xlfn.IFERROR((VLOOKUP(P503,'Settings'!$E$28:$F$33,2,FALSE)+1),1)</f>
        <v>12.0037445208385</v>
      </c>
      <c r="T503" s="79">
        <f>VLOOKUP(B503,'Player Data'!$A1:$AE667,8,FALSE)*$Q503*_xlfn.IFERROR((VLOOKUP(P503,'Settings'!$E$28:$F$33,2,FALSE)+1),1)</f>
        <v>11.0766987378539</v>
      </c>
      <c r="U503" s="79">
        <f>SUM(S503:T503)</f>
        <v>23.0804432586924</v>
      </c>
      <c r="V503" s="79">
        <f>VLOOKUP(B503,'Player Data'!$A1:$AE667,10,FALSE)*$Q503*_xlfn.IFERROR(((VLOOKUP(P503,'Settings'!$E$28:$F$33,2,FALSE)/2)+1),1)</f>
        <v>131.052189898663</v>
      </c>
      <c r="W503" s="79">
        <f>VLOOKUP(B503,'Player Data'!$A1:$AE667,11,FALSE)*$Q503*_xlfn.IFERROR((VLOOKUP(P503,'Settings'!$E$28:$F$33,2,FALSE)+1),1)</f>
        <v>0.23076315570407</v>
      </c>
      <c r="X503" s="79">
        <f>VLOOKUP(B503,'Player Data'!$A1:$AE667,12,FALSE)*$Q503*_xlfn.IFERROR((VLOOKUP(P503,'Settings'!$E$28:$F$33,2,FALSE)+1),1)</f>
        <v>1.10402111216593</v>
      </c>
      <c r="Y503" s="79">
        <f>VLOOKUP(B503,'Player Data'!$A1:$AE667,13,FALSE)*$Q503</f>
        <v>0.387684178819678</v>
      </c>
      <c r="Z503" s="79">
        <f>VLOOKUP(B503,'Player Data'!$A1:$AE667,14,FALSE)*$Q503</f>
        <v>0.662698959467236</v>
      </c>
      <c r="AA503" s="79">
        <f>VLOOKUP(B503,'Player Data'!$A1:$AE667,15,FALSE)*$Q503</f>
        <v>29.1154829690331</v>
      </c>
      <c r="AB503" s="79">
        <f>VLOOKUP(B503,'Player Data'!$A1:$AE667,16,FALSE)*$Q503</f>
        <v>100.405066390425</v>
      </c>
      <c r="AC503" s="79">
        <f>VLOOKUP(B503,'Player Data'!$A1:$AE667,17,FALSE)*$Q503*_xlfn.IFERROR((VLOOKUP(P503,'Settings'!$E$28:$F$33,2,FALSE)+1),1)</f>
        <v>-0.0759442340062543</v>
      </c>
      <c r="AD503" s="79">
        <f>VLOOKUP(B503,'Player Data'!$A1:$AE667,18,FALSE)*$Q503</f>
        <v>39.9155264072541</v>
      </c>
      <c r="AE503" s="79">
        <f>VLOOKUP(B503,'Player Data'!$A1:$AE667,19,FALSE)*$Q503*_xlfn.IFERROR((VLOOKUP(P503,'Settings'!$E$28:$F$33,2,FALSE)+1),1)</f>
        <v>2.13920736162705</v>
      </c>
      <c r="AF503" s="79">
        <f>VLOOKUP(B503,'Player Data'!$A1:$AE667,20,FALSE)*$Q503</f>
        <v>6.53249214896784</v>
      </c>
      <c r="AG503" s="79">
        <f>VLOOKUP(B503,'Player Data'!$A1:$AE667,21,FALSE)*$Q503</f>
        <v>5.59927898482959</v>
      </c>
      <c r="AH503" s="81">
        <f>VLOOKUP(B503,'Player Data'!$A1:$AE667,22,FALSE)</f>
        <v>0.538461538461538</v>
      </c>
      <c r="AI503" s="77"/>
      <c r="AJ503" s="79"/>
      <c r="AK503" s="79"/>
      <c r="AL503" s="79"/>
      <c r="AM503" s="79"/>
      <c r="AN503" s="79"/>
      <c r="AO503" s="79"/>
      <c r="AP503" s="79"/>
      <c r="AQ503" s="82"/>
      <c r="AR503" s="83"/>
      <c r="AS503" s="84"/>
    </row>
    <row r="504" ht="21.25" customHeight="1">
      <c r="A504" s="85">
        <f>RANK(K504,K$1:K$665)</f>
        <v>493</v>
      </c>
      <c r="B504" t="s" s="16">
        <v>694</v>
      </c>
      <c r="C504" t="s" s="69">
        <v>127</v>
      </c>
      <c r="D504" t="s" s="70">
        <f>VLOOKUP(B504,'Player Data'!A1:D667,4,FALSE)</f>
        <v>153</v>
      </c>
      <c r="E504" s="95">
        <f>VLOOKUP(B504,'D'!A1:C213,3,FALSE)</f>
        <v>168</v>
      </c>
      <c r="F504" t="s" s="78">
        <f>VLOOKUP(B504,'Player Data'!A1:B667,2,FALSE)</f>
        <v>134</v>
      </c>
      <c r="G504" s="11">
        <f>VLOOKUP(B504,'Player Data'!A1:D667,3,FALSE)</f>
        <v>25</v>
      </c>
      <c r="H504" s="94">
        <f>_xlfn.IFERROR(VLOOKUP(B504,'ADP'!A1:G665,7,FALSE)/1000000,VLOOKUP(B504,'ADP'!A1:G665,7,FALSE))</f>
        <v>0.9</v>
      </c>
      <c r="I504" s="74">
        <f>IF('Settings'!$E$15="POINTS",((R504*Q504)*'Settings'!$B$12)+(S504*'Settings'!$B$2)+(T504*'Settings'!$B$3)+(U504*'Settings'!$B$4)+(V504*'Settings'!$B$5)+(X504*'Settings'!$B$9)+(AA504*'Settings'!$B$6)+(W504*'Settings'!$B$8)+(AB504*'Settings'!$B$7)+(AC504*'Settings'!$B$14)+(AD504*'Settings'!$B$15)+(AE504*'Settings'!$B$16)+(AF504*'Settings'!$B$17)+(AG504*'Settings'!$B$18)+(U504*'Settings'!$B$13)+(Y504*'Settings'!$B$10)+(Z504*'Settings'!$B$11),VLOOKUP(B504,'Standard Deviations'!A1:C666,3,FALSE))</f>
        <v>179.520191930494</v>
      </c>
      <c r="J504" s="75">
        <f>IF(D504="G",I504/AJ504,I504/Q504)</f>
        <v>2.33249128734482</v>
      </c>
      <c r="K504" s="74">
        <f>VLOOKUP(B504,'D'!A1:F213,6,FALSE)</f>
        <v>-152.020015989588</v>
      </c>
      <c r="L504" s="76">
        <f>_xlfn.IFERROR(K504/H504,"N/A")</f>
        <v>-168.911128877320</v>
      </c>
      <c r="M504" s="109">
        <f>IF('Settings'!$E$9="YAHOO",VLOOKUP(B504,'ADP'!A1:E665,2,FALSE),IF('Settings'!$E$9="ESPN",VLOOKUP(B504,'ADP'!A1:E665,3,FALSE),IF('Settings'!$E$9="FANTRAX",VLOOKUP(B504,'ADP'!A1:E665,4,FALSE),VLOOKUP(B504,'ADP'!A1:E665,5,FALSE))))</f>
        <v>0</v>
      </c>
      <c r="N504" s="79">
        <f>_xlfn.IFERROR(M504-A504,"N/A")</f>
        <v>-493</v>
      </c>
      <c r="O504" s="77"/>
      <c r="P504" t="s" s="78">
        <f>IF('Settings'!$E$27="ON",VLOOKUP(B504,'ADP'!A1:H665,8,FALSE)," ")</f>
        <v>138</v>
      </c>
      <c r="Q504" s="79">
        <f>IF('Settings'!$E$12="YES",VLOOKUP(B504,'Player Data'!A1:E667,5,FALSE),82)</f>
        <v>76.965</v>
      </c>
      <c r="R504" s="77">
        <f>VLOOKUP(B504,'Player Data'!$A1:$AE667,6,FALSE)</f>
        <v>16.6875072642264</v>
      </c>
      <c r="S504" s="79">
        <f>VLOOKUP(B504,'Player Data'!$A1:$AE667,7,FALSE)*$Q504*_xlfn.IFERROR((VLOOKUP(P504,'Settings'!$E$28:$F$33,2,FALSE)+1),1)</f>
        <v>2.76702845450513</v>
      </c>
      <c r="T504" s="79">
        <f>VLOOKUP(B504,'Player Data'!$A1:$AE667,8,FALSE)*$Q504*_xlfn.IFERROR((VLOOKUP(P504,'Settings'!$E$28:$F$33,2,FALSE)+1),1)</f>
        <v>17.0724789244826</v>
      </c>
      <c r="U504" s="79">
        <f>SUM(S504:T504)</f>
        <v>19.8395073789877</v>
      </c>
      <c r="V504" s="79">
        <f>VLOOKUP(B504,'Player Data'!$A1:$AE667,10,FALSE)*$Q504*_xlfn.IFERROR(((VLOOKUP(P504,'Settings'!$E$28:$F$33,2,FALSE)/2)+1),1)</f>
        <v>84.2378228941307</v>
      </c>
      <c r="W504" s="79">
        <f>VLOOKUP(B504,'Player Data'!$A1:$AE667,11,FALSE)*$Q504*_xlfn.IFERROR((VLOOKUP(P504,'Settings'!$E$28:$F$33,2,FALSE)+1),1)</f>
        <v>0.0356360342499363</v>
      </c>
      <c r="X504" s="79">
        <f>VLOOKUP(B504,'Player Data'!$A1:$AE667,12,FALSE)*$Q504*_xlfn.IFERROR((VLOOKUP(P504,'Settings'!$E$28:$F$33,2,FALSE)+1),1)</f>
        <v>0.619703005397048</v>
      </c>
      <c r="Y504" s="79">
        <f>VLOOKUP(B504,'Player Data'!$A1:$AE667,13,FALSE)*$Q504</f>
        <v>0.0123465904967228</v>
      </c>
      <c r="Z504" s="79">
        <f>VLOOKUP(B504,'Player Data'!$A1:$AE667,14,FALSE)*$Q504</f>
        <v>0.285429292358785</v>
      </c>
      <c r="AA504" s="79">
        <f>VLOOKUP(B504,'Player Data'!$A1:$AE667,15,FALSE)*$Q504</f>
        <v>107.696636102793</v>
      </c>
      <c r="AB504" s="79">
        <f>VLOOKUP(B504,'Player Data'!$A1:$AE667,16,FALSE)*$Q504</f>
        <v>63.7612274418974</v>
      </c>
      <c r="AC504" s="79">
        <f>VLOOKUP(B504,'Player Data'!$A1:$AE667,17,FALSE)*$Q504*_xlfn.IFERROR((VLOOKUP(P504,'Settings'!$E$28:$F$33,2,FALSE)+1),1)</f>
        <v>0.0235032953458776</v>
      </c>
      <c r="AD504" s="79">
        <f>VLOOKUP(B504,'Player Data'!$A1:$AE667,18,FALSE)*$Q504</f>
        <v>33.6339596376384</v>
      </c>
      <c r="AE504" s="79">
        <f>VLOOKUP(B504,'Player Data'!$A1:$AE667,19,FALSE)*$Q504*_xlfn.IFERROR((VLOOKUP(P504,'Settings'!$E$28:$F$33,2,FALSE)+1),1)</f>
        <v>0.413423532776797</v>
      </c>
      <c r="AF504" s="79">
        <f>VLOOKUP(B504,'Player Data'!$A1:$AE667,20,FALSE)*$Q504</f>
        <v>0</v>
      </c>
      <c r="AG504" s="79">
        <f>VLOOKUP(B504,'Player Data'!$A1:$AE667,21,FALSE)*$Q504</f>
        <v>0</v>
      </c>
      <c r="AH504" s="81">
        <f>VLOOKUP(B504,'Player Data'!$A1:$AE667,22,FALSE)</f>
        <v>0</v>
      </c>
      <c r="AI504" s="77"/>
      <c r="AJ504" s="79"/>
      <c r="AK504" s="79"/>
      <c r="AL504" s="79"/>
      <c r="AM504" s="79"/>
      <c r="AN504" s="79"/>
      <c r="AO504" s="79"/>
      <c r="AP504" s="79"/>
      <c r="AQ504" s="82"/>
      <c r="AR504" s="83"/>
      <c r="AS504" s="84"/>
    </row>
    <row r="505" ht="21.25" customHeight="1">
      <c r="A505" s="85">
        <f>RANK(K505,K$1:K$665)</f>
        <v>494</v>
      </c>
      <c r="B505" t="s" s="16">
        <v>695</v>
      </c>
      <c r="C505" t="s" s="69">
        <v>127</v>
      </c>
      <c r="D505" t="s" s="70">
        <f>VLOOKUP(B505,'Player Data'!A1:D667,4,FALSE)</f>
        <v>153</v>
      </c>
      <c r="E505" s="95">
        <f>VLOOKUP(B505,'D'!A1:C213,3,FALSE)</f>
        <v>169</v>
      </c>
      <c r="F505" t="s" s="103">
        <f>VLOOKUP(B505,'Player Data'!A1:B667,2,FALSE)</f>
        <v>227</v>
      </c>
      <c r="G505" s="11">
        <f>VLOOKUP(B505,'Player Data'!A1:D667,3,FALSE)</f>
        <v>28</v>
      </c>
      <c r="H505" s="73">
        <f>_xlfn.IFERROR(VLOOKUP(B505,'ADP'!A1:G665,7,FALSE)/1000000,VLOOKUP(B505,'ADP'!A1:G665,7,FALSE))</f>
        <v>3</v>
      </c>
      <c r="I505" s="74">
        <f>IF('Settings'!$E$15="POINTS",((R505*Q505)*'Settings'!$B$12)+(S505*'Settings'!$B$2)+(T505*'Settings'!$B$3)+(U505*'Settings'!$B$4)+(V505*'Settings'!$B$5)+(X505*'Settings'!$B$9)+(AA505*'Settings'!$B$6)+(W505*'Settings'!$B$8)+(AB505*'Settings'!$B$7)+(AC505*'Settings'!$B$14)+(AD505*'Settings'!$B$15)+(AE505*'Settings'!$B$16)+(AF505*'Settings'!$B$17)+(AG505*'Settings'!$B$18)+(U505*'Settings'!$B$13)+(Y505*'Settings'!$B$10)+(Z505*'Settings'!$B$11),VLOOKUP(B505,'Standard Deviations'!A1:C666,3,FALSE))</f>
        <v>179.241337232160</v>
      </c>
      <c r="J505" s="75">
        <f>IF(D505="G",I505/AJ505,I505/Q505)</f>
        <v>2.45183417320512</v>
      </c>
      <c r="K505" s="74">
        <f>VLOOKUP(B505,'D'!A1:F213,6,FALSE)</f>
        <v>-152.298870687922</v>
      </c>
      <c r="L505" s="76">
        <f>_xlfn.IFERROR(K505/H505,"N/A")</f>
        <v>-50.7662902293073</v>
      </c>
      <c r="M505" s="109">
        <f>IF('Settings'!$E$9="YAHOO",VLOOKUP(B505,'ADP'!A1:E665,2,FALSE),IF('Settings'!$E$9="ESPN",VLOOKUP(B505,'ADP'!A1:E665,3,FALSE),IF('Settings'!$E$9="FANTRAX",VLOOKUP(B505,'ADP'!A1:E665,4,FALSE),VLOOKUP(B505,'ADP'!A1:E665,5,FALSE))))</f>
        <v>0</v>
      </c>
      <c r="N505" s="79">
        <f>_xlfn.IFERROR(M505-A505,"N/A")</f>
        <v>-494</v>
      </c>
      <c r="O505" s="77"/>
      <c r="P505" t="s" s="78">
        <f>IF('Settings'!$E$27="ON",VLOOKUP(B505,'ADP'!A1:H665,8,FALSE)," ")</f>
        <v>138</v>
      </c>
      <c r="Q505" s="79">
        <f>IF('Settings'!$E$12="YES",VLOOKUP(B505,'Player Data'!A1:E667,5,FALSE),82)</f>
        <v>73.105</v>
      </c>
      <c r="R505" s="98">
        <f>VLOOKUP(B505,'Player Data'!$A1:$AE667,6,FALSE)</f>
        <v>17.1708714514159</v>
      </c>
      <c r="S505" s="79">
        <f>VLOOKUP(B505,'Player Data'!$A1:$AE667,7,FALSE)*$Q505*_xlfn.IFERROR((VLOOKUP(P505,'Settings'!$E$28:$F$33,2,FALSE)+1),1)</f>
        <v>6.24946959275922</v>
      </c>
      <c r="T505" s="79">
        <f>VLOOKUP(B505,'Player Data'!$A1:$AE667,8,FALSE)*$Q505*_xlfn.IFERROR((VLOOKUP(P505,'Settings'!$E$28:$F$33,2,FALSE)+1),1)</f>
        <v>12.7363499882953</v>
      </c>
      <c r="U505" s="79">
        <f>SUM(S505:T505)</f>
        <v>18.9858195810545</v>
      </c>
      <c r="V505" s="79">
        <f>VLOOKUP(B505,'Player Data'!$A1:$AE667,10,FALSE)*$Q505*_xlfn.IFERROR(((VLOOKUP(P505,'Settings'!$E$28:$F$33,2,FALSE)/2)+1),1)</f>
        <v>98.0489495579266</v>
      </c>
      <c r="W505" s="79">
        <f>VLOOKUP(B505,'Player Data'!$A1:$AE667,11,FALSE)*$Q505*_xlfn.IFERROR((VLOOKUP(P505,'Settings'!$E$28:$F$33,2,FALSE)+1),1)</f>
        <v>0.0230017381699257</v>
      </c>
      <c r="X505" s="79">
        <f>VLOOKUP(B505,'Player Data'!$A1:$AE667,12,FALSE)*$Q505*_xlfn.IFERROR((VLOOKUP(P505,'Settings'!$E$28:$F$33,2,FALSE)+1),1)</f>
        <v>0.146898694907282</v>
      </c>
      <c r="Y505" s="79">
        <f>VLOOKUP(B505,'Player Data'!$A1:$AE667,13,FALSE)*$Q505</f>
        <v>0.420190705679077</v>
      </c>
      <c r="Z505" s="79">
        <f>VLOOKUP(B505,'Player Data'!$A1:$AE667,14,FALSE)*$Q505</f>
        <v>0.958000904744111</v>
      </c>
      <c r="AA505" s="79">
        <f>VLOOKUP(B505,'Player Data'!$A1:$AE667,15,FALSE)*$Q505</f>
        <v>84.58591013576419</v>
      </c>
      <c r="AB505" s="79">
        <f>VLOOKUP(B505,'Player Data'!$A1:$AE667,16,FALSE)*$Q505</f>
        <v>80.9925970400693</v>
      </c>
      <c r="AC505" s="79">
        <f>VLOOKUP(B505,'Player Data'!$A1:$AE667,17,FALSE)*$Q505*_xlfn.IFERROR((VLOOKUP(P505,'Settings'!$E$28:$F$33,2,FALSE)+1),1)</f>
        <v>1.39963203870204</v>
      </c>
      <c r="AD505" s="79">
        <f>VLOOKUP(B505,'Player Data'!$A1:$AE667,18,FALSE)*$Q505</f>
        <v>32.6787581331434</v>
      </c>
      <c r="AE505" s="79">
        <f>VLOOKUP(B505,'Player Data'!$A1:$AE667,19,FALSE)*$Q505*_xlfn.IFERROR((VLOOKUP(P505,'Settings'!$E$28:$F$33,2,FALSE)+1),1)</f>
        <v>1.08294300159743</v>
      </c>
      <c r="AF505" s="79">
        <f>VLOOKUP(B505,'Player Data'!$A1:$AE667,20,FALSE)*$Q505</f>
        <v>0</v>
      </c>
      <c r="AG505" s="79">
        <f>VLOOKUP(B505,'Player Data'!$A1:$AE667,21,FALSE)*$Q505</f>
        <v>0</v>
      </c>
      <c r="AH505" s="81">
        <f>VLOOKUP(B505,'Player Data'!$A1:$AE667,22,FALSE)</f>
        <v>0</v>
      </c>
      <c r="AI505" s="77"/>
      <c r="AJ505" s="89"/>
      <c r="AK505" s="79"/>
      <c r="AL505" s="79"/>
      <c r="AM505" s="79"/>
      <c r="AN505" s="79"/>
      <c r="AO505" s="79"/>
      <c r="AP505" s="79"/>
      <c r="AQ505" s="82"/>
      <c r="AR505" s="83"/>
      <c r="AS505" s="84"/>
    </row>
    <row r="506" ht="21.25" customHeight="1">
      <c r="A506" s="85">
        <f>RANK(K506,K$1:K$665)</f>
        <v>517</v>
      </c>
      <c r="B506" t="s" s="16">
        <v>696</v>
      </c>
      <c r="C506" t="s" s="69">
        <v>127</v>
      </c>
      <c r="D506" t="s" s="70">
        <f>VLOOKUP(B506,'Player Data'!A1:D667,4,FALSE)</f>
        <v>128</v>
      </c>
      <c r="E506" s="71">
        <f>VLOOKUP(B506,'C'!A1:C206,3,FALSE)</f>
        <v>153</v>
      </c>
      <c r="F506" t="s" s="88">
        <f>VLOOKUP(B506,'Player Data'!A1:B667,2,FALSE)</f>
        <v>239</v>
      </c>
      <c r="G506" s="11">
        <f>VLOOKUP(B506,'Player Data'!A1:D667,3,FALSE)</f>
        <v>28</v>
      </c>
      <c r="H506" s="94">
        <f>_xlfn.IFERROR(VLOOKUP(B506,'ADP'!A1:G665,7,FALSE)/1000000,VLOOKUP(B506,'ADP'!A1:G665,7,FALSE))</f>
        <v>1.7</v>
      </c>
      <c r="I506" s="74">
        <f>IF('Settings'!$E$15="POINTS",((R506*Q506)*'Settings'!$B$12)+(S506*'Settings'!$B$2)+(T506*'Settings'!$B$3)+(U506*'Settings'!$B$4)+(V506*'Settings'!$B$5)+(X506*'Settings'!$B$9)+(AA506*'Settings'!$B$6)+(W506*'Settings'!$B$8)+(AB506*'Settings'!$B$7)+(AC506*'Settings'!$B$14)+(AD506*'Settings'!$B$15)+(AE506*'Settings'!$B$16)+(AF506*'Settings'!$B$17)+(AG506*'Settings'!$B$18)+(Y506*'Settings'!$B$10)+(Z506*'Settings'!$B$11),VLOOKUP(B506,'Standard Deviations'!A1:C666,3,FALSE))</f>
        <v>166.872614864883</v>
      </c>
      <c r="J506" s="75">
        <f>IF(D506="G",I506/AJ506,I506/Q506)</f>
        <v>2.16212250407985</v>
      </c>
      <c r="K506" s="74">
        <f>IF('Settings'!$E$18="C/LW/RW",VLOOKUP(B506,'C'!A1:F206,6,FALSE),VLOOKUP(B506,'F'!A1:F392,6,FALSE))</f>
        <v>-162.819279216295</v>
      </c>
      <c r="L506" s="76">
        <f>_xlfn.IFERROR(K506/H506,"N/A")</f>
        <v>-95.7760465978206</v>
      </c>
      <c r="M506" s="109">
        <f>IF('Settings'!$E$9="YAHOO",VLOOKUP(B506,'ADP'!A1:E665,2,FALSE),IF('Settings'!$E$9="ESPN",VLOOKUP(B506,'ADP'!A1:E665,3,FALSE),IF('Settings'!$E$9="FANTRAX",VLOOKUP(B506,'ADP'!A1:E665,4,FALSE),VLOOKUP(B506,'ADP'!A1:E665,5,FALSE))))</f>
        <v>0</v>
      </c>
      <c r="N506" s="79">
        <f>_xlfn.IFERROR(M506-A506,"N/A")</f>
        <v>-517</v>
      </c>
      <c r="O506" s="77"/>
      <c r="P506" t="s" s="78">
        <f>IF('Settings'!$E$27="ON",VLOOKUP(B506,'ADP'!A1:H665,8,FALSE)," ")</f>
        <v>138</v>
      </c>
      <c r="Q506" s="79">
        <f>IF('Settings'!$E$12="YES",VLOOKUP(B506,'Player Data'!A1:E667,5,FALSE),82)</f>
        <v>77.18000000000001</v>
      </c>
      <c r="R506" s="108">
        <f>VLOOKUP(B506,'Player Data'!$A1:$AE667,6,FALSE)</f>
        <v>14.6079653733048</v>
      </c>
      <c r="S506" s="79">
        <f>VLOOKUP(B506,'Player Data'!$A1:$AE667,7,FALSE)*$Q506*_xlfn.IFERROR((VLOOKUP(P506,'Settings'!$E$28:$F$33,2,FALSE)+1),1)</f>
        <v>6.91540038080617</v>
      </c>
      <c r="T506" s="79">
        <f>VLOOKUP(B506,'Player Data'!$A1:$AE667,8,FALSE)*$Q506*_xlfn.IFERROR((VLOOKUP(P506,'Settings'!$E$28:$F$33,2,FALSE)+1),1)</f>
        <v>18.4117823001657</v>
      </c>
      <c r="U506" s="79">
        <f>SUM(S506:T506)</f>
        <v>25.3271826809719</v>
      </c>
      <c r="V506" s="79">
        <f>VLOOKUP(B506,'Player Data'!$A1:$AE667,10,FALSE)*$Q506*_xlfn.IFERROR(((VLOOKUP(P506,'Settings'!$E$28:$F$33,2,FALSE)/2)+1),1)</f>
        <v>82.2537746088083</v>
      </c>
      <c r="W506" s="79">
        <f>VLOOKUP(B506,'Player Data'!$A1:$AE667,11,FALSE)*$Q506*_xlfn.IFERROR((VLOOKUP(P506,'Settings'!$E$28:$F$33,2,FALSE)+1),1)</f>
        <v>0.242531636915935</v>
      </c>
      <c r="X506" s="79">
        <f>VLOOKUP(B506,'Player Data'!$A1:$AE667,12,FALSE)*$Q506*_xlfn.IFERROR((VLOOKUP(P506,'Settings'!$E$28:$F$33,2,FALSE)+1),1)</f>
        <v>0.47773228413809</v>
      </c>
      <c r="Y506" s="79">
        <f>VLOOKUP(B506,'Player Data'!$A1:$AE667,13,FALSE)*$Q506</f>
        <v>0.516514611048671</v>
      </c>
      <c r="Z506" s="79">
        <f>VLOOKUP(B506,'Player Data'!$A1:$AE667,14,FALSE)*$Q506</f>
        <v>1.30338732020974</v>
      </c>
      <c r="AA506" s="79">
        <f>VLOOKUP(B506,'Player Data'!$A1:$AE667,15,FALSE)*$Q506</f>
        <v>54.0909835548268</v>
      </c>
      <c r="AB506" s="79">
        <f>VLOOKUP(B506,'Player Data'!$A1:$AE667,16,FALSE)*$Q506</f>
        <v>73.2193784382421</v>
      </c>
      <c r="AC506" s="79">
        <f>VLOOKUP(B506,'Player Data'!$A1:$AE667,17,FALSE)*$Q506*_xlfn.IFERROR((VLOOKUP(P506,'Settings'!$E$28:$F$33,2,FALSE)+1),1)</f>
        <v>-4.83466379258971</v>
      </c>
      <c r="AD506" s="79">
        <f>VLOOKUP(B506,'Player Data'!$A1:$AE667,18,FALSE)*$Q506</f>
        <v>27.1579747560939</v>
      </c>
      <c r="AE506" s="79">
        <f>VLOOKUP(B506,'Player Data'!$A1:$AE667,19,FALSE)*$Q506*_xlfn.IFERROR((VLOOKUP(P506,'Settings'!$E$28:$F$33,2,FALSE)+1),1)</f>
        <v>0.801503705122168</v>
      </c>
      <c r="AF506" s="79">
        <f>VLOOKUP(B506,'Player Data'!$A1:$AE667,20,FALSE)*$Q506</f>
        <v>497.654124204790</v>
      </c>
      <c r="AG506" s="79">
        <f>VLOOKUP(B506,'Player Data'!$A1:$AE667,21,FALSE)*$Q506</f>
        <v>468.299536274121</v>
      </c>
      <c r="AH506" s="81">
        <f>VLOOKUP(B506,'Player Data'!$A1:$AE667,22,FALSE)</f>
        <v>0.515194614986041</v>
      </c>
      <c r="AI506" s="77"/>
      <c r="AJ506" s="79"/>
      <c r="AK506" s="79"/>
      <c r="AL506" s="79"/>
      <c r="AM506" s="79"/>
      <c r="AN506" s="79"/>
      <c r="AO506" s="79"/>
      <c r="AP506" s="79"/>
      <c r="AQ506" s="82"/>
      <c r="AR506" s="83"/>
      <c r="AS506" s="84"/>
    </row>
    <row r="507" ht="21.25" customHeight="1">
      <c r="A507" s="85">
        <f>RANK(K507,K$1:K$665)</f>
        <v>518</v>
      </c>
      <c r="B507" t="s" s="16">
        <v>697</v>
      </c>
      <c r="C507" t="s" s="69">
        <v>127</v>
      </c>
      <c r="D507" t="s" s="70">
        <f>VLOOKUP(B507,'Player Data'!A1:D667,4,FALSE)</f>
        <v>128</v>
      </c>
      <c r="E507" s="71">
        <f>VLOOKUP(B507,'C'!A1:C206,3,FALSE)</f>
        <v>154</v>
      </c>
      <c r="F507" t="s" s="92">
        <f>VLOOKUP(B507,'Player Data'!A1:B667,2,FALSE)</f>
        <v>146</v>
      </c>
      <c r="G507" s="91">
        <f>VLOOKUP(B507,'Player Data'!A1:D667,3,FALSE)</f>
        <v>30</v>
      </c>
      <c r="H507" s="73">
        <f>_xlfn.IFERROR(VLOOKUP(B507,'ADP'!A1:G665,7,FALSE)/1000000,VLOOKUP(B507,'ADP'!A1:G665,7,FALSE))</f>
        <v>1.8</v>
      </c>
      <c r="I507" s="74">
        <f>IF('Settings'!$E$15="POINTS",((R507*Q507)*'Settings'!$B$12)+(S507*'Settings'!$B$2)+(T507*'Settings'!$B$3)+(U507*'Settings'!$B$4)+(V507*'Settings'!$B$5)+(X507*'Settings'!$B$9)+(AA507*'Settings'!$B$6)+(W507*'Settings'!$B$8)+(AB507*'Settings'!$B$7)+(AC507*'Settings'!$B$14)+(AD507*'Settings'!$B$15)+(AE507*'Settings'!$B$16)+(AF507*'Settings'!$B$17)+(AG507*'Settings'!$B$18)+(Y507*'Settings'!$B$10)+(Z507*'Settings'!$B$11),VLOOKUP(B507,'Standard Deviations'!A1:C666,3,FALSE))</f>
        <v>166.742204629663</v>
      </c>
      <c r="J507" s="75">
        <f>IF(D507="G",I507/AJ507,I507/Q507)</f>
        <v>2.21635868314443</v>
      </c>
      <c r="K507" s="74">
        <f>IF('Settings'!$E$18="C/LW/RW",VLOOKUP(B507,'C'!A1:F206,6,FALSE),VLOOKUP(B507,'F'!A1:F392,6,FALSE))</f>
        <v>-162.949689451515</v>
      </c>
      <c r="L507" s="76">
        <f>_xlfn.IFERROR(K507/H507,"N/A")</f>
        <v>-90.5276052508417</v>
      </c>
      <c r="M507" s="109">
        <f>IF('Settings'!$E$9="YAHOO",VLOOKUP(B507,'ADP'!A1:E665,2,FALSE),IF('Settings'!$E$9="ESPN",VLOOKUP(B507,'ADP'!A1:E665,3,FALSE),IF('Settings'!$E$9="FANTRAX",VLOOKUP(B507,'ADP'!A1:E665,4,FALSE),VLOOKUP(B507,'ADP'!A1:E665,5,FALSE))))</f>
        <v>0</v>
      </c>
      <c r="N507" s="79">
        <f>_xlfn.IFERROR(M507-A507,"N/A")</f>
        <v>-518</v>
      </c>
      <c r="O507" s="77"/>
      <c r="P507" t="s" s="78">
        <f>IF('Settings'!$E$27="ON",VLOOKUP(B507,'ADP'!A1:H665,8,FALSE)," ")</f>
        <v>138</v>
      </c>
      <c r="Q507" s="79">
        <f>IF('Settings'!$E$12="YES",VLOOKUP(B507,'Player Data'!A1:E667,5,FALSE),82)</f>
        <v>75.2325</v>
      </c>
      <c r="R507" s="108">
        <f>VLOOKUP(B507,'Player Data'!$A1:$AE667,6,FALSE)</f>
        <v>13.0321374382942</v>
      </c>
      <c r="S507" s="79">
        <f>VLOOKUP(B507,'Player Data'!$A1:$AE667,7,FALSE)*$Q507*_xlfn.IFERROR((VLOOKUP(P507,'Settings'!$E$28:$F$33,2,FALSE)+1),1)</f>
        <v>5.37449862243289</v>
      </c>
      <c r="T507" s="79">
        <f>VLOOKUP(B507,'Player Data'!$A1:$AE667,8,FALSE)*$Q507*_xlfn.IFERROR((VLOOKUP(P507,'Settings'!$E$28:$F$33,2,FALSE)+1),1)</f>
        <v>15.4311171495006</v>
      </c>
      <c r="U507" s="79">
        <f>SUM(S507:T507)</f>
        <v>20.8056157719335</v>
      </c>
      <c r="V507" s="79">
        <f>VLOOKUP(B507,'Player Data'!$A1:$AE667,10,FALSE)*$Q507*_xlfn.IFERROR(((VLOOKUP(P507,'Settings'!$E$28:$F$33,2,FALSE)/2)+1),1)</f>
        <v>91.10148023338751</v>
      </c>
      <c r="W507" s="79">
        <f>VLOOKUP(B507,'Player Data'!$A1:$AE667,11,FALSE)*$Q507*_xlfn.IFERROR((VLOOKUP(P507,'Settings'!$E$28:$F$33,2,FALSE)+1),1)</f>
        <v>0.08834981070107691</v>
      </c>
      <c r="X507" s="79">
        <f>VLOOKUP(B507,'Player Data'!$A1:$AE667,12,FALSE)*$Q507*_xlfn.IFERROR((VLOOKUP(P507,'Settings'!$E$28:$F$33,2,FALSE)+1),1)</f>
        <v>0.218724418613798</v>
      </c>
      <c r="Y507" s="79">
        <f>VLOOKUP(B507,'Player Data'!$A1:$AE667,13,FALSE)*$Q507</f>
        <v>1.02780253483956</v>
      </c>
      <c r="Z507" s="79">
        <f>VLOOKUP(B507,'Player Data'!$A1:$AE667,14,FALSE)*$Q507</f>
        <v>2.47267309168741</v>
      </c>
      <c r="AA507" s="79">
        <f>VLOOKUP(B507,'Player Data'!$A1:$AE667,15,FALSE)*$Q507</f>
        <v>44.9135382593007</v>
      </c>
      <c r="AB507" s="79">
        <f>VLOOKUP(B507,'Player Data'!$A1:$AE667,16,FALSE)*$Q507</f>
        <v>93.8436984385748</v>
      </c>
      <c r="AC507" s="79">
        <f>VLOOKUP(B507,'Player Data'!$A1:$AE667,17,FALSE)*$Q507*_xlfn.IFERROR((VLOOKUP(P507,'Settings'!$E$28:$F$33,2,FALSE)+1),1)</f>
        <v>4.39298199920699</v>
      </c>
      <c r="AD507" s="79">
        <f>VLOOKUP(B507,'Player Data'!$A1:$AE667,18,FALSE)*$Q507</f>
        <v>21.2912680365745</v>
      </c>
      <c r="AE507" s="79">
        <f>VLOOKUP(B507,'Player Data'!$A1:$AE667,19,FALSE)*$Q507*_xlfn.IFERROR((VLOOKUP(P507,'Settings'!$E$28:$F$33,2,FALSE)+1),1)</f>
        <v>0.917825721123508</v>
      </c>
      <c r="AF507" s="79">
        <f>VLOOKUP(B507,'Player Data'!$A1:$AE667,20,FALSE)*$Q507</f>
        <v>387.991185533954</v>
      </c>
      <c r="AG507" s="79">
        <f>VLOOKUP(B507,'Player Data'!$A1:$AE667,21,FALSE)*$Q507</f>
        <v>347.281542302077</v>
      </c>
      <c r="AH507" s="81">
        <f>VLOOKUP(B507,'Player Data'!$A1:$AE667,22,FALSE)</f>
        <v>0.527683362710656</v>
      </c>
      <c r="AI507" s="77"/>
      <c r="AJ507" s="89"/>
      <c r="AK507" s="79"/>
      <c r="AL507" s="79"/>
      <c r="AM507" s="79"/>
      <c r="AN507" s="79"/>
      <c r="AO507" s="79"/>
      <c r="AP507" s="79"/>
      <c r="AQ507" s="82"/>
      <c r="AR507" s="83"/>
      <c r="AS507" s="84"/>
    </row>
    <row r="508" ht="21.25" customHeight="1">
      <c r="A508" s="85">
        <f>RANK(K508,K$1:K$665)</f>
        <v>505</v>
      </c>
      <c r="B508" t="s" s="16">
        <v>698</v>
      </c>
      <c r="C508" t="s" s="69">
        <v>127</v>
      </c>
      <c r="D508" t="s" s="70">
        <f>VLOOKUP(B508,'Player Data'!A1:D667,4,FALSE)</f>
        <v>140</v>
      </c>
      <c r="E508" s="90">
        <f>VLOOKUP(B508,'RW'!A1:F136,3,FALSE)</f>
        <v>102</v>
      </c>
      <c r="F508" t="s" s="86">
        <f>VLOOKUP(B508,'Player Data'!A1:B667,2,FALSE)</f>
        <v>165</v>
      </c>
      <c r="G508" s="96">
        <f>VLOOKUP(B508,'Player Data'!A1:D667,3,FALSE)</f>
        <v>22</v>
      </c>
      <c r="H508" s="94">
        <f>_xlfn.IFERROR(VLOOKUP(B508,'ADP'!A1:G665,7,FALSE)/1000000,VLOOKUP(B508,'ADP'!A1:G665,7,FALSE))</f>
        <v>0.7975</v>
      </c>
      <c r="I508" s="74">
        <f>IF('Settings'!$E$15="POINTS",((R508*Q508)*'Settings'!$B$12)+(S508*'Settings'!$B$2)+(T508*'Settings'!$B$3)+(U508*'Settings'!$B$4)+(V508*'Settings'!$B$5)+(X508*'Settings'!$B$9)+(AA508*'Settings'!$B$6)+(W508*'Settings'!$B$8)+(AB508*'Settings'!$B$7)+(AC508*'Settings'!$B$14)+(AD508*'Settings'!$B$15)+(AE508*'Settings'!$B$16)+(AF508*'Settings'!$B$17)+(AG508*'Settings'!$B$18)+(Y508*'Settings'!$B$10)+(Z508*'Settings'!$B$11),VLOOKUP(B508,'Standard Deviations'!A1:C666,3,FALSE))</f>
        <v>171.644605779265</v>
      </c>
      <c r="J508" s="75">
        <f>IF(D508="G",I508/AJ508,I508/Q508)</f>
        <v>2.39225931399672</v>
      </c>
      <c r="K508" s="74">
        <f>IF('Settings'!$E$18="C/LW/RW",VLOOKUP(B508,'RW'!A1:F136,6,FALSE),VLOOKUP(B508,'F'!A1:F392,6,FALSE))</f>
        <v>-158.047288301913</v>
      </c>
      <c r="L508" s="76">
        <f>_xlfn.IFERROR(K508/H508,"N/A")</f>
        <v>-198.178417933433</v>
      </c>
      <c r="M508" s="109">
        <f>IF('Settings'!$E$9="YAHOO",VLOOKUP(B508,'ADP'!A1:E665,2,FALSE),IF('Settings'!$E$9="ESPN",VLOOKUP(B508,'ADP'!A1:E665,3,FALSE),IF('Settings'!$E$9="FANTRAX",VLOOKUP(B508,'ADP'!A1:E665,4,FALSE),VLOOKUP(B508,'ADP'!A1:E665,5,FALSE))))</f>
        <v>0</v>
      </c>
      <c r="N508" s="79">
        <f>_xlfn.IFERROR(M508-A508,"N/A")</f>
        <v>-505</v>
      </c>
      <c r="O508" s="77"/>
      <c r="P508" t="s" s="78">
        <f>IF('Settings'!$E$27="ON",VLOOKUP(B508,'ADP'!A1:H665,8,FALSE)," ")</f>
        <v>138</v>
      </c>
      <c r="Q508" s="79">
        <f>IF('Settings'!$E$12="YES",VLOOKUP(B508,'Player Data'!A1:E667,5,FALSE),82)</f>
        <v>71.75</v>
      </c>
      <c r="R508" s="77">
        <f>VLOOKUP(B508,'Player Data'!$A1:$AE667,6,FALSE)</f>
        <v>14.0648798392581</v>
      </c>
      <c r="S508" s="79">
        <f>VLOOKUP(B508,'Player Data'!$A1:$AE667,7,FALSE)*$Q508*_xlfn.IFERROR((VLOOKUP(P508,'Settings'!$E$28:$F$33,2,FALSE)+1),1)</f>
        <v>15.9245868248691</v>
      </c>
      <c r="T508" s="79">
        <f>VLOOKUP(B508,'Player Data'!$A1:$AE667,8,FALSE)*$Q508*_xlfn.IFERROR((VLOOKUP(P508,'Settings'!$E$28:$F$33,2,FALSE)+1),1)</f>
        <v>21.1889133028845</v>
      </c>
      <c r="U508" s="79">
        <f>SUM(S508:T508)</f>
        <v>37.1135001277536</v>
      </c>
      <c r="V508" s="79">
        <f>VLOOKUP(B508,'Player Data'!$A1:$AE667,10,FALSE)*$Q508*_xlfn.IFERROR(((VLOOKUP(P508,'Settings'!$E$28:$F$33,2,FALSE)/2)+1),1)</f>
        <v>149.164534225044</v>
      </c>
      <c r="W508" s="79">
        <f>VLOOKUP(B508,'Player Data'!$A1:$AE667,11,FALSE)*$Q508*_xlfn.IFERROR((VLOOKUP(P508,'Settings'!$E$28:$F$33,2,FALSE)+1),1)</f>
        <v>2.21518074164911</v>
      </c>
      <c r="X508" s="79">
        <f>VLOOKUP(B508,'Player Data'!$A1:$AE667,12,FALSE)*$Q508*_xlfn.IFERROR((VLOOKUP(P508,'Settings'!$E$28:$F$33,2,FALSE)+1),1)</f>
        <v>7.3629668800414</v>
      </c>
      <c r="Y508" s="79">
        <f>VLOOKUP(B508,'Player Data'!$A1:$AE667,13,FALSE)*$Q508</f>
        <v>0.000838660618248664</v>
      </c>
      <c r="Z508" s="79">
        <f>VLOOKUP(B508,'Player Data'!$A1:$AE667,14,FALSE)*$Q508</f>
        <v>0.0014111109842329</v>
      </c>
      <c r="AA508" s="79">
        <f>VLOOKUP(B508,'Player Data'!$A1:$AE667,15,FALSE)*$Q508</f>
        <v>22.620903422653</v>
      </c>
      <c r="AB508" s="79">
        <f>VLOOKUP(B508,'Player Data'!$A1:$AE667,16,FALSE)*$Q508</f>
        <v>35.6498884218957</v>
      </c>
      <c r="AC508" s="79">
        <f>VLOOKUP(B508,'Player Data'!$A1:$AE667,17,FALSE)*$Q508*_xlfn.IFERROR((VLOOKUP(P508,'Settings'!$E$28:$F$33,2,FALSE)+1),1)</f>
        <v>2.80198801803954</v>
      </c>
      <c r="AD508" s="79">
        <f>VLOOKUP(B508,'Player Data'!$A1:$AE667,18,FALSE)*$Q508</f>
        <v>19.6033925997739</v>
      </c>
      <c r="AE508" s="79">
        <f>VLOOKUP(B508,'Player Data'!$A1:$AE667,19,FALSE)*$Q508*_xlfn.IFERROR((VLOOKUP(P508,'Settings'!$E$28:$F$33,2,FALSE)+1),1)</f>
        <v>2.25480715623973</v>
      </c>
      <c r="AF508" s="79">
        <f>VLOOKUP(B508,'Player Data'!$A1:$AE667,20,FALSE)*$Q508</f>
        <v>0.650039943248738</v>
      </c>
      <c r="AG508" s="79">
        <f>VLOOKUP(B508,'Player Data'!$A1:$AE667,21,FALSE)*$Q508</f>
        <v>2.71847797729727</v>
      </c>
      <c r="AH508" s="81">
        <f>VLOOKUP(B508,'Player Data'!$A1:$AE667,22,FALSE)</f>
        <v>0.19297505864044</v>
      </c>
      <c r="AI508" s="77"/>
      <c r="AJ508" s="79"/>
      <c r="AK508" s="79"/>
      <c r="AL508" s="79"/>
      <c r="AM508" s="79"/>
      <c r="AN508" s="79"/>
      <c r="AO508" s="79"/>
      <c r="AP508" s="79"/>
      <c r="AQ508" s="82"/>
      <c r="AR508" s="83"/>
      <c r="AS508" s="84"/>
    </row>
    <row r="509" ht="21.25" customHeight="1">
      <c r="A509" s="85">
        <f>RANK(K509,K$1:K$665)</f>
        <v>519</v>
      </c>
      <c r="B509" t="s" s="16">
        <v>699</v>
      </c>
      <c r="C509" t="s" s="69">
        <v>127</v>
      </c>
      <c r="D509" t="s" s="70">
        <f>VLOOKUP(B509,'Player Data'!A1:D667,4,FALSE)</f>
        <v>128</v>
      </c>
      <c r="E509" s="71">
        <f>VLOOKUP(B509,'C'!A1:C206,3,FALSE)</f>
        <v>155</v>
      </c>
      <c r="F509" t="s" s="104">
        <f>VLOOKUP(B509,'Player Data'!A1:B667,2,FALSE)</f>
        <v>271</v>
      </c>
      <c r="G509" s="91">
        <f>VLOOKUP(B509,'Player Data'!A1:D667,3,FALSE)</f>
        <v>30</v>
      </c>
      <c r="H509" s="94">
        <f>_xlfn.IFERROR(VLOOKUP(B509,'ADP'!A1:G665,7,FALSE)/1000000,VLOOKUP(B509,'ADP'!A1:G665,7,FALSE))</f>
        <v>3.25</v>
      </c>
      <c r="I509" s="74">
        <f>IF('Settings'!$E$15="POINTS",((R509*Q509)*'Settings'!$B$12)+(S509*'Settings'!$B$2)+(T509*'Settings'!$B$3)+(U509*'Settings'!$B$4)+(V509*'Settings'!$B$5)+(X509*'Settings'!$B$9)+(AA509*'Settings'!$B$6)+(W509*'Settings'!$B$8)+(AB509*'Settings'!$B$7)+(AC509*'Settings'!$B$14)+(AD509*'Settings'!$B$15)+(AE509*'Settings'!$B$16)+(AF509*'Settings'!$B$17)+(AG509*'Settings'!$B$18)+(Y509*'Settings'!$B$10)+(Z509*'Settings'!$B$11),VLOOKUP(B509,'Standard Deviations'!A1:C666,3,FALSE))</f>
        <v>166.506123563770</v>
      </c>
      <c r="J509" s="75">
        <f>IF(D509="G",I509/AJ509,I509/Q509)</f>
        <v>2.08204224656938</v>
      </c>
      <c r="K509" s="74">
        <f>IF('Settings'!$E$18="C/LW/RW",VLOOKUP(B509,'C'!A1:F206,6,FALSE),VLOOKUP(B509,'F'!A1:F392,6,FALSE))</f>
        <v>-163.185770517408</v>
      </c>
      <c r="L509" s="76">
        <f>_xlfn.IFERROR(K509/H509,"N/A")</f>
        <v>-50.2110063130486</v>
      </c>
      <c r="M509" s="109">
        <f>IF('Settings'!$E$9="YAHOO",VLOOKUP(B509,'ADP'!A1:E665,2,FALSE),IF('Settings'!$E$9="ESPN",VLOOKUP(B509,'ADP'!A1:E665,3,FALSE),IF('Settings'!$E$9="FANTRAX",VLOOKUP(B509,'ADP'!A1:E665,4,FALSE),VLOOKUP(B509,'ADP'!A1:E665,5,FALSE))))</f>
        <v>0</v>
      </c>
      <c r="N509" s="79">
        <f>_xlfn.IFERROR(M509-A509,"N/A")</f>
        <v>-519</v>
      </c>
      <c r="O509" s="77"/>
      <c r="P509" t="s" s="78">
        <f>IF('Settings'!$E$27="ON",VLOOKUP(B509,'ADP'!A1:H665,8,FALSE)," ")</f>
        <v>138</v>
      </c>
      <c r="Q509" s="79">
        <f>IF('Settings'!$E$12="YES",VLOOKUP(B509,'Player Data'!A1:E667,5,FALSE),82)</f>
        <v>79.9725</v>
      </c>
      <c r="R509" s="77">
        <f>VLOOKUP(B509,'Player Data'!$A1:$AE667,6,FALSE)</f>
        <v>12.4897572870062</v>
      </c>
      <c r="S509" s="79">
        <f>VLOOKUP(B509,'Player Data'!$A1:$AE667,7,FALSE)*$Q509*_xlfn.IFERROR((VLOOKUP(P509,'Settings'!$E$28:$F$33,2,FALSE)+1),1)</f>
        <v>6.89843266604825</v>
      </c>
      <c r="T509" s="79">
        <f>VLOOKUP(B509,'Player Data'!$A1:$AE667,8,FALSE)*$Q509*_xlfn.IFERROR((VLOOKUP(P509,'Settings'!$E$28:$F$33,2,FALSE)+1),1)</f>
        <v>10.4990573230508</v>
      </c>
      <c r="U509" s="79">
        <f>SUM(S509:T509)</f>
        <v>17.3974899890991</v>
      </c>
      <c r="V509" s="79">
        <f>VLOOKUP(B509,'Player Data'!$A1:$AE667,10,FALSE)*$Q509*_xlfn.IFERROR(((VLOOKUP(P509,'Settings'!$E$28:$F$33,2,FALSE)/2)+1),1)</f>
        <v>76.00206547533131</v>
      </c>
      <c r="W509" s="79">
        <f>VLOOKUP(B509,'Player Data'!$A1:$AE667,11,FALSE)*$Q509*_xlfn.IFERROR((VLOOKUP(P509,'Settings'!$E$28:$F$33,2,FALSE)+1),1)</f>
        <v>0.07748884220573531</v>
      </c>
      <c r="X509" s="79">
        <f>VLOOKUP(B509,'Player Data'!$A1:$AE667,12,FALSE)*$Q509*_xlfn.IFERROR((VLOOKUP(P509,'Settings'!$E$28:$F$33,2,FALSE)+1),1)</f>
        <v>0.162154856157143</v>
      </c>
      <c r="Y509" s="79">
        <f>VLOOKUP(B509,'Player Data'!$A1:$AE667,13,FALSE)*$Q509</f>
        <v>1.37731073773825</v>
      </c>
      <c r="Z509" s="79">
        <f>VLOOKUP(B509,'Player Data'!$A1:$AE667,14,FALSE)*$Q509</f>
        <v>2.86677501631701</v>
      </c>
      <c r="AA509" s="79">
        <f>VLOOKUP(B509,'Player Data'!$A1:$AE667,15,FALSE)*$Q509</f>
        <v>50.8533778453642</v>
      </c>
      <c r="AB509" s="79">
        <f>VLOOKUP(B509,'Player Data'!$A1:$AE667,16,FALSE)*$Q509</f>
        <v>101.065213556843</v>
      </c>
      <c r="AC509" s="79">
        <f>VLOOKUP(B509,'Player Data'!$A1:$AE667,17,FALSE)*$Q509*_xlfn.IFERROR((VLOOKUP(P509,'Settings'!$E$28:$F$33,2,FALSE)+1),1)</f>
        <v>2.98696536542821</v>
      </c>
      <c r="AD509" s="79">
        <f>VLOOKUP(B509,'Player Data'!$A1:$AE667,18,FALSE)*$Q509</f>
        <v>30.7819356952547</v>
      </c>
      <c r="AE509" s="79">
        <f>VLOOKUP(B509,'Player Data'!$A1:$AE667,19,FALSE)*$Q509*_xlfn.IFERROR((VLOOKUP(P509,'Settings'!$E$28:$F$33,2,FALSE)+1),1)</f>
        <v>0.830530546325786</v>
      </c>
      <c r="AF509" s="79">
        <f>VLOOKUP(B509,'Player Data'!$A1:$AE667,20,FALSE)*$Q509</f>
        <v>304.679082130079</v>
      </c>
      <c r="AG509" s="79">
        <f>VLOOKUP(B509,'Player Data'!$A1:$AE667,21,FALSE)*$Q509</f>
        <v>247.540913363757</v>
      </c>
      <c r="AH509" s="81">
        <f>VLOOKUP(B509,'Player Data'!$A1:$AE667,22,FALSE)</f>
        <v>0.551734969063575</v>
      </c>
      <c r="AI509" s="77"/>
      <c r="AJ509" s="79"/>
      <c r="AK509" s="79"/>
      <c r="AL509" s="79"/>
      <c r="AM509" s="79"/>
      <c r="AN509" s="79"/>
      <c r="AO509" s="79"/>
      <c r="AP509" s="79"/>
      <c r="AQ509" s="82"/>
      <c r="AR509" s="83"/>
      <c r="AS509" s="84"/>
    </row>
    <row r="510" ht="21.25" customHeight="1">
      <c r="A510" s="85">
        <f>RANK(K510,K$1:K$665)</f>
        <v>520</v>
      </c>
      <c r="B510" t="s" s="16">
        <v>700</v>
      </c>
      <c r="C510" t="s" s="69">
        <v>127</v>
      </c>
      <c r="D510" t="s" s="70">
        <f>VLOOKUP(B510,'Player Data'!A1:D667,4,FALSE)</f>
        <v>128</v>
      </c>
      <c r="E510" s="71">
        <f>VLOOKUP(B510,'C'!A1:C206,3,FALSE)</f>
        <v>156</v>
      </c>
      <c r="F510" t="s" s="86">
        <f>VLOOKUP(B510,'Player Data'!A1:B667,2,FALSE)</f>
        <v>154</v>
      </c>
      <c r="G510" s="11">
        <f>VLOOKUP(B510,'Player Data'!A1:D667,3,FALSE)</f>
        <v>24</v>
      </c>
      <c r="H510" s="94">
        <f>_xlfn.IFERROR(VLOOKUP(B510,'ADP'!A1:G665,7,FALSE)/1000000,VLOOKUP(B510,'ADP'!A1:G665,7,FALSE))</f>
        <v>2.1</v>
      </c>
      <c r="I510" s="74">
        <f>IF('Settings'!$E$15="POINTS",((R510*Q510)*'Settings'!$B$12)+(S510*'Settings'!$B$2)+(T510*'Settings'!$B$3)+(U510*'Settings'!$B$4)+(V510*'Settings'!$B$5)+(X510*'Settings'!$B$9)+(AA510*'Settings'!$B$6)+(W510*'Settings'!$B$8)+(AB510*'Settings'!$B$7)+(AC510*'Settings'!$B$14)+(AD510*'Settings'!$B$15)+(AE510*'Settings'!$B$16)+(AF510*'Settings'!$B$17)+(AG510*'Settings'!$B$18)+(Y510*'Settings'!$B$10)+(Z510*'Settings'!$B$11),VLOOKUP(B510,'Standard Deviations'!A1:C666,3,FALSE))</f>
        <v>166.251705122371</v>
      </c>
      <c r="J510" s="75">
        <f>IF(D510="G",I510/AJ510,I510/Q510)</f>
        <v>2.15031630501676</v>
      </c>
      <c r="K510" s="74">
        <f>IF('Settings'!$E$18="C/LW/RW",VLOOKUP(B510,'C'!A1:F206,6,FALSE),VLOOKUP(B510,'F'!A1:F392,6,FALSE))</f>
        <v>-163.440188958807</v>
      </c>
      <c r="L510" s="76">
        <f>_xlfn.IFERROR(K510/H510,"N/A")</f>
        <v>-77.8286614089557</v>
      </c>
      <c r="M510" s="109">
        <f>IF('Settings'!$E$9="YAHOO",VLOOKUP(B510,'ADP'!A1:E665,2,FALSE),IF('Settings'!$E$9="ESPN",VLOOKUP(B510,'ADP'!A1:E665,3,FALSE),IF('Settings'!$E$9="FANTRAX",VLOOKUP(B510,'ADP'!A1:E665,4,FALSE),VLOOKUP(B510,'ADP'!A1:E665,5,FALSE))))</f>
        <v>0</v>
      </c>
      <c r="N510" s="79">
        <f>_xlfn.IFERROR(M510-A510,"N/A")</f>
        <v>-520</v>
      </c>
      <c r="O510" s="77"/>
      <c r="P510" t="s" s="78">
        <f>IF('Settings'!$E$27="ON",VLOOKUP(B510,'ADP'!A1:H665,8,FALSE)," ")</f>
        <v>138</v>
      </c>
      <c r="Q510" s="79">
        <f>IF('Settings'!$E$12="YES",VLOOKUP(B510,'Player Data'!A1:E667,5,FALSE),82)</f>
        <v>77.315</v>
      </c>
      <c r="R510" s="77">
        <f>VLOOKUP(B510,'Player Data'!$A1:$AE667,6,FALSE)</f>
        <v>14.4970871314751</v>
      </c>
      <c r="S510" s="79">
        <f>VLOOKUP(B510,'Player Data'!$A1:$AE667,7,FALSE)*$Q510*_xlfn.IFERROR((VLOOKUP(P510,'Settings'!$E$28:$F$33,2,FALSE)+1),1)</f>
        <v>12.3536588472498</v>
      </c>
      <c r="T510" s="79">
        <f>VLOOKUP(B510,'Player Data'!$A1:$AE667,8,FALSE)*$Q510*_xlfn.IFERROR((VLOOKUP(P510,'Settings'!$E$28:$F$33,2,FALSE)+1),1)</f>
        <v>16.4271584695534</v>
      </c>
      <c r="U510" s="79">
        <f>SUM(S510:T510)</f>
        <v>28.7808173168032</v>
      </c>
      <c r="V510" s="79">
        <f>VLOOKUP(B510,'Player Data'!$A1:$AE667,10,FALSE)*$Q510*_xlfn.IFERROR(((VLOOKUP(P510,'Settings'!$E$28:$F$33,2,FALSE)/2)+1),1)</f>
        <v>106.983841361848</v>
      </c>
      <c r="W510" s="79">
        <f>VLOOKUP(B510,'Player Data'!$A1:$AE667,11,FALSE)*$Q510*_xlfn.IFERROR((VLOOKUP(P510,'Settings'!$E$28:$F$33,2,FALSE)+1),1)</f>
        <v>0.351307421085906</v>
      </c>
      <c r="X510" s="79">
        <f>VLOOKUP(B510,'Player Data'!$A1:$AE667,12,FALSE)*$Q510*_xlfn.IFERROR((VLOOKUP(P510,'Settings'!$E$28:$F$33,2,FALSE)+1),1)</f>
        <v>1.02103294848099</v>
      </c>
      <c r="Y510" s="79">
        <f>VLOOKUP(B510,'Player Data'!$A1:$AE667,13,FALSE)*$Q510</f>
        <v>0.572624483969565</v>
      </c>
      <c r="Z510" s="79">
        <f>VLOOKUP(B510,'Player Data'!$A1:$AE667,14,FALSE)*$Q510</f>
        <v>1.72573373003672</v>
      </c>
      <c r="AA510" s="79">
        <f>VLOOKUP(B510,'Player Data'!$A1:$AE667,15,FALSE)*$Q510</f>
        <v>33.3370781219561</v>
      </c>
      <c r="AB510" s="79">
        <f>VLOOKUP(B510,'Player Data'!$A1:$AE667,16,FALSE)*$Q510</f>
        <v>65.7654693463914</v>
      </c>
      <c r="AC510" s="79">
        <f>VLOOKUP(B510,'Player Data'!$A1:$AE667,17,FALSE)*$Q510*_xlfn.IFERROR((VLOOKUP(P510,'Settings'!$E$28:$F$33,2,FALSE)+1),1)</f>
        <v>7.12103795422983</v>
      </c>
      <c r="AD510" s="79">
        <f>VLOOKUP(B510,'Player Data'!$A1:$AE667,18,FALSE)*$Q510</f>
        <v>18.3049803127138</v>
      </c>
      <c r="AE510" s="79">
        <f>VLOOKUP(B510,'Player Data'!$A1:$AE667,19,FALSE)*$Q510*_xlfn.IFERROR((VLOOKUP(P510,'Settings'!$E$28:$F$33,2,FALSE)+1),1)</f>
        <v>1.74749219686197</v>
      </c>
      <c r="AF510" s="79">
        <f>VLOOKUP(B510,'Player Data'!$A1:$AE667,20,FALSE)*$Q510</f>
        <v>347.525520671127</v>
      </c>
      <c r="AG510" s="79">
        <f>VLOOKUP(B510,'Player Data'!$A1:$AE667,21,FALSE)*$Q510</f>
        <v>358.631671370957</v>
      </c>
      <c r="AH510" s="81">
        <f>VLOOKUP(B510,'Player Data'!$A1:$AE667,22,FALSE)</f>
        <v>0.492136205065254</v>
      </c>
      <c r="AI510" s="77"/>
      <c r="AJ510" s="79"/>
      <c r="AK510" s="79"/>
      <c r="AL510" s="79"/>
      <c r="AM510" s="79"/>
      <c r="AN510" s="79"/>
      <c r="AO510" s="79"/>
      <c r="AP510" s="79"/>
      <c r="AQ510" s="82"/>
      <c r="AR510" s="83"/>
      <c r="AS510" s="84"/>
    </row>
    <row r="511" ht="21.25" customHeight="1">
      <c r="A511" s="85">
        <f>RANK(K511,K$1:K$665)</f>
        <v>521</v>
      </c>
      <c r="B511" t="s" s="16">
        <v>701</v>
      </c>
      <c r="C511" t="s" s="69">
        <v>127</v>
      </c>
      <c r="D511" t="s" s="70">
        <f>VLOOKUP(B511,'Player Data'!A1:D667,4,FALSE)</f>
        <v>128</v>
      </c>
      <c r="E511" s="71">
        <f>VLOOKUP(B511,'C'!A1:C206,3,FALSE)</f>
        <v>157</v>
      </c>
      <c r="F511" t="s" s="86">
        <f>VLOOKUP(B511,'Player Data'!A1:B667,2,FALSE)</f>
        <v>132</v>
      </c>
      <c r="G511" s="11">
        <f>VLOOKUP(B511,'Player Data'!A1:D667,3,FALSE)</f>
        <v>25</v>
      </c>
      <c r="H511" s="73">
        <f>_xlfn.IFERROR(VLOOKUP(B511,'ADP'!A1:G665,7,FALSE)/1000000,VLOOKUP(B511,'ADP'!A1:G665,7,FALSE))</f>
        <v>1.18</v>
      </c>
      <c r="I511" s="74">
        <f>IF('Settings'!$E$15="POINTS",((R511*Q511)*'Settings'!$B$12)+(S511*'Settings'!$B$2)+(T511*'Settings'!$B$3)+(U511*'Settings'!$B$4)+(V511*'Settings'!$B$5)+(X511*'Settings'!$B$9)+(AA511*'Settings'!$B$6)+(W511*'Settings'!$B$8)+(AB511*'Settings'!$B$7)+(AC511*'Settings'!$B$14)+(AD511*'Settings'!$B$15)+(AE511*'Settings'!$B$16)+(AF511*'Settings'!$B$17)+(AG511*'Settings'!$B$18)+(Y511*'Settings'!$B$10)+(Z511*'Settings'!$B$11),VLOOKUP(B511,'Standard Deviations'!A1:C666,3,FALSE))</f>
        <v>166.239159316830</v>
      </c>
      <c r="J511" s="75">
        <f>IF(D511="G",I511/AJ511,I511/Q511)</f>
        <v>2.19392469981629</v>
      </c>
      <c r="K511" s="74">
        <f>IF('Settings'!$E$18="C/LW/RW",VLOOKUP(B511,'C'!A1:F206,6,FALSE),VLOOKUP(B511,'F'!A1:F392,6,FALSE))</f>
        <v>-163.452734764348</v>
      </c>
      <c r="L511" s="76">
        <f>_xlfn.IFERROR(K511/H511,"N/A")</f>
        <v>-138.519266749447</v>
      </c>
      <c r="M511" s="109">
        <f>IF('Settings'!$E$9="YAHOO",VLOOKUP(B511,'ADP'!A1:E665,2,FALSE),IF('Settings'!$E$9="ESPN",VLOOKUP(B511,'ADP'!A1:E665,3,FALSE),IF('Settings'!$E$9="FANTRAX",VLOOKUP(B511,'ADP'!A1:E665,4,FALSE),VLOOKUP(B511,'ADP'!A1:E665,5,FALSE))))</f>
        <v>0</v>
      </c>
      <c r="N511" s="79">
        <f>_xlfn.IFERROR(M511-A511,"N/A")</f>
        <v>-521</v>
      </c>
      <c r="O511" s="77"/>
      <c r="P511" t="s" s="78">
        <f>IF('Settings'!$E$27="ON",VLOOKUP(B511,'ADP'!A1:H665,8,FALSE)," ")</f>
        <v>138</v>
      </c>
      <c r="Q511" s="79">
        <f>IF('Settings'!$E$12="YES",VLOOKUP(B511,'Player Data'!A1:E667,5,FALSE),82)</f>
        <v>75.77249999999999</v>
      </c>
      <c r="R511" s="77">
        <f>VLOOKUP(B511,'Player Data'!$A1:$AE667,6,FALSE)</f>
        <v>11.1279539946757</v>
      </c>
      <c r="S511" s="79">
        <f>VLOOKUP(B511,'Player Data'!$A1:$AE667,7,FALSE)*$Q511*_xlfn.IFERROR((VLOOKUP(P511,'Settings'!$E$28:$F$33,2,FALSE)+1),1)</f>
        <v>8.458899237522949</v>
      </c>
      <c r="T511" s="79">
        <f>VLOOKUP(B511,'Player Data'!$A1:$AE667,8,FALSE)*$Q511*_xlfn.IFERROR((VLOOKUP(P511,'Settings'!$E$28:$F$33,2,FALSE)+1),1)</f>
        <v>9.90704116748018</v>
      </c>
      <c r="U511" s="79">
        <f>SUM(S511:T511)</f>
        <v>18.3659404050031</v>
      </c>
      <c r="V511" s="79">
        <f>VLOOKUP(B511,'Player Data'!$A1:$AE667,10,FALSE)*$Q511*_xlfn.IFERROR(((VLOOKUP(P511,'Settings'!$E$28:$F$33,2,FALSE)/2)+1),1)</f>
        <v>81.2201211520411</v>
      </c>
      <c r="W511" s="79">
        <f>VLOOKUP(B511,'Player Data'!$A1:$AE667,11,FALSE)*$Q511*_xlfn.IFERROR((VLOOKUP(P511,'Settings'!$E$28:$F$33,2,FALSE)+1),1)</f>
        <v>0.06504236840020269</v>
      </c>
      <c r="X511" s="79">
        <f>VLOOKUP(B511,'Player Data'!$A1:$AE667,12,FALSE)*$Q511*_xlfn.IFERROR((VLOOKUP(P511,'Settings'!$E$28:$F$33,2,FALSE)+1),1)</f>
        <v>0.169230743264284</v>
      </c>
      <c r="Y511" s="79">
        <f>VLOOKUP(B511,'Player Data'!$A1:$AE667,13,FALSE)*$Q511</f>
        <v>1.42135602616683</v>
      </c>
      <c r="Z511" s="79">
        <f>VLOOKUP(B511,'Player Data'!$A1:$AE667,14,FALSE)*$Q511</f>
        <v>1.82684792022912</v>
      </c>
      <c r="AA511" s="79">
        <f>VLOOKUP(B511,'Player Data'!$A1:$AE667,15,FALSE)*$Q511</f>
        <v>40.2054134345958</v>
      </c>
      <c r="AB511" s="79">
        <f>VLOOKUP(B511,'Player Data'!$A1:$AE667,16,FALSE)*$Q511</f>
        <v>119.154282033463</v>
      </c>
      <c r="AC511" s="79">
        <f>VLOOKUP(B511,'Player Data'!$A1:$AE667,17,FALSE)*$Q511*_xlfn.IFERROR((VLOOKUP(P511,'Settings'!$E$28:$F$33,2,FALSE)+1),1)</f>
        <v>-0.50709549288033</v>
      </c>
      <c r="AD511" s="79">
        <f>VLOOKUP(B511,'Player Data'!$A1:$AE667,18,FALSE)*$Q511</f>
        <v>26.9849803590805</v>
      </c>
      <c r="AE511" s="79">
        <f>VLOOKUP(B511,'Player Data'!$A1:$AE667,19,FALSE)*$Q511*_xlfn.IFERROR((VLOOKUP(P511,'Settings'!$E$28:$F$33,2,FALSE)+1),1)</f>
        <v>1.35327224714778</v>
      </c>
      <c r="AF511" s="79">
        <f>VLOOKUP(B511,'Player Data'!$A1:$AE667,20,FALSE)*$Q511</f>
        <v>186.761715362791</v>
      </c>
      <c r="AG511" s="79">
        <f>VLOOKUP(B511,'Player Data'!$A1:$AE667,21,FALSE)*$Q511</f>
        <v>221.868358665931</v>
      </c>
      <c r="AH511" s="81">
        <f>VLOOKUP(B511,'Player Data'!$A1:$AE667,22,FALSE)</f>
        <v>0.457043490513288</v>
      </c>
      <c r="AI511" s="77"/>
      <c r="AJ511" s="79"/>
      <c r="AK511" s="79"/>
      <c r="AL511" s="79"/>
      <c r="AM511" s="79"/>
      <c r="AN511" s="79"/>
      <c r="AO511" s="79"/>
      <c r="AP511" s="79"/>
      <c r="AQ511" s="82"/>
      <c r="AR511" s="83"/>
      <c r="AS511" s="84"/>
    </row>
    <row r="512" ht="21.25" customHeight="1">
      <c r="A512" s="85">
        <f>RANK(K512,K$1:K$665)</f>
        <v>506</v>
      </c>
      <c r="B512" t="s" s="16">
        <v>702</v>
      </c>
      <c r="C512" t="s" s="69">
        <v>127</v>
      </c>
      <c r="D512" t="s" s="70">
        <f>VLOOKUP(B512,'Player Data'!A1:D667,4,FALSE)</f>
        <v>554</v>
      </c>
      <c r="E512" s="87">
        <f>VLOOKUP(B512,'RW'!A1:C136,3,FALSE)</f>
        <v>103</v>
      </c>
      <c r="F512" t="s" s="78">
        <f>VLOOKUP(B512,'Player Data'!A1:B667,2,FALSE)</f>
        <v>168</v>
      </c>
      <c r="G512" s="91">
        <f>VLOOKUP(B512,'Player Data'!A1:D667,3,FALSE)</f>
        <v>30</v>
      </c>
      <c r="H512" s="94">
        <f>_xlfn.IFERROR(VLOOKUP(B512,'ADP'!A1:G665,7,FALSE)/1000000,VLOOKUP(B512,'ADP'!A1:G665,7,FALSE))</f>
        <v>4</v>
      </c>
      <c r="I512" s="74">
        <f>IF('Settings'!$E$15="POINTS",((R512*Q512)*'Settings'!$B$12)+(S512*'Settings'!$B$2)+(T512*'Settings'!$B$3)+(U512*'Settings'!$B$4)+(V512*'Settings'!$B$5)+(X512*'Settings'!$B$9)+(AA512*'Settings'!$B$6)+(W512*'Settings'!$B$8)+(AB512*'Settings'!$B$7)+(AC512*'Settings'!$B$14)+(AD512*'Settings'!$B$15)+(AE512*'Settings'!$B$16)+(AF512*'Settings'!$B$17)+(AG512*'Settings'!$B$18)+(Y512*'Settings'!$B$10)+(Z512*'Settings'!$B$11),VLOOKUP(B512,'Standard Deviations'!A1:C666,3,FALSE))</f>
        <v>171.190782716769</v>
      </c>
      <c r="J512" s="75">
        <f>IF(D512="G",I512/AJ512,I512/Q512)</f>
        <v>2.17890072506786</v>
      </c>
      <c r="K512" s="74">
        <f>IF('Settings'!$E$18="C/LW/RW",VLOOKUP(B512,'RW'!A1:F136,6,FALSE),VLOOKUP(B512,'F'!A1:F392,6,FALSE))</f>
        <v>-158.501111364409</v>
      </c>
      <c r="L512" s="76">
        <f>_xlfn.IFERROR(K512/H512,"N/A")</f>
        <v>-39.6252778411023</v>
      </c>
      <c r="M512" s="109">
        <f>IF('Settings'!$E$9="YAHOO",VLOOKUP(B512,'ADP'!A1:E665,2,FALSE),IF('Settings'!$E$9="ESPN",VLOOKUP(B512,'ADP'!A1:E665,3,FALSE),IF('Settings'!$E$9="FANTRAX",VLOOKUP(B512,'ADP'!A1:E665,4,FALSE),VLOOKUP(B512,'ADP'!A1:E665,5,FALSE))))</f>
        <v>0</v>
      </c>
      <c r="N512" s="79">
        <f>_xlfn.IFERROR(M512-A512,"N/A")</f>
        <v>-506</v>
      </c>
      <c r="O512" s="77"/>
      <c r="P512" t="s" s="78">
        <f>IF('Settings'!$E$27="ON",VLOOKUP(B512,'ADP'!A1:H665,8,FALSE)," ")</f>
        <v>138</v>
      </c>
      <c r="Q512" s="79">
        <f>IF('Settings'!$E$12="YES",VLOOKUP(B512,'Player Data'!A1:E667,5,FALSE),82)</f>
        <v>78.5675</v>
      </c>
      <c r="R512" s="77">
        <f>VLOOKUP(B512,'Player Data'!$A1:$AE667,6,FALSE)</f>
        <v>15.2108714010888</v>
      </c>
      <c r="S512" s="79">
        <f>VLOOKUP(B512,'Player Data'!$A1:$AE667,7,FALSE)*$Q512*_xlfn.IFERROR((VLOOKUP(P512,'Settings'!$E$28:$F$33,2,FALSE)+1),1)</f>
        <v>10.6949870239146</v>
      </c>
      <c r="T512" s="79">
        <f>VLOOKUP(B512,'Player Data'!$A1:$AE667,8,FALSE)*$Q512*_xlfn.IFERROR((VLOOKUP(P512,'Settings'!$E$28:$F$33,2,FALSE)+1),1)</f>
        <v>16.4044546757045</v>
      </c>
      <c r="U512" s="79">
        <f>SUM(S512:T512)</f>
        <v>27.0994416996191</v>
      </c>
      <c r="V512" s="79">
        <f>VLOOKUP(B512,'Player Data'!$A1:$AE667,10,FALSE)*$Q512*_xlfn.IFERROR(((VLOOKUP(P512,'Settings'!$E$28:$F$33,2,FALSE)/2)+1),1)</f>
        <v>132.154827851389</v>
      </c>
      <c r="W512" s="79">
        <f>VLOOKUP(B512,'Player Data'!$A1:$AE667,11,FALSE)*$Q512*_xlfn.IFERROR((VLOOKUP(P512,'Settings'!$E$28:$F$33,2,FALSE)+1),1)</f>
        <v>2.36081148832133</v>
      </c>
      <c r="X512" s="79">
        <f>VLOOKUP(B512,'Player Data'!$A1:$AE667,12,FALSE)*$Q512*_xlfn.IFERROR((VLOOKUP(P512,'Settings'!$E$28:$F$33,2,FALSE)+1),1)</f>
        <v>4.48797839947621</v>
      </c>
      <c r="Y512" s="79">
        <f>VLOOKUP(B512,'Player Data'!$A1:$AE667,13,FALSE)*$Q512</f>
        <v>0.211876709308022</v>
      </c>
      <c r="Z512" s="79">
        <f>VLOOKUP(B512,'Player Data'!$A1:$AE667,14,FALSE)*$Q512</f>
        <v>0.788886227821623</v>
      </c>
      <c r="AA512" s="79">
        <f>VLOOKUP(B512,'Player Data'!$A1:$AE667,15,FALSE)*$Q512</f>
        <v>55.7524621076002</v>
      </c>
      <c r="AB512" s="79">
        <f>VLOOKUP(B512,'Player Data'!$A1:$AE667,16,FALSE)*$Q512</f>
        <v>46.4157380244958</v>
      </c>
      <c r="AC512" s="79">
        <f>VLOOKUP(B512,'Player Data'!$A1:$AE667,17,FALSE)*$Q512*_xlfn.IFERROR((VLOOKUP(P512,'Settings'!$E$28:$F$33,2,FALSE)+1),1)</f>
        <v>2.98462524678025</v>
      </c>
      <c r="AD512" s="79">
        <f>VLOOKUP(B512,'Player Data'!$A1:$AE667,18,FALSE)*$Q512</f>
        <v>14.8409088109169</v>
      </c>
      <c r="AE512" s="79">
        <f>VLOOKUP(B512,'Player Data'!$A1:$AE667,19,FALSE)*$Q512*_xlfn.IFERROR((VLOOKUP(P512,'Settings'!$E$28:$F$33,2,FALSE)+1),1)</f>
        <v>1.77779087938405</v>
      </c>
      <c r="AF512" s="79">
        <f>VLOOKUP(B512,'Player Data'!$A1:$AE667,20,FALSE)*$Q512</f>
        <v>9.88844913482111</v>
      </c>
      <c r="AG512" s="79">
        <f>VLOOKUP(B512,'Player Data'!$A1:$AE667,21,FALSE)*$Q512</f>
        <v>13.4487382925845</v>
      </c>
      <c r="AH512" s="81">
        <f>VLOOKUP(B512,'Player Data'!$A1:$AE667,22,FALSE)</f>
        <v>0.42372068894681</v>
      </c>
      <c r="AI512" s="77"/>
      <c r="AJ512" s="89"/>
      <c r="AK512" s="79"/>
      <c r="AL512" s="79"/>
      <c r="AM512" s="79"/>
      <c r="AN512" s="79"/>
      <c r="AO512" s="79"/>
      <c r="AP512" s="79"/>
      <c r="AQ512" s="82"/>
      <c r="AR512" s="83"/>
      <c r="AS512" s="84"/>
    </row>
    <row r="513" ht="21.25" customHeight="1">
      <c r="A513" s="85">
        <f>RANK(K513,K$1:K$665)</f>
        <v>523</v>
      </c>
      <c r="B513" t="s" s="16">
        <v>703</v>
      </c>
      <c r="C513" t="s" s="69">
        <v>127</v>
      </c>
      <c r="D513" t="s" s="70">
        <f>VLOOKUP(B513,'Player Data'!A1:D667,4,FALSE)</f>
        <v>128</v>
      </c>
      <c r="E513" s="71">
        <f>VLOOKUP(B513,'C'!A1:C206,3,FALSE)</f>
        <v>158</v>
      </c>
      <c r="F513" t="s" s="100">
        <f>VLOOKUP(B513,'Player Data'!A1:B667,2,FALSE)</f>
        <v>172</v>
      </c>
      <c r="G513" s="91">
        <f>VLOOKUP(B513,'Player Data'!A1:D667,3,FALSE)</f>
        <v>35</v>
      </c>
      <c r="H513" s="94">
        <f>_xlfn.IFERROR(VLOOKUP(B513,'ADP'!A1:G665,7,FALSE)/1000000,VLOOKUP(B513,'ADP'!A1:G665,7,FALSE))</f>
        <v>2.45</v>
      </c>
      <c r="I513" s="74">
        <f>IF('Settings'!$E$15="POINTS",((R513*Q513)*'Settings'!$B$12)+(S513*'Settings'!$B$2)+(T513*'Settings'!$B$3)+(U513*'Settings'!$B$4)+(V513*'Settings'!$B$5)+(X513*'Settings'!$B$9)+(AA513*'Settings'!$B$6)+(W513*'Settings'!$B$8)+(AB513*'Settings'!$B$7)+(AC513*'Settings'!$B$14)+(AD513*'Settings'!$B$15)+(AE513*'Settings'!$B$16)+(AF513*'Settings'!$B$17)+(AG513*'Settings'!$B$18)+(Y513*'Settings'!$B$10)+(Z513*'Settings'!$B$11),VLOOKUP(B513,'Standard Deviations'!A1:C666,3,FALSE))</f>
        <v>166.054292057417</v>
      </c>
      <c r="J513" s="75">
        <f>IF(D513="G",I513/AJ513,I513/Q513)</f>
        <v>2.04236261063178</v>
      </c>
      <c r="K513" s="74">
        <f>IF('Settings'!$E$18="C/LW/RW",VLOOKUP(B513,'C'!A1:F206,6,FALSE),VLOOKUP(B513,'F'!A1:F392,6,FALSE))</f>
        <v>-163.637602023761</v>
      </c>
      <c r="L513" s="76">
        <f>_xlfn.IFERROR(K513/H513,"N/A")</f>
        <v>-66.79085796888199</v>
      </c>
      <c r="M513" s="109">
        <f>IF('Settings'!$E$9="YAHOO",VLOOKUP(B513,'ADP'!A1:E665,2,FALSE),IF('Settings'!$E$9="ESPN",VLOOKUP(B513,'ADP'!A1:E665,3,FALSE),IF('Settings'!$E$9="FANTRAX",VLOOKUP(B513,'ADP'!A1:E665,4,FALSE),VLOOKUP(B513,'ADP'!A1:E665,5,FALSE))))</f>
        <v>0</v>
      </c>
      <c r="N513" s="79">
        <f>_xlfn.IFERROR(M513-A513,"N/A")</f>
        <v>-523</v>
      </c>
      <c r="O513" s="77"/>
      <c r="P513" t="s" s="78">
        <f>IF('Settings'!$E$27="ON",VLOOKUP(B513,'ADP'!A1:H665,8,FALSE)," ")</f>
        <v>138</v>
      </c>
      <c r="Q513" s="79">
        <f>IF('Settings'!$E$12="YES",VLOOKUP(B513,'Player Data'!A1:E667,5,FALSE),82)</f>
        <v>81.30500000000001</v>
      </c>
      <c r="R513" s="108">
        <f>VLOOKUP(B513,'Player Data'!$A1:$AE667,6,FALSE)</f>
        <v>14.757865903904</v>
      </c>
      <c r="S513" s="79">
        <f>VLOOKUP(B513,'Player Data'!$A1:$AE667,7,FALSE)*$Q513*_xlfn.IFERROR((VLOOKUP(P513,'Settings'!$E$28:$F$33,2,FALSE)+1),1)</f>
        <v>8.87895156374616</v>
      </c>
      <c r="T513" s="79">
        <f>VLOOKUP(B513,'Player Data'!$A1:$AE667,8,FALSE)*$Q513*_xlfn.IFERROR((VLOOKUP(P513,'Settings'!$E$28:$F$33,2,FALSE)+1),1)</f>
        <v>11.8994814241537</v>
      </c>
      <c r="U513" s="79">
        <f>SUM(S513:T513)</f>
        <v>20.7784329878999</v>
      </c>
      <c r="V513" s="79">
        <f>VLOOKUP(B513,'Player Data'!$A1:$AE667,10,FALSE)*$Q513*_xlfn.IFERROR(((VLOOKUP(P513,'Settings'!$E$28:$F$33,2,FALSE)/2)+1),1)</f>
        <v>130.072143045129</v>
      </c>
      <c r="W513" s="79">
        <f>VLOOKUP(B513,'Player Data'!$A1:$AE667,11,FALSE)*$Q513*_xlfn.IFERROR((VLOOKUP(P513,'Settings'!$E$28:$F$33,2,FALSE)+1),1)</f>
        <v>0.802868540197223</v>
      </c>
      <c r="X513" s="79">
        <f>VLOOKUP(B513,'Player Data'!$A1:$AE667,12,FALSE)*$Q513*_xlfn.IFERROR((VLOOKUP(P513,'Settings'!$E$28:$F$33,2,FALSE)+1),1)</f>
        <v>1.3590688002614</v>
      </c>
      <c r="Y513" s="79">
        <f>VLOOKUP(B513,'Player Data'!$A1:$AE667,13,FALSE)*$Q513</f>
        <v>0.7663307959246169</v>
      </c>
      <c r="Z513" s="79">
        <f>VLOOKUP(B513,'Player Data'!$A1:$AE667,14,FALSE)*$Q513</f>
        <v>1.32823365995751</v>
      </c>
      <c r="AA513" s="79">
        <f>VLOOKUP(B513,'Player Data'!$A1:$AE667,15,FALSE)*$Q513</f>
        <v>50.5001609133816</v>
      </c>
      <c r="AB513" s="79">
        <f>VLOOKUP(B513,'Player Data'!$A1:$AE667,16,FALSE)*$Q513</f>
        <v>68.53833076724059</v>
      </c>
      <c r="AC513" s="79">
        <f>VLOOKUP(B513,'Player Data'!$A1:$AE667,17,FALSE)*$Q513*_xlfn.IFERROR((VLOOKUP(P513,'Settings'!$E$28:$F$33,2,FALSE)+1),1)</f>
        <v>-0.523378489302614</v>
      </c>
      <c r="AD513" s="79">
        <f>VLOOKUP(B513,'Player Data'!$A1:$AE667,18,FALSE)*$Q513</f>
        <v>36.388324500442</v>
      </c>
      <c r="AE513" s="79">
        <f>VLOOKUP(B513,'Player Data'!$A1:$AE667,19,FALSE)*$Q513*_xlfn.IFERROR((VLOOKUP(P513,'Settings'!$E$28:$F$33,2,FALSE)+1),1)</f>
        <v>1.31624154839003</v>
      </c>
      <c r="AF513" s="79">
        <f>VLOOKUP(B513,'Player Data'!$A1:$AE667,20,FALSE)*$Q513</f>
        <v>469.562611814295</v>
      </c>
      <c r="AG513" s="79">
        <f>VLOOKUP(B513,'Player Data'!$A1:$AE667,21,FALSE)*$Q513</f>
        <v>431.618466009973</v>
      </c>
      <c r="AH513" s="81">
        <f>VLOOKUP(B513,'Player Data'!$A1:$AE667,22,FALSE)</f>
        <v>0.521052453684409</v>
      </c>
      <c r="AI513" s="77"/>
      <c r="AJ513" s="89"/>
      <c r="AK513" s="79"/>
      <c r="AL513" s="79"/>
      <c r="AM513" s="79"/>
      <c r="AN513" s="79"/>
      <c r="AO513" s="79"/>
      <c r="AP513" s="79"/>
      <c r="AQ513" s="82"/>
      <c r="AR513" s="83"/>
      <c r="AS513" s="84"/>
    </row>
    <row r="514" ht="21.25" customHeight="1">
      <c r="A514" s="85">
        <f>RANK(K514,K$1:K$665)</f>
        <v>508</v>
      </c>
      <c r="B514" t="s" s="16">
        <v>704</v>
      </c>
      <c r="C514" t="s" s="69">
        <v>127</v>
      </c>
      <c r="D514" t="s" s="70">
        <f>VLOOKUP(B514,'Player Data'!A1:D667,4,FALSE)</f>
        <v>145</v>
      </c>
      <c r="E514" s="87">
        <f>VLOOKUP(B514,'RW'!A1:C136,3,FALSE)</f>
        <v>104</v>
      </c>
      <c r="F514" t="s" s="78">
        <f>VLOOKUP(B514,'Player Data'!A1:B667,2,FALSE)</f>
        <v>168</v>
      </c>
      <c r="G514" s="11">
        <f>VLOOKUP(B514,'Player Data'!A1:D667,3,FALSE)</f>
        <v>28</v>
      </c>
      <c r="H514" s="94">
        <f>_xlfn.IFERROR(VLOOKUP(B514,'ADP'!A1:G665,7,FALSE)/1000000,VLOOKUP(B514,'ADP'!A1:G665,7,FALSE))</f>
        <v>2.166667</v>
      </c>
      <c r="I514" s="74">
        <f>IF('Settings'!$E$15="POINTS",((R514*Q514)*'Settings'!$B$12)+(S514*'Settings'!$B$2)+(T514*'Settings'!$B$3)+(U514*'Settings'!$B$4)+(V514*'Settings'!$B$5)+(X514*'Settings'!$B$9)+(AA514*'Settings'!$B$6)+(W514*'Settings'!$B$8)+(AB514*'Settings'!$B$7)+(AC514*'Settings'!$B$14)+(AD514*'Settings'!$B$15)+(AE514*'Settings'!$B$16)+(AF514*'Settings'!$B$17)+(AG514*'Settings'!$B$18)+(Y514*'Settings'!$B$10)+(Z514*'Settings'!$B$11),VLOOKUP(B514,'Standard Deviations'!A1:C666,3,FALSE))</f>
        <v>170.662108029993</v>
      </c>
      <c r="J514" s="75">
        <f>IF(D514="G",I514/AJ514,I514/Q514)</f>
        <v>2.27572234596784</v>
      </c>
      <c r="K514" s="74">
        <f>IF('Settings'!$E$18="C/LW/RW",VLOOKUP(B514,'RW'!A1:F136,6,FALSE),VLOOKUP(B514,'F'!A1:F392,6,FALSE))</f>
        <v>-159.029786051185</v>
      </c>
      <c r="L514" s="76">
        <f>_xlfn.IFERROR(K514/H514,"N/A")</f>
        <v>-73.3983515008005</v>
      </c>
      <c r="M514" s="109">
        <f>IF('Settings'!$E$9="YAHOO",VLOOKUP(B514,'ADP'!A1:E665,2,FALSE),IF('Settings'!$E$9="ESPN",VLOOKUP(B514,'ADP'!A1:E665,3,FALSE),IF('Settings'!$E$9="FANTRAX",VLOOKUP(B514,'ADP'!A1:E665,4,FALSE),VLOOKUP(B514,'ADP'!A1:E665,5,FALSE))))</f>
        <v>0</v>
      </c>
      <c r="N514" s="79">
        <f>_xlfn.IFERROR(M514-A514,"N/A")</f>
        <v>-508</v>
      </c>
      <c r="O514" s="77"/>
      <c r="P514" t="s" s="78">
        <f>IF('Settings'!$E$27="ON",VLOOKUP(B514,'ADP'!A1:H665,8,FALSE)," ")</f>
        <v>138</v>
      </c>
      <c r="Q514" s="79">
        <f>IF('Settings'!$E$12="YES",VLOOKUP(B514,'Player Data'!A1:E667,5,FALSE),82)</f>
        <v>74.99250000000001</v>
      </c>
      <c r="R514" s="108">
        <f>VLOOKUP(B514,'Player Data'!$A1:$AE667,6,FALSE)</f>
        <v>14.8337494953287</v>
      </c>
      <c r="S514" s="79">
        <f>VLOOKUP(B514,'Player Data'!$A1:$AE667,7,FALSE)*$Q514*_xlfn.IFERROR((VLOOKUP(P514,'Settings'!$E$28:$F$33,2,FALSE)+1),1)</f>
        <v>9.73667641207407</v>
      </c>
      <c r="T514" s="79">
        <f>VLOOKUP(B514,'Player Data'!$A1:$AE667,8,FALSE)*$Q514*_xlfn.IFERROR((VLOOKUP(P514,'Settings'!$E$28:$F$33,2,FALSE)+1),1)</f>
        <v>17.4835915832168</v>
      </c>
      <c r="U514" s="79">
        <f>SUM(S514:T514)</f>
        <v>27.2202679952909</v>
      </c>
      <c r="V514" s="79">
        <f>VLOOKUP(B514,'Player Data'!$A1:$AE667,10,FALSE)*$Q514*_xlfn.IFERROR(((VLOOKUP(P514,'Settings'!$E$28:$F$33,2,FALSE)/2)+1),1)</f>
        <v>104.625769155901</v>
      </c>
      <c r="W514" s="79">
        <f>VLOOKUP(B514,'Player Data'!$A1:$AE667,11,FALSE)*$Q514*_xlfn.IFERROR((VLOOKUP(P514,'Settings'!$E$28:$F$33,2,FALSE)+1),1)</f>
        <v>0.308853855999672</v>
      </c>
      <c r="X514" s="79">
        <f>VLOOKUP(B514,'Player Data'!$A1:$AE667,12,FALSE)*$Q514*_xlfn.IFERROR((VLOOKUP(P514,'Settings'!$E$28:$F$33,2,FALSE)+1),1)</f>
        <v>0.451568731485969</v>
      </c>
      <c r="Y514" s="79">
        <f>VLOOKUP(B514,'Player Data'!$A1:$AE667,13,FALSE)*$Q514</f>
        <v>0.665502372579914</v>
      </c>
      <c r="Z514" s="79">
        <f>VLOOKUP(B514,'Player Data'!$A1:$AE667,14,FALSE)*$Q514</f>
        <v>0.808638281618947</v>
      </c>
      <c r="AA514" s="79">
        <f>VLOOKUP(B514,'Player Data'!$A1:$AE667,15,FALSE)*$Q514</f>
        <v>35.1134995106273</v>
      </c>
      <c r="AB514" s="79">
        <f>VLOOKUP(B514,'Player Data'!$A1:$AE667,16,FALSE)*$Q514</f>
        <v>87.264744692485</v>
      </c>
      <c r="AC514" s="79">
        <f>VLOOKUP(B514,'Player Data'!$A1:$AE667,17,FALSE)*$Q514*_xlfn.IFERROR((VLOOKUP(P514,'Settings'!$E$28:$F$33,2,FALSE)+1),1)</f>
        <v>2.61118014152766</v>
      </c>
      <c r="AD514" s="79">
        <f>VLOOKUP(B514,'Player Data'!$A1:$AE667,18,FALSE)*$Q514</f>
        <v>22.3789774173436</v>
      </c>
      <c r="AE514" s="79">
        <f>VLOOKUP(B514,'Player Data'!$A1:$AE667,19,FALSE)*$Q514*_xlfn.IFERROR((VLOOKUP(P514,'Settings'!$E$28:$F$33,2,FALSE)+1),1)</f>
        <v>1.61849420501339</v>
      </c>
      <c r="AF514" s="79">
        <f>VLOOKUP(B514,'Player Data'!$A1:$AE667,20,FALSE)*$Q514</f>
        <v>6.40598692494513</v>
      </c>
      <c r="AG514" s="79">
        <f>VLOOKUP(B514,'Player Data'!$A1:$AE667,21,FALSE)*$Q514</f>
        <v>9.40570258612653</v>
      </c>
      <c r="AH514" s="81">
        <f>VLOOKUP(B514,'Player Data'!$A1:$AE667,22,FALSE)</f>
        <v>0.405142468833551</v>
      </c>
      <c r="AI514" s="77"/>
      <c r="AJ514" s="79"/>
      <c r="AK514" s="79"/>
      <c r="AL514" s="79"/>
      <c r="AM514" s="79"/>
      <c r="AN514" s="79"/>
      <c r="AO514" s="79"/>
      <c r="AP514" s="79"/>
      <c r="AQ514" s="82"/>
      <c r="AR514" s="83"/>
      <c r="AS514" s="84"/>
    </row>
    <row r="515" ht="21.25" customHeight="1">
      <c r="A515" s="85">
        <f>RANK(K515,K$1:K$665)</f>
        <v>528</v>
      </c>
      <c r="B515" t="s" s="16">
        <v>705</v>
      </c>
      <c r="C515" t="s" s="69">
        <v>127</v>
      </c>
      <c r="D515" t="s" s="70">
        <f>VLOOKUP(B515,'Player Data'!A1:D667,4,FALSE)</f>
        <v>128</v>
      </c>
      <c r="E515" s="71">
        <f>VLOOKUP(B515,'C'!A1:C206,3,FALSE)</f>
        <v>160</v>
      </c>
      <c r="F515" t="s" s="100">
        <f>VLOOKUP(B515,'Player Data'!A1:B667,2,FALSE)</f>
        <v>172</v>
      </c>
      <c r="G515" s="91">
        <f>VLOOKUP(B515,'Player Data'!A1:D667,3,FALSE)</f>
        <v>32</v>
      </c>
      <c r="H515" s="73">
        <f>_xlfn.IFERROR(VLOOKUP(B515,'ADP'!A1:G665,7,FALSE)/1000000,VLOOKUP(B515,'ADP'!A1:G665,7,FALSE))</f>
        <v>3.571429</v>
      </c>
      <c r="I515" s="74">
        <f>IF('Settings'!$E$15="POINTS",((R515*Q515)*'Settings'!$B$12)+(S515*'Settings'!$B$2)+(T515*'Settings'!$B$3)+(U515*'Settings'!$B$4)+(V515*'Settings'!$B$5)+(X515*'Settings'!$B$9)+(AA515*'Settings'!$B$6)+(W515*'Settings'!$B$8)+(AB515*'Settings'!$B$7)+(AC515*'Settings'!$B$14)+(AD515*'Settings'!$B$15)+(AE515*'Settings'!$B$16)+(AF515*'Settings'!$B$17)+(AG515*'Settings'!$B$18)+(Y515*'Settings'!$B$10)+(Z515*'Settings'!$B$11),VLOOKUP(B515,'Standard Deviations'!A1:C666,3,FALSE))</f>
        <v>164.808179063976</v>
      </c>
      <c r="J515" s="75">
        <f>IF(D515="G",I515/AJ515,I515/Q515)</f>
        <v>2.11400948004074</v>
      </c>
      <c r="K515" s="74">
        <f>IF('Settings'!$E$18="C/LW/RW",VLOOKUP(B515,'C'!A1:F206,6,FALSE),VLOOKUP(B515,'F'!A1:F392,6,FALSE))</f>
        <v>-164.883715017202</v>
      </c>
      <c r="L515" s="76">
        <f>_xlfn.IFERROR(K515/H515,"N/A")</f>
        <v>-46.1674346647244</v>
      </c>
      <c r="M515" s="109">
        <f>IF('Settings'!$E$9="YAHOO",VLOOKUP(B515,'ADP'!A1:E665,2,FALSE),IF('Settings'!$E$9="ESPN",VLOOKUP(B515,'ADP'!A1:E665,3,FALSE),IF('Settings'!$E$9="FANTRAX",VLOOKUP(B515,'ADP'!A1:E665,4,FALSE),VLOOKUP(B515,'ADP'!A1:E665,5,FALSE))))</f>
        <v>0</v>
      </c>
      <c r="N515" s="79">
        <f>_xlfn.IFERROR(M515-A515,"N/A")</f>
        <v>-528</v>
      </c>
      <c r="O515" s="77"/>
      <c r="P515" t="s" s="78">
        <f>IF('Settings'!$E$27="ON",VLOOKUP(B515,'ADP'!A1:H665,8,FALSE)," ")</f>
        <v>138</v>
      </c>
      <c r="Q515" s="79">
        <f>IF('Settings'!$E$12="YES",VLOOKUP(B515,'Player Data'!A1:E667,5,FALSE),82)</f>
        <v>77.95999999999999</v>
      </c>
      <c r="R515" s="77">
        <f>VLOOKUP(B515,'Player Data'!$A1:$AE667,6,FALSE)</f>
        <v>14.1683545168409</v>
      </c>
      <c r="S515" s="79">
        <f>VLOOKUP(B515,'Player Data'!$A1:$AE667,7,FALSE)*$Q515*_xlfn.IFERROR((VLOOKUP(P515,'Settings'!$E$28:$F$33,2,FALSE)+1),1)</f>
        <v>12.433607801163</v>
      </c>
      <c r="T515" s="79">
        <f>VLOOKUP(B515,'Player Data'!$A1:$AE667,8,FALSE)*$Q515*_xlfn.IFERROR((VLOOKUP(P515,'Settings'!$E$28:$F$33,2,FALSE)+1),1)</f>
        <v>20.6191313638712</v>
      </c>
      <c r="U515" s="79">
        <f>SUM(S515:T515)</f>
        <v>33.0527391650342</v>
      </c>
      <c r="V515" s="79">
        <f>VLOOKUP(B515,'Player Data'!$A1:$AE667,10,FALSE)*$Q515*_xlfn.IFERROR(((VLOOKUP(P515,'Settings'!$E$28:$F$33,2,FALSE)/2)+1),1)</f>
        <v>149.392272895993</v>
      </c>
      <c r="W515" s="79">
        <f>VLOOKUP(B515,'Player Data'!$A1:$AE667,11,FALSE)*$Q515*_xlfn.IFERROR((VLOOKUP(P515,'Settings'!$E$28:$F$33,2,FALSE)+1),1)</f>
        <v>1.783818996619</v>
      </c>
      <c r="X515" s="79">
        <f>VLOOKUP(B515,'Player Data'!$A1:$AE667,12,FALSE)*$Q515*_xlfn.IFERROR((VLOOKUP(P515,'Settings'!$E$28:$F$33,2,FALSE)+1),1)</f>
        <v>6.628855372436</v>
      </c>
      <c r="Y515" s="79">
        <f>VLOOKUP(B515,'Player Data'!$A1:$AE667,13,FALSE)*$Q515</f>
        <v>0.055051061236549</v>
      </c>
      <c r="Z515" s="79">
        <f>VLOOKUP(B515,'Player Data'!$A1:$AE667,14,FALSE)*$Q515</f>
        <v>0.181283264464816</v>
      </c>
      <c r="AA515" s="79">
        <f>VLOOKUP(B515,'Player Data'!$A1:$AE667,15,FALSE)*$Q515</f>
        <v>19.1706997820099</v>
      </c>
      <c r="AB515" s="79">
        <f>VLOOKUP(B515,'Player Data'!$A1:$AE667,16,FALSE)*$Q515</f>
        <v>46.7551472733957</v>
      </c>
      <c r="AC515" s="79">
        <f>VLOOKUP(B515,'Player Data'!$A1:$AE667,17,FALSE)*$Q515*_xlfn.IFERROR((VLOOKUP(P515,'Settings'!$E$28:$F$33,2,FALSE)+1),1)</f>
        <v>-3.3955215258442</v>
      </c>
      <c r="AD515" s="79">
        <f>VLOOKUP(B515,'Player Data'!$A1:$AE667,18,FALSE)*$Q515</f>
        <v>18.3943911483345</v>
      </c>
      <c r="AE515" s="79">
        <f>VLOOKUP(B515,'Player Data'!$A1:$AE667,19,FALSE)*$Q515*_xlfn.IFERROR((VLOOKUP(P515,'Settings'!$E$28:$F$33,2,FALSE)+1),1)</f>
        <v>1.84319410538289</v>
      </c>
      <c r="AF515" s="79">
        <f>VLOOKUP(B515,'Player Data'!$A1:$AE667,20,FALSE)*$Q515</f>
        <v>387.321710110654</v>
      </c>
      <c r="AG515" s="79">
        <f>VLOOKUP(B515,'Player Data'!$A1:$AE667,21,FALSE)*$Q515</f>
        <v>367.461747077683</v>
      </c>
      <c r="AH515" s="81">
        <f>VLOOKUP(B515,'Player Data'!$A1:$AE667,22,FALSE)</f>
        <v>0.513156066712797</v>
      </c>
      <c r="AI515" s="77"/>
      <c r="AJ515" s="79"/>
      <c r="AK515" s="79"/>
      <c r="AL515" s="79"/>
      <c r="AM515" s="79"/>
      <c r="AN515" s="79"/>
      <c r="AO515" s="79"/>
      <c r="AP515" s="79"/>
      <c r="AQ515" s="82"/>
      <c r="AR515" s="83"/>
      <c r="AS515" s="84"/>
    </row>
    <row r="516" ht="21.25" customHeight="1">
      <c r="A516" s="85">
        <f>RANK(K516,K$1:K$665)</f>
        <v>500</v>
      </c>
      <c r="B516" t="s" s="16">
        <v>706</v>
      </c>
      <c r="C516" t="s" s="69">
        <v>127</v>
      </c>
      <c r="D516" t="s" s="70">
        <f>VLOOKUP(B516,'Player Data'!A1:D667,4,FALSE)</f>
        <v>153</v>
      </c>
      <c r="E516" s="95">
        <f>VLOOKUP(B516,'D'!A1:C213,3,FALSE)</f>
        <v>170</v>
      </c>
      <c r="F516" t="s" s="78">
        <f>VLOOKUP(B516,'Player Data'!A1:B667,2,FALSE)</f>
        <v>204</v>
      </c>
      <c r="G516" s="91">
        <f>VLOOKUP(B516,'Player Data'!A1:D667,3,FALSE)</f>
        <v>35</v>
      </c>
      <c r="H516" s="94">
        <f>_xlfn.IFERROR(VLOOKUP(B516,'ADP'!A1:G665,7,FALSE)/1000000,VLOOKUP(B516,'ADP'!A1:G665,7,FALSE))</f>
        <v>1</v>
      </c>
      <c r="I516" s="74">
        <f>IF('Settings'!$E$15="POINTS",((R516*Q516)*'Settings'!$B$12)+(S516*'Settings'!$B$2)+(T516*'Settings'!$B$3)+(U516*'Settings'!$B$4)+(V516*'Settings'!$B$5)+(X516*'Settings'!$B$9)+(AA516*'Settings'!$B$6)+(W516*'Settings'!$B$8)+(AB516*'Settings'!$B$7)+(AC516*'Settings'!$B$14)+(AD516*'Settings'!$B$15)+(AE516*'Settings'!$B$16)+(AF516*'Settings'!$B$17)+(AG516*'Settings'!$B$18)+(U516*'Settings'!$B$13)+(Y516*'Settings'!$B$10)+(Z516*'Settings'!$B$11),VLOOKUP(B516,'Standard Deviations'!A1:C666,3,FALSE))</f>
        <v>176.611205877435</v>
      </c>
      <c r="J516" s="75">
        <f>IF(D516="G",I516/AJ516,I516/Q516)</f>
        <v>2.45523519796246</v>
      </c>
      <c r="K516" s="74">
        <f>VLOOKUP(B516,'D'!A1:F213,6,FALSE)</f>
        <v>-154.929002042647</v>
      </c>
      <c r="L516" s="76">
        <f>_xlfn.IFERROR(K516/H516,"N/A")</f>
        <v>-154.929002042647</v>
      </c>
      <c r="M516" s="109">
        <f>IF('Settings'!$E$9="YAHOO",VLOOKUP(B516,'ADP'!A1:E665,2,FALSE),IF('Settings'!$E$9="ESPN",VLOOKUP(B516,'ADP'!A1:E665,3,FALSE),IF('Settings'!$E$9="FANTRAX",VLOOKUP(B516,'ADP'!A1:E665,4,FALSE),VLOOKUP(B516,'ADP'!A1:E665,5,FALSE))))</f>
        <v>0</v>
      </c>
      <c r="N516" s="79">
        <f>_xlfn.IFERROR(M516-A516,"N/A")</f>
        <v>-500</v>
      </c>
      <c r="O516" s="77"/>
      <c r="P516" t="s" s="78">
        <f>IF('Settings'!$E$27="ON",VLOOKUP(B516,'ADP'!A1:H665,8,FALSE)," ")</f>
        <v>138</v>
      </c>
      <c r="Q516" s="79">
        <f>IF('Settings'!$E$12="YES",VLOOKUP(B516,'Player Data'!A1:E667,5,FALSE),82)</f>
        <v>71.9325</v>
      </c>
      <c r="R516" s="77">
        <f>VLOOKUP(B516,'Player Data'!$A1:$AE667,6,FALSE)</f>
        <v>15.2926303298543</v>
      </c>
      <c r="S516" s="79">
        <f>VLOOKUP(B516,'Player Data'!$A1:$AE667,7,FALSE)*$Q516*_xlfn.IFERROR((VLOOKUP(P516,'Settings'!$E$28:$F$33,2,FALSE)+1),1)</f>
        <v>2.89021846255308</v>
      </c>
      <c r="T516" s="79">
        <f>VLOOKUP(B516,'Player Data'!$A1:$AE667,8,FALSE)*$Q516*_xlfn.IFERROR((VLOOKUP(P516,'Settings'!$E$28:$F$33,2,FALSE)+1),1)</f>
        <v>7.73710713833643</v>
      </c>
      <c r="U516" s="79">
        <f>SUM(S516:T516)</f>
        <v>10.6273256008895</v>
      </c>
      <c r="V516" s="79">
        <f>VLOOKUP(B516,'Player Data'!$A1:$AE667,10,FALSE)*$Q516*_xlfn.IFERROR(((VLOOKUP(P516,'Settings'!$E$28:$F$33,2,FALSE)/2)+1),1)</f>
        <v>67.29794745414721</v>
      </c>
      <c r="W516" s="79">
        <f>VLOOKUP(B516,'Player Data'!$A1:$AE667,11,FALSE)*$Q516*_xlfn.IFERROR((VLOOKUP(P516,'Settings'!$E$28:$F$33,2,FALSE)+1),1)</f>
        <v>0.0167411343793949</v>
      </c>
      <c r="X516" s="79">
        <f>VLOOKUP(B516,'Player Data'!$A1:$AE667,12,FALSE)*$Q516*_xlfn.IFERROR((VLOOKUP(P516,'Settings'!$E$28:$F$33,2,FALSE)+1),1)</f>
        <v>0.110450967603303</v>
      </c>
      <c r="Y516" s="79">
        <f>VLOOKUP(B516,'Player Data'!$A1:$AE667,13,FALSE)*$Q516</f>
        <v>0.0272878321553445</v>
      </c>
      <c r="Z516" s="79">
        <f>VLOOKUP(B516,'Player Data'!$A1:$AE667,14,FALSE)*$Q516</f>
        <v>0.34599169144443</v>
      </c>
      <c r="AA516" s="79">
        <f>VLOOKUP(B516,'Player Data'!$A1:$AE667,15,FALSE)*$Q516</f>
        <v>98.85660270897191</v>
      </c>
      <c r="AB516" s="79">
        <f>VLOOKUP(B516,'Player Data'!$A1:$AE667,16,FALSE)*$Q516</f>
        <v>114.835491441176</v>
      </c>
      <c r="AC516" s="79">
        <f>VLOOKUP(B516,'Player Data'!$A1:$AE667,17,FALSE)*$Q516*_xlfn.IFERROR((VLOOKUP(P516,'Settings'!$E$28:$F$33,2,FALSE)+1),1)</f>
        <v>1.1768807633984</v>
      </c>
      <c r="AD516" s="79">
        <f>VLOOKUP(B516,'Player Data'!$A1:$AE667,18,FALSE)*$Q516</f>
        <v>57.077222946833</v>
      </c>
      <c r="AE516" s="79">
        <f>VLOOKUP(B516,'Player Data'!$A1:$AE667,19,FALSE)*$Q516*_xlfn.IFERROR((VLOOKUP(P516,'Settings'!$E$28:$F$33,2,FALSE)+1),1)</f>
        <v>0.462200019067877</v>
      </c>
      <c r="AF516" s="79">
        <f>VLOOKUP(B516,'Player Data'!$A1:$AE667,20,FALSE)*$Q516</f>
        <v>0</v>
      </c>
      <c r="AG516" s="79">
        <f>VLOOKUP(B516,'Player Data'!$A1:$AE667,21,FALSE)*$Q516</f>
        <v>0</v>
      </c>
      <c r="AH516" s="81">
        <f>VLOOKUP(B516,'Player Data'!$A1:$AE667,22,FALSE)</f>
        <v>0</v>
      </c>
      <c r="AI516" s="77"/>
      <c r="AJ516" s="89"/>
      <c r="AK516" s="79"/>
      <c r="AL516" s="79"/>
      <c r="AM516" s="79"/>
      <c r="AN516" s="79"/>
      <c r="AO516" s="79"/>
      <c r="AP516" s="79"/>
      <c r="AQ516" s="82"/>
      <c r="AR516" s="83"/>
      <c r="AS516" s="84"/>
    </row>
    <row r="517" ht="21.25" customHeight="1">
      <c r="A517" s="85">
        <f>RANK(K517,K$1:K$665)</f>
        <v>501</v>
      </c>
      <c r="B517" t="s" s="16">
        <v>707</v>
      </c>
      <c r="C517" t="s" s="69">
        <v>127</v>
      </c>
      <c r="D517" t="s" s="70">
        <f>VLOOKUP(B517,'Player Data'!A1:D667,4,FALSE)</f>
        <v>153</v>
      </c>
      <c r="E517" s="95">
        <f>VLOOKUP(B517,'D'!A1:C213,3,FALSE)</f>
        <v>171</v>
      </c>
      <c r="F517" t="s" s="103">
        <f>VLOOKUP(B517,'Player Data'!A1:B667,2,FALSE)</f>
        <v>225</v>
      </c>
      <c r="G517" s="91">
        <f>VLOOKUP(B517,'Player Data'!A1:D667,3,FALSE)</f>
        <v>31</v>
      </c>
      <c r="H517" s="73">
        <f>_xlfn.IFERROR(VLOOKUP(B517,'ADP'!A1:G665,7,FALSE)/1000000,VLOOKUP(B517,'ADP'!A1:G665,7,FALSE))</f>
        <v>3.85</v>
      </c>
      <c r="I517" s="74">
        <f>IF('Settings'!$E$15="POINTS",((R517*Q517)*'Settings'!$B$12)+(S517*'Settings'!$B$2)+(T517*'Settings'!$B$3)+(U517*'Settings'!$B$4)+(V517*'Settings'!$B$5)+(X517*'Settings'!$B$9)+(AA517*'Settings'!$B$6)+(W517*'Settings'!$B$8)+(AB517*'Settings'!$B$7)+(AC517*'Settings'!$B$14)+(AD517*'Settings'!$B$15)+(AE517*'Settings'!$B$16)+(AF517*'Settings'!$B$17)+(AG517*'Settings'!$B$18)+(U517*'Settings'!$B$13)+(Y517*'Settings'!$B$10)+(Z517*'Settings'!$B$11),VLOOKUP(B517,'Standard Deviations'!A1:C666,3,FALSE))</f>
        <v>175.535842103847</v>
      </c>
      <c r="J517" s="75">
        <f>IF(D517="G",I517/AJ517,I517/Q517)</f>
        <v>2.57402803876893</v>
      </c>
      <c r="K517" s="74">
        <f>VLOOKUP(B517,'D'!A1:F213,6,FALSE)</f>
        <v>-156.004365816235</v>
      </c>
      <c r="L517" s="76">
        <f>_xlfn.IFERROR(K517/H517,"N/A")</f>
        <v>-40.5206144977234</v>
      </c>
      <c r="M517" s="109">
        <f>IF('Settings'!$E$9="YAHOO",VLOOKUP(B517,'ADP'!A1:E665,2,FALSE),IF('Settings'!$E$9="ESPN",VLOOKUP(B517,'ADP'!A1:E665,3,FALSE),IF('Settings'!$E$9="FANTRAX",VLOOKUP(B517,'ADP'!A1:E665,4,FALSE),VLOOKUP(B517,'ADP'!A1:E665,5,FALSE))))</f>
        <v>0</v>
      </c>
      <c r="N517" s="79">
        <f>_xlfn.IFERROR(M517-A517,"N/A")</f>
        <v>-501</v>
      </c>
      <c r="O517" s="77"/>
      <c r="P517" t="s" s="78">
        <f>IF('Settings'!$E$27="ON",VLOOKUP(B517,'ADP'!A1:H665,8,FALSE)," ")</f>
        <v>138</v>
      </c>
      <c r="Q517" s="79">
        <f>IF('Settings'!$E$12="YES",VLOOKUP(B517,'Player Data'!A1:E667,5,FALSE),82)</f>
        <v>68.19499999999999</v>
      </c>
      <c r="R517" s="77">
        <f>VLOOKUP(B517,'Player Data'!$A1:$AE667,6,FALSE)</f>
        <v>16.9354254273992</v>
      </c>
      <c r="S517" s="79">
        <f>VLOOKUP(B517,'Player Data'!$A1:$AE667,7,FALSE)*$Q517*_xlfn.IFERROR((VLOOKUP(P517,'Settings'!$E$28:$F$33,2,FALSE)+1),1)</f>
        <v>2.38085224972955</v>
      </c>
      <c r="T517" s="79">
        <f>VLOOKUP(B517,'Player Data'!$A1:$AE667,8,FALSE)*$Q517*_xlfn.IFERROR((VLOOKUP(P517,'Settings'!$E$28:$F$33,2,FALSE)+1),1)</f>
        <v>9.072830851828691</v>
      </c>
      <c r="U517" s="79">
        <f>SUM(S517:T517)</f>
        <v>11.4536831015582</v>
      </c>
      <c r="V517" s="79">
        <f>VLOOKUP(B517,'Player Data'!$A1:$AE667,10,FALSE)*$Q517*_xlfn.IFERROR(((VLOOKUP(P517,'Settings'!$E$28:$F$33,2,FALSE)/2)+1),1)</f>
        <v>62.2693182438226</v>
      </c>
      <c r="W517" s="79">
        <f>VLOOKUP(B517,'Player Data'!$A1:$AE667,11,FALSE)*$Q517*_xlfn.IFERROR((VLOOKUP(P517,'Settings'!$E$28:$F$33,2,FALSE)+1),1)</f>
        <v>0.0123771459988972</v>
      </c>
      <c r="X517" s="79">
        <f>VLOOKUP(B517,'Player Data'!$A1:$AE667,12,FALSE)*$Q517*_xlfn.IFERROR((VLOOKUP(P517,'Settings'!$E$28:$F$33,2,FALSE)+1),1)</f>
        <v>0.08254201577121401</v>
      </c>
      <c r="Y517" s="79">
        <f>VLOOKUP(B517,'Player Data'!$A1:$AE667,13,FALSE)*$Q517</f>
        <v>0.0297476467228393</v>
      </c>
      <c r="Z517" s="79">
        <f>VLOOKUP(B517,'Player Data'!$A1:$AE667,14,FALSE)*$Q517</f>
        <v>0.381258174788577</v>
      </c>
      <c r="AA517" s="79">
        <f>VLOOKUP(B517,'Player Data'!$A1:$AE667,15,FALSE)*$Q517</f>
        <v>103.880082649630</v>
      </c>
      <c r="AB517" s="79">
        <f>VLOOKUP(B517,'Player Data'!$A1:$AE667,16,FALSE)*$Q517</f>
        <v>105.950752726306</v>
      </c>
      <c r="AC517" s="79">
        <f>VLOOKUP(B517,'Player Data'!$A1:$AE667,17,FALSE)*$Q517*_xlfn.IFERROR((VLOOKUP(P517,'Settings'!$E$28:$F$33,2,FALSE)+1),1)</f>
        <v>-0.7322055670070871</v>
      </c>
      <c r="AD517" s="79">
        <f>VLOOKUP(B517,'Player Data'!$A1:$AE667,18,FALSE)*$Q517</f>
        <v>35.4758006989442</v>
      </c>
      <c r="AE517" s="79">
        <f>VLOOKUP(B517,'Player Data'!$A1:$AE667,19,FALSE)*$Q517*_xlfn.IFERROR((VLOOKUP(P517,'Settings'!$E$28:$F$33,2,FALSE)+1),1)</f>
        <v>0.424295656303422</v>
      </c>
      <c r="AF517" s="79">
        <f>VLOOKUP(B517,'Player Data'!$A1:$AE667,20,FALSE)*$Q517</f>
        <v>0</v>
      </c>
      <c r="AG517" s="79">
        <f>VLOOKUP(B517,'Player Data'!$A1:$AE667,21,FALSE)*$Q517</f>
        <v>0</v>
      </c>
      <c r="AH517" s="81">
        <f>VLOOKUP(B517,'Player Data'!$A1:$AE667,22,FALSE)</f>
        <v>0</v>
      </c>
      <c r="AI517" s="77"/>
      <c r="AJ517" s="89"/>
      <c r="AK517" s="79"/>
      <c r="AL517" s="79"/>
      <c r="AM517" s="79"/>
      <c r="AN517" s="79"/>
      <c r="AO517" s="79"/>
      <c r="AP517" s="79"/>
      <c r="AQ517" s="82"/>
      <c r="AR517" s="83"/>
      <c r="AS517" s="84"/>
    </row>
    <row r="518" ht="21.25" customHeight="1">
      <c r="A518" s="85">
        <f>RANK(K518,K$1:K$665)</f>
        <v>512</v>
      </c>
      <c r="B518" t="s" s="16">
        <v>708</v>
      </c>
      <c r="C518" t="s" s="69">
        <v>127</v>
      </c>
      <c r="D518" t="s" s="70">
        <f>VLOOKUP(B518,'Player Data'!A1:D667,4,FALSE)</f>
        <v>140</v>
      </c>
      <c r="E518" s="90">
        <f>VLOOKUP(B518,'RW'!A1:F136,3,FALSE)</f>
        <v>105</v>
      </c>
      <c r="F518" t="s" s="88">
        <f>VLOOKUP(B518,'Player Data'!A1:B667,2,FALSE)</f>
        <v>143</v>
      </c>
      <c r="G518" s="11">
        <f>VLOOKUP(B518,'Player Data'!A1:D667,3,FALSE)</f>
        <v>26</v>
      </c>
      <c r="H518" s="94">
        <f>_xlfn.IFERROR(VLOOKUP(B518,'ADP'!A1:G665,7,FALSE)/1000000,VLOOKUP(B518,'ADP'!A1:G665,7,FALSE))</f>
        <v>0.775</v>
      </c>
      <c r="I518" s="74">
        <f>IF('Settings'!$E$15="POINTS",((R518*Q518)*'Settings'!$B$12)+(S518*'Settings'!$B$2)+(T518*'Settings'!$B$3)+(U518*'Settings'!$B$4)+(V518*'Settings'!$B$5)+(X518*'Settings'!$B$9)+(AA518*'Settings'!$B$6)+(W518*'Settings'!$B$8)+(AB518*'Settings'!$B$7)+(AC518*'Settings'!$B$14)+(AD518*'Settings'!$B$15)+(AE518*'Settings'!$B$16)+(AF518*'Settings'!$B$17)+(AG518*'Settings'!$B$18)+(Y518*'Settings'!$B$10)+(Z518*'Settings'!$B$11),VLOOKUP(B518,'Standard Deviations'!A1:C666,3,FALSE))</f>
        <v>167.869973553738</v>
      </c>
      <c r="J518" s="75">
        <f>IF(D518="G",I518/AJ518,I518/Q518)</f>
        <v>3.00384671295943</v>
      </c>
      <c r="K518" s="74">
        <f>IF('Settings'!$E$18="C/LW/RW",VLOOKUP(B518,'RW'!A1:F136,6,FALSE),VLOOKUP(B518,'F'!A1:F392,6,FALSE))</f>
        <v>-161.821920527440</v>
      </c>
      <c r="L518" s="76">
        <f>_xlfn.IFERROR(K518/H518,"N/A")</f>
        <v>-208.802478099923</v>
      </c>
      <c r="M518" s="109">
        <f>IF('Settings'!$E$9="YAHOO",VLOOKUP(B518,'ADP'!A1:E665,2,FALSE),IF('Settings'!$E$9="ESPN",VLOOKUP(B518,'ADP'!A1:E665,3,FALSE),IF('Settings'!$E$9="FANTRAX",VLOOKUP(B518,'ADP'!A1:E665,4,FALSE),VLOOKUP(B518,'ADP'!A1:E665,5,FALSE))))</f>
        <v>0</v>
      </c>
      <c r="N518" s="79">
        <f>_xlfn.IFERROR(M518-A518,"N/A")</f>
        <v>-512</v>
      </c>
      <c r="O518" s="77"/>
      <c r="P518" t="s" s="78">
        <f>IF('Settings'!$E$27="ON",VLOOKUP(B518,'ADP'!A1:H665,8,FALSE)," ")</f>
        <v>138</v>
      </c>
      <c r="Q518" s="79">
        <f>IF('Settings'!$E$12="YES",VLOOKUP(B518,'Player Data'!A1:E667,5,FALSE),82)</f>
        <v>55.885</v>
      </c>
      <c r="R518" s="98">
        <f>VLOOKUP(B518,'Player Data'!$A1:$AE667,6,FALSE)</f>
        <v>13.2423263850715</v>
      </c>
      <c r="S518" s="79">
        <f>VLOOKUP(B518,'Player Data'!$A1:$AE667,7,FALSE)*$Q518*_xlfn.IFERROR((VLOOKUP(P518,'Settings'!$E$28:$F$33,2,FALSE)+1),1)</f>
        <v>12.7701322305077</v>
      </c>
      <c r="T518" s="79">
        <f>VLOOKUP(B518,'Player Data'!$A1:$AE667,8,FALSE)*$Q518*_xlfn.IFERROR((VLOOKUP(P518,'Settings'!$E$28:$F$33,2,FALSE)+1),1)</f>
        <v>12.3484810513625</v>
      </c>
      <c r="U518" s="79">
        <f>SUM(S518:T518)</f>
        <v>25.1186132818702</v>
      </c>
      <c r="V518" s="79">
        <f>VLOOKUP(B518,'Player Data'!$A1:$AE667,10,FALSE)*$Q518*_xlfn.IFERROR(((VLOOKUP(P518,'Settings'!$E$28:$F$33,2,FALSE)/2)+1),1)</f>
        <v>95.5788875872433</v>
      </c>
      <c r="W518" s="79">
        <f>VLOOKUP(B518,'Player Data'!$A1:$AE667,11,FALSE)*$Q518*_xlfn.IFERROR((VLOOKUP(P518,'Settings'!$E$28:$F$33,2,FALSE)+1),1)</f>
        <v>2.61660055664175</v>
      </c>
      <c r="X518" s="79">
        <f>VLOOKUP(B518,'Player Data'!$A1:$AE667,12,FALSE)*$Q518*_xlfn.IFERROR((VLOOKUP(P518,'Settings'!$E$28:$F$33,2,FALSE)+1),1)</f>
        <v>3.94842110472329</v>
      </c>
      <c r="Y518" s="79">
        <f>VLOOKUP(B518,'Player Data'!$A1:$AE667,13,FALSE)*$Q518</f>
        <v>0</v>
      </c>
      <c r="Z518" s="79">
        <f>VLOOKUP(B518,'Player Data'!$A1:$AE667,14,FALSE)*$Q518</f>
        <v>0</v>
      </c>
      <c r="AA518" s="79">
        <f>VLOOKUP(B518,'Player Data'!$A1:$AE667,15,FALSE)*$Q518</f>
        <v>32.3324005985086</v>
      </c>
      <c r="AB518" s="79">
        <f>VLOOKUP(B518,'Player Data'!$A1:$AE667,16,FALSE)*$Q518</f>
        <v>97.4015844456618</v>
      </c>
      <c r="AC518" s="79">
        <f>VLOOKUP(B518,'Player Data'!$A1:$AE667,17,FALSE)*$Q518*_xlfn.IFERROR((VLOOKUP(P518,'Settings'!$E$28:$F$33,2,FALSE)+1),1)</f>
        <v>1.82210340457495</v>
      </c>
      <c r="AD518" s="79">
        <f>VLOOKUP(B518,'Player Data'!$A1:$AE667,18,FALSE)*$Q518</f>
        <v>16.7050393323927</v>
      </c>
      <c r="AE518" s="79">
        <f>VLOOKUP(B518,'Player Data'!$A1:$AE667,19,FALSE)*$Q518*_xlfn.IFERROR((VLOOKUP(P518,'Settings'!$E$28:$F$33,2,FALSE)+1),1)</f>
        <v>1.98899557383785</v>
      </c>
      <c r="AF518" s="79">
        <f>VLOOKUP(B518,'Player Data'!$A1:$AE667,20,FALSE)*$Q518</f>
        <v>10.5105440992717</v>
      </c>
      <c r="AG518" s="79">
        <f>VLOOKUP(B518,'Player Data'!$A1:$AE667,21,FALSE)*$Q518</f>
        <v>24.5246028983007</v>
      </c>
      <c r="AH518" s="81">
        <f>VLOOKUP(B518,'Player Data'!$A1:$AE667,22,FALSE)</f>
        <v>0.3</v>
      </c>
      <c r="AI518" s="77"/>
      <c r="AJ518" s="79"/>
      <c r="AK518" s="79"/>
      <c r="AL518" s="79"/>
      <c r="AM518" s="79"/>
      <c r="AN518" s="79"/>
      <c r="AO518" s="79"/>
      <c r="AP518" s="79"/>
      <c r="AQ518" s="82"/>
      <c r="AR518" s="83"/>
      <c r="AS518" s="93"/>
    </row>
    <row r="519" ht="21.25" customHeight="1">
      <c r="A519" s="85">
        <f>RANK(K519,K$1:K$665)</f>
        <v>495</v>
      </c>
      <c r="B519" t="s" s="16">
        <v>709</v>
      </c>
      <c r="C519" t="s" s="69">
        <v>127</v>
      </c>
      <c r="D519" t="s" s="70">
        <f>VLOOKUP(B519,'Player Data'!A1:D667,4,FALSE)</f>
        <v>161</v>
      </c>
      <c r="E519" s="99">
        <f>VLOOKUP(B519,'G'!A1:D65,3,FALSE)</f>
        <v>58</v>
      </c>
      <c r="F519" t="s" s="86">
        <f>VLOOKUP(B519,'Player Data'!A1:B667,2,FALSE)</f>
        <v>149</v>
      </c>
      <c r="G519" s="96">
        <f>VLOOKUP(B519,'Player Data'!A1:D667,3,FALSE)</f>
        <v>23</v>
      </c>
      <c r="H519" s="73">
        <f>_xlfn.IFERROR(VLOOKUP(B519,'ADP'!A1:G665,7,FALSE)/1000000,VLOOKUP(B519,'ADP'!A1:G665,7,FALSE))</f>
        <v>4.5</v>
      </c>
      <c r="I519" s="74">
        <f>IF('Settings'!$E$15="POINTS",(AJ519*'Settings'!$B$29)+(AK519*'Settings'!$B$21)+(AL519*'Settings'!$B$22)+(AN519*'Settings'!$B$24)+(AO519*'Settings'!$B$25)+(AP519*'Settings'!$B$27)+(AM519*'Settings'!$B$23),VLOOKUP(B519,'Standard Deviations'!A1:C666,3,FALSE))</f>
        <v>114.298146357759</v>
      </c>
      <c r="J519" s="75">
        <f>IF(D519="G",I519/AJ519,I519/Q519)</f>
        <v>5.19537028898905</v>
      </c>
      <c r="K519" s="74">
        <f>VLOOKUP(B519,'G'!A1:F65,6,FALSE)</f>
        <v>-153.292868206831</v>
      </c>
      <c r="L519" s="76">
        <f>_xlfn.IFERROR(K519/H519,"N/A")</f>
        <v>-34.0650818237402</v>
      </c>
      <c r="M519" s="77">
        <f>IF('Settings'!$E$9="YAHOO",VLOOKUP(B519,'ADP'!A1:E665,2,FALSE),IF('Settings'!$E$9="ESPN",VLOOKUP(B519,'ADP'!A1:E665,3,FALSE),IF('Settings'!$E$9="FANTRAX",VLOOKUP(B519,'ADP'!A1:E665,4,FALSE),VLOOKUP(B519,'ADP'!A1:E665,5,FALSE))))</f>
        <v>0</v>
      </c>
      <c r="N519" s="77">
        <f>_xlfn.IFERROR(M519-A519,"N/A")</f>
        <v>-495</v>
      </c>
      <c r="O519" s="77"/>
      <c r="P519" t="s" s="78">
        <f>IF('Settings'!$E$27="ON",VLOOKUP(B519,'ADP'!A1:H665,8,FALSE)," ")</f>
        <v>138</v>
      </c>
      <c r="Q519" s="79"/>
      <c r="R519" s="77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81"/>
      <c r="AI519" s="77"/>
      <c r="AJ519" s="89">
        <f>VLOOKUP(B519,'Player Data'!$A1:$AE667,24,FALSE)</f>
        <v>22</v>
      </c>
      <c r="AK519" s="79">
        <f>VLOOKUP(B519,'Player Data'!$A1:$AE667,25,FALSE)*$AJ519*_xlfn.IFERROR((VLOOKUP(P519,'Settings'!$E$28:$F$33,2,FALSE)+1),1)</f>
        <v>12.8438625795139</v>
      </c>
      <c r="AL519" s="79">
        <f>AJ519-AK519-AM519</f>
        <v>6.4061374204861</v>
      </c>
      <c r="AM519" s="79">
        <f>VLOOKUP(B519,'Player Data'!$A1:$AE667,27,FALSE)*$AJ519</f>
        <v>2.75</v>
      </c>
      <c r="AN519" s="79">
        <f>VLOOKUP(B519,'Player Data'!$A1:$AE667,28,FALSE)*AJ519</f>
        <v>1.20831496369807</v>
      </c>
      <c r="AO519" s="79">
        <f>VLOOKUP(B519,'Player Data'!$A1:$AE667,29,FALSE)*$AJ519*_xlfn.IFERROR((VLOOKUP(P519,'Settings'!$E$28:$F$33,2,FALSE)/4)+1,1)</f>
        <v>563.2844838420669</v>
      </c>
      <c r="AP519" s="79">
        <f>VLOOKUP(B519,'Player Data'!$A1:$AE667,31,FALSE)*$AJ519*(_xlfn.IFERROR(1-(VLOOKUP(P519,'Settings'!$E$28:$F$33,2,FALSE)/4),1))</f>
        <v>61.9441967741718</v>
      </c>
      <c r="AQ519" s="82">
        <f>1-(AP519/(AO519+AP519))</f>
        <v>0.9009255354167079</v>
      </c>
      <c r="AR519" s="83">
        <f>AP519/AJ519</f>
        <v>2.8156453079169</v>
      </c>
      <c r="AS519" s="84"/>
    </row>
    <row r="520" ht="21.25" customHeight="1">
      <c r="A520" s="85">
        <f>RANK(K520,K$1:K$665)</f>
        <v>535</v>
      </c>
      <c r="B520" t="s" s="16">
        <v>710</v>
      </c>
      <c r="C520" t="s" s="69">
        <v>127</v>
      </c>
      <c r="D520" t="s" s="70">
        <f>VLOOKUP(B520,'Player Data'!A1:D667,4,FALSE)</f>
        <v>128</v>
      </c>
      <c r="E520" s="71">
        <f>VLOOKUP(B520,'C'!A1:C206,3,FALSE)</f>
        <v>161</v>
      </c>
      <c r="F520" t="s" s="78">
        <f>VLOOKUP(B520,'Player Data'!A1:B667,2,FALSE)</f>
        <v>261</v>
      </c>
      <c r="G520" s="11">
        <f>VLOOKUP(B520,'Player Data'!A1:D667,3,FALSE)</f>
        <v>24</v>
      </c>
      <c r="H520" s="73">
        <f>_xlfn.IFERROR(VLOOKUP(B520,'ADP'!A1:G665,7,FALSE)/1000000,VLOOKUP(B520,'ADP'!A1:G665,7,FALSE))</f>
        <v>2.65</v>
      </c>
      <c r="I520" s="74">
        <f>IF('Settings'!$E$15="POINTS",((R520*Q520)*'Settings'!$B$12)+(S520*'Settings'!$B$2)+(T520*'Settings'!$B$3)+(U520*'Settings'!$B$4)+(V520*'Settings'!$B$5)+(X520*'Settings'!$B$9)+(AA520*'Settings'!$B$6)+(W520*'Settings'!$B$8)+(AB520*'Settings'!$B$7)+(AC520*'Settings'!$B$14)+(AD520*'Settings'!$B$15)+(AE520*'Settings'!$B$16)+(AF520*'Settings'!$B$17)+(AG520*'Settings'!$B$18)+(Y520*'Settings'!$B$10)+(Z520*'Settings'!$B$11),VLOOKUP(B520,'Standard Deviations'!A1:C666,3,FALSE))</f>
        <v>162.524340986813</v>
      </c>
      <c r="J520" s="75">
        <f>IF(D520="G",I520/AJ520,I520/Q520)</f>
        <v>2.2848113167232</v>
      </c>
      <c r="K520" s="74">
        <f>IF('Settings'!$E$18="C/LW/RW",VLOOKUP(B520,'C'!A1:F206,6,FALSE),VLOOKUP(B520,'F'!A1:F392,6,FALSE))</f>
        <v>-167.167553094365</v>
      </c>
      <c r="L520" s="76">
        <f>_xlfn.IFERROR(K520/H520,"N/A")</f>
        <v>-63.0820955073075</v>
      </c>
      <c r="M520" s="109">
        <f>IF('Settings'!$E$9="YAHOO",VLOOKUP(B520,'ADP'!A1:E665,2,FALSE),IF('Settings'!$E$9="ESPN",VLOOKUP(B520,'ADP'!A1:E665,3,FALSE),IF('Settings'!$E$9="FANTRAX",VLOOKUP(B520,'ADP'!A1:E665,4,FALSE),VLOOKUP(B520,'ADP'!A1:E665,5,FALSE))))</f>
        <v>0</v>
      </c>
      <c r="N520" s="79">
        <f>_xlfn.IFERROR(M520-A520,"N/A")</f>
        <v>-535</v>
      </c>
      <c r="O520" s="77"/>
      <c r="P520" t="s" s="78">
        <f>IF('Settings'!$E$27="ON",VLOOKUP(B520,'ADP'!A1:H665,8,FALSE)," ")</f>
        <v>138</v>
      </c>
      <c r="Q520" s="79">
        <f>IF('Settings'!$E$12="YES",VLOOKUP(B520,'Player Data'!A1:E667,5,FALSE),82)</f>
        <v>71.13249999999999</v>
      </c>
      <c r="R520" s="108">
        <f>VLOOKUP(B520,'Player Data'!$A1:$AE667,6,FALSE)</f>
        <v>15.4731249649819</v>
      </c>
      <c r="S520" s="79">
        <f>VLOOKUP(B520,'Player Data'!$A1:$AE667,7,FALSE)*$Q520*_xlfn.IFERROR((VLOOKUP(P520,'Settings'!$E$28:$F$33,2,FALSE)+1),1)</f>
        <v>12.063718962691</v>
      </c>
      <c r="T520" s="79">
        <f>VLOOKUP(B520,'Player Data'!$A1:$AE667,8,FALSE)*$Q520*_xlfn.IFERROR((VLOOKUP(P520,'Settings'!$E$28:$F$33,2,FALSE)+1),1)</f>
        <v>16.8192071964069</v>
      </c>
      <c r="U520" s="79">
        <f>SUM(S520:T520)</f>
        <v>28.8829261590979</v>
      </c>
      <c r="V520" s="79">
        <f>VLOOKUP(B520,'Player Data'!$A1:$AE667,10,FALSE)*$Q520*_xlfn.IFERROR(((VLOOKUP(P520,'Settings'!$E$28:$F$33,2,FALSE)/2)+1),1)</f>
        <v>122.167363087601</v>
      </c>
      <c r="W520" s="79">
        <f>VLOOKUP(B520,'Player Data'!$A1:$AE667,11,FALSE)*$Q520*_xlfn.IFERROR((VLOOKUP(P520,'Settings'!$E$28:$F$33,2,FALSE)+1),1)</f>
        <v>1.62301253402111</v>
      </c>
      <c r="X520" s="79">
        <f>VLOOKUP(B520,'Player Data'!$A1:$AE667,12,FALSE)*$Q520*_xlfn.IFERROR((VLOOKUP(P520,'Settings'!$E$28:$F$33,2,FALSE)+1),1)</f>
        <v>4.02390154601065</v>
      </c>
      <c r="Y520" s="79">
        <f>VLOOKUP(B520,'Player Data'!$A1:$AE667,13,FALSE)*$Q520</f>
        <v>0.0750359714610804</v>
      </c>
      <c r="Z520" s="79">
        <f>VLOOKUP(B520,'Player Data'!$A1:$AE667,14,FALSE)*$Q520</f>
        <v>0.313978572056207</v>
      </c>
      <c r="AA520" s="79">
        <f>VLOOKUP(B520,'Player Data'!$A1:$AE667,15,FALSE)*$Q520</f>
        <v>30.8458706398611</v>
      </c>
      <c r="AB520" s="79">
        <f>VLOOKUP(B520,'Player Data'!$A1:$AE667,16,FALSE)*$Q520</f>
        <v>60.221771369285</v>
      </c>
      <c r="AC520" s="79">
        <f>VLOOKUP(B520,'Player Data'!$A1:$AE667,17,FALSE)*$Q520*_xlfn.IFERROR((VLOOKUP(P520,'Settings'!$E$28:$F$33,2,FALSE)+1),1)</f>
        <v>-0.201397105412646</v>
      </c>
      <c r="AD520" s="79">
        <f>VLOOKUP(B520,'Player Data'!$A1:$AE667,18,FALSE)*$Q520</f>
        <v>29.4988323942218</v>
      </c>
      <c r="AE520" s="79">
        <f>VLOOKUP(B520,'Player Data'!$A1:$AE667,19,FALSE)*$Q520*_xlfn.IFERROR((VLOOKUP(P520,'Settings'!$E$28:$F$33,2,FALSE)+1),1)</f>
        <v>1.76527667123603</v>
      </c>
      <c r="AF520" s="79">
        <f>VLOOKUP(B520,'Player Data'!$A1:$AE667,20,FALSE)*$Q520</f>
        <v>442.568068784782</v>
      </c>
      <c r="AG520" s="79">
        <f>VLOOKUP(B520,'Player Data'!$A1:$AE667,21,FALSE)*$Q520</f>
        <v>442.052643760748</v>
      </c>
      <c r="AH520" s="81">
        <f>VLOOKUP(B520,'Player Data'!$A1:$AE667,22,FALSE)</f>
        <v>0.50029132543288</v>
      </c>
      <c r="AI520" s="77"/>
      <c r="AJ520" s="89"/>
      <c r="AK520" s="79"/>
      <c r="AL520" s="79"/>
      <c r="AM520" s="79"/>
      <c r="AN520" s="79"/>
      <c r="AO520" s="79"/>
      <c r="AP520" s="79"/>
      <c r="AQ520" s="82"/>
      <c r="AR520" s="83"/>
      <c r="AS520" s="84"/>
    </row>
    <row r="521" ht="21.25" customHeight="1">
      <c r="A521" s="85">
        <f>RANK(K521,K$1:K$665)</f>
        <v>515</v>
      </c>
      <c r="B521" t="s" s="16">
        <v>711</v>
      </c>
      <c r="C521" t="s" s="69">
        <v>127</v>
      </c>
      <c r="D521" t="s" s="70">
        <f>VLOOKUP(B521,'Player Data'!A1:D667,4,FALSE)</f>
        <v>145</v>
      </c>
      <c r="E521" s="87">
        <f>VLOOKUP(B521,'RW'!A1:C136,3,FALSE)</f>
        <v>106</v>
      </c>
      <c r="F521" t="s" s="86">
        <f>VLOOKUP(B521,'Player Data'!A1:B667,2,FALSE)</f>
        <v>154</v>
      </c>
      <c r="G521" s="11">
        <f>VLOOKUP(B521,'Player Data'!A1:D667,3,FALSE)</f>
        <v>29</v>
      </c>
      <c r="H521" s="73">
        <f>_xlfn.IFERROR(VLOOKUP(B521,'ADP'!A1:G665,7,FALSE)/1000000,VLOOKUP(B521,'ADP'!A1:G665,7,FALSE))</f>
        <v>2</v>
      </c>
      <c r="I521" s="74">
        <f>IF('Settings'!$E$15="POINTS",((R521*Q521)*'Settings'!$B$12)+(S521*'Settings'!$B$2)+(T521*'Settings'!$B$3)+(U521*'Settings'!$B$4)+(V521*'Settings'!$B$5)+(X521*'Settings'!$B$9)+(AA521*'Settings'!$B$6)+(W521*'Settings'!$B$8)+(AB521*'Settings'!$B$7)+(AC521*'Settings'!$B$14)+(AD521*'Settings'!$B$15)+(AE521*'Settings'!$B$16)+(AF521*'Settings'!$B$17)+(AG521*'Settings'!$B$18)+(Y521*'Settings'!$B$10)+(Z521*'Settings'!$B$11),VLOOKUP(B521,'Standard Deviations'!A1:C666,3,FALSE))</f>
        <v>166.879933865670</v>
      </c>
      <c r="J521" s="75">
        <f>IF(D521="G",I521/AJ521,I521/Q521)</f>
        <v>2.16032795709466</v>
      </c>
      <c r="K521" s="74">
        <f>IF('Settings'!$E$18="C/LW/RW",VLOOKUP(B521,'RW'!A1:F136,6,FALSE),VLOOKUP(B521,'F'!A1:F392,6,FALSE))</f>
        <v>-162.811960215508</v>
      </c>
      <c r="L521" s="76">
        <f>_xlfn.IFERROR(K521/H521,"N/A")</f>
        <v>-81.405980107754</v>
      </c>
      <c r="M521" s="109">
        <f>IF('Settings'!$E$9="YAHOO",VLOOKUP(B521,'ADP'!A1:E665,2,FALSE),IF('Settings'!$E$9="ESPN",VLOOKUP(B521,'ADP'!A1:E665,3,FALSE),IF('Settings'!$E$9="FANTRAX",VLOOKUP(B521,'ADP'!A1:E665,4,FALSE),VLOOKUP(B521,'ADP'!A1:E665,5,FALSE))))</f>
        <v>0</v>
      </c>
      <c r="N521" s="79">
        <f>_xlfn.IFERROR(M521-A521,"N/A")</f>
        <v>-515</v>
      </c>
      <c r="O521" s="77"/>
      <c r="P521" t="s" s="78">
        <f>IF('Settings'!$E$27="ON",VLOOKUP(B521,'ADP'!A1:H665,8,FALSE)," ")</f>
        <v>138</v>
      </c>
      <c r="Q521" s="79">
        <f>IF('Settings'!$E$12="YES",VLOOKUP(B521,'Player Data'!A1:E667,5,FALSE),82)</f>
        <v>77.2475</v>
      </c>
      <c r="R521" s="77">
        <f>VLOOKUP(B521,'Player Data'!$A1:$AE667,6,FALSE)</f>
        <v>10.9206618083877</v>
      </c>
      <c r="S521" s="79">
        <f>VLOOKUP(B521,'Player Data'!$A1:$AE667,7,FALSE)*$Q521*_xlfn.IFERROR((VLOOKUP(P521,'Settings'!$E$28:$F$33,2,FALSE)+1),1)</f>
        <v>7.62989116825472</v>
      </c>
      <c r="T521" s="79">
        <f>VLOOKUP(B521,'Player Data'!$A1:$AE667,8,FALSE)*$Q521*_xlfn.IFERROR((VLOOKUP(P521,'Settings'!$E$28:$F$33,2,FALSE)+1),1)</f>
        <v>9.21706578742115</v>
      </c>
      <c r="U521" s="79">
        <f>SUM(S521:T521)</f>
        <v>16.8469569556759</v>
      </c>
      <c r="V521" s="79">
        <f>VLOOKUP(B521,'Player Data'!$A1:$AE667,10,FALSE)*$Q521*_xlfn.IFERROR(((VLOOKUP(P521,'Settings'!$E$28:$F$33,2,FALSE)/2)+1),1)</f>
        <v>75.4676366502422</v>
      </c>
      <c r="W521" s="79">
        <f>VLOOKUP(B521,'Player Data'!$A1:$AE667,11,FALSE)*$Q521*_xlfn.IFERROR((VLOOKUP(P521,'Settings'!$E$28:$F$33,2,FALSE)+1),1)</f>
        <v>0.0623997641475521</v>
      </c>
      <c r="X521" s="79">
        <f>VLOOKUP(B521,'Player Data'!$A1:$AE667,12,FALSE)*$Q521*_xlfn.IFERROR((VLOOKUP(P521,'Settings'!$E$28:$F$33,2,FALSE)+1),1)</f>
        <v>0.145878680725024</v>
      </c>
      <c r="Y521" s="79">
        <f>VLOOKUP(B521,'Player Data'!$A1:$AE667,13,FALSE)*$Q521</f>
        <v>0.443555986616103</v>
      </c>
      <c r="Z521" s="79">
        <f>VLOOKUP(B521,'Player Data'!$A1:$AE667,14,FALSE)*$Q521</f>
        <v>0.5466415829385139</v>
      </c>
      <c r="AA521" s="79">
        <f>VLOOKUP(B521,'Player Data'!$A1:$AE667,15,FALSE)*$Q521</f>
        <v>29.3487790491975</v>
      </c>
      <c r="AB521" s="79">
        <f>VLOOKUP(B521,'Player Data'!$A1:$AE667,16,FALSE)*$Q521</f>
        <v>150.993012021160</v>
      </c>
      <c r="AC521" s="79">
        <f>VLOOKUP(B521,'Player Data'!$A1:$AE667,17,FALSE)*$Q521*_xlfn.IFERROR((VLOOKUP(P521,'Settings'!$E$28:$F$33,2,FALSE)+1),1)</f>
        <v>2.97368173759358</v>
      </c>
      <c r="AD521" s="79">
        <f>VLOOKUP(B521,'Player Data'!$A1:$AE667,18,FALSE)*$Q521</f>
        <v>25.9424444689799</v>
      </c>
      <c r="AE521" s="79">
        <f>VLOOKUP(B521,'Player Data'!$A1:$AE667,19,FALSE)*$Q521*_xlfn.IFERROR((VLOOKUP(P521,'Settings'!$E$28:$F$33,2,FALSE)+1),1)</f>
        <v>1.07928958086774</v>
      </c>
      <c r="AF521" s="79">
        <f>VLOOKUP(B521,'Player Data'!$A1:$AE667,20,FALSE)*$Q521</f>
        <v>149.419045265393</v>
      </c>
      <c r="AG521" s="79">
        <f>VLOOKUP(B521,'Player Data'!$A1:$AE667,21,FALSE)*$Q521</f>
        <v>180.151262685029</v>
      </c>
      <c r="AH521" s="81">
        <f>VLOOKUP(B521,'Player Data'!$A1:$AE667,22,FALSE)</f>
        <v>0.4533753243568</v>
      </c>
      <c r="AI521" s="77"/>
      <c r="AJ521" s="79"/>
      <c r="AK521" s="79"/>
      <c r="AL521" s="79"/>
      <c r="AM521" s="79"/>
      <c r="AN521" s="79"/>
      <c r="AO521" s="79"/>
      <c r="AP521" s="79"/>
      <c r="AQ521" s="82"/>
      <c r="AR521" s="83"/>
      <c r="AS521" s="84"/>
    </row>
    <row r="522" ht="21.25" customHeight="1">
      <c r="A522" s="85">
        <f>RANK(K522,K$1:K$665)</f>
        <v>498</v>
      </c>
      <c r="B522" t="s" s="16">
        <v>712</v>
      </c>
      <c r="C522" t="s" s="69">
        <v>127</v>
      </c>
      <c r="D522" t="s" s="70">
        <f>VLOOKUP(B522,'Player Data'!A1:D667,4,FALSE)</f>
        <v>161</v>
      </c>
      <c r="E522" s="99">
        <f>VLOOKUP(B522,'G'!A1:D65,3,FALSE)</f>
        <v>59</v>
      </c>
      <c r="F522" t="s" s="92">
        <f>VLOOKUP(B522,'Player Data'!A1:B667,2,FALSE)</f>
        <v>146</v>
      </c>
      <c r="G522" s="96">
        <f>VLOOKUP(B522,'Player Data'!A1:D667,3,FALSE)</f>
        <v>23</v>
      </c>
      <c r="H522" s="73">
        <f>_xlfn.IFERROR(VLOOKUP(B522,'ADP'!A1:G665,7,FALSE)/1000000,VLOOKUP(B522,'ADP'!A1:G665,7,FALSE))</f>
        <v>0.85</v>
      </c>
      <c r="I522" s="74">
        <f>IF('Settings'!$E$15="POINTS",(AJ522*'Settings'!$B$29)+(AK522*'Settings'!$B$21)+(AL522*'Settings'!$B$22)+(AN522*'Settings'!$B$24)+(AO522*'Settings'!$B$25)+(AP522*'Settings'!$B$27)+(AM522*'Settings'!$B$23),VLOOKUP(B522,'Standard Deviations'!A1:C666,3,FALSE))</f>
        <v>113.114168037561</v>
      </c>
      <c r="J522" s="75">
        <f>IF(D522="G",I522/AJ522,I522/Q522)</f>
        <v>5.14155309261641</v>
      </c>
      <c r="K522" s="74">
        <f>VLOOKUP(B522,'G'!A1:F65,6,FALSE)</f>
        <v>-154.476846527029</v>
      </c>
      <c r="L522" s="76">
        <f>_xlfn.IFERROR(K522/H522,"N/A")</f>
        <v>-181.737466502387</v>
      </c>
      <c r="M522" s="77">
        <f>IF('Settings'!$E$9="YAHOO",VLOOKUP(B522,'ADP'!A1:E665,2,FALSE),IF('Settings'!$E$9="ESPN",VLOOKUP(B522,'ADP'!A1:E665,3,FALSE),IF('Settings'!$E$9="FANTRAX",VLOOKUP(B522,'ADP'!A1:E665,4,FALSE),VLOOKUP(B522,'ADP'!A1:E665,5,FALSE))))</f>
        <v>0</v>
      </c>
      <c r="N522" s="77">
        <f>_xlfn.IFERROR(M522-A522,"N/A")</f>
        <v>-498</v>
      </c>
      <c r="O522" s="77"/>
      <c r="P522" t="s" s="78">
        <f>IF('Settings'!$E$27="ON",VLOOKUP(B522,'ADP'!A1:H665,8,FALSE)," ")</f>
        <v>138</v>
      </c>
      <c r="Q522" s="79"/>
      <c r="R522" s="77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81"/>
      <c r="AI522" s="77"/>
      <c r="AJ522" s="89">
        <f>VLOOKUP(B522,'Player Data'!$A1:$AE667,24,FALSE)</f>
        <v>22</v>
      </c>
      <c r="AK522" s="79">
        <f>VLOOKUP(B522,'Player Data'!$A1:$AE667,25,FALSE)*$AJ522*_xlfn.IFERROR((VLOOKUP(P522,'Settings'!$E$28:$F$33,2,FALSE)+1),1)</f>
        <v>12.393657535372</v>
      </c>
      <c r="AL522" s="79">
        <f>AJ522-AK522-AM522</f>
        <v>6.856342464628</v>
      </c>
      <c r="AM522" s="79">
        <f>VLOOKUP(B522,'Player Data'!$A1:$AE667,27,FALSE)*$AJ522</f>
        <v>2.75</v>
      </c>
      <c r="AN522" s="79">
        <f>VLOOKUP(B522,'Player Data'!$A1:$AE667,28,FALSE)*AJ522</f>
        <v>1.11623659570357</v>
      </c>
      <c r="AO522" s="79">
        <f>VLOOKUP(B522,'Player Data'!$A1:$AE667,29,FALSE)*$AJ522*_xlfn.IFERROR((VLOOKUP(P522,'Settings'!$E$28:$F$33,2,FALSE)/4)+1,1)</f>
        <v>569.3386388214431</v>
      </c>
      <c r="AP522" s="79">
        <f>VLOOKUP(B522,'Player Data'!$A1:$AE667,31,FALSE)*$AJ522*(_xlfn.IFERROR(1-(VLOOKUP(P522,'Settings'!$E$28:$F$33,2,FALSE)/4),1))</f>
        <v>63.3511855596334</v>
      </c>
      <c r="AQ522" s="82">
        <f>1-(AP522/(AO522+AP522))</f>
        <v>0.899870073583677</v>
      </c>
      <c r="AR522" s="83">
        <f>AP522/AJ522</f>
        <v>2.8795993436197</v>
      </c>
      <c r="AS522" s="84"/>
    </row>
    <row r="523" ht="21.25" customHeight="1">
      <c r="A523" s="85">
        <f>RANK(K523,K$1:K$665)</f>
        <v>522</v>
      </c>
      <c r="B523" t="s" s="16">
        <v>713</v>
      </c>
      <c r="C523" t="s" s="69">
        <v>127</v>
      </c>
      <c r="D523" t="s" s="70">
        <f>VLOOKUP(B523,'Player Data'!A1:D667,4,FALSE)</f>
        <v>140</v>
      </c>
      <c r="E523" s="90">
        <f>VLOOKUP(B523,'RW'!A1:F136,3,FALSE)</f>
        <v>107</v>
      </c>
      <c r="F523" t="s" s="100">
        <f>VLOOKUP(B523,'Player Data'!A1:B667,2,FALSE)</f>
        <v>172</v>
      </c>
      <c r="G523" s="11">
        <f>VLOOKUP(B523,'Player Data'!A1:D667,3,FALSE)</f>
        <v>25</v>
      </c>
      <c r="H523" s="73">
        <f>_xlfn.IFERROR(VLOOKUP(B523,'ADP'!A1:G665,7,FALSE)/1000000,VLOOKUP(B523,'ADP'!A1:G665,7,FALSE))</f>
        <v>0.775</v>
      </c>
      <c r="I523" s="74">
        <f>IF('Settings'!$E$15="POINTS",((R523*Q523)*'Settings'!$B$12)+(S523*'Settings'!$B$2)+(T523*'Settings'!$B$3)+(U523*'Settings'!$B$4)+(V523*'Settings'!$B$5)+(X523*'Settings'!$B$9)+(AA523*'Settings'!$B$6)+(W523*'Settings'!$B$8)+(AB523*'Settings'!$B$7)+(AC523*'Settings'!$B$14)+(AD523*'Settings'!$B$15)+(AE523*'Settings'!$B$16)+(AF523*'Settings'!$B$17)+(AG523*'Settings'!$B$18)+(Y523*'Settings'!$B$10)+(Z523*'Settings'!$B$11),VLOOKUP(B523,'Standard Deviations'!A1:C666,3,FALSE))</f>
        <v>166.236675014789</v>
      </c>
      <c r="J523" s="75">
        <f>IF(D523="G",I523/AJ523,I523/Q523)</f>
        <v>2.38914451012919</v>
      </c>
      <c r="K523" s="74">
        <f>IF('Settings'!$E$18="C/LW/RW",VLOOKUP(B523,'RW'!A1:F136,6,FALSE),VLOOKUP(B523,'F'!A1:F392,6,FALSE))</f>
        <v>-163.455219066389</v>
      </c>
      <c r="L523" s="76">
        <f>_xlfn.IFERROR(K523/H523,"N/A")</f>
        <v>-210.909960085663</v>
      </c>
      <c r="M523" s="109">
        <f>IF('Settings'!$E$9="YAHOO",VLOOKUP(B523,'ADP'!A1:E665,2,FALSE),IF('Settings'!$E$9="ESPN",VLOOKUP(B523,'ADP'!A1:E665,3,FALSE),IF('Settings'!$E$9="FANTRAX",VLOOKUP(B523,'ADP'!A1:E665,4,FALSE),VLOOKUP(B523,'ADP'!A1:E665,5,FALSE))))</f>
        <v>0</v>
      </c>
      <c r="N523" s="79">
        <f>_xlfn.IFERROR(M523-A523,"N/A")</f>
        <v>-522</v>
      </c>
      <c r="O523" s="77"/>
      <c r="P523" t="s" s="78">
        <f>IF('Settings'!$E$27="ON",VLOOKUP(B523,'ADP'!A1:H665,8,FALSE)," ")</f>
        <v>138</v>
      </c>
      <c r="Q523" s="79">
        <f>IF('Settings'!$E$12="YES",VLOOKUP(B523,'Player Data'!A1:E667,5,FALSE),82)</f>
        <v>69.58</v>
      </c>
      <c r="R523" s="98">
        <f>VLOOKUP(B523,'Player Data'!$A1:$AE667,6,FALSE)</f>
        <v>12.743270244101</v>
      </c>
      <c r="S523" s="79">
        <f>VLOOKUP(B523,'Player Data'!$A1:$AE667,7,FALSE)*$Q523*_xlfn.IFERROR((VLOOKUP(P523,'Settings'!$E$28:$F$33,2,FALSE)+1),1)</f>
        <v>8.64473629221914</v>
      </c>
      <c r="T523" s="79">
        <f>VLOOKUP(B523,'Player Data'!$A1:$AE667,8,FALSE)*$Q523*_xlfn.IFERROR((VLOOKUP(P523,'Settings'!$E$28:$F$33,2,FALSE)+1),1)</f>
        <v>18.4112605940692</v>
      </c>
      <c r="U523" s="79">
        <f>SUM(S523:T523)</f>
        <v>27.0559968862883</v>
      </c>
      <c r="V523" s="79">
        <f>VLOOKUP(B523,'Player Data'!$A1:$AE667,10,FALSE)*$Q523*_xlfn.IFERROR(((VLOOKUP(P523,'Settings'!$E$28:$F$33,2,FALSE)/2)+1),1)</f>
        <v>116.009967820627</v>
      </c>
      <c r="W523" s="79">
        <f>VLOOKUP(B523,'Player Data'!$A1:$AE667,11,FALSE)*$Q523*_xlfn.IFERROR((VLOOKUP(P523,'Settings'!$E$28:$F$33,2,FALSE)+1),1)</f>
        <v>0.500843996778198</v>
      </c>
      <c r="X523" s="79">
        <f>VLOOKUP(B523,'Player Data'!$A1:$AE667,12,FALSE)*$Q523*_xlfn.IFERROR((VLOOKUP(P523,'Settings'!$E$28:$F$33,2,FALSE)+1),1)</f>
        <v>1.95398411079732</v>
      </c>
      <c r="Y523" s="79">
        <f>VLOOKUP(B523,'Player Data'!$A1:$AE667,13,FALSE)*$Q523</f>
        <v>0</v>
      </c>
      <c r="Z523" s="79">
        <f>VLOOKUP(B523,'Player Data'!$A1:$AE667,14,FALSE)*$Q523</f>
        <v>0</v>
      </c>
      <c r="AA523" s="79">
        <f>VLOOKUP(B523,'Player Data'!$A1:$AE667,15,FALSE)*$Q523</f>
        <v>45.5249763452148</v>
      </c>
      <c r="AB523" s="79">
        <f>VLOOKUP(B523,'Player Data'!$A1:$AE667,16,FALSE)*$Q523</f>
        <v>66.90566117929291</v>
      </c>
      <c r="AC523" s="79">
        <f>VLOOKUP(B523,'Player Data'!$A1:$AE667,17,FALSE)*$Q523*_xlfn.IFERROR((VLOOKUP(P523,'Settings'!$E$28:$F$33,2,FALSE)+1),1)</f>
        <v>1.27197677935113</v>
      </c>
      <c r="AD523" s="79">
        <f>VLOOKUP(B523,'Player Data'!$A1:$AE667,18,FALSE)*$Q523</f>
        <v>17.149916117440</v>
      </c>
      <c r="AE523" s="79">
        <f>VLOOKUP(B523,'Player Data'!$A1:$AE667,19,FALSE)*$Q523*_xlfn.IFERROR((VLOOKUP(P523,'Settings'!$E$28:$F$33,2,FALSE)+1),1)</f>
        <v>1.281520796797</v>
      </c>
      <c r="AF523" s="79">
        <f>VLOOKUP(B523,'Player Data'!$A1:$AE667,20,FALSE)*$Q523</f>
        <v>1.43244671776562</v>
      </c>
      <c r="AG523" s="79">
        <f>VLOOKUP(B523,'Player Data'!$A1:$AE667,21,FALSE)*$Q523</f>
        <v>4.35378582296868</v>
      </c>
      <c r="AH523" s="81">
        <f>VLOOKUP(B523,'Player Data'!$A1:$AE667,22,FALSE)</f>
        <v>0.247561208036729</v>
      </c>
      <c r="AI523" s="77"/>
      <c r="AJ523" s="79"/>
      <c r="AK523" s="79"/>
      <c r="AL523" s="79"/>
      <c r="AM523" s="79"/>
      <c r="AN523" s="79"/>
      <c r="AO523" s="79"/>
      <c r="AP523" s="79"/>
      <c r="AQ523" s="82"/>
      <c r="AR523" s="83"/>
      <c r="AS523" s="84"/>
    </row>
    <row r="524" ht="21.25" customHeight="1">
      <c r="A524" s="85">
        <f>RANK(K524,K$1:K$665)</f>
        <v>542</v>
      </c>
      <c r="B524" t="s" s="16">
        <v>714</v>
      </c>
      <c r="C524" t="s" s="69">
        <v>127</v>
      </c>
      <c r="D524" t="s" s="70">
        <f>VLOOKUP(B524,'Player Data'!A1:D667,4,FALSE)</f>
        <v>128</v>
      </c>
      <c r="E524" s="71">
        <f>VLOOKUP(B524,'C'!A1:C206,3,FALSE)</f>
        <v>162</v>
      </c>
      <c r="F524" t="s" s="88">
        <f>VLOOKUP(B524,'Player Data'!A1:B667,2,FALSE)</f>
        <v>137</v>
      </c>
      <c r="G524" s="11">
        <f>VLOOKUP(B524,'Player Data'!A1:D667,3,FALSE)</f>
        <v>28</v>
      </c>
      <c r="H524" s="73">
        <f>_xlfn.IFERROR(VLOOKUP(B524,'ADP'!A1:G665,7,FALSE)/1000000,VLOOKUP(B524,'ADP'!A1:G665,7,FALSE))</f>
        <v>2.6</v>
      </c>
      <c r="I524" s="74">
        <f>IF('Settings'!$E$15="POINTS",((R524*Q524)*'Settings'!$B$12)+(S524*'Settings'!$B$2)+(T524*'Settings'!$B$3)+(U524*'Settings'!$B$4)+(V524*'Settings'!$B$5)+(X524*'Settings'!$B$9)+(AA524*'Settings'!$B$6)+(W524*'Settings'!$B$8)+(AB524*'Settings'!$B$7)+(AC524*'Settings'!$B$14)+(AD524*'Settings'!$B$15)+(AE524*'Settings'!$B$16)+(AF524*'Settings'!$B$17)+(AG524*'Settings'!$B$18)+(Y524*'Settings'!$B$10)+(Z524*'Settings'!$B$11),VLOOKUP(B524,'Standard Deviations'!A1:C666,3,FALSE))</f>
        <v>161.082337605198</v>
      </c>
      <c r="J524" s="75">
        <f>IF(D524="G",I524/AJ524,I524/Q524)</f>
        <v>2.1259382025234</v>
      </c>
      <c r="K524" s="74">
        <f>IF('Settings'!$E$18="C/LW/RW",VLOOKUP(B524,'C'!A1:F206,6,FALSE),VLOOKUP(B524,'F'!A1:F392,6,FALSE))</f>
        <v>-168.609556475980</v>
      </c>
      <c r="L524" s="76">
        <f>_xlfn.IFERROR(K524/H524,"N/A")</f>
        <v>-64.84982941383851</v>
      </c>
      <c r="M524" s="109">
        <f>IF('Settings'!$E$9="YAHOO",VLOOKUP(B524,'ADP'!A1:E665,2,FALSE),IF('Settings'!$E$9="ESPN",VLOOKUP(B524,'ADP'!A1:E665,3,FALSE),IF('Settings'!$E$9="FANTRAX",VLOOKUP(B524,'ADP'!A1:E665,4,FALSE),VLOOKUP(B524,'ADP'!A1:E665,5,FALSE))))</f>
        <v>0</v>
      </c>
      <c r="N524" s="79">
        <f>_xlfn.IFERROR(M524-A524,"N/A")</f>
        <v>-542</v>
      </c>
      <c r="O524" s="77"/>
      <c r="P524" t="s" s="78">
        <f>IF('Settings'!$E$27="ON",VLOOKUP(B524,'ADP'!A1:H665,8,FALSE)," ")</f>
        <v>138</v>
      </c>
      <c r="Q524" s="79">
        <f>IF('Settings'!$E$12="YES",VLOOKUP(B524,'Player Data'!A1:E667,5,FALSE),82)</f>
        <v>75.77</v>
      </c>
      <c r="R524" s="77">
        <f>VLOOKUP(B524,'Player Data'!$A1:$AE667,6,FALSE)</f>
        <v>13.4449361832101</v>
      </c>
      <c r="S524" s="79">
        <f>VLOOKUP(B524,'Player Data'!$A1:$AE667,7,FALSE)*$Q524*_xlfn.IFERROR((VLOOKUP(P524,'Settings'!$E$28:$F$33,2,FALSE)+1),1)</f>
        <v>14.1896386295081</v>
      </c>
      <c r="T524" s="79">
        <f>VLOOKUP(B524,'Player Data'!$A1:$AE667,8,FALSE)*$Q524*_xlfn.IFERROR((VLOOKUP(P524,'Settings'!$E$28:$F$33,2,FALSE)+1),1)</f>
        <v>12.8414231328296</v>
      </c>
      <c r="U524" s="79">
        <f>SUM(S524:T524)</f>
        <v>27.0310617623377</v>
      </c>
      <c r="V524" s="79">
        <f>VLOOKUP(B524,'Player Data'!$A1:$AE667,10,FALSE)*$Q524*_xlfn.IFERROR(((VLOOKUP(P524,'Settings'!$E$28:$F$33,2,FALSE)/2)+1),1)</f>
        <v>113.521385634095</v>
      </c>
      <c r="W524" s="79">
        <f>VLOOKUP(B524,'Player Data'!$A1:$AE667,11,FALSE)*$Q524*_xlfn.IFERROR((VLOOKUP(P524,'Settings'!$E$28:$F$33,2,FALSE)+1),1)</f>
        <v>1.10640198664476</v>
      </c>
      <c r="X524" s="79">
        <f>VLOOKUP(B524,'Player Data'!$A1:$AE667,12,FALSE)*$Q524*_xlfn.IFERROR((VLOOKUP(P524,'Settings'!$E$28:$F$33,2,FALSE)+1),1)</f>
        <v>2.08612442799618</v>
      </c>
      <c r="Y524" s="79">
        <f>VLOOKUP(B524,'Player Data'!$A1:$AE667,13,FALSE)*$Q524</f>
        <v>0.222284617297624</v>
      </c>
      <c r="Z524" s="79">
        <f>VLOOKUP(B524,'Player Data'!$A1:$AE667,14,FALSE)*$Q524</f>
        <v>0.376437114101591</v>
      </c>
      <c r="AA524" s="79">
        <f>VLOOKUP(B524,'Player Data'!$A1:$AE667,15,FALSE)*$Q524</f>
        <v>36.4918098949315</v>
      </c>
      <c r="AB524" s="79">
        <f>VLOOKUP(B524,'Player Data'!$A1:$AE667,16,FALSE)*$Q524</f>
        <v>59.5803421253501</v>
      </c>
      <c r="AC524" s="79">
        <f>VLOOKUP(B524,'Player Data'!$A1:$AE667,17,FALSE)*$Q524*_xlfn.IFERROR((VLOOKUP(P524,'Settings'!$E$28:$F$33,2,FALSE)+1),1)</f>
        <v>2.19960771812717</v>
      </c>
      <c r="AD524" s="79">
        <f>VLOOKUP(B524,'Player Data'!$A1:$AE667,18,FALSE)*$Q524</f>
        <v>19.8434199187744</v>
      </c>
      <c r="AE524" s="79">
        <f>VLOOKUP(B524,'Player Data'!$A1:$AE667,19,FALSE)*$Q524*_xlfn.IFERROR((VLOOKUP(P524,'Settings'!$E$28:$F$33,2,FALSE)+1),1)</f>
        <v>2.20314344711309</v>
      </c>
      <c r="AF524" s="79">
        <f>VLOOKUP(B524,'Player Data'!$A1:$AE667,20,FALSE)*$Q524</f>
        <v>62.5664294329228</v>
      </c>
      <c r="AG524" s="79">
        <f>VLOOKUP(B524,'Player Data'!$A1:$AE667,21,FALSE)*$Q524</f>
        <v>65.5787609345734</v>
      </c>
      <c r="AH524" s="81">
        <f>VLOOKUP(B524,'Player Data'!$A1:$AE667,22,FALSE)</f>
        <v>0.488246412163376</v>
      </c>
      <c r="AI524" s="77"/>
      <c r="AJ524" s="89"/>
      <c r="AK524" s="79"/>
      <c r="AL524" s="79"/>
      <c r="AM524" s="79"/>
      <c r="AN524" s="79"/>
      <c r="AO524" s="79"/>
      <c r="AP524" s="79"/>
      <c r="AQ524" s="82"/>
      <c r="AR524" s="83"/>
      <c r="AS524" s="84"/>
    </row>
    <row r="525" ht="21.25" customHeight="1">
      <c r="A525" s="85">
        <f>RANK(K525,K$1:K$665)</f>
        <v>543</v>
      </c>
      <c r="B525" t="s" s="16">
        <v>715</v>
      </c>
      <c r="C525" t="s" s="69">
        <v>127</v>
      </c>
      <c r="D525" t="s" s="70">
        <f>VLOOKUP(B525,'Player Data'!A1:D667,4,FALSE)</f>
        <v>128</v>
      </c>
      <c r="E525" s="71">
        <f>VLOOKUP(B525,'C'!A1:C206,3,FALSE)</f>
        <v>163</v>
      </c>
      <c r="F525" t="s" s="88">
        <f>VLOOKUP(B525,'Player Data'!A1:B667,2,FALSE)</f>
        <v>239</v>
      </c>
      <c r="G525" s="96">
        <f>VLOOKUP(B525,'Player Data'!A1:D667,3,FALSE)</f>
        <v>23</v>
      </c>
      <c r="H525" s="73">
        <f>_xlfn.IFERROR(VLOOKUP(B525,'ADP'!A1:G665,7,FALSE)/1000000,VLOOKUP(B525,'ADP'!A1:G665,7,FALSE))</f>
        <v>3.3625</v>
      </c>
      <c r="I525" s="74">
        <f>IF('Settings'!$E$15="POINTS",((R525*Q525)*'Settings'!$B$12)+(S525*'Settings'!$B$2)+(T525*'Settings'!$B$3)+(U525*'Settings'!$B$4)+(V525*'Settings'!$B$5)+(X525*'Settings'!$B$9)+(AA525*'Settings'!$B$6)+(W525*'Settings'!$B$8)+(AB525*'Settings'!$B$7)+(AC525*'Settings'!$B$14)+(AD525*'Settings'!$B$15)+(AE525*'Settings'!$B$16)+(AF525*'Settings'!$B$17)+(AG525*'Settings'!$B$18)+(Y525*'Settings'!$B$10)+(Z525*'Settings'!$B$11),VLOOKUP(B525,'Standard Deviations'!A1:C666,3,FALSE))</f>
        <v>160.935371215133</v>
      </c>
      <c r="J525" s="75">
        <f>IF(D525="G",I525/AJ525,I525/Q525)</f>
        <v>2.5412185570051</v>
      </c>
      <c r="K525" s="74">
        <f>IF('Settings'!$E$18="C/LW/RW",VLOOKUP(B525,'C'!A1:F206,6,FALSE),VLOOKUP(B525,'F'!A1:F392,6,FALSE))</f>
        <v>-168.756522866045</v>
      </c>
      <c r="L525" s="76">
        <f>_xlfn.IFERROR(K525/H525,"N/A")</f>
        <v>-50.1878134917606</v>
      </c>
      <c r="M525" s="109">
        <f>IF('Settings'!$E$9="YAHOO",VLOOKUP(B525,'ADP'!A1:E665,2,FALSE),IF('Settings'!$E$9="ESPN",VLOOKUP(B525,'ADP'!A1:E665,3,FALSE),IF('Settings'!$E$9="FANTRAX",VLOOKUP(B525,'ADP'!A1:E665,4,FALSE),VLOOKUP(B525,'ADP'!A1:E665,5,FALSE))))</f>
        <v>0</v>
      </c>
      <c r="N525" s="79">
        <f>_xlfn.IFERROR(M525-A525,"N/A")</f>
        <v>-543</v>
      </c>
      <c r="O525" s="77"/>
      <c r="P525" t="s" s="78">
        <f>IF('Settings'!$E$27="ON",VLOOKUP(B525,'ADP'!A1:H665,8,FALSE)," ")</f>
        <v>138</v>
      </c>
      <c r="Q525" s="79">
        <f>IF('Settings'!$E$12="YES",VLOOKUP(B525,'Player Data'!A1:E667,5,FALSE),82)</f>
        <v>63.33</v>
      </c>
      <c r="R525" s="98">
        <f>VLOOKUP(B525,'Player Data'!$A1:$AE667,6,FALSE)</f>
        <v>15.6492994840788</v>
      </c>
      <c r="S525" s="79">
        <f>VLOOKUP(B525,'Player Data'!$A1:$AE667,7,FALSE)*$Q525*_xlfn.IFERROR((VLOOKUP(P525,'Settings'!$E$28:$F$33,2,FALSE)+1),1)</f>
        <v>11.8047124644082</v>
      </c>
      <c r="T525" s="79">
        <f>VLOOKUP(B525,'Player Data'!$A1:$AE667,8,FALSE)*$Q525*_xlfn.IFERROR((VLOOKUP(P525,'Settings'!$E$28:$F$33,2,FALSE)+1),1)</f>
        <v>19.7722998305898</v>
      </c>
      <c r="U525" s="79">
        <f>SUM(S525:T525)</f>
        <v>31.577012294998</v>
      </c>
      <c r="V525" s="79">
        <f>VLOOKUP(B525,'Player Data'!$A1:$AE667,10,FALSE)*$Q525*_xlfn.IFERROR(((VLOOKUP(P525,'Settings'!$E$28:$F$33,2,FALSE)/2)+1),1)</f>
        <v>103.631054411043</v>
      </c>
      <c r="W525" s="79">
        <f>VLOOKUP(B525,'Player Data'!$A1:$AE667,11,FALSE)*$Q525*_xlfn.IFERROR((VLOOKUP(P525,'Settings'!$E$28:$F$33,2,FALSE)+1),1)</f>
        <v>2.41678603178614</v>
      </c>
      <c r="X525" s="79">
        <f>VLOOKUP(B525,'Player Data'!$A1:$AE667,12,FALSE)*$Q525*_xlfn.IFERROR((VLOOKUP(P525,'Settings'!$E$28:$F$33,2,FALSE)+1),1)</f>
        <v>6.70202129877446</v>
      </c>
      <c r="Y525" s="79">
        <f>VLOOKUP(B525,'Player Data'!$A1:$AE667,13,FALSE)*$Q525</f>
        <v>0.113985612574917</v>
      </c>
      <c r="Z525" s="79">
        <f>VLOOKUP(B525,'Player Data'!$A1:$AE667,14,FALSE)*$Q525</f>
        <v>0.927292012038184</v>
      </c>
      <c r="AA525" s="79">
        <f>VLOOKUP(B525,'Player Data'!$A1:$AE667,15,FALSE)*$Q525</f>
        <v>34.1448543759437</v>
      </c>
      <c r="AB525" s="79">
        <f>VLOOKUP(B525,'Player Data'!$A1:$AE667,16,FALSE)*$Q525</f>
        <v>54.9574563128172</v>
      </c>
      <c r="AC525" s="79">
        <f>VLOOKUP(B525,'Player Data'!$A1:$AE667,17,FALSE)*$Q525*_xlfn.IFERROR((VLOOKUP(P525,'Settings'!$E$28:$F$33,2,FALSE)+1),1)</f>
        <v>-2.35512210233279</v>
      </c>
      <c r="AD525" s="79">
        <f>VLOOKUP(B525,'Player Data'!$A1:$AE667,18,FALSE)*$Q525</f>
        <v>37.1127783109871</v>
      </c>
      <c r="AE525" s="79">
        <f>VLOOKUP(B525,'Player Data'!$A1:$AE667,19,FALSE)*$Q525*_xlfn.IFERROR((VLOOKUP(P525,'Settings'!$E$28:$F$33,2,FALSE)+1),1)</f>
        <v>1.3681811980671</v>
      </c>
      <c r="AF525" s="79">
        <f>VLOOKUP(B525,'Player Data'!$A1:$AE667,20,FALSE)*$Q525</f>
        <v>117.026939930543</v>
      </c>
      <c r="AG525" s="79">
        <f>VLOOKUP(B525,'Player Data'!$A1:$AE667,21,FALSE)*$Q525</f>
        <v>209.338831520068</v>
      </c>
      <c r="AH525" s="81">
        <f>VLOOKUP(B525,'Player Data'!$A1:$AE667,22,FALSE)</f>
        <v>0.358576021653216</v>
      </c>
      <c r="AI525" s="77"/>
      <c r="AJ525" s="79"/>
      <c r="AK525" s="79"/>
      <c r="AL525" s="79"/>
      <c r="AM525" s="79"/>
      <c r="AN525" s="79"/>
      <c r="AO525" s="79"/>
      <c r="AP525" s="79"/>
      <c r="AQ525" s="82"/>
      <c r="AR525" s="83"/>
      <c r="AS525" s="84"/>
    </row>
    <row r="526" ht="21.25" customHeight="1">
      <c r="A526" s="85">
        <f>RANK(K526,K$1:K$665)</f>
        <v>524</v>
      </c>
      <c r="B526" t="s" s="16">
        <v>716</v>
      </c>
      <c r="C526" t="s" s="69">
        <v>127</v>
      </c>
      <c r="D526" t="s" s="70">
        <f>VLOOKUP(B526,'Player Data'!A1:D667,4,FALSE)</f>
        <v>140</v>
      </c>
      <c r="E526" s="90">
        <f>VLOOKUP(B526,'RW'!A1:F136,3,FALSE)</f>
        <v>108</v>
      </c>
      <c r="F526" t="s" s="104">
        <f>VLOOKUP(B526,'Player Data'!A1:B667,2,FALSE)</f>
        <v>281</v>
      </c>
      <c r="G526" s="11">
        <f>VLOOKUP(B526,'Player Data'!A1:D667,3,FALSE)</f>
        <v>27</v>
      </c>
      <c r="H526" s="94">
        <f>_xlfn.IFERROR(VLOOKUP(B526,'ADP'!A1:G665,7,FALSE)/1000000,VLOOKUP(B526,'ADP'!A1:G665,7,FALSE))</f>
        <v>1.1</v>
      </c>
      <c r="I526" s="74">
        <f>IF('Settings'!$E$15="POINTS",((R526*Q526)*'Settings'!$B$12)+(S526*'Settings'!$B$2)+(T526*'Settings'!$B$3)+(U526*'Settings'!$B$4)+(V526*'Settings'!$B$5)+(X526*'Settings'!$B$9)+(AA526*'Settings'!$B$6)+(W526*'Settings'!$B$8)+(AB526*'Settings'!$B$7)+(AC526*'Settings'!$B$14)+(AD526*'Settings'!$B$15)+(AE526*'Settings'!$B$16)+(AF526*'Settings'!$B$17)+(AG526*'Settings'!$B$18)+(Y526*'Settings'!$B$10)+(Z526*'Settings'!$B$11),VLOOKUP(B526,'Standard Deviations'!A1:C666,3,FALSE))</f>
        <v>165.994583039955</v>
      </c>
      <c r="J526" s="75">
        <f>IF(D526="G",I526/AJ526,I526/Q526)</f>
        <v>2.45336362754885</v>
      </c>
      <c r="K526" s="74">
        <f>IF('Settings'!$E$18="C/LW/RW",VLOOKUP(B526,'RW'!A1:F136,6,FALSE),VLOOKUP(B526,'F'!A1:F392,6,FALSE))</f>
        <v>-163.697311041223</v>
      </c>
      <c r="L526" s="76">
        <f>_xlfn.IFERROR(K526/H526,"N/A")</f>
        <v>-148.815737310203</v>
      </c>
      <c r="M526" s="109">
        <f>IF('Settings'!$E$9="YAHOO",VLOOKUP(B526,'ADP'!A1:E665,2,FALSE),IF('Settings'!$E$9="ESPN",VLOOKUP(B526,'ADP'!A1:E665,3,FALSE),IF('Settings'!$E$9="FANTRAX",VLOOKUP(B526,'ADP'!A1:E665,4,FALSE),VLOOKUP(B526,'ADP'!A1:E665,5,FALSE))))</f>
        <v>0</v>
      </c>
      <c r="N526" s="79">
        <f>_xlfn.IFERROR(M526-A526,"N/A")</f>
        <v>-524</v>
      </c>
      <c r="O526" s="77"/>
      <c r="P526" t="s" s="78">
        <f>IF('Settings'!$E$27="ON",VLOOKUP(B526,'ADP'!A1:H665,8,FALSE)," ")</f>
        <v>138</v>
      </c>
      <c r="Q526" s="79">
        <f>IF('Settings'!$E$12="YES",VLOOKUP(B526,'Player Data'!A1:E667,5,FALSE),82)</f>
        <v>67.66</v>
      </c>
      <c r="R526" s="77">
        <f>VLOOKUP(B526,'Player Data'!$A1:$AE667,6,FALSE)</f>
        <v>10.3444562644251</v>
      </c>
      <c r="S526" s="79">
        <f>VLOOKUP(B526,'Player Data'!$A1:$AE667,7,FALSE)*$Q526*_xlfn.IFERROR((VLOOKUP(P526,'Settings'!$E$28:$F$33,2,FALSE)+1),1)</f>
        <v>4.7352731375098</v>
      </c>
      <c r="T526" s="79">
        <f>VLOOKUP(B526,'Player Data'!$A1:$AE667,8,FALSE)*$Q526*_xlfn.IFERROR((VLOOKUP(P526,'Settings'!$E$28:$F$33,2,FALSE)+1),1)</f>
        <v>7.66470004513155</v>
      </c>
      <c r="U526" s="79">
        <f>SUM(S526:T526)</f>
        <v>12.3999731826414</v>
      </c>
      <c r="V526" s="79">
        <f>VLOOKUP(B526,'Player Data'!$A1:$AE667,10,FALSE)*$Q526*_xlfn.IFERROR(((VLOOKUP(P526,'Settings'!$E$28:$F$33,2,FALSE)/2)+1),1)</f>
        <v>64.0325752231723</v>
      </c>
      <c r="W526" s="79">
        <f>VLOOKUP(B526,'Player Data'!$A1:$AE667,11,FALSE)*$Q526*_xlfn.IFERROR((VLOOKUP(P526,'Settings'!$E$28:$F$33,2,FALSE)+1),1)</f>
        <v>0.0464683688879771</v>
      </c>
      <c r="X526" s="79">
        <f>VLOOKUP(B526,'Player Data'!$A1:$AE667,12,FALSE)*$Q526*_xlfn.IFERROR((VLOOKUP(P526,'Settings'!$E$28:$F$33,2,FALSE)+1),1)</f>
        <v>0.109229258677398</v>
      </c>
      <c r="Y526" s="79">
        <f>VLOOKUP(B526,'Player Data'!$A1:$AE667,13,FALSE)*$Q526</f>
        <v>0.463998392216954</v>
      </c>
      <c r="Z526" s="79">
        <f>VLOOKUP(B526,'Player Data'!$A1:$AE667,14,FALSE)*$Q526</f>
        <v>0.53681569222202</v>
      </c>
      <c r="AA526" s="79">
        <f>VLOOKUP(B526,'Player Data'!$A1:$AE667,15,FALSE)*$Q526</f>
        <v>41.9346651481381</v>
      </c>
      <c r="AB526" s="79">
        <f>VLOOKUP(B526,'Player Data'!$A1:$AE667,16,FALSE)*$Q526</f>
        <v>159.579636093346</v>
      </c>
      <c r="AC526" s="79">
        <f>VLOOKUP(B526,'Player Data'!$A1:$AE667,17,FALSE)*$Q526*_xlfn.IFERROR((VLOOKUP(P526,'Settings'!$E$28:$F$33,2,FALSE)+1),1)</f>
        <v>-6.52625283386553</v>
      </c>
      <c r="AD526" s="79">
        <f>VLOOKUP(B526,'Player Data'!$A1:$AE667,18,FALSE)*$Q526</f>
        <v>57.0131213580646</v>
      </c>
      <c r="AE526" s="79">
        <f>VLOOKUP(B526,'Player Data'!$A1:$AE667,19,FALSE)*$Q526*_xlfn.IFERROR((VLOOKUP(P526,'Settings'!$E$28:$F$33,2,FALSE)+1),1)</f>
        <v>0.52364709787283</v>
      </c>
      <c r="AF526" s="79">
        <f>VLOOKUP(B526,'Player Data'!$A1:$AE667,20,FALSE)*$Q526</f>
        <v>3.11397221464101</v>
      </c>
      <c r="AG526" s="79">
        <f>VLOOKUP(B526,'Player Data'!$A1:$AE667,21,FALSE)*$Q526</f>
        <v>14.0224691735089</v>
      </c>
      <c r="AH526" s="81">
        <f>VLOOKUP(B526,'Player Data'!$A1:$AE667,22,FALSE)</f>
        <v>0.181716386973691</v>
      </c>
      <c r="AI526" s="77"/>
      <c r="AJ526" s="79"/>
      <c r="AK526" s="79"/>
      <c r="AL526" s="79"/>
      <c r="AM526" s="79"/>
      <c r="AN526" s="79"/>
      <c r="AO526" s="79"/>
      <c r="AP526" s="79"/>
      <c r="AQ526" s="82"/>
      <c r="AR526" s="83"/>
      <c r="AS526" s="93"/>
    </row>
    <row r="527" ht="21.25" customHeight="1">
      <c r="A527" s="85">
        <f>RANK(K527,K$1:K$665)</f>
        <v>547</v>
      </c>
      <c r="B527" t="s" s="16">
        <v>717</v>
      </c>
      <c r="C527" t="s" s="69">
        <v>127</v>
      </c>
      <c r="D527" t="s" s="70">
        <f>VLOOKUP(B527,'Player Data'!A1:D667,4,FALSE)</f>
        <v>128</v>
      </c>
      <c r="E527" s="71">
        <f>VLOOKUP(B527,'C'!A1:C206,3,FALSE)</f>
        <v>164</v>
      </c>
      <c r="F527" t="s" s="100">
        <f>VLOOKUP(B527,'Player Data'!A1:B667,2,FALSE)</f>
        <v>172</v>
      </c>
      <c r="G527" s="11">
        <f>VLOOKUP(B527,'Player Data'!A1:D667,3,FALSE)</f>
        <v>26</v>
      </c>
      <c r="H527" s="73">
        <f>_xlfn.IFERROR(VLOOKUP(B527,'ADP'!A1:G665,7,FALSE)/1000000,VLOOKUP(B527,'ADP'!A1:G665,7,FALSE))</f>
        <v>1.85</v>
      </c>
      <c r="I527" s="74">
        <f>IF('Settings'!$E$15="POINTS",((R527*Q527)*'Settings'!$B$12)+(S527*'Settings'!$B$2)+(T527*'Settings'!$B$3)+(U527*'Settings'!$B$4)+(V527*'Settings'!$B$5)+(X527*'Settings'!$B$9)+(AA527*'Settings'!$B$6)+(W527*'Settings'!$B$8)+(AB527*'Settings'!$B$7)+(AC527*'Settings'!$B$14)+(AD527*'Settings'!$B$15)+(AE527*'Settings'!$B$16)+(AF527*'Settings'!$B$17)+(AG527*'Settings'!$B$18)+(Y527*'Settings'!$B$10)+(Z527*'Settings'!$B$11),VLOOKUP(B527,'Standard Deviations'!A1:C666,3,FALSE))</f>
        <v>160.262726244588</v>
      </c>
      <c r="J527" s="75">
        <f>IF(D527="G",I527/AJ527,I527/Q527)</f>
        <v>2.07748940265856</v>
      </c>
      <c r="K527" s="74">
        <f>IF('Settings'!$E$18="C/LW/RW",VLOOKUP(B527,'C'!A1:F206,6,FALSE),VLOOKUP(B527,'F'!A1:F392,6,FALSE))</f>
        <v>-169.429167836590</v>
      </c>
      <c r="L527" s="76">
        <f>_xlfn.IFERROR(K527/H527,"N/A")</f>
        <v>-91.58333396572429</v>
      </c>
      <c r="M527" s="109">
        <f>IF('Settings'!$E$9="YAHOO",VLOOKUP(B527,'ADP'!A1:E665,2,FALSE),IF('Settings'!$E$9="ESPN",VLOOKUP(B527,'ADP'!A1:E665,3,FALSE),IF('Settings'!$E$9="FANTRAX",VLOOKUP(B527,'ADP'!A1:E665,4,FALSE),VLOOKUP(B527,'ADP'!A1:E665,5,FALSE))))</f>
        <v>0</v>
      </c>
      <c r="N527" s="79">
        <f>_xlfn.IFERROR(M527-A527,"N/A")</f>
        <v>-547</v>
      </c>
      <c r="O527" s="77"/>
      <c r="P527" t="s" s="78">
        <f>IF('Settings'!$E$27="ON",VLOOKUP(B527,'ADP'!A1:H665,8,FALSE)," ")</f>
        <v>138</v>
      </c>
      <c r="Q527" s="79">
        <f>IF('Settings'!$E$12="YES",VLOOKUP(B527,'Player Data'!A1:E667,5,FALSE),82)</f>
        <v>77.1425</v>
      </c>
      <c r="R527" s="77">
        <f>VLOOKUP(B527,'Player Data'!$A1:$AE667,6,FALSE)</f>
        <v>11.7675805752599</v>
      </c>
      <c r="S527" s="79">
        <f>VLOOKUP(B527,'Player Data'!$A1:$AE667,7,FALSE)*$Q527*_xlfn.IFERROR((VLOOKUP(P527,'Settings'!$E$28:$F$33,2,FALSE)+1),1)</f>
        <v>8.89774521363079</v>
      </c>
      <c r="T527" s="79">
        <f>VLOOKUP(B527,'Player Data'!$A1:$AE667,8,FALSE)*$Q527*_xlfn.IFERROR((VLOOKUP(P527,'Settings'!$E$28:$F$33,2,FALSE)+1),1)</f>
        <v>13.6778415891331</v>
      </c>
      <c r="U527" s="79">
        <f>SUM(S527:T527)</f>
        <v>22.5755868027639</v>
      </c>
      <c r="V527" s="79">
        <f>VLOOKUP(B527,'Player Data'!$A1:$AE667,10,FALSE)*$Q527*_xlfn.IFERROR(((VLOOKUP(P527,'Settings'!$E$28:$F$33,2,FALSE)/2)+1),1)</f>
        <v>93.2483772844334</v>
      </c>
      <c r="W527" s="79">
        <f>VLOOKUP(B527,'Player Data'!$A1:$AE667,11,FALSE)*$Q527*_xlfn.IFERROR((VLOOKUP(P527,'Settings'!$E$28:$F$33,2,FALSE)+1),1)</f>
        <v>0.06792945272153531</v>
      </c>
      <c r="X527" s="79">
        <f>VLOOKUP(B527,'Player Data'!$A1:$AE667,12,FALSE)*$Q527*_xlfn.IFERROR((VLOOKUP(P527,'Settings'!$E$28:$F$33,2,FALSE)+1),1)</f>
        <v>0.157824355117749</v>
      </c>
      <c r="Y527" s="79">
        <f>VLOOKUP(B527,'Player Data'!$A1:$AE667,13,FALSE)*$Q527</f>
        <v>0.898243508134871</v>
      </c>
      <c r="Z527" s="79">
        <f>VLOOKUP(B527,'Player Data'!$A1:$AE667,14,FALSE)*$Q527</f>
        <v>2.071946516505</v>
      </c>
      <c r="AA527" s="79">
        <f>VLOOKUP(B527,'Player Data'!$A1:$AE667,15,FALSE)*$Q527</f>
        <v>35.2019754890419</v>
      </c>
      <c r="AB527" s="79">
        <f>VLOOKUP(B527,'Player Data'!$A1:$AE667,16,FALSE)*$Q527</f>
        <v>87.0151193634666</v>
      </c>
      <c r="AC527" s="79">
        <f>VLOOKUP(B527,'Player Data'!$A1:$AE667,17,FALSE)*$Q527*_xlfn.IFERROR((VLOOKUP(P527,'Settings'!$E$28:$F$33,2,FALSE)+1),1)</f>
        <v>2.17109476071736</v>
      </c>
      <c r="AD527" s="79">
        <f>VLOOKUP(B527,'Player Data'!$A1:$AE667,18,FALSE)*$Q527</f>
        <v>33.1924945403632</v>
      </c>
      <c r="AE527" s="79">
        <f>VLOOKUP(B527,'Player Data'!$A1:$AE667,19,FALSE)*$Q527*_xlfn.IFERROR((VLOOKUP(P527,'Settings'!$E$28:$F$33,2,FALSE)+1),1)</f>
        <v>1.31902757359204</v>
      </c>
      <c r="AF527" s="79">
        <f>VLOOKUP(B527,'Player Data'!$A1:$AE667,20,FALSE)*$Q527</f>
        <v>264.221060870181</v>
      </c>
      <c r="AG527" s="79">
        <f>VLOOKUP(B527,'Player Data'!$A1:$AE667,21,FALSE)*$Q527</f>
        <v>265.662044578262</v>
      </c>
      <c r="AH527" s="81">
        <f>VLOOKUP(B527,'Player Data'!$A1:$AE667,22,FALSE)</f>
        <v>0.49864028151373</v>
      </c>
      <c r="AI527" s="77"/>
      <c r="AJ527" s="89"/>
      <c r="AK527" s="79"/>
      <c r="AL527" s="79"/>
      <c r="AM527" s="79"/>
      <c r="AN527" s="79"/>
      <c r="AO527" s="79"/>
      <c r="AP527" s="79"/>
      <c r="AQ527" s="82"/>
      <c r="AR527" s="83"/>
      <c r="AS527" s="84"/>
    </row>
    <row r="528" ht="21.25" customHeight="1">
      <c r="A528" s="85">
        <f>RANK(K528,K$1:K$665)</f>
        <v>548</v>
      </c>
      <c r="B528" t="s" s="16">
        <v>718</v>
      </c>
      <c r="C528" t="s" s="69">
        <v>127</v>
      </c>
      <c r="D528" t="s" s="70">
        <f>VLOOKUP(B528,'Player Data'!A1:D667,4,FALSE)</f>
        <v>128</v>
      </c>
      <c r="E528" s="71">
        <f>VLOOKUP(B528,'C'!A1:C206,3,FALSE)</f>
        <v>165</v>
      </c>
      <c r="F528" t="s" s="86">
        <f>VLOOKUP(B528,'Player Data'!A1:B667,2,FALSE)</f>
        <v>192</v>
      </c>
      <c r="G528" s="96">
        <f>VLOOKUP(B528,'Player Data'!A1:D667,3,FALSE)</f>
        <v>23</v>
      </c>
      <c r="H528" s="73">
        <f>_xlfn.IFERROR(VLOOKUP(B528,'ADP'!A1:G665,7,FALSE)/1000000,VLOOKUP(B528,'ADP'!A1:G665,7,FALSE))</f>
        <v>3.375</v>
      </c>
      <c r="I528" s="74">
        <f>IF('Settings'!$E$15="POINTS",((R528*Q528)*'Settings'!$B$12)+(S528*'Settings'!$B$2)+(T528*'Settings'!$B$3)+(U528*'Settings'!$B$4)+(V528*'Settings'!$B$5)+(X528*'Settings'!$B$9)+(AA528*'Settings'!$B$6)+(W528*'Settings'!$B$8)+(AB528*'Settings'!$B$7)+(AC528*'Settings'!$B$14)+(AD528*'Settings'!$B$15)+(AE528*'Settings'!$B$16)+(AF528*'Settings'!$B$17)+(AG528*'Settings'!$B$18)+(Y528*'Settings'!$B$10)+(Z528*'Settings'!$B$11),VLOOKUP(B528,'Standard Deviations'!A1:C666,3,FALSE))</f>
        <v>160.109510089350</v>
      </c>
      <c r="J528" s="75">
        <f>IF(D528="G",I528/AJ528,I528/Q528)</f>
        <v>2.18968148371649</v>
      </c>
      <c r="K528" s="74">
        <f>IF('Settings'!$E$18="C/LW/RW",VLOOKUP(B528,'C'!A1:F206,6,FALSE),VLOOKUP(B528,'F'!A1:F392,6,FALSE))</f>
        <v>-169.582383991828</v>
      </c>
      <c r="L528" s="76">
        <f>_xlfn.IFERROR(K528/H528,"N/A")</f>
        <v>-50.246632293875</v>
      </c>
      <c r="M528" s="109">
        <f>IF('Settings'!$E$9="YAHOO",VLOOKUP(B528,'ADP'!A1:E665,2,FALSE),IF('Settings'!$E$9="ESPN",VLOOKUP(B528,'ADP'!A1:E665,3,FALSE),IF('Settings'!$E$9="FANTRAX",VLOOKUP(B528,'ADP'!A1:E665,4,FALSE),VLOOKUP(B528,'ADP'!A1:E665,5,FALSE))))</f>
        <v>0</v>
      </c>
      <c r="N528" s="79">
        <f>_xlfn.IFERROR(M528-A528,"N/A")</f>
        <v>-548</v>
      </c>
      <c r="O528" s="77"/>
      <c r="P528" t="s" s="78">
        <f>IF('Settings'!$E$27="ON",VLOOKUP(B528,'ADP'!A1:H665,8,FALSE)," ")</f>
        <v>138</v>
      </c>
      <c r="Q528" s="79">
        <f>IF('Settings'!$E$12="YES",VLOOKUP(B528,'Player Data'!A1:E667,5,FALSE),82)</f>
        <v>73.12</v>
      </c>
      <c r="R528" s="77">
        <f>VLOOKUP(B528,'Player Data'!$A1:$AE667,6,FALSE)</f>
        <v>14.5012917924039</v>
      </c>
      <c r="S528" s="79">
        <f>VLOOKUP(B528,'Player Data'!$A1:$AE667,7,FALSE)*$Q528*_xlfn.IFERROR((VLOOKUP(P528,'Settings'!$E$28:$F$33,2,FALSE)+1),1)</f>
        <v>8.1515976344264</v>
      </c>
      <c r="T528" s="79">
        <f>VLOOKUP(B528,'Player Data'!$A1:$AE667,8,FALSE)*$Q528*_xlfn.IFERROR((VLOOKUP(P528,'Settings'!$E$28:$F$33,2,FALSE)+1),1)</f>
        <v>20.9539414698629</v>
      </c>
      <c r="U528" s="79">
        <f>SUM(S528:T528)</f>
        <v>29.1055391042893</v>
      </c>
      <c r="V528" s="79">
        <f>VLOOKUP(B528,'Player Data'!$A1:$AE667,10,FALSE)*$Q528*_xlfn.IFERROR(((VLOOKUP(P528,'Settings'!$E$28:$F$33,2,FALSE)/2)+1),1)</f>
        <v>114.906091039225</v>
      </c>
      <c r="W528" s="79">
        <f>VLOOKUP(B528,'Player Data'!$A1:$AE667,11,FALSE)*$Q528*_xlfn.IFERROR((VLOOKUP(P528,'Settings'!$E$28:$F$33,2,FALSE)+1),1)</f>
        <v>0.203131114772786</v>
      </c>
      <c r="X528" s="79">
        <f>VLOOKUP(B528,'Player Data'!$A1:$AE667,12,FALSE)*$Q528*_xlfn.IFERROR((VLOOKUP(P528,'Settings'!$E$28:$F$33,2,FALSE)+1),1)</f>
        <v>0.511236345591063</v>
      </c>
      <c r="Y528" s="79">
        <f>VLOOKUP(B528,'Player Data'!$A1:$AE667,13,FALSE)*$Q528</f>
        <v>0.210965917511181</v>
      </c>
      <c r="Z528" s="79">
        <f>VLOOKUP(B528,'Player Data'!$A1:$AE667,14,FALSE)*$Q528</f>
        <v>1.24447141717794</v>
      </c>
      <c r="AA528" s="79">
        <f>VLOOKUP(B528,'Player Data'!$A1:$AE667,15,FALSE)*$Q528</f>
        <v>44.4425635401217</v>
      </c>
      <c r="AB528" s="79">
        <f>VLOOKUP(B528,'Player Data'!$A1:$AE667,16,FALSE)*$Q528</f>
        <v>46.2215878749537</v>
      </c>
      <c r="AC528" s="79">
        <f>VLOOKUP(B528,'Player Data'!$A1:$AE667,17,FALSE)*$Q528*_xlfn.IFERROR((VLOOKUP(P528,'Settings'!$E$28:$F$33,2,FALSE)+1),1)</f>
        <v>-1.03427790846335</v>
      </c>
      <c r="AD528" s="79">
        <f>VLOOKUP(B528,'Player Data'!$A1:$AE667,18,FALSE)*$Q528</f>
        <v>14.9704976298651</v>
      </c>
      <c r="AE528" s="79">
        <f>VLOOKUP(B528,'Player Data'!$A1:$AE667,19,FALSE)*$Q528*_xlfn.IFERROR((VLOOKUP(P528,'Settings'!$E$28:$F$33,2,FALSE)+1),1)</f>
        <v>1.1568138848798</v>
      </c>
      <c r="AF528" s="79">
        <f>VLOOKUP(B528,'Player Data'!$A1:$AE667,20,FALSE)*$Q528</f>
        <v>45.4211218171985</v>
      </c>
      <c r="AG528" s="79">
        <f>VLOOKUP(B528,'Player Data'!$A1:$AE667,21,FALSE)*$Q528</f>
        <v>72.0354253447079</v>
      </c>
      <c r="AH528" s="81">
        <f>VLOOKUP(B528,'Player Data'!$A1:$AE667,22,FALSE)</f>
        <v>0.386705747058854</v>
      </c>
      <c r="AI528" s="77"/>
      <c r="AJ528" s="79"/>
      <c r="AK528" s="79"/>
      <c r="AL528" s="79"/>
      <c r="AM528" s="79"/>
      <c r="AN528" s="79"/>
      <c r="AO528" s="79"/>
      <c r="AP528" s="79"/>
      <c r="AQ528" s="82"/>
      <c r="AR528" s="83"/>
      <c r="AS528" s="84"/>
    </row>
    <row r="529" ht="21.25" customHeight="1">
      <c r="A529" s="85">
        <f>RANK(K529,K$1:K$665)</f>
        <v>533</v>
      </c>
      <c r="B529" t="s" s="16">
        <v>719</v>
      </c>
      <c r="C529" t="s" s="69">
        <v>127</v>
      </c>
      <c r="D529" t="s" s="70">
        <f>VLOOKUP(B529,'Player Data'!A1:D667,4,FALSE)</f>
        <v>136</v>
      </c>
      <c r="E529" s="87">
        <f>VLOOKUP(B529,'LW'!A1:C152,3,FALSE)</f>
        <v>120</v>
      </c>
      <c r="F529" t="s" s="107">
        <f>VLOOKUP(B529,'Player Data'!A1:B667,2,FALSE)</f>
        <v>279</v>
      </c>
      <c r="G529" s="91">
        <f>VLOOKUP(B529,'Player Data'!A1:D667,3,FALSE)</f>
        <v>31</v>
      </c>
      <c r="H529" s="73">
        <f>_xlfn.IFERROR(VLOOKUP(B529,'ADP'!A1:G665,7,FALSE)/1000000,VLOOKUP(B529,'ADP'!A1:G665,7,FALSE))</f>
        <v>5</v>
      </c>
      <c r="I529" s="74">
        <f>IF('Settings'!$E$15="POINTS",((R529*Q529)*'Settings'!$B$12)+(S529*'Settings'!$B$2)+(T529*'Settings'!$B$3)+(U529*'Settings'!$B$4)+(V529*'Settings'!$B$5)+(X529*'Settings'!$B$9)+(AA529*'Settings'!$B$6)+(W529*'Settings'!$B$8)+(AB529*'Settings'!$B$7)+(AC529*'Settings'!$B$14)+(AD529*'Settings'!$B$15)+(AE529*'Settings'!$B$16)+(AF529*'Settings'!$B$17)+(AG529*'Settings'!$B$18)+(Y529*'Settings'!$B$10)+(Z529*'Settings'!$B$11),VLOOKUP(B529,'Standard Deviations'!A1:C666,3,FALSE))</f>
        <v>164.972673914832</v>
      </c>
      <c r="J529" s="75">
        <f>IF(D529="G",I529/AJ529,I529/Q529)</f>
        <v>2.04433438352901</v>
      </c>
      <c r="K529" s="74">
        <f>IF('Settings'!$E$18="C/LW/RW",VLOOKUP(B529,'LW'!A1:F152,6,FALSE),VLOOKUP(B529,'F'!A1:F392,6,FALSE))</f>
        <v>-166.747437851380</v>
      </c>
      <c r="L529" s="76">
        <f>_xlfn.IFERROR(K529/H529,"N/A")</f>
        <v>-33.349487570276</v>
      </c>
      <c r="M529" s="109">
        <f>IF('Settings'!$E$9="YAHOO",VLOOKUP(B529,'ADP'!A1:E665,2,FALSE),IF('Settings'!$E$9="ESPN",VLOOKUP(B529,'ADP'!A1:E665,3,FALSE),IF('Settings'!$E$9="FANTRAX",VLOOKUP(B529,'ADP'!A1:E665,4,FALSE),VLOOKUP(B529,'ADP'!A1:E665,5,FALSE))))</f>
        <v>0</v>
      </c>
      <c r="N529" s="79">
        <f>_xlfn.IFERROR(M529-A529,"N/A")</f>
        <v>-533</v>
      </c>
      <c r="O529" s="77"/>
      <c r="P529" t="s" s="78">
        <f>IF('Settings'!$E$27="ON",VLOOKUP(B529,'ADP'!A1:H665,8,FALSE)," ")</f>
        <v>138</v>
      </c>
      <c r="Q529" s="79">
        <f>IF('Settings'!$E$12="YES",VLOOKUP(B529,'Player Data'!A1:E667,5,FALSE),82)</f>
        <v>80.69750000000001</v>
      </c>
      <c r="R529" s="108">
        <f>VLOOKUP(B529,'Player Data'!$A1:$AE667,6,FALSE)</f>
        <v>14.6755476813389</v>
      </c>
      <c r="S529" s="79">
        <f>VLOOKUP(B529,'Player Data'!$A1:$AE667,7,FALSE)*$Q529*_xlfn.IFERROR((VLOOKUP(P529,'Settings'!$E$28:$F$33,2,FALSE)+1),1)</f>
        <v>11.5581813449949</v>
      </c>
      <c r="T529" s="79">
        <f>VLOOKUP(B529,'Player Data'!$A1:$AE667,8,FALSE)*$Q529*_xlfn.IFERROR((VLOOKUP(P529,'Settings'!$E$28:$F$33,2,FALSE)+1),1)</f>
        <v>23.4436366451359</v>
      </c>
      <c r="U529" s="79">
        <f>SUM(S529:T529)</f>
        <v>35.0018179901308</v>
      </c>
      <c r="V529" s="79">
        <f>VLOOKUP(B529,'Player Data'!$A1:$AE667,10,FALSE)*$Q529*_xlfn.IFERROR(((VLOOKUP(P529,'Settings'!$E$28:$F$33,2,FALSE)/2)+1),1)</f>
        <v>124.219618370395</v>
      </c>
      <c r="W529" s="79">
        <f>VLOOKUP(B529,'Player Data'!$A1:$AE667,11,FALSE)*$Q529*_xlfn.IFERROR((VLOOKUP(P529,'Settings'!$E$28:$F$33,2,FALSE)+1),1)</f>
        <v>1.61099122225302</v>
      </c>
      <c r="X529" s="79">
        <f>VLOOKUP(B529,'Player Data'!$A1:$AE667,12,FALSE)*$Q529*_xlfn.IFERROR((VLOOKUP(P529,'Settings'!$E$28:$F$33,2,FALSE)+1),1)</f>
        <v>6.94698559124471</v>
      </c>
      <c r="Y529" s="79">
        <f>VLOOKUP(B529,'Player Data'!$A1:$AE667,13,FALSE)*$Q529</f>
        <v>0.162446124561191</v>
      </c>
      <c r="Z529" s="79">
        <f>VLOOKUP(B529,'Player Data'!$A1:$AE667,14,FALSE)*$Q529</f>
        <v>0.21535137541917</v>
      </c>
      <c r="AA529" s="79">
        <f>VLOOKUP(B529,'Player Data'!$A1:$AE667,15,FALSE)*$Q529</f>
        <v>22.7920388657529</v>
      </c>
      <c r="AB529" s="79">
        <f>VLOOKUP(B529,'Player Data'!$A1:$AE667,16,FALSE)*$Q529</f>
        <v>54.223202507766</v>
      </c>
      <c r="AC529" s="79">
        <f>VLOOKUP(B529,'Player Data'!$A1:$AE667,17,FALSE)*$Q529*_xlfn.IFERROR((VLOOKUP(P529,'Settings'!$E$28:$F$33,2,FALSE)+1),1)</f>
        <v>-7.93675005794292</v>
      </c>
      <c r="AD529" s="79">
        <f>VLOOKUP(B529,'Player Data'!$A1:$AE667,18,FALSE)*$Q529</f>
        <v>56.719343819463</v>
      </c>
      <c r="AE529" s="79">
        <f>VLOOKUP(B529,'Player Data'!$A1:$AE667,19,FALSE)*$Q529*_xlfn.IFERROR((VLOOKUP(P529,'Settings'!$E$28:$F$33,2,FALSE)+1),1)</f>
        <v>1.34721640864836</v>
      </c>
      <c r="AF529" s="79">
        <f>VLOOKUP(B529,'Player Data'!$A1:$AE667,20,FALSE)*$Q529</f>
        <v>246.683915082082</v>
      </c>
      <c r="AG529" s="79">
        <f>VLOOKUP(B529,'Player Data'!$A1:$AE667,21,FALSE)*$Q529</f>
        <v>303.096423050601</v>
      </c>
      <c r="AH529" s="81">
        <f>VLOOKUP(B529,'Player Data'!$A1:$AE667,22,FALSE)</f>
        <v>0.4486954115528</v>
      </c>
      <c r="AI529" s="77"/>
      <c r="AJ529" s="89"/>
      <c r="AK529" s="79"/>
      <c r="AL529" s="79"/>
      <c r="AM529" s="79"/>
      <c r="AN529" s="79"/>
      <c r="AO529" s="79"/>
      <c r="AP529" s="79"/>
      <c r="AQ529" s="82"/>
      <c r="AR529" s="83"/>
      <c r="AS529" s="84"/>
    </row>
    <row r="530" ht="21.25" customHeight="1">
      <c r="A530" s="85">
        <f>RANK(K530,K$1:K$665)</f>
        <v>549</v>
      </c>
      <c r="B530" t="s" s="16">
        <v>720</v>
      </c>
      <c r="C530" t="s" s="69">
        <v>127</v>
      </c>
      <c r="D530" t="s" s="70">
        <f>VLOOKUP(B530,'Player Data'!A1:D667,4,FALSE)</f>
        <v>128</v>
      </c>
      <c r="E530" s="71">
        <f>VLOOKUP(B530,'C'!A1:C206,3,FALSE)</f>
        <v>166</v>
      </c>
      <c r="F530" t="s" s="78">
        <f>VLOOKUP(B530,'Player Data'!A1:B667,2,FALSE)</f>
        <v>216</v>
      </c>
      <c r="G530" s="11">
        <f>VLOOKUP(B530,'Player Data'!A1:D667,3,FALSE)</f>
        <v>26</v>
      </c>
      <c r="H530" s="94">
        <f>_xlfn.IFERROR(VLOOKUP(B530,'ADP'!A1:G665,7,FALSE)/1000000,VLOOKUP(B530,'ADP'!A1:G665,7,FALSE))</f>
        <v>1.9</v>
      </c>
      <c r="I530" s="74">
        <f>IF('Settings'!$E$15="POINTS",((R530*Q530)*'Settings'!$B$12)+(S530*'Settings'!$B$2)+(T530*'Settings'!$B$3)+(U530*'Settings'!$B$4)+(V530*'Settings'!$B$5)+(X530*'Settings'!$B$9)+(AA530*'Settings'!$B$6)+(W530*'Settings'!$B$8)+(AB530*'Settings'!$B$7)+(AC530*'Settings'!$B$14)+(AD530*'Settings'!$B$15)+(AE530*'Settings'!$B$16)+(AF530*'Settings'!$B$17)+(AG530*'Settings'!$B$18)+(Y530*'Settings'!$B$10)+(Z530*'Settings'!$B$11),VLOOKUP(B530,'Standard Deviations'!A1:C666,3,FALSE))</f>
        <v>159.699518618616</v>
      </c>
      <c r="J530" s="75">
        <f>IF(D530="G",I530/AJ530,I530/Q530)</f>
        <v>2.19051530921907</v>
      </c>
      <c r="K530" s="74">
        <f>IF('Settings'!$E$18="C/LW/RW",VLOOKUP(B530,'C'!A1:F206,6,FALSE),VLOOKUP(B530,'F'!A1:F392,6,FALSE))</f>
        <v>-169.992375462562</v>
      </c>
      <c r="L530" s="76">
        <f>_xlfn.IFERROR(K530/H530,"N/A")</f>
        <v>-89.46967129608529</v>
      </c>
      <c r="M530" s="109">
        <f>IF('Settings'!$E$9="YAHOO",VLOOKUP(B530,'ADP'!A1:E665,2,FALSE),IF('Settings'!$E$9="ESPN",VLOOKUP(B530,'ADP'!A1:E665,3,FALSE),IF('Settings'!$E$9="FANTRAX",VLOOKUP(B530,'ADP'!A1:E665,4,FALSE),VLOOKUP(B530,'ADP'!A1:E665,5,FALSE))))</f>
        <v>0</v>
      </c>
      <c r="N530" s="79">
        <f>_xlfn.IFERROR(M530-A530,"N/A")</f>
        <v>-549</v>
      </c>
      <c r="O530" s="77"/>
      <c r="P530" t="s" s="78">
        <f>IF('Settings'!$E$27="ON",VLOOKUP(B530,'ADP'!A1:H665,8,FALSE)," ")</f>
        <v>138</v>
      </c>
      <c r="Q530" s="79">
        <f>IF('Settings'!$E$12="YES",VLOOKUP(B530,'Player Data'!A1:E667,5,FALSE),82)</f>
        <v>72.905</v>
      </c>
      <c r="R530" s="77">
        <f>VLOOKUP(B530,'Player Data'!$A1:$AE667,6,FALSE)</f>
        <v>12.4523708187329</v>
      </c>
      <c r="S530" s="79">
        <f>VLOOKUP(B530,'Player Data'!$A1:$AE667,7,FALSE)*$Q530*_xlfn.IFERROR((VLOOKUP(P530,'Settings'!$E$28:$F$33,2,FALSE)+1),1)</f>
        <v>8.9909610222716</v>
      </c>
      <c r="T530" s="79">
        <f>VLOOKUP(B530,'Player Data'!$A1:$AE667,8,FALSE)*$Q530*_xlfn.IFERROR((VLOOKUP(P530,'Settings'!$E$28:$F$33,2,FALSE)+1),1)</f>
        <v>12.0089014883718</v>
      </c>
      <c r="U530" s="79">
        <f>SUM(S530:T530)</f>
        <v>20.9998625106434</v>
      </c>
      <c r="V530" s="79">
        <f>VLOOKUP(B530,'Player Data'!$A1:$AE667,10,FALSE)*$Q530*_xlfn.IFERROR(((VLOOKUP(P530,'Settings'!$E$28:$F$33,2,FALSE)/2)+1),1)</f>
        <v>74.27567779662181</v>
      </c>
      <c r="W530" s="79">
        <f>VLOOKUP(B530,'Player Data'!$A1:$AE667,11,FALSE)*$Q530*_xlfn.IFERROR((VLOOKUP(P530,'Settings'!$E$28:$F$33,2,FALSE)+1),1)</f>
        <v>0.08663490097121759</v>
      </c>
      <c r="X530" s="79">
        <f>VLOOKUP(B530,'Player Data'!$A1:$AE667,12,FALSE)*$Q530*_xlfn.IFERROR((VLOOKUP(P530,'Settings'!$E$28:$F$33,2,FALSE)+1),1)</f>
        <v>0.176515871789073</v>
      </c>
      <c r="Y530" s="79">
        <f>VLOOKUP(B530,'Player Data'!$A1:$AE667,13,FALSE)*$Q530</f>
        <v>0.70705504663703</v>
      </c>
      <c r="Z530" s="79">
        <f>VLOOKUP(B530,'Player Data'!$A1:$AE667,14,FALSE)*$Q530</f>
        <v>1.21249970383373</v>
      </c>
      <c r="AA530" s="79">
        <f>VLOOKUP(B530,'Player Data'!$A1:$AE667,15,FALSE)*$Q530</f>
        <v>46.3339145735513</v>
      </c>
      <c r="AB530" s="79">
        <f>VLOOKUP(B530,'Player Data'!$A1:$AE667,16,FALSE)*$Q530</f>
        <v>92.79892190635429</v>
      </c>
      <c r="AC530" s="79">
        <f>VLOOKUP(B530,'Player Data'!$A1:$AE667,17,FALSE)*$Q530*_xlfn.IFERROR((VLOOKUP(P530,'Settings'!$E$28:$F$33,2,FALSE)+1),1)</f>
        <v>0.419276213608869</v>
      </c>
      <c r="AD530" s="79">
        <f>VLOOKUP(B530,'Player Data'!$A1:$AE667,18,FALSE)*$Q530</f>
        <v>36.3330926891262</v>
      </c>
      <c r="AE530" s="79">
        <f>VLOOKUP(B530,'Player Data'!$A1:$AE667,19,FALSE)*$Q530*_xlfn.IFERROR((VLOOKUP(P530,'Settings'!$E$28:$F$33,2,FALSE)+1),1)</f>
        <v>1.36753676047666</v>
      </c>
      <c r="AF530" s="79">
        <f>VLOOKUP(B530,'Player Data'!$A1:$AE667,20,FALSE)*$Q530</f>
        <v>170.223211997862</v>
      </c>
      <c r="AG530" s="79">
        <f>VLOOKUP(B530,'Player Data'!$A1:$AE667,21,FALSE)*$Q530</f>
        <v>187.151920507766</v>
      </c>
      <c r="AH530" s="81">
        <f>VLOOKUP(B530,'Player Data'!$A1:$AE667,22,FALSE)</f>
        <v>0.476315211985775</v>
      </c>
      <c r="AI530" s="77"/>
      <c r="AJ530" s="79"/>
      <c r="AK530" s="79"/>
      <c r="AL530" s="79"/>
      <c r="AM530" s="79"/>
      <c r="AN530" s="79"/>
      <c r="AO530" s="79"/>
      <c r="AP530" s="79"/>
      <c r="AQ530" s="82"/>
      <c r="AR530" s="83"/>
      <c r="AS530" s="84"/>
    </row>
    <row r="531" ht="21.25" customHeight="1">
      <c r="A531" s="85">
        <f>RANK(K531,K$1:K$665)</f>
        <v>537</v>
      </c>
      <c r="B531" t="s" s="16">
        <v>721</v>
      </c>
      <c r="C531" t="s" s="69">
        <v>127</v>
      </c>
      <c r="D531" t="s" s="70">
        <f>VLOOKUP(B531,'Player Data'!A1:D667,4,FALSE)</f>
        <v>178</v>
      </c>
      <c r="E531" s="102">
        <f>VLOOKUP(B531,'LW'!A1:C152,3,FALSE)</f>
        <v>121</v>
      </c>
      <c r="F531" t="s" s="86">
        <f>VLOOKUP(B531,'Player Data'!A1:B667,2,FALSE)</f>
        <v>156</v>
      </c>
      <c r="G531" s="11">
        <f>VLOOKUP(B531,'Player Data'!A1:D667,3,FALSE)</f>
        <v>29</v>
      </c>
      <c r="H531" s="94">
        <f>_xlfn.IFERROR(VLOOKUP(B531,'ADP'!A1:G665,7,FALSE)/1000000,VLOOKUP(B531,'ADP'!A1:G665,7,FALSE))</f>
        <v>0.8</v>
      </c>
      <c r="I531" s="74">
        <f>IF('Settings'!$E$15="POINTS",((R531*Q531)*'Settings'!$B$12)+(S531*'Settings'!$B$2)+(T531*'Settings'!$B$3)+(U531*'Settings'!$B$4)+(V531*'Settings'!$B$5)+(X531*'Settings'!$B$9)+(AA531*'Settings'!$B$6)+(W531*'Settings'!$B$8)+(AB531*'Settings'!$B$7)+(AC531*'Settings'!$B$14)+(AD531*'Settings'!$B$15)+(AE531*'Settings'!$B$16)+(AF531*'Settings'!$B$17)+(AG531*'Settings'!$B$18)+(Y531*'Settings'!$B$10)+(Z531*'Settings'!$B$11),VLOOKUP(B531,'Standard Deviations'!A1:C666,3,FALSE))</f>
        <v>164.503208076347</v>
      </c>
      <c r="J531" s="75">
        <f>IF(D531="G",I531/AJ531,I531/Q531)</f>
        <v>2.20595002281467</v>
      </c>
      <c r="K531" s="74">
        <f>IF('Settings'!$E$18="C/LW/RW",VLOOKUP(B531,'LW'!A1:F152,6,FALSE),VLOOKUP(B531,'F'!A1:F392,6,FALSE))</f>
        <v>-167.216903689865</v>
      </c>
      <c r="L531" s="76">
        <f>_xlfn.IFERROR(K531/H531,"N/A")</f>
        <v>-209.021129612331</v>
      </c>
      <c r="M531" s="109">
        <f>IF('Settings'!$E$9="YAHOO",VLOOKUP(B531,'ADP'!A1:E665,2,FALSE),IF('Settings'!$E$9="ESPN",VLOOKUP(B531,'ADP'!A1:E665,3,FALSE),IF('Settings'!$E$9="FANTRAX",VLOOKUP(B531,'ADP'!A1:E665,4,FALSE),VLOOKUP(B531,'ADP'!A1:E665,5,FALSE))))</f>
        <v>0</v>
      </c>
      <c r="N531" s="79">
        <f>_xlfn.IFERROR(M531-A531,"N/A")</f>
        <v>-537</v>
      </c>
      <c r="O531" s="77"/>
      <c r="P531" t="s" s="78">
        <f>IF('Settings'!$E$27="ON",VLOOKUP(B531,'ADP'!A1:H665,8,FALSE)," ")</f>
        <v>138</v>
      </c>
      <c r="Q531" s="79">
        <f>IF('Settings'!$E$12="YES",VLOOKUP(B531,'Player Data'!A1:E667,5,FALSE),82)</f>
        <v>74.57250000000001</v>
      </c>
      <c r="R531" s="77">
        <f>VLOOKUP(B531,'Player Data'!$A1:$AE667,6,FALSE)</f>
        <v>11.9836124511641</v>
      </c>
      <c r="S531" s="79">
        <f>VLOOKUP(B531,'Player Data'!$A1:$AE667,7,FALSE)*$Q531*_xlfn.IFERROR((VLOOKUP(P531,'Settings'!$E$28:$F$33,2,FALSE)+1),1)</f>
        <v>6.98940677773952</v>
      </c>
      <c r="T531" s="79">
        <f>VLOOKUP(B531,'Player Data'!$A1:$AE667,8,FALSE)*$Q531*_xlfn.IFERROR((VLOOKUP(P531,'Settings'!$E$28:$F$33,2,FALSE)+1),1)</f>
        <v>7.42647074146074</v>
      </c>
      <c r="U531" s="79">
        <f>SUM(S531:T531)</f>
        <v>14.4158775192003</v>
      </c>
      <c r="V531" s="79">
        <f>VLOOKUP(B531,'Player Data'!$A1:$AE667,10,FALSE)*$Q531*_xlfn.IFERROR(((VLOOKUP(P531,'Settings'!$E$28:$F$33,2,FALSE)/2)+1),1)</f>
        <v>95.47984659574951</v>
      </c>
      <c r="W531" s="79">
        <f>VLOOKUP(B531,'Player Data'!$A1:$AE667,11,FALSE)*$Q531*_xlfn.IFERROR((VLOOKUP(P531,'Settings'!$E$28:$F$33,2,FALSE)+1),1)</f>
        <v>0.0319737433591751</v>
      </c>
      <c r="X531" s="79">
        <f>VLOOKUP(B531,'Player Data'!$A1:$AE667,12,FALSE)*$Q531*_xlfn.IFERROR((VLOOKUP(P531,'Settings'!$E$28:$F$33,2,FALSE)+1),1)</f>
        <v>0.07468013290904781</v>
      </c>
      <c r="Y531" s="79">
        <f>VLOOKUP(B531,'Player Data'!$A1:$AE667,13,FALSE)*$Q531</f>
        <v>1.26970096121743</v>
      </c>
      <c r="Z531" s="79">
        <f>VLOOKUP(B531,'Player Data'!$A1:$AE667,14,FALSE)*$Q531</f>
        <v>1.38914409146528</v>
      </c>
      <c r="AA531" s="79">
        <f>VLOOKUP(B531,'Player Data'!$A1:$AE667,15,FALSE)*$Q531</f>
        <v>48.2838474474679</v>
      </c>
      <c r="AB531" s="79">
        <f>VLOOKUP(B531,'Player Data'!$A1:$AE667,16,FALSE)*$Q531</f>
        <v>117.267645826704</v>
      </c>
      <c r="AC531" s="79">
        <f>VLOOKUP(B531,'Player Data'!$A1:$AE667,17,FALSE)*$Q531*_xlfn.IFERROR((VLOOKUP(P531,'Settings'!$E$28:$F$33,2,FALSE)+1),1)</f>
        <v>0.304574137008852</v>
      </c>
      <c r="AD531" s="79">
        <f>VLOOKUP(B531,'Player Data'!$A1:$AE667,18,FALSE)*$Q531</f>
        <v>18.4836558360616</v>
      </c>
      <c r="AE531" s="79">
        <f>VLOOKUP(B531,'Player Data'!$A1:$AE667,19,FALSE)*$Q531*_xlfn.IFERROR((VLOOKUP(P531,'Settings'!$E$28:$F$33,2,FALSE)+1),1)</f>
        <v>0.959943754503169</v>
      </c>
      <c r="AF531" s="79">
        <f>VLOOKUP(B531,'Player Data'!$A1:$AE667,20,FALSE)*$Q531</f>
        <v>62.6789416625693</v>
      </c>
      <c r="AG531" s="79">
        <f>VLOOKUP(B531,'Player Data'!$A1:$AE667,21,FALSE)*$Q531</f>
        <v>64.80362284217919</v>
      </c>
      <c r="AH531" s="81">
        <f>VLOOKUP(B531,'Player Data'!$A1:$AE667,22,FALSE)</f>
        <v>0.491666777382993</v>
      </c>
      <c r="AI531" s="77"/>
      <c r="AJ531" s="79"/>
      <c r="AK531" s="79"/>
      <c r="AL531" s="79"/>
      <c r="AM531" s="79"/>
      <c r="AN531" s="79"/>
      <c r="AO531" s="79"/>
      <c r="AP531" s="79"/>
      <c r="AQ531" s="82"/>
      <c r="AR531" s="83"/>
      <c r="AS531" s="84"/>
    </row>
    <row r="532" ht="21.25" customHeight="1">
      <c r="A532" s="85">
        <f>RANK(K532,K$1:K$665)</f>
        <v>532</v>
      </c>
      <c r="B532" t="s" s="16">
        <v>722</v>
      </c>
      <c r="C532" t="s" s="69">
        <v>127</v>
      </c>
      <c r="D532" t="s" s="70">
        <f>VLOOKUP(B532,'Player Data'!A1:D667,4,FALSE)</f>
        <v>140</v>
      </c>
      <c r="E532" s="90">
        <f>VLOOKUP(B532,'RW'!A1:F136,3,FALSE)</f>
        <v>109</v>
      </c>
      <c r="F532" t="s" s="92">
        <f>VLOOKUP(B532,'Player Data'!A1:B667,2,FALSE)</f>
        <v>170</v>
      </c>
      <c r="G532" s="96">
        <f>VLOOKUP(B532,'Player Data'!A1:D667,3,FALSE)</f>
        <v>23</v>
      </c>
      <c r="H532" s="94">
        <f>_xlfn.IFERROR(VLOOKUP(B532,'ADP'!A1:G665,7,FALSE)/1000000,VLOOKUP(B532,'ADP'!A1:G665,7,FALSE))</f>
        <v>2.4</v>
      </c>
      <c r="I532" s="74">
        <f>IF('Settings'!$E$15="POINTS",((R532*Q532)*'Settings'!$B$12)+(S532*'Settings'!$B$2)+(T532*'Settings'!$B$3)+(U532*'Settings'!$B$4)+(V532*'Settings'!$B$5)+(X532*'Settings'!$B$9)+(AA532*'Settings'!$B$6)+(W532*'Settings'!$B$8)+(AB532*'Settings'!$B$7)+(AC532*'Settings'!$B$14)+(AD532*'Settings'!$B$15)+(AE532*'Settings'!$B$16)+(AF532*'Settings'!$B$17)+(AG532*'Settings'!$B$18)+(Y532*'Settings'!$B$10)+(Z532*'Settings'!$B$11),VLOOKUP(B532,'Standard Deviations'!A1:C666,3,FALSE))</f>
        <v>163.491593926042</v>
      </c>
      <c r="J532" s="75">
        <f>IF(D532="G",I532/AJ532,I532/Q532)</f>
        <v>2.19739382313823</v>
      </c>
      <c r="K532" s="74">
        <f>IF('Settings'!$E$18="C/LW/RW",VLOOKUP(B532,'RW'!A1:F136,6,FALSE),VLOOKUP(B532,'F'!A1:F392,6,FALSE))</f>
        <v>-166.200300155136</v>
      </c>
      <c r="L532" s="76">
        <f>_xlfn.IFERROR(K532/H532,"N/A")</f>
        <v>-69.250125064640</v>
      </c>
      <c r="M532" s="109">
        <f>IF('Settings'!$E$9="YAHOO",VLOOKUP(B532,'ADP'!A1:E665,2,FALSE),IF('Settings'!$E$9="ESPN",VLOOKUP(B532,'ADP'!A1:E665,3,FALSE),IF('Settings'!$E$9="FANTRAX",VLOOKUP(B532,'ADP'!A1:E665,4,FALSE),VLOOKUP(B532,'ADP'!A1:E665,5,FALSE))))</f>
        <v>0</v>
      </c>
      <c r="N532" s="79">
        <f>_xlfn.IFERROR(M532-A532,"N/A")</f>
        <v>-532</v>
      </c>
      <c r="O532" s="77"/>
      <c r="P532" t="s" s="78">
        <f>IF('Settings'!$E$27="ON",VLOOKUP(B532,'ADP'!A1:H665,8,FALSE)," ")</f>
        <v>138</v>
      </c>
      <c r="Q532" s="79">
        <f>IF('Settings'!$E$12="YES",VLOOKUP(B532,'Player Data'!A1:E667,5,FALSE),82)</f>
        <v>74.4025</v>
      </c>
      <c r="R532" s="77">
        <f>VLOOKUP(B532,'Player Data'!$A1:$AE667,6,FALSE)</f>
        <v>14.2027660857726</v>
      </c>
      <c r="S532" s="79">
        <f>VLOOKUP(B532,'Player Data'!$A1:$AE667,7,FALSE)*$Q532*_xlfn.IFERROR((VLOOKUP(P532,'Settings'!$E$28:$F$33,2,FALSE)+1),1)</f>
        <v>18.0239643152749</v>
      </c>
      <c r="T532" s="79">
        <f>VLOOKUP(B532,'Player Data'!$A1:$AE667,8,FALSE)*$Q532*_xlfn.IFERROR((VLOOKUP(P532,'Settings'!$E$28:$F$33,2,FALSE)+1),1)</f>
        <v>17.5343490026082</v>
      </c>
      <c r="U532" s="79">
        <f>SUM(S532:T532)</f>
        <v>35.5583133178831</v>
      </c>
      <c r="V532" s="79">
        <f>VLOOKUP(B532,'Player Data'!$A1:$AE667,10,FALSE)*$Q532*_xlfn.IFERROR(((VLOOKUP(P532,'Settings'!$E$28:$F$33,2,FALSE)/2)+1),1)</f>
        <v>116.769580301924</v>
      </c>
      <c r="W532" s="79">
        <f>VLOOKUP(B532,'Player Data'!$A1:$AE667,11,FALSE)*$Q532*_xlfn.IFERROR((VLOOKUP(P532,'Settings'!$E$28:$F$33,2,FALSE)+1),1)</f>
        <v>1.3739789913238</v>
      </c>
      <c r="X532" s="79">
        <f>VLOOKUP(B532,'Player Data'!$A1:$AE667,12,FALSE)*$Q532*_xlfn.IFERROR((VLOOKUP(P532,'Settings'!$E$28:$F$33,2,FALSE)+1),1)</f>
        <v>3.35458732046749</v>
      </c>
      <c r="Y532" s="79">
        <f>VLOOKUP(B532,'Player Data'!$A1:$AE667,13,FALSE)*$Q532</f>
        <v>0.00318882634730964</v>
      </c>
      <c r="Z532" s="79">
        <f>VLOOKUP(B532,'Player Data'!$A1:$AE667,14,FALSE)*$Q532</f>
        <v>0.0054083102008697</v>
      </c>
      <c r="AA532" s="79">
        <f>VLOOKUP(B532,'Player Data'!$A1:$AE667,15,FALSE)*$Q532</f>
        <v>24.7448625393653</v>
      </c>
      <c r="AB532" s="79">
        <f>VLOOKUP(B532,'Player Data'!$A1:$AE667,16,FALSE)*$Q532</f>
        <v>38.1930208974422</v>
      </c>
      <c r="AC532" s="79">
        <f>VLOOKUP(B532,'Player Data'!$A1:$AE667,17,FALSE)*$Q532*_xlfn.IFERROR((VLOOKUP(P532,'Settings'!$E$28:$F$33,2,FALSE)+1),1)</f>
        <v>3.54427152411433</v>
      </c>
      <c r="AD532" s="79">
        <f>VLOOKUP(B532,'Player Data'!$A1:$AE667,18,FALSE)*$Q532</f>
        <v>21.2112828389314</v>
      </c>
      <c r="AE532" s="79">
        <f>VLOOKUP(B532,'Player Data'!$A1:$AE667,19,FALSE)*$Q532*_xlfn.IFERROR((VLOOKUP(P532,'Settings'!$E$28:$F$33,2,FALSE)+1),1)</f>
        <v>2.9461666355606</v>
      </c>
      <c r="AF532" s="79">
        <f>VLOOKUP(B532,'Player Data'!$A1:$AE667,20,FALSE)*$Q532</f>
        <v>7.64716218547283</v>
      </c>
      <c r="AG532" s="79">
        <f>VLOOKUP(B532,'Player Data'!$A1:$AE667,21,FALSE)*$Q532</f>
        <v>14.5040767926767</v>
      </c>
      <c r="AH532" s="81">
        <f>VLOOKUP(B532,'Player Data'!$A1:$AE667,22,FALSE)</f>
        <v>0.345225032018125</v>
      </c>
      <c r="AI532" s="77"/>
      <c r="AJ532" s="89"/>
      <c r="AK532" s="79"/>
      <c r="AL532" s="79"/>
      <c r="AM532" s="79"/>
      <c r="AN532" s="79"/>
      <c r="AO532" s="79"/>
      <c r="AP532" s="79"/>
      <c r="AQ532" s="82"/>
      <c r="AR532" s="83"/>
      <c r="AS532" s="84"/>
    </row>
    <row r="533" ht="21.25" customHeight="1">
      <c r="A533" s="85">
        <f>RANK(K533,K$1:K$665)</f>
        <v>553</v>
      </c>
      <c r="B533" t="s" s="16">
        <v>723</v>
      </c>
      <c r="C533" t="s" s="69">
        <v>127</v>
      </c>
      <c r="D533" t="s" s="70">
        <f>VLOOKUP(B533,'Player Data'!A1:D667,4,FALSE)</f>
        <v>128</v>
      </c>
      <c r="E533" s="71">
        <f>VLOOKUP(B533,'C'!A1:C206,3,FALSE)</f>
        <v>167</v>
      </c>
      <c r="F533" t="s" s="92">
        <f>VLOOKUP(B533,'Player Data'!A1:B667,2,FALSE)</f>
        <v>146</v>
      </c>
      <c r="G533" s="11">
        <f>VLOOKUP(B533,'Player Data'!A1:D667,3,FALSE)</f>
        <v>28</v>
      </c>
      <c r="H533" s="94">
        <f>_xlfn.IFERROR(VLOOKUP(B533,'ADP'!A1:G665,7,FALSE)/1000000,VLOOKUP(B533,'ADP'!A1:G665,7,FALSE))</f>
        <v>1.6</v>
      </c>
      <c r="I533" s="74">
        <f>IF('Settings'!$E$15="POINTS",((R533*Q533)*'Settings'!$B$12)+(S533*'Settings'!$B$2)+(T533*'Settings'!$B$3)+(U533*'Settings'!$B$4)+(V533*'Settings'!$B$5)+(X533*'Settings'!$B$9)+(AA533*'Settings'!$B$6)+(W533*'Settings'!$B$8)+(AB533*'Settings'!$B$7)+(AC533*'Settings'!$B$14)+(AD533*'Settings'!$B$15)+(AE533*'Settings'!$B$16)+(AF533*'Settings'!$B$17)+(AG533*'Settings'!$B$18)+(Y533*'Settings'!$B$10)+(Z533*'Settings'!$B$11),VLOOKUP(B533,'Standard Deviations'!A1:C666,3,FALSE))</f>
        <v>158.207323131312</v>
      </c>
      <c r="J533" s="75">
        <f>IF(D533="G",I533/AJ533,I533/Q533)</f>
        <v>2.00376572897615</v>
      </c>
      <c r="K533" s="74">
        <f>IF('Settings'!$E$18="C/LW/RW",VLOOKUP(B533,'C'!A1:F206,6,FALSE),VLOOKUP(B533,'F'!A1:F392,6,FALSE))</f>
        <v>-171.484570949866</v>
      </c>
      <c r="L533" s="76">
        <f>_xlfn.IFERROR(K533/H533,"N/A")</f>
        <v>-107.177856843666</v>
      </c>
      <c r="M533" s="109">
        <f>IF('Settings'!$E$9="YAHOO",VLOOKUP(B533,'ADP'!A1:E665,2,FALSE),IF('Settings'!$E$9="ESPN",VLOOKUP(B533,'ADP'!A1:E665,3,FALSE),IF('Settings'!$E$9="FANTRAX",VLOOKUP(B533,'ADP'!A1:E665,4,FALSE),VLOOKUP(B533,'ADP'!A1:E665,5,FALSE))))</f>
        <v>0</v>
      </c>
      <c r="N533" s="79">
        <f>_xlfn.IFERROR(M533-A533,"N/A")</f>
        <v>-553</v>
      </c>
      <c r="O533" s="77"/>
      <c r="P533" t="s" s="78">
        <f>IF('Settings'!$E$27="ON",VLOOKUP(B533,'ADP'!A1:H665,8,FALSE)," ")</f>
        <v>138</v>
      </c>
      <c r="Q533" s="79">
        <f>IF('Settings'!$E$12="YES",VLOOKUP(B533,'Player Data'!A1:E667,5,FALSE),82)</f>
        <v>78.955</v>
      </c>
      <c r="R533" s="77">
        <f>VLOOKUP(B533,'Player Data'!$A1:$AE667,6,FALSE)</f>
        <v>14.5022853004947</v>
      </c>
      <c r="S533" s="79">
        <f>VLOOKUP(B533,'Player Data'!$A1:$AE667,7,FALSE)*$Q533*_xlfn.IFERROR((VLOOKUP(P533,'Settings'!$E$28:$F$33,2,FALSE)+1),1)</f>
        <v>12.8854500500997</v>
      </c>
      <c r="T533" s="79">
        <f>VLOOKUP(B533,'Player Data'!$A1:$AE667,8,FALSE)*$Q533*_xlfn.IFERROR((VLOOKUP(P533,'Settings'!$E$28:$F$33,2,FALSE)+1),1)</f>
        <v>14.3421901179636</v>
      </c>
      <c r="U533" s="79">
        <f>SUM(S533:T533)</f>
        <v>27.2276401680633</v>
      </c>
      <c r="V533" s="79">
        <f>VLOOKUP(B533,'Player Data'!$A1:$AE667,10,FALSE)*$Q533*_xlfn.IFERROR(((VLOOKUP(P533,'Settings'!$E$28:$F$33,2,FALSE)/2)+1),1)</f>
        <v>119.291768649984</v>
      </c>
      <c r="W533" s="79">
        <f>VLOOKUP(B533,'Player Data'!$A1:$AE667,11,FALSE)*$Q533*_xlfn.IFERROR((VLOOKUP(P533,'Settings'!$E$28:$F$33,2,FALSE)+1),1)</f>
        <v>1.28801030279465</v>
      </c>
      <c r="X533" s="79">
        <f>VLOOKUP(B533,'Player Data'!$A1:$AE667,12,FALSE)*$Q533*_xlfn.IFERROR((VLOOKUP(P533,'Settings'!$E$28:$F$33,2,FALSE)+1),1)</f>
        <v>3.58040896878711</v>
      </c>
      <c r="Y533" s="79">
        <f>VLOOKUP(B533,'Player Data'!$A1:$AE667,13,FALSE)*$Q533</f>
        <v>0.733694933184671</v>
      </c>
      <c r="Z533" s="79">
        <f>VLOOKUP(B533,'Player Data'!$A1:$AE667,14,FALSE)*$Q533</f>
        <v>0.800650451611257</v>
      </c>
      <c r="AA533" s="79">
        <f>VLOOKUP(B533,'Player Data'!$A1:$AE667,15,FALSE)*$Q533</f>
        <v>30.8905390312008</v>
      </c>
      <c r="AB533" s="79">
        <f>VLOOKUP(B533,'Player Data'!$A1:$AE667,16,FALSE)*$Q533</f>
        <v>57.8022973894862</v>
      </c>
      <c r="AC533" s="79">
        <f>VLOOKUP(B533,'Player Data'!$A1:$AE667,17,FALSE)*$Q533*_xlfn.IFERROR((VLOOKUP(P533,'Settings'!$E$28:$F$33,2,FALSE)+1),1)</f>
        <v>5.61414866050386</v>
      </c>
      <c r="AD533" s="79">
        <f>VLOOKUP(B533,'Player Data'!$A1:$AE667,18,FALSE)*$Q533</f>
        <v>17.6193915790823</v>
      </c>
      <c r="AE533" s="79">
        <f>VLOOKUP(B533,'Player Data'!$A1:$AE667,19,FALSE)*$Q533*_xlfn.IFERROR((VLOOKUP(P533,'Settings'!$E$28:$F$33,2,FALSE)+1),1)</f>
        <v>2.20050246824329</v>
      </c>
      <c r="AF533" s="79">
        <f>VLOOKUP(B533,'Player Data'!$A1:$AE667,20,FALSE)*$Q533</f>
        <v>242.407433598907</v>
      </c>
      <c r="AG533" s="79">
        <f>VLOOKUP(B533,'Player Data'!$A1:$AE667,21,FALSE)*$Q533</f>
        <v>257.465700786398</v>
      </c>
      <c r="AH533" s="81">
        <f>VLOOKUP(B533,'Player Data'!$A1:$AE667,22,FALSE)</f>
        <v>0.484937911090172</v>
      </c>
      <c r="AI533" s="77"/>
      <c r="AJ533" s="89"/>
      <c r="AK533" s="79"/>
      <c r="AL533" s="79"/>
      <c r="AM533" s="79"/>
      <c r="AN533" s="79"/>
      <c r="AO533" s="79"/>
      <c r="AP533" s="79"/>
      <c r="AQ533" s="82"/>
      <c r="AR533" s="83"/>
      <c r="AS533" s="84"/>
    </row>
    <row r="534" ht="21.25" customHeight="1">
      <c r="A534" s="85">
        <f>RANK(K534,K$1:K$665)</f>
        <v>513</v>
      </c>
      <c r="B534" t="s" s="16">
        <v>724</v>
      </c>
      <c r="C534" t="s" s="69">
        <v>127</v>
      </c>
      <c r="D534" t="s" s="70">
        <f>VLOOKUP(B534,'Player Data'!A1:D667,4,FALSE)</f>
        <v>153</v>
      </c>
      <c r="E534" s="95">
        <f>VLOOKUP(B534,'D'!A1:C213,3,FALSE)</f>
        <v>172</v>
      </c>
      <c r="F534" t="s" s="104">
        <f>VLOOKUP(B534,'Player Data'!A1:B667,2,FALSE)</f>
        <v>271</v>
      </c>
      <c r="G534" s="91">
        <f>VLOOKUP(B534,'Player Data'!A1:D667,3,FALSE)</f>
        <v>39</v>
      </c>
      <c r="H534" s="94">
        <f>_xlfn.IFERROR(VLOOKUP(B534,'ADP'!A1:G665,7,FALSE)/1000000,VLOOKUP(B534,'ADP'!A1:G665,7,FALSE))</f>
        <v>0.775</v>
      </c>
      <c r="I534" s="74">
        <f>IF('Settings'!$E$15="POINTS",((R534*Q534)*'Settings'!$B$12)+(S534*'Settings'!$B$2)+(T534*'Settings'!$B$3)+(U534*'Settings'!$B$4)+(V534*'Settings'!$B$5)+(X534*'Settings'!$B$9)+(AA534*'Settings'!$B$6)+(W534*'Settings'!$B$8)+(AB534*'Settings'!$B$7)+(AC534*'Settings'!$B$14)+(AD534*'Settings'!$B$15)+(AE534*'Settings'!$B$16)+(AF534*'Settings'!$B$17)+(AG534*'Settings'!$B$18)+(U534*'Settings'!$B$13)+(Y534*'Settings'!$B$10)+(Z534*'Settings'!$B$11),VLOOKUP(B534,'Standard Deviations'!A1:C666,3,FALSE))</f>
        <v>169.655010585911</v>
      </c>
      <c r="J534" s="75">
        <f>IF(D534="G",I534/AJ534,I534/Q534)</f>
        <v>2.06820688267598</v>
      </c>
      <c r="K534" s="74">
        <f>VLOOKUP(B534,'D'!A1:F213,6,FALSE)</f>
        <v>-161.885197334171</v>
      </c>
      <c r="L534" s="76">
        <f>_xlfn.IFERROR(K534/H534,"N/A")</f>
        <v>-208.884125592479</v>
      </c>
      <c r="M534" s="109">
        <f>IF('Settings'!$E$9="YAHOO",VLOOKUP(B534,'ADP'!A1:E665,2,FALSE),IF('Settings'!$E$9="ESPN",VLOOKUP(B534,'ADP'!A1:E665,3,FALSE),IF('Settings'!$E$9="FANTRAX",VLOOKUP(B534,'ADP'!A1:E665,4,FALSE),VLOOKUP(B534,'ADP'!A1:E665,5,FALSE))))</f>
        <v>0</v>
      </c>
      <c r="N534" s="79">
        <f>_xlfn.IFERROR(M534-A534,"N/A")</f>
        <v>-513</v>
      </c>
      <c r="O534" s="77"/>
      <c r="P534" t="s" s="78">
        <f>IF('Settings'!$E$27="ON",VLOOKUP(B534,'ADP'!A1:H665,8,FALSE)," ")</f>
        <v>138</v>
      </c>
      <c r="Q534" s="79">
        <f>IF('Settings'!$E$12="YES",VLOOKUP(B534,'Player Data'!A1:E667,5,FALSE),82)</f>
        <v>82.03</v>
      </c>
      <c r="R534" s="108">
        <f>VLOOKUP(B534,'Player Data'!$A1:$AE667,6,FALSE)</f>
        <v>17.2305280483373</v>
      </c>
      <c r="S534" s="79">
        <f>VLOOKUP(B534,'Player Data'!$A1:$AE667,7,FALSE)*$Q534*_xlfn.IFERROR((VLOOKUP(P534,'Settings'!$E$28:$F$33,2,FALSE)+1),1)</f>
        <v>1.61846671954693</v>
      </c>
      <c r="T534" s="79">
        <f>VLOOKUP(B534,'Player Data'!$A1:$AE667,8,FALSE)*$Q534*_xlfn.IFERROR((VLOOKUP(P534,'Settings'!$E$28:$F$33,2,FALSE)+1),1)</f>
        <v>13.1381920823355</v>
      </c>
      <c r="U534" s="79">
        <f>SUM(S534:T534)</f>
        <v>14.7566588018824</v>
      </c>
      <c r="V534" s="79">
        <f>VLOOKUP(B534,'Player Data'!$A1:$AE667,10,FALSE)*$Q534*_xlfn.IFERROR(((VLOOKUP(P534,'Settings'!$E$28:$F$33,2,FALSE)/2)+1),1)</f>
        <v>79.9250648252285</v>
      </c>
      <c r="W534" s="79">
        <f>VLOOKUP(B534,'Player Data'!$A1:$AE667,11,FALSE)*$Q534*_xlfn.IFERROR((VLOOKUP(P534,'Settings'!$E$28:$F$33,2,FALSE)+1),1)</f>
        <v>0.0266932016792848</v>
      </c>
      <c r="X534" s="79">
        <f>VLOOKUP(B534,'Player Data'!$A1:$AE667,12,FALSE)*$Q534*_xlfn.IFERROR((VLOOKUP(P534,'Settings'!$E$28:$F$33,2,FALSE)+1),1)</f>
        <v>0.182260050760475</v>
      </c>
      <c r="Y534" s="79">
        <f>VLOOKUP(B534,'Player Data'!$A1:$AE667,13,FALSE)*$Q534</f>
        <v>0.00466910940599766</v>
      </c>
      <c r="Z534" s="79">
        <f>VLOOKUP(B534,'Player Data'!$A1:$AE667,14,FALSE)*$Q534</f>
        <v>0.22207247948523</v>
      </c>
      <c r="AA534" s="79">
        <f>VLOOKUP(B534,'Player Data'!$A1:$AE667,15,FALSE)*$Q534</f>
        <v>99.5070508264145</v>
      </c>
      <c r="AB534" s="79">
        <f>VLOOKUP(B534,'Player Data'!$A1:$AE667,16,FALSE)*$Q534</f>
        <v>81.39030673372579</v>
      </c>
      <c r="AC534" s="79">
        <f>VLOOKUP(B534,'Player Data'!$A1:$AE667,17,FALSE)*$Q534*_xlfn.IFERROR((VLOOKUP(P534,'Settings'!$E$28:$F$33,2,FALSE)+1),1)</f>
        <v>4.98363554212814</v>
      </c>
      <c r="AD534" s="79">
        <f>VLOOKUP(B534,'Player Data'!$A1:$AE667,18,FALSE)*$Q534</f>
        <v>27.4102783526699</v>
      </c>
      <c r="AE534" s="79">
        <f>VLOOKUP(B534,'Player Data'!$A1:$AE667,19,FALSE)*$Q534*_xlfn.IFERROR((VLOOKUP(P534,'Settings'!$E$28:$F$33,2,FALSE)+1),1)</f>
        <v>0.194853833307825</v>
      </c>
      <c r="AF534" s="79">
        <f>VLOOKUP(B534,'Player Data'!$A1:$AE667,20,FALSE)*$Q534</f>
        <v>0</v>
      </c>
      <c r="AG534" s="79">
        <f>VLOOKUP(B534,'Player Data'!$A1:$AE667,21,FALSE)*$Q534</f>
        <v>0</v>
      </c>
      <c r="AH534" s="81">
        <f>VLOOKUP(B534,'Player Data'!$A1:$AE667,22,FALSE)</f>
        <v>0</v>
      </c>
      <c r="AI534" s="77"/>
      <c r="AJ534" s="89"/>
      <c r="AK534" s="79"/>
      <c r="AL534" s="79"/>
      <c r="AM534" s="79"/>
      <c r="AN534" s="79"/>
      <c r="AO534" s="79"/>
      <c r="AP534" s="79"/>
      <c r="AQ534" s="82"/>
      <c r="AR534" s="83"/>
      <c r="AS534" s="84"/>
    </row>
    <row r="535" ht="21.25" customHeight="1">
      <c r="A535" s="85">
        <f>RANK(K535,K$1:K$665)</f>
        <v>544</v>
      </c>
      <c r="B535" t="s" s="16">
        <v>725</v>
      </c>
      <c r="C535" t="s" s="69">
        <v>127</v>
      </c>
      <c r="D535" t="s" s="70">
        <f>VLOOKUP(B535,'Player Data'!A1:D667,4,FALSE)</f>
        <v>178</v>
      </c>
      <c r="E535" s="102">
        <f>VLOOKUP(B535,'LW'!A1:C152,3,FALSE)</f>
        <v>122</v>
      </c>
      <c r="F535" t="s" s="106">
        <f>VLOOKUP(B535,'Player Data'!A1:B667,2,FALSE)</f>
        <v>242</v>
      </c>
      <c r="G535" s="11">
        <f>VLOOKUP(B535,'Player Data'!A1:D667,3,FALSE)</f>
        <v>25</v>
      </c>
      <c r="H535" s="94">
        <f>_xlfn.IFERROR(VLOOKUP(B535,'ADP'!A1:G665,7,FALSE)/1000000,VLOOKUP(B535,'ADP'!A1:G665,7,FALSE))</f>
        <v>2.625</v>
      </c>
      <c r="I535" s="74">
        <f>IF('Settings'!$E$15="POINTS",((R535*Q535)*'Settings'!$B$12)+(S535*'Settings'!$B$2)+(T535*'Settings'!$B$3)+(U535*'Settings'!$B$4)+(V535*'Settings'!$B$5)+(X535*'Settings'!$B$9)+(AA535*'Settings'!$B$6)+(W535*'Settings'!$B$8)+(AB535*'Settings'!$B$7)+(AC535*'Settings'!$B$14)+(AD535*'Settings'!$B$15)+(AE535*'Settings'!$B$16)+(AF535*'Settings'!$B$17)+(AG535*'Settings'!$B$18)+(Y535*'Settings'!$B$10)+(Z535*'Settings'!$B$11),VLOOKUP(B535,'Standard Deviations'!A1:C666,3,FALSE))</f>
        <v>162.592818160042</v>
      </c>
      <c r="J535" s="75">
        <f>IF(D535="G",I535/AJ535,I535/Q535)</f>
        <v>2.14934820265101</v>
      </c>
      <c r="K535" s="74">
        <f>IF('Settings'!$E$18="C/LW/RW",VLOOKUP(B535,'LW'!A1:F152,6,FALSE),VLOOKUP(B535,'F'!A1:F392,6,FALSE))</f>
        <v>-169.127293606170</v>
      </c>
      <c r="L535" s="76">
        <f>_xlfn.IFERROR(K535/H535,"N/A")</f>
        <v>-64.4294451833029</v>
      </c>
      <c r="M535" s="109">
        <f>IF('Settings'!$E$9="YAHOO",VLOOKUP(B535,'ADP'!A1:E665,2,FALSE),IF('Settings'!$E$9="ESPN",VLOOKUP(B535,'ADP'!A1:E665,3,FALSE),IF('Settings'!$E$9="FANTRAX",VLOOKUP(B535,'ADP'!A1:E665,4,FALSE),VLOOKUP(B535,'ADP'!A1:E665,5,FALSE))))</f>
        <v>0</v>
      </c>
      <c r="N535" s="79">
        <f>_xlfn.IFERROR(M535-A535,"N/A")</f>
        <v>-544</v>
      </c>
      <c r="O535" s="77"/>
      <c r="P535" t="s" s="78">
        <f>IF('Settings'!$E$27="ON",VLOOKUP(B535,'ADP'!A1:H665,8,FALSE)," ")</f>
        <v>138</v>
      </c>
      <c r="Q535" s="79">
        <f>IF('Settings'!$E$12="YES",VLOOKUP(B535,'Player Data'!A1:E667,5,FALSE),82)</f>
        <v>75.64749999999999</v>
      </c>
      <c r="R535" s="77">
        <f>VLOOKUP(B535,'Player Data'!$A1:$AE667,6,FALSE)</f>
        <v>14.0755368639855</v>
      </c>
      <c r="S535" s="79">
        <f>VLOOKUP(B535,'Player Data'!$A1:$AE667,7,FALSE)*$Q535*_xlfn.IFERROR((VLOOKUP(P535,'Settings'!$E$28:$F$33,2,FALSE)+1),1)</f>
        <v>9.305453564984051</v>
      </c>
      <c r="T535" s="79">
        <f>VLOOKUP(B535,'Player Data'!$A1:$AE667,8,FALSE)*$Q535*_xlfn.IFERROR((VLOOKUP(P535,'Settings'!$E$28:$F$33,2,FALSE)+1),1)</f>
        <v>16.645538825476</v>
      </c>
      <c r="U535" s="79">
        <f>SUM(S535:T535)</f>
        <v>25.9509923904601</v>
      </c>
      <c r="V535" s="79">
        <f>VLOOKUP(B535,'Player Data'!$A1:$AE667,10,FALSE)*$Q535*_xlfn.IFERROR(((VLOOKUP(P535,'Settings'!$E$28:$F$33,2,FALSE)/2)+1),1)</f>
        <v>97.20207891477941</v>
      </c>
      <c r="W535" s="79">
        <f>VLOOKUP(B535,'Player Data'!$A1:$AE667,11,FALSE)*$Q535*_xlfn.IFERROR((VLOOKUP(P535,'Settings'!$E$28:$F$33,2,FALSE)+1),1)</f>
        <v>0.315064488285169</v>
      </c>
      <c r="X535" s="79">
        <f>VLOOKUP(B535,'Player Data'!$A1:$AE667,12,FALSE)*$Q535*_xlfn.IFERROR((VLOOKUP(P535,'Settings'!$E$28:$F$33,2,FALSE)+1),1)</f>
        <v>0.74663558994551</v>
      </c>
      <c r="Y535" s="79">
        <f>VLOOKUP(B535,'Player Data'!$A1:$AE667,13,FALSE)*$Q535</f>
        <v>0.457550701520587</v>
      </c>
      <c r="Z535" s="79">
        <f>VLOOKUP(B535,'Player Data'!$A1:$AE667,14,FALSE)*$Q535</f>
        <v>1.9846447322407</v>
      </c>
      <c r="AA535" s="79">
        <f>VLOOKUP(B535,'Player Data'!$A1:$AE667,15,FALSE)*$Q535</f>
        <v>46.7738583621998</v>
      </c>
      <c r="AB535" s="79">
        <f>VLOOKUP(B535,'Player Data'!$A1:$AE667,16,FALSE)*$Q535</f>
        <v>70.3763490913892</v>
      </c>
      <c r="AC535" s="79">
        <f>VLOOKUP(B535,'Player Data'!$A1:$AE667,17,FALSE)*$Q535*_xlfn.IFERROR((VLOOKUP(P535,'Settings'!$E$28:$F$33,2,FALSE)+1),1)</f>
        <v>-1.53051171356077</v>
      </c>
      <c r="AD535" s="79">
        <f>VLOOKUP(B535,'Player Data'!$A1:$AE667,18,FALSE)*$Q535</f>
        <v>11.6017450009445</v>
      </c>
      <c r="AE535" s="79">
        <f>VLOOKUP(B535,'Player Data'!$A1:$AE667,19,FALSE)*$Q535*_xlfn.IFERROR((VLOOKUP(P535,'Settings'!$E$28:$F$33,2,FALSE)+1),1)</f>
        <v>1.34882109281623</v>
      </c>
      <c r="AF535" s="79">
        <f>VLOOKUP(B535,'Player Data'!$A1:$AE667,20,FALSE)*$Q535</f>
        <v>197.026101652636</v>
      </c>
      <c r="AG535" s="79">
        <f>VLOOKUP(B535,'Player Data'!$A1:$AE667,21,FALSE)*$Q535</f>
        <v>307.274801735154</v>
      </c>
      <c r="AH535" s="81">
        <f>VLOOKUP(B535,'Player Data'!$A1:$AE667,22,FALSE)</f>
        <v>0.390691550082611</v>
      </c>
      <c r="AI535" s="77"/>
      <c r="AJ535" s="89"/>
      <c r="AK535" s="79"/>
      <c r="AL535" s="79"/>
      <c r="AM535" s="79"/>
      <c r="AN535" s="79"/>
      <c r="AO535" s="79"/>
      <c r="AP535" s="79"/>
      <c r="AQ535" s="82"/>
      <c r="AR535" s="83"/>
      <c r="AS535" s="84"/>
    </row>
    <row r="536" ht="21.25" customHeight="1">
      <c r="A536" s="85">
        <f>RANK(K536,K$1:K$665)</f>
        <v>536</v>
      </c>
      <c r="B536" t="s" s="16">
        <v>726</v>
      </c>
      <c r="C536" t="s" s="69">
        <v>127</v>
      </c>
      <c r="D536" t="s" s="70">
        <f>VLOOKUP(B536,'Player Data'!A1:D667,4,FALSE)</f>
        <v>140</v>
      </c>
      <c r="E536" s="90">
        <f>VLOOKUP(B536,'RW'!A1:F136,3,FALSE)</f>
        <v>110</v>
      </c>
      <c r="F536" t="s" s="86">
        <f>VLOOKUP(B536,'Player Data'!A1:B667,2,FALSE)</f>
        <v>154</v>
      </c>
      <c r="G536" s="11">
        <f>VLOOKUP(B536,'Player Data'!A1:D667,3,FALSE)</f>
        <v>28</v>
      </c>
      <c r="H536" s="94">
        <f>_xlfn.IFERROR(VLOOKUP(B536,'ADP'!A1:G665,7,FALSE)/1000000,VLOOKUP(B536,'ADP'!A1:G665,7,FALSE))</f>
        <v>1.5</v>
      </c>
      <c r="I536" s="74">
        <f>IF('Settings'!$E$15="POINTS",((R536*Q536)*'Settings'!$B$12)+(S536*'Settings'!$B$2)+(T536*'Settings'!$B$3)+(U536*'Settings'!$B$4)+(V536*'Settings'!$B$5)+(X536*'Settings'!$B$9)+(AA536*'Settings'!$B$6)+(W536*'Settings'!$B$8)+(AB536*'Settings'!$B$7)+(AC536*'Settings'!$B$14)+(AD536*'Settings'!$B$15)+(AE536*'Settings'!$B$16)+(AF536*'Settings'!$B$17)+(AG536*'Settings'!$B$18)+(Y536*'Settings'!$B$10)+(Z536*'Settings'!$B$11),VLOOKUP(B536,'Standard Deviations'!A1:C666,3,FALSE))</f>
        <v>162.511684631443</v>
      </c>
      <c r="J536" s="75">
        <f>IF(D536="G",I536/AJ536,I536/Q536)</f>
        <v>2.21594252096735</v>
      </c>
      <c r="K536" s="74">
        <f>IF('Settings'!$E$18="C/LW/RW",VLOOKUP(B536,'RW'!A1:F136,6,FALSE),VLOOKUP(B536,'F'!A1:F392,6,FALSE))</f>
        <v>-167.180209449735</v>
      </c>
      <c r="L536" s="76">
        <f>_xlfn.IFERROR(K536/H536,"N/A")</f>
        <v>-111.453472966490</v>
      </c>
      <c r="M536" s="109">
        <f>IF('Settings'!$E$9="YAHOO",VLOOKUP(B536,'ADP'!A1:E665,2,FALSE),IF('Settings'!$E$9="ESPN",VLOOKUP(B536,'ADP'!A1:E665,3,FALSE),IF('Settings'!$E$9="FANTRAX",VLOOKUP(B536,'ADP'!A1:E665,4,FALSE),VLOOKUP(B536,'ADP'!A1:E665,5,FALSE))))</f>
        <v>0</v>
      </c>
      <c r="N536" s="79">
        <f>_xlfn.IFERROR(M536-A536,"N/A")</f>
        <v>-536</v>
      </c>
      <c r="O536" s="77"/>
      <c r="P536" t="s" s="78">
        <f>IF('Settings'!$E$27="ON",VLOOKUP(B536,'ADP'!A1:H665,8,FALSE)," ")</f>
        <v>138</v>
      </c>
      <c r="Q536" s="79">
        <f>IF('Settings'!$E$12="YES",VLOOKUP(B536,'Player Data'!A1:E667,5,FALSE),82)</f>
        <v>73.33750000000001</v>
      </c>
      <c r="R536" s="108">
        <f>VLOOKUP(B536,'Player Data'!$A1:$AE667,6,FALSE)</f>
        <v>10.8976601456755</v>
      </c>
      <c r="S536" s="79">
        <f>VLOOKUP(B536,'Player Data'!$A1:$AE667,7,FALSE)*$Q536*_xlfn.IFERROR((VLOOKUP(P536,'Settings'!$E$28:$F$33,2,FALSE)+1),1)</f>
        <v>5.94196254942725</v>
      </c>
      <c r="T536" s="79">
        <f>VLOOKUP(B536,'Player Data'!$A1:$AE667,8,FALSE)*$Q536*_xlfn.IFERROR((VLOOKUP(P536,'Settings'!$E$28:$F$33,2,FALSE)+1),1)</f>
        <v>9.19909508937782</v>
      </c>
      <c r="U536" s="79">
        <f>SUM(S536:T536)</f>
        <v>15.1410576388051</v>
      </c>
      <c r="V536" s="79">
        <f>VLOOKUP(B536,'Player Data'!$A1:$AE667,10,FALSE)*$Q536*_xlfn.IFERROR(((VLOOKUP(P536,'Settings'!$E$28:$F$33,2,FALSE)/2)+1),1)</f>
        <v>73.93123775149689</v>
      </c>
      <c r="W536" s="79">
        <f>VLOOKUP(B536,'Player Data'!$A1:$AE667,11,FALSE)*$Q536*_xlfn.IFERROR((VLOOKUP(P536,'Settings'!$E$28:$F$33,2,FALSE)+1),1)</f>
        <v>0.0498522028109052</v>
      </c>
      <c r="X536" s="79">
        <f>VLOOKUP(B536,'Player Data'!$A1:$AE667,12,FALSE)*$Q536*_xlfn.IFERROR((VLOOKUP(P536,'Settings'!$E$28:$F$33,2,FALSE)+1),1)</f>
        <v>0.117327119569291</v>
      </c>
      <c r="Y536" s="79">
        <f>VLOOKUP(B536,'Player Data'!$A1:$AE667,13,FALSE)*$Q536</f>
        <v>0.05616579839974</v>
      </c>
      <c r="Z536" s="79">
        <f>VLOOKUP(B536,'Player Data'!$A1:$AE667,14,FALSE)*$Q536</f>
        <v>0.09684047905924729</v>
      </c>
      <c r="AA536" s="79">
        <f>VLOOKUP(B536,'Player Data'!$A1:$AE667,15,FALSE)*$Q536</f>
        <v>26.0003882971753</v>
      </c>
      <c r="AB536" s="79">
        <f>VLOOKUP(B536,'Player Data'!$A1:$AE667,16,FALSE)*$Q536</f>
        <v>157.764781168769</v>
      </c>
      <c r="AC536" s="79">
        <f>VLOOKUP(B536,'Player Data'!$A1:$AE667,17,FALSE)*$Q536*_xlfn.IFERROR((VLOOKUP(P536,'Settings'!$E$28:$F$33,2,FALSE)+1),1)</f>
        <v>-1.41546927002958</v>
      </c>
      <c r="AD536" s="79">
        <f>VLOOKUP(B536,'Player Data'!$A1:$AE667,18,FALSE)*$Q536</f>
        <v>34.3064108802949</v>
      </c>
      <c r="AE536" s="79">
        <f>VLOOKUP(B536,'Player Data'!$A1:$AE667,19,FALSE)*$Q536*_xlfn.IFERROR((VLOOKUP(P536,'Settings'!$E$28:$F$33,2,FALSE)+1),1)</f>
        <v>0.840522902369266</v>
      </c>
      <c r="AF536" s="79">
        <f>VLOOKUP(B536,'Player Data'!$A1:$AE667,20,FALSE)*$Q536</f>
        <v>6.31819370441229</v>
      </c>
      <c r="AG536" s="79">
        <f>VLOOKUP(B536,'Player Data'!$A1:$AE667,21,FALSE)*$Q536</f>
        <v>12.2364171269957</v>
      </c>
      <c r="AH536" s="81">
        <f>VLOOKUP(B536,'Player Data'!$A1:$AE667,22,FALSE)</f>
        <v>0.340518794051842</v>
      </c>
      <c r="AI536" s="77"/>
      <c r="AJ536" s="79"/>
      <c r="AK536" s="79"/>
      <c r="AL536" s="79"/>
      <c r="AM536" s="79"/>
      <c r="AN536" s="79"/>
      <c r="AO536" s="79"/>
      <c r="AP536" s="79"/>
      <c r="AQ536" s="82"/>
      <c r="AR536" s="83"/>
      <c r="AS536" s="84"/>
    </row>
    <row r="537" ht="21.25" customHeight="1">
      <c r="A537" s="85">
        <f>RANK(K537,K$1:K$665)</f>
        <v>514</v>
      </c>
      <c r="B537" t="s" s="16">
        <v>727</v>
      </c>
      <c r="C537" t="s" s="69">
        <v>127</v>
      </c>
      <c r="D537" t="s" s="70">
        <f>VLOOKUP(B537,'Player Data'!A1:D667,4,FALSE)</f>
        <v>153</v>
      </c>
      <c r="E537" s="95">
        <f>VLOOKUP(B537,'D'!A1:C213,3,FALSE)</f>
        <v>173</v>
      </c>
      <c r="F537" t="s" s="78">
        <f>VLOOKUP(B537,'Player Data'!A1:B667,2,FALSE)</f>
        <v>261</v>
      </c>
      <c r="G537" s="11">
        <f>VLOOKUP(B537,'Player Data'!A1:D667,3,FALSE)</f>
        <v>25</v>
      </c>
      <c r="H537" s="73">
        <f>_xlfn.IFERROR(VLOOKUP(B537,'ADP'!A1:G665,7,FALSE)/1000000,VLOOKUP(B537,'ADP'!A1:G665,7,FALSE))</f>
        <v>2</v>
      </c>
      <c r="I537" s="74">
        <f>IF('Settings'!$E$15="POINTS",((R537*Q537)*'Settings'!$B$12)+(S537*'Settings'!$B$2)+(T537*'Settings'!$B$3)+(U537*'Settings'!$B$4)+(V537*'Settings'!$B$5)+(X537*'Settings'!$B$9)+(AA537*'Settings'!$B$6)+(W537*'Settings'!$B$8)+(AB537*'Settings'!$B$7)+(AC537*'Settings'!$B$14)+(AD537*'Settings'!$B$15)+(AE537*'Settings'!$B$16)+(AF537*'Settings'!$B$17)+(AG537*'Settings'!$B$18)+(U537*'Settings'!$B$13)+(Y537*'Settings'!$B$10)+(Z537*'Settings'!$B$11),VLOOKUP(B537,'Standard Deviations'!A1:C666,3,FALSE))</f>
        <v>168.9874891181</v>
      </c>
      <c r="J537" s="75">
        <f>IF(D537="G",I537/AJ537,I537/Q537)</f>
        <v>2.35703311413767</v>
      </c>
      <c r="K537" s="74">
        <f>VLOOKUP(B537,'D'!A1:F213,6,FALSE)</f>
        <v>-162.552718801982</v>
      </c>
      <c r="L537" s="76">
        <f>_xlfn.IFERROR(K537/H537,"N/A")</f>
        <v>-81.276359400991</v>
      </c>
      <c r="M537" s="109">
        <f>IF('Settings'!$E$9="YAHOO",VLOOKUP(B537,'ADP'!A1:E665,2,FALSE),IF('Settings'!$E$9="ESPN",VLOOKUP(B537,'ADP'!A1:E665,3,FALSE),IF('Settings'!$E$9="FANTRAX",VLOOKUP(B537,'ADP'!A1:E665,4,FALSE),VLOOKUP(B537,'ADP'!A1:E665,5,FALSE))))</f>
        <v>0</v>
      </c>
      <c r="N537" s="79">
        <f>_xlfn.IFERROR(M537-A537,"N/A")</f>
        <v>-514</v>
      </c>
      <c r="O537" s="77"/>
      <c r="P537" t="s" s="78">
        <f>IF('Settings'!$E$27="ON",VLOOKUP(B537,'ADP'!A1:H665,8,FALSE)," ")</f>
        <v>138</v>
      </c>
      <c r="Q537" s="79">
        <f>IF('Settings'!$E$12="YES",VLOOKUP(B537,'Player Data'!A1:E667,5,FALSE),82)</f>
        <v>71.69499999999999</v>
      </c>
      <c r="R537" s="108">
        <f>VLOOKUP(B537,'Player Data'!$A1:$AE667,6,FALSE)</f>
        <v>17.4938172103403</v>
      </c>
      <c r="S537" s="79">
        <f>VLOOKUP(B537,'Player Data'!$A1:$AE667,7,FALSE)*$Q537*_xlfn.IFERROR((VLOOKUP(P537,'Settings'!$E$28:$F$33,2,FALSE)+1),1)</f>
        <v>2.7367472997318</v>
      </c>
      <c r="T537" s="79">
        <f>VLOOKUP(B537,'Player Data'!$A1:$AE667,8,FALSE)*$Q537*_xlfn.IFERROR((VLOOKUP(P537,'Settings'!$E$28:$F$33,2,FALSE)+1),1)</f>
        <v>16.0234353527044</v>
      </c>
      <c r="U537" s="79">
        <f>SUM(S537:T537)</f>
        <v>18.7601826524362</v>
      </c>
      <c r="V537" s="79">
        <f>VLOOKUP(B537,'Player Data'!$A1:$AE667,10,FALSE)*$Q537*_xlfn.IFERROR(((VLOOKUP(P537,'Settings'!$E$28:$F$33,2,FALSE)/2)+1),1)</f>
        <v>73.4348164403994</v>
      </c>
      <c r="W537" s="79">
        <f>VLOOKUP(B537,'Player Data'!$A1:$AE667,11,FALSE)*$Q537*_xlfn.IFERROR((VLOOKUP(P537,'Settings'!$E$28:$F$33,2,FALSE)+1),1)</f>
        <v>0.138265414778226</v>
      </c>
      <c r="X537" s="79">
        <f>VLOOKUP(B537,'Player Data'!$A1:$AE667,12,FALSE)*$Q537*_xlfn.IFERROR((VLOOKUP(P537,'Settings'!$E$28:$F$33,2,FALSE)+1),1)</f>
        <v>1.95185659673341</v>
      </c>
      <c r="Y537" s="79">
        <f>VLOOKUP(B537,'Player Data'!$A1:$AE667,13,FALSE)*$Q537</f>
        <v>0.0192054910778048</v>
      </c>
      <c r="Z537" s="79">
        <f>VLOOKUP(B537,'Player Data'!$A1:$AE667,14,FALSE)*$Q537</f>
        <v>0.09412108903149299</v>
      </c>
      <c r="AA537" s="79">
        <f>VLOOKUP(B537,'Player Data'!$A1:$AE667,15,FALSE)*$Q537</f>
        <v>93.2222861015631</v>
      </c>
      <c r="AB537" s="79">
        <f>VLOOKUP(B537,'Player Data'!$A1:$AE667,16,FALSE)*$Q537</f>
        <v>72.7309329192191</v>
      </c>
      <c r="AC537" s="79">
        <f>VLOOKUP(B537,'Player Data'!$A1:$AE667,17,FALSE)*$Q537*_xlfn.IFERROR((VLOOKUP(P537,'Settings'!$E$28:$F$33,2,FALSE)+1),1)</f>
        <v>1.86038085189504</v>
      </c>
      <c r="AD537" s="79">
        <f>VLOOKUP(B537,'Player Data'!$A1:$AE667,18,FALSE)*$Q537</f>
        <v>28.5589680095303</v>
      </c>
      <c r="AE537" s="79">
        <f>VLOOKUP(B537,'Player Data'!$A1:$AE667,19,FALSE)*$Q537*_xlfn.IFERROR((VLOOKUP(P537,'Settings'!$E$28:$F$33,2,FALSE)+1),1)</f>
        <v>0.400466570733764</v>
      </c>
      <c r="AF537" s="79">
        <f>VLOOKUP(B537,'Player Data'!$A1:$AE667,20,FALSE)*$Q537</f>
        <v>0</v>
      </c>
      <c r="AG537" s="79">
        <f>VLOOKUP(B537,'Player Data'!$A1:$AE667,21,FALSE)*$Q537</f>
        <v>0</v>
      </c>
      <c r="AH537" s="81">
        <f>VLOOKUP(B537,'Player Data'!$A1:$AE667,22,FALSE)</f>
        <v>0</v>
      </c>
      <c r="AI537" s="77"/>
      <c r="AJ537" s="89"/>
      <c r="AK537" s="79"/>
      <c r="AL537" s="79"/>
      <c r="AM537" s="79"/>
      <c r="AN537" s="79"/>
      <c r="AO537" s="79"/>
      <c r="AP537" s="79"/>
      <c r="AQ537" s="82"/>
      <c r="AR537" s="83"/>
      <c r="AS537" s="84"/>
    </row>
    <row r="538" ht="21.25" customHeight="1">
      <c r="A538" s="85">
        <f>RANK(K538,K$1:K$665)</f>
        <v>557</v>
      </c>
      <c r="B538" t="s" s="16">
        <v>728</v>
      </c>
      <c r="C538" t="s" s="69">
        <v>127</v>
      </c>
      <c r="D538" t="s" s="70">
        <f>VLOOKUP(B538,'Player Data'!A1:D667,4,FALSE)</f>
        <v>128</v>
      </c>
      <c r="E538" s="71">
        <f>VLOOKUP(B538,'C'!A1:C206,3,FALSE)</f>
        <v>168</v>
      </c>
      <c r="F538" t="s" s="78">
        <f>VLOOKUP(B538,'Player Data'!A1:B667,2,FALSE)</f>
        <v>168</v>
      </c>
      <c r="G538" s="11">
        <f>VLOOKUP(B538,'Player Data'!A1:D667,3,FALSE)</f>
        <v>25</v>
      </c>
      <c r="H538" s="94">
        <f>_xlfn.IFERROR(VLOOKUP(B538,'ADP'!A1:G665,7,FALSE)/1000000,VLOOKUP(B538,'ADP'!A1:G665,7,FALSE))</f>
        <v>1.35</v>
      </c>
      <c r="I538" s="74">
        <f>IF('Settings'!$E$15="POINTS",((R538*Q538)*'Settings'!$B$12)+(S538*'Settings'!$B$2)+(T538*'Settings'!$B$3)+(U538*'Settings'!$B$4)+(V538*'Settings'!$B$5)+(X538*'Settings'!$B$9)+(AA538*'Settings'!$B$6)+(W538*'Settings'!$B$8)+(AB538*'Settings'!$B$7)+(AC538*'Settings'!$B$14)+(AD538*'Settings'!$B$15)+(AE538*'Settings'!$B$16)+(AF538*'Settings'!$B$17)+(AG538*'Settings'!$B$18)+(Y538*'Settings'!$B$10)+(Z538*'Settings'!$B$11),VLOOKUP(B538,'Standard Deviations'!A1:C666,3,FALSE))</f>
        <v>156.909889049767</v>
      </c>
      <c r="J538" s="75">
        <f>IF(D538="G",I538/AJ538,I538/Q538)</f>
        <v>2.10546647500526</v>
      </c>
      <c r="K538" s="74">
        <f>IF('Settings'!$E$18="C/LW/RW",VLOOKUP(B538,'C'!A1:F206,6,FALSE),VLOOKUP(B538,'F'!A1:F392,6,FALSE))</f>
        <v>-172.782005031411</v>
      </c>
      <c r="L538" s="76">
        <f>_xlfn.IFERROR(K538/H538,"N/A")</f>
        <v>-127.986670393638</v>
      </c>
      <c r="M538" s="109">
        <f>IF('Settings'!$E$9="YAHOO",VLOOKUP(B538,'ADP'!A1:E665,2,FALSE),IF('Settings'!$E$9="ESPN",VLOOKUP(B538,'ADP'!A1:E665,3,FALSE),IF('Settings'!$E$9="FANTRAX",VLOOKUP(B538,'ADP'!A1:E665,4,FALSE),VLOOKUP(B538,'ADP'!A1:E665,5,FALSE))))</f>
        <v>0</v>
      </c>
      <c r="N538" s="79">
        <f>_xlfn.IFERROR(M538-A538,"N/A")</f>
        <v>-557</v>
      </c>
      <c r="O538" s="77"/>
      <c r="P538" t="s" s="78">
        <f>IF('Settings'!$E$27="ON",VLOOKUP(B538,'ADP'!A1:H665,8,FALSE)," ")</f>
        <v>138</v>
      </c>
      <c r="Q538" s="79">
        <f>IF('Settings'!$E$12="YES",VLOOKUP(B538,'Player Data'!A1:E667,5,FALSE),82)</f>
        <v>74.52500000000001</v>
      </c>
      <c r="R538" s="77">
        <f>VLOOKUP(B538,'Player Data'!$A1:$AE667,6,FALSE)</f>
        <v>10.6407827511857</v>
      </c>
      <c r="S538" s="79">
        <f>VLOOKUP(B538,'Player Data'!$A1:$AE667,7,FALSE)*$Q538*_xlfn.IFERROR((VLOOKUP(P538,'Settings'!$E$28:$F$33,2,FALSE)+1),1)</f>
        <v>8.05761223532447</v>
      </c>
      <c r="T538" s="79">
        <f>VLOOKUP(B538,'Player Data'!$A1:$AE667,8,FALSE)*$Q538*_xlfn.IFERROR((VLOOKUP(P538,'Settings'!$E$28:$F$33,2,FALSE)+1),1)</f>
        <v>8.3621522572417</v>
      </c>
      <c r="U538" s="79">
        <f>SUM(S538:T538)</f>
        <v>16.4197644925662</v>
      </c>
      <c r="V538" s="79">
        <f>VLOOKUP(B538,'Player Data'!$A1:$AE667,10,FALSE)*$Q538*_xlfn.IFERROR(((VLOOKUP(P538,'Settings'!$E$28:$F$33,2,FALSE)/2)+1),1)</f>
        <v>89.30586242304901</v>
      </c>
      <c r="W538" s="79">
        <f>VLOOKUP(B538,'Player Data'!$A1:$AE667,11,FALSE)*$Q538*_xlfn.IFERROR((VLOOKUP(P538,'Settings'!$E$28:$F$33,2,FALSE)+1),1)</f>
        <v>0.0454100237959654</v>
      </c>
      <c r="X538" s="79">
        <f>VLOOKUP(B538,'Player Data'!$A1:$AE667,12,FALSE)*$Q538*_xlfn.IFERROR((VLOOKUP(P538,'Settings'!$E$28:$F$33,2,FALSE)+1),1)</f>
        <v>0.142518791502521</v>
      </c>
      <c r="Y538" s="79">
        <f>VLOOKUP(B538,'Player Data'!$A1:$AE667,13,FALSE)*$Q538</f>
        <v>0.154323561393756</v>
      </c>
      <c r="Z538" s="79">
        <f>VLOOKUP(B538,'Player Data'!$A1:$AE667,14,FALSE)*$Q538</f>
        <v>0.932041491896581</v>
      </c>
      <c r="AA538" s="79">
        <f>VLOOKUP(B538,'Player Data'!$A1:$AE667,15,FALSE)*$Q538</f>
        <v>40.4850935152558</v>
      </c>
      <c r="AB538" s="79">
        <f>VLOOKUP(B538,'Player Data'!$A1:$AE667,16,FALSE)*$Q538</f>
        <v>109.099178029911</v>
      </c>
      <c r="AC538" s="79">
        <f>VLOOKUP(B538,'Player Data'!$A1:$AE667,17,FALSE)*$Q538*_xlfn.IFERROR((VLOOKUP(P538,'Settings'!$E$28:$F$33,2,FALSE)+1),1)</f>
        <v>2.01203267050918</v>
      </c>
      <c r="AD538" s="79">
        <f>VLOOKUP(B538,'Player Data'!$A1:$AE667,18,FALSE)*$Q538</f>
        <v>23.0854995553567</v>
      </c>
      <c r="AE538" s="79">
        <f>VLOOKUP(B538,'Player Data'!$A1:$AE667,19,FALSE)*$Q538*_xlfn.IFERROR((VLOOKUP(P538,'Settings'!$E$28:$F$33,2,FALSE)+1),1)</f>
        <v>1.33938914647977</v>
      </c>
      <c r="AF538" s="79">
        <f>VLOOKUP(B538,'Player Data'!$A1:$AE667,20,FALSE)*$Q538</f>
        <v>51.3065183313499</v>
      </c>
      <c r="AG538" s="79">
        <f>VLOOKUP(B538,'Player Data'!$A1:$AE667,21,FALSE)*$Q538</f>
        <v>59.1241747097608</v>
      </c>
      <c r="AH538" s="81">
        <f>VLOOKUP(B538,'Player Data'!$A1:$AE667,22,FALSE)</f>
        <v>0.464603788298691</v>
      </c>
      <c r="AI538" s="77"/>
      <c r="AJ538" s="89"/>
      <c r="AK538" s="79"/>
      <c r="AL538" s="79"/>
      <c r="AM538" s="79"/>
      <c r="AN538" s="79"/>
      <c r="AO538" s="79"/>
      <c r="AP538" s="79"/>
      <c r="AQ538" s="82"/>
      <c r="AR538" s="83"/>
      <c r="AS538" s="84"/>
    </row>
    <row r="539" ht="21.25" customHeight="1">
      <c r="A539" s="85">
        <f>RANK(K539,K$1:K$665)</f>
        <v>558</v>
      </c>
      <c r="B539" t="s" s="16">
        <v>729</v>
      </c>
      <c r="C539" t="s" s="69">
        <v>127</v>
      </c>
      <c r="D539" t="s" s="70">
        <f>VLOOKUP(B539,'Player Data'!A1:D667,4,FALSE)</f>
        <v>128</v>
      </c>
      <c r="E539" s="71">
        <f>VLOOKUP(B539,'C'!A1:C206,3,FALSE)</f>
        <v>169</v>
      </c>
      <c r="F539" t="s" s="88">
        <f>VLOOKUP(B539,'Player Data'!A1:B667,2,FALSE)</f>
        <v>143</v>
      </c>
      <c r="G539" s="96">
        <f>VLOOKUP(B539,'Player Data'!A1:D667,3,FALSE)</f>
        <v>23</v>
      </c>
      <c r="H539" s="94">
        <f>_xlfn.IFERROR(VLOOKUP(B539,'ADP'!A1:G665,7,FALSE)/1000000,VLOOKUP(B539,'ADP'!A1:G665,7,FALSE))</f>
        <v>0.925</v>
      </c>
      <c r="I539" s="74">
        <f>IF('Settings'!$E$15="POINTS",((R539*Q539)*'Settings'!$B$12)+(S539*'Settings'!$B$2)+(T539*'Settings'!$B$3)+(U539*'Settings'!$B$4)+(V539*'Settings'!$B$5)+(X539*'Settings'!$B$9)+(AA539*'Settings'!$B$6)+(W539*'Settings'!$B$8)+(AB539*'Settings'!$B$7)+(AC539*'Settings'!$B$14)+(AD539*'Settings'!$B$15)+(AE539*'Settings'!$B$16)+(AF539*'Settings'!$B$17)+(AG539*'Settings'!$B$18)+(Y539*'Settings'!$B$10)+(Z539*'Settings'!$B$11),VLOOKUP(B539,'Standard Deviations'!A1:C666,3,FALSE))</f>
        <v>156.796380570825</v>
      </c>
      <c r="J539" s="75">
        <f>IF(D539="G",I539/AJ539,I539/Q539)</f>
        <v>2.25346910852005</v>
      </c>
      <c r="K539" s="74">
        <f>IF('Settings'!$E$18="C/LW/RW",VLOOKUP(B539,'C'!A1:F206,6,FALSE),VLOOKUP(B539,'F'!A1:F392,6,FALSE))</f>
        <v>-172.895513510353</v>
      </c>
      <c r="L539" s="76">
        <f>_xlfn.IFERROR(K539/H539,"N/A")</f>
        <v>-186.914068659841</v>
      </c>
      <c r="M539" s="109">
        <f>IF('Settings'!$E$9="YAHOO",VLOOKUP(B539,'ADP'!A1:E665,2,FALSE),IF('Settings'!$E$9="ESPN",VLOOKUP(B539,'ADP'!A1:E665,3,FALSE),IF('Settings'!$E$9="FANTRAX",VLOOKUP(B539,'ADP'!A1:E665,4,FALSE),VLOOKUP(B539,'ADP'!A1:E665,5,FALSE))))</f>
        <v>0</v>
      </c>
      <c r="N539" s="79">
        <f>_xlfn.IFERROR(M539-A539,"N/A")</f>
        <v>-558</v>
      </c>
      <c r="O539" s="77"/>
      <c r="P539" t="s" s="78">
        <f>IF('Settings'!$E$27="ON",VLOOKUP(B539,'ADP'!A1:H665,8,FALSE)," ")</f>
        <v>138</v>
      </c>
      <c r="Q539" s="79">
        <f>IF('Settings'!$E$12="YES",VLOOKUP(B539,'Player Data'!A1:E667,5,FALSE),82)</f>
        <v>69.58</v>
      </c>
      <c r="R539" s="77">
        <f>VLOOKUP(B539,'Player Data'!$A1:$AE667,6,FALSE)</f>
        <v>10.2468690983021</v>
      </c>
      <c r="S539" s="79">
        <f>VLOOKUP(B539,'Player Data'!$A1:$AE667,7,FALSE)*$Q539*_xlfn.IFERROR((VLOOKUP(P539,'Settings'!$E$28:$F$33,2,FALSE)+1),1)</f>
        <v>8.2559708950995</v>
      </c>
      <c r="T539" s="79">
        <f>VLOOKUP(B539,'Player Data'!$A1:$AE667,8,FALSE)*$Q539*_xlfn.IFERROR((VLOOKUP(P539,'Settings'!$E$28:$F$33,2,FALSE)+1),1)</f>
        <v>6.18138593447528</v>
      </c>
      <c r="U539" s="79">
        <f>SUM(S539:T539)</f>
        <v>14.4373568295748</v>
      </c>
      <c r="V539" s="79">
        <f>VLOOKUP(B539,'Player Data'!$A1:$AE667,10,FALSE)*$Q539*_xlfn.IFERROR(((VLOOKUP(P539,'Settings'!$E$28:$F$33,2,FALSE)/2)+1),1)</f>
        <v>55.6149028891632</v>
      </c>
      <c r="W539" s="79">
        <f>VLOOKUP(B539,'Player Data'!$A1:$AE667,11,FALSE)*$Q539*_xlfn.IFERROR((VLOOKUP(P539,'Settings'!$E$28:$F$33,2,FALSE)+1),1)</f>
        <v>0.0169956602709012</v>
      </c>
      <c r="X539" s="79">
        <f>VLOOKUP(B539,'Player Data'!$A1:$AE667,12,FALSE)*$Q539*_xlfn.IFERROR((VLOOKUP(P539,'Settings'!$E$28:$F$33,2,FALSE)+1),1)</f>
        <v>0.0399286238794251</v>
      </c>
      <c r="Y539" s="79">
        <f>VLOOKUP(B539,'Player Data'!$A1:$AE667,13,FALSE)*$Q539</f>
        <v>0.177620680478142</v>
      </c>
      <c r="Z539" s="79">
        <f>VLOOKUP(B539,'Player Data'!$A1:$AE667,14,FALSE)*$Q539</f>
        <v>0.305710790335917</v>
      </c>
      <c r="AA539" s="79">
        <f>VLOOKUP(B539,'Player Data'!$A1:$AE667,15,FALSE)*$Q539</f>
        <v>39.5489287624863</v>
      </c>
      <c r="AB539" s="79">
        <f>VLOOKUP(B539,'Player Data'!$A1:$AE667,16,FALSE)*$Q539</f>
        <v>130.660541907737</v>
      </c>
      <c r="AC539" s="79">
        <f>VLOOKUP(B539,'Player Data'!$A1:$AE667,17,FALSE)*$Q539*_xlfn.IFERROR((VLOOKUP(P539,'Settings'!$E$28:$F$33,2,FALSE)+1),1)</f>
        <v>0.83311314862859</v>
      </c>
      <c r="AD539" s="79">
        <f>VLOOKUP(B539,'Player Data'!$A1:$AE667,18,FALSE)*$Q539</f>
        <v>24.3857538536659</v>
      </c>
      <c r="AE539" s="79">
        <f>VLOOKUP(B539,'Player Data'!$A1:$AE667,19,FALSE)*$Q539*_xlfn.IFERROR((VLOOKUP(P539,'Settings'!$E$28:$F$33,2,FALSE)+1),1)</f>
        <v>1.28589816234301</v>
      </c>
      <c r="AF539" s="79">
        <f>VLOOKUP(B539,'Player Data'!$A1:$AE667,20,FALSE)*$Q539</f>
        <v>352.339232948504</v>
      </c>
      <c r="AG539" s="79">
        <f>VLOOKUP(B539,'Player Data'!$A1:$AE667,21,FALSE)*$Q539</f>
        <v>292.970717506631</v>
      </c>
      <c r="AH539" s="81">
        <f>VLOOKUP(B539,'Player Data'!$A1:$AE667,22,FALSE)</f>
        <v>0.546</v>
      </c>
      <c r="AI539" s="77"/>
      <c r="AJ539" s="89"/>
      <c r="AK539" s="79"/>
      <c r="AL539" s="79"/>
      <c r="AM539" s="79"/>
      <c r="AN539" s="79"/>
      <c r="AO539" s="79"/>
      <c r="AP539" s="79"/>
      <c r="AQ539" s="82"/>
      <c r="AR539" s="83"/>
      <c r="AS539" s="84"/>
    </row>
    <row r="540" ht="21.25" customHeight="1">
      <c r="A540" s="85">
        <f>RANK(K540,K$1:K$665)</f>
        <v>516</v>
      </c>
      <c r="B540" t="s" s="16">
        <v>730</v>
      </c>
      <c r="C540" t="s" s="69">
        <v>127</v>
      </c>
      <c r="D540" t="s" s="70">
        <f>VLOOKUP(B540,'Player Data'!A1:D667,4,FALSE)</f>
        <v>153</v>
      </c>
      <c r="E540" s="95">
        <f>VLOOKUP(B540,'D'!A1:C213,3,FALSE)</f>
        <v>174</v>
      </c>
      <c r="F540" t="s" s="78">
        <f>VLOOKUP(B540,'Player Data'!A1:B667,2,FALSE)</f>
        <v>168</v>
      </c>
      <c r="G540" s="91">
        <f>VLOOKUP(B540,'Player Data'!A1:D667,3,FALSE)</f>
        <v>31</v>
      </c>
      <c r="H540" s="73">
        <f>_xlfn.IFERROR(VLOOKUP(B540,'ADP'!A1:G665,7,FALSE)/1000000,VLOOKUP(B540,'ADP'!A1:G665,7,FALSE))</f>
        <v>1.5</v>
      </c>
      <c r="I540" s="74">
        <f>IF('Settings'!$E$15="POINTS",((R540*Q540)*'Settings'!$B$12)+(S540*'Settings'!$B$2)+(T540*'Settings'!$B$3)+(U540*'Settings'!$B$4)+(V540*'Settings'!$B$5)+(X540*'Settings'!$B$9)+(AA540*'Settings'!$B$6)+(W540*'Settings'!$B$8)+(AB540*'Settings'!$B$7)+(AC540*'Settings'!$B$14)+(AD540*'Settings'!$B$15)+(AE540*'Settings'!$B$16)+(AF540*'Settings'!$B$17)+(AG540*'Settings'!$B$18)+(U540*'Settings'!$B$13)+(Y540*'Settings'!$B$10)+(Z540*'Settings'!$B$11),VLOOKUP(B540,'Standard Deviations'!A1:C666,3,FALSE))</f>
        <v>168.721540693349</v>
      </c>
      <c r="J540" s="75">
        <f>IF(D540="G",I540/AJ540,I540/Q540)</f>
        <v>2.38214733956936</v>
      </c>
      <c r="K540" s="74">
        <f>VLOOKUP(B540,'D'!A1:F213,6,FALSE)</f>
        <v>-162.818667226733</v>
      </c>
      <c r="L540" s="76">
        <f>_xlfn.IFERROR(K540/H540,"N/A")</f>
        <v>-108.545778151155</v>
      </c>
      <c r="M540" s="109">
        <f>IF('Settings'!$E$9="YAHOO",VLOOKUP(B540,'ADP'!A1:E665,2,FALSE),IF('Settings'!$E$9="ESPN",VLOOKUP(B540,'ADP'!A1:E665,3,FALSE),IF('Settings'!$E$9="FANTRAX",VLOOKUP(B540,'ADP'!A1:E665,4,FALSE),VLOOKUP(B540,'ADP'!A1:E665,5,FALSE))))</f>
        <v>0</v>
      </c>
      <c r="N540" s="79">
        <f>_xlfn.IFERROR(M540-A540,"N/A")</f>
        <v>-516</v>
      </c>
      <c r="O540" s="77"/>
      <c r="P540" t="s" s="78">
        <f>IF('Settings'!$E$27="ON",VLOOKUP(B540,'ADP'!A1:H665,8,FALSE)," ")</f>
        <v>138</v>
      </c>
      <c r="Q540" s="79">
        <f>IF('Settings'!$E$12="YES",VLOOKUP(B540,'Player Data'!A1:E667,5,FALSE),82)</f>
        <v>70.8275</v>
      </c>
      <c r="R540" s="77">
        <f>VLOOKUP(B540,'Player Data'!$A1:$AE667,6,FALSE)</f>
        <v>15.7057735245926</v>
      </c>
      <c r="S540" s="79">
        <f>VLOOKUP(B540,'Player Data'!$A1:$AE667,7,FALSE)*$Q540*_xlfn.IFERROR((VLOOKUP(P540,'Settings'!$E$28:$F$33,2,FALSE)+1),1)</f>
        <v>4.10176256571328</v>
      </c>
      <c r="T540" s="79">
        <f>VLOOKUP(B540,'Player Data'!$A1:$AE667,8,FALSE)*$Q540*_xlfn.IFERROR((VLOOKUP(P540,'Settings'!$E$28:$F$33,2,FALSE)+1),1)</f>
        <v>11.0973117577486</v>
      </c>
      <c r="U540" s="79">
        <f>SUM(S540:T540)</f>
        <v>15.1990743234619</v>
      </c>
      <c r="V540" s="79">
        <f>VLOOKUP(B540,'Player Data'!$A1:$AE667,10,FALSE)*$Q540*_xlfn.IFERROR(((VLOOKUP(P540,'Settings'!$E$28:$F$33,2,FALSE)/2)+1),1)</f>
        <v>88.0484972482173</v>
      </c>
      <c r="W540" s="79">
        <f>VLOOKUP(B540,'Player Data'!$A1:$AE667,11,FALSE)*$Q540*_xlfn.IFERROR((VLOOKUP(P540,'Settings'!$E$28:$F$33,2,FALSE)+1),1)</f>
        <v>0.167108195699394</v>
      </c>
      <c r="X540" s="79">
        <f>VLOOKUP(B540,'Player Data'!$A1:$AE667,12,FALSE)*$Q540*_xlfn.IFERROR((VLOOKUP(P540,'Settings'!$E$28:$F$33,2,FALSE)+1),1)</f>
        <v>0.891822948537549</v>
      </c>
      <c r="Y540" s="79">
        <f>VLOOKUP(B540,'Player Data'!$A1:$AE667,13,FALSE)*$Q540</f>
        <v>0.0244563061441146</v>
      </c>
      <c r="Z540" s="79">
        <f>VLOOKUP(B540,'Player Data'!$A1:$AE667,14,FALSE)*$Q540</f>
        <v>0.122019028520078</v>
      </c>
      <c r="AA540" s="79">
        <f>VLOOKUP(B540,'Player Data'!$A1:$AE667,15,FALSE)*$Q540</f>
        <v>68.23120946171331</v>
      </c>
      <c r="AB540" s="79">
        <f>VLOOKUP(B540,'Player Data'!$A1:$AE667,16,FALSE)*$Q540</f>
        <v>110.237515477119</v>
      </c>
      <c r="AC540" s="79">
        <f>VLOOKUP(B540,'Player Data'!$A1:$AE667,17,FALSE)*$Q540*_xlfn.IFERROR((VLOOKUP(P540,'Settings'!$E$28:$F$33,2,FALSE)+1),1)</f>
        <v>0.917268419192151</v>
      </c>
      <c r="AD540" s="79">
        <f>VLOOKUP(B540,'Player Data'!$A1:$AE667,18,FALSE)*$Q540</f>
        <v>32.4448257142217</v>
      </c>
      <c r="AE540" s="79">
        <f>VLOOKUP(B540,'Player Data'!$A1:$AE667,19,FALSE)*$Q540*_xlfn.IFERROR((VLOOKUP(P540,'Settings'!$E$28:$F$33,2,FALSE)+1),1)</f>
        <v>0.681821872473386</v>
      </c>
      <c r="AF540" s="79">
        <f>VLOOKUP(B540,'Player Data'!$A1:$AE667,20,FALSE)*$Q540</f>
        <v>0</v>
      </c>
      <c r="AG540" s="79">
        <f>VLOOKUP(B540,'Player Data'!$A1:$AE667,21,FALSE)*$Q540</f>
        <v>0</v>
      </c>
      <c r="AH540" s="81">
        <f>VLOOKUP(B540,'Player Data'!$A1:$AE667,22,FALSE)</f>
        <v>0</v>
      </c>
      <c r="AI540" s="77"/>
      <c r="AJ540" s="79"/>
      <c r="AK540" s="79"/>
      <c r="AL540" s="79"/>
      <c r="AM540" s="79"/>
      <c r="AN540" s="79"/>
      <c r="AO540" s="79"/>
      <c r="AP540" s="79"/>
      <c r="AQ540" s="82"/>
      <c r="AR540" s="83"/>
      <c r="AS540" s="84"/>
    </row>
    <row r="541" ht="21.25" customHeight="1">
      <c r="A541" s="85">
        <f>RANK(K541,K$1:K$665)</f>
        <v>550</v>
      </c>
      <c r="B541" t="s" s="16">
        <v>731</v>
      </c>
      <c r="C541" t="s" s="69">
        <v>127</v>
      </c>
      <c r="D541" t="s" s="70">
        <f>VLOOKUP(B541,'Player Data'!A1:D667,4,FALSE)</f>
        <v>178</v>
      </c>
      <c r="E541" s="102">
        <f>VLOOKUP(B541,'LW'!A1:C152,3,FALSE)</f>
        <v>123</v>
      </c>
      <c r="F541" t="s" s="78">
        <f>VLOOKUP(B541,'Player Data'!A1:B667,2,FALSE)</f>
        <v>216</v>
      </c>
      <c r="G541" s="11">
        <f>VLOOKUP(B541,'Player Data'!A1:D667,3,FALSE)</f>
        <v>29</v>
      </c>
      <c r="H541" s="94">
        <f>_xlfn.IFERROR(VLOOKUP(B541,'ADP'!A1:G665,7,FALSE)/1000000,VLOOKUP(B541,'ADP'!A1:G665,7,FALSE))</f>
        <v>1.075</v>
      </c>
      <c r="I541" s="74">
        <f>IF('Settings'!$E$15="POINTS",((R541*Q541)*'Settings'!$B$12)+(S541*'Settings'!$B$2)+(T541*'Settings'!$B$3)+(U541*'Settings'!$B$4)+(V541*'Settings'!$B$5)+(X541*'Settings'!$B$9)+(AA541*'Settings'!$B$6)+(W541*'Settings'!$B$8)+(AB541*'Settings'!$B$7)+(AC541*'Settings'!$B$14)+(AD541*'Settings'!$B$15)+(AE541*'Settings'!$B$16)+(AF541*'Settings'!$B$17)+(AG541*'Settings'!$B$18)+(Y541*'Settings'!$B$10)+(Z541*'Settings'!$B$11),VLOOKUP(B541,'Standard Deviations'!A1:C666,3,FALSE))</f>
        <v>161.558575539296</v>
      </c>
      <c r="J541" s="75">
        <f>IF(D541="G",I541/AJ541,I541/Q541)</f>
        <v>2.16668109085088</v>
      </c>
      <c r="K541" s="74">
        <f>IF('Settings'!$E$18="C/LW/RW",VLOOKUP(B541,'LW'!A1:F152,6,FALSE),VLOOKUP(B541,'F'!A1:F392,6,FALSE))</f>
        <v>-170.161536226916</v>
      </c>
      <c r="L541" s="76">
        <f>_xlfn.IFERROR(K541/H541,"N/A")</f>
        <v>-158.289801141317</v>
      </c>
      <c r="M541" s="109">
        <f>IF('Settings'!$E$9="YAHOO",VLOOKUP(B541,'ADP'!A1:E665,2,FALSE),IF('Settings'!$E$9="ESPN",VLOOKUP(B541,'ADP'!A1:E665,3,FALSE),IF('Settings'!$E$9="FANTRAX",VLOOKUP(B541,'ADP'!A1:E665,4,FALSE),VLOOKUP(B541,'ADP'!A1:E665,5,FALSE))))</f>
        <v>0</v>
      </c>
      <c r="N541" s="79">
        <f>_xlfn.IFERROR(M541-A541,"N/A")</f>
        <v>-550</v>
      </c>
      <c r="O541" s="77"/>
      <c r="P541" t="s" s="78">
        <f>IF('Settings'!$E$27="ON",VLOOKUP(B541,'ADP'!A1:H665,8,FALSE)," ")</f>
        <v>138</v>
      </c>
      <c r="Q541" s="79">
        <f>IF('Settings'!$E$12="YES",VLOOKUP(B541,'Player Data'!A1:E667,5,FALSE),82)</f>
        <v>74.565</v>
      </c>
      <c r="R541" s="98">
        <f>VLOOKUP(B541,'Player Data'!$A1:$AE667,6,FALSE)</f>
        <v>13.4907216431418</v>
      </c>
      <c r="S541" s="79">
        <f>VLOOKUP(B541,'Player Data'!$A1:$AE667,7,FALSE)*$Q541*_xlfn.IFERROR((VLOOKUP(P541,'Settings'!$E$28:$F$33,2,FALSE)+1),1)</f>
        <v>18.430165427319</v>
      </c>
      <c r="T541" s="79">
        <f>VLOOKUP(B541,'Player Data'!$A1:$AE667,8,FALSE)*$Q541*_xlfn.IFERROR((VLOOKUP(P541,'Settings'!$E$28:$F$33,2,FALSE)+1),1)</f>
        <v>16.5573465838209</v>
      </c>
      <c r="U541" s="79">
        <f>SUM(S541:T541)</f>
        <v>34.9875120111399</v>
      </c>
      <c r="V541" s="79">
        <f>VLOOKUP(B541,'Player Data'!$A1:$AE667,10,FALSE)*$Q541*_xlfn.IFERROR(((VLOOKUP(P541,'Settings'!$E$28:$F$33,2,FALSE)/2)+1),1)</f>
        <v>125.670493921689</v>
      </c>
      <c r="W541" s="79">
        <f>VLOOKUP(B541,'Player Data'!$A1:$AE667,11,FALSE)*$Q541*_xlfn.IFERROR((VLOOKUP(P541,'Settings'!$E$28:$F$33,2,FALSE)+1),1)</f>
        <v>2.35971892712869</v>
      </c>
      <c r="X541" s="79">
        <f>VLOOKUP(B541,'Player Data'!$A1:$AE667,12,FALSE)*$Q541*_xlfn.IFERROR((VLOOKUP(P541,'Settings'!$E$28:$F$33,2,FALSE)+1),1)</f>
        <v>4.61950765296917</v>
      </c>
      <c r="Y541" s="79">
        <f>VLOOKUP(B541,'Player Data'!$A1:$AE667,13,FALSE)*$Q541</f>
        <v>0.00293767682433378</v>
      </c>
      <c r="Z541" s="79">
        <f>VLOOKUP(B541,'Player Data'!$A1:$AE667,14,FALSE)*$Q541</f>
        <v>0.009411100551199449</v>
      </c>
      <c r="AA541" s="79">
        <f>VLOOKUP(B541,'Player Data'!$A1:$AE667,15,FALSE)*$Q541</f>
        <v>19.4311527809914</v>
      </c>
      <c r="AB541" s="79">
        <f>VLOOKUP(B541,'Player Data'!$A1:$AE667,16,FALSE)*$Q541</f>
        <v>38.2581043967049</v>
      </c>
      <c r="AC541" s="79">
        <f>VLOOKUP(B541,'Player Data'!$A1:$AE667,17,FALSE)*$Q541*_xlfn.IFERROR((VLOOKUP(P541,'Settings'!$E$28:$F$33,2,FALSE)+1),1)</f>
        <v>-2.43432381867156</v>
      </c>
      <c r="AD541" s="79">
        <f>VLOOKUP(B541,'Player Data'!$A1:$AE667,18,FALSE)*$Q541</f>
        <v>10.5299080928391</v>
      </c>
      <c r="AE541" s="79">
        <f>VLOOKUP(B541,'Player Data'!$A1:$AE667,19,FALSE)*$Q541*_xlfn.IFERROR((VLOOKUP(P541,'Settings'!$E$28:$F$33,2,FALSE)+1),1)</f>
        <v>2.80325191724132</v>
      </c>
      <c r="AF541" s="79">
        <f>VLOOKUP(B541,'Player Data'!$A1:$AE667,20,FALSE)*$Q541</f>
        <v>0.232502860801043</v>
      </c>
      <c r="AG541" s="79">
        <f>VLOOKUP(B541,'Player Data'!$A1:$AE667,21,FALSE)*$Q541</f>
        <v>3.10000584982342</v>
      </c>
      <c r="AH541" s="81">
        <f>VLOOKUP(B541,'Player Data'!$A1:$AE667,22,FALSE)</f>
        <v>0.0697681179526385</v>
      </c>
      <c r="AI541" s="77"/>
      <c r="AJ541" s="89"/>
      <c r="AK541" s="79"/>
      <c r="AL541" s="79"/>
      <c r="AM541" s="79"/>
      <c r="AN541" s="79"/>
      <c r="AO541" s="79"/>
      <c r="AP541" s="79"/>
      <c r="AQ541" s="82"/>
      <c r="AR541" s="83"/>
      <c r="AS541" s="84"/>
    </row>
    <row r="542" ht="21.25" customHeight="1">
      <c r="A542" s="85">
        <f>RANK(K542,K$1:K$665)</f>
        <v>559</v>
      </c>
      <c r="B542" t="s" s="16">
        <v>732</v>
      </c>
      <c r="C542" t="s" s="69">
        <v>127</v>
      </c>
      <c r="D542" t="s" s="70">
        <f>VLOOKUP(B542,'Player Data'!A1:D667,4,FALSE)</f>
        <v>128</v>
      </c>
      <c r="E542" s="71">
        <f>VLOOKUP(B542,'C'!A1:C206,3,FALSE)</f>
        <v>171</v>
      </c>
      <c r="F542" t="s" s="88">
        <f>VLOOKUP(B542,'Player Data'!A1:B667,2,FALSE)</f>
        <v>141</v>
      </c>
      <c r="G542" s="91">
        <f>VLOOKUP(B542,'Player Data'!A1:D667,3,FALSE)</f>
        <v>35</v>
      </c>
      <c r="H542" s="94">
        <f>_xlfn.IFERROR(VLOOKUP(B542,'ADP'!A1:G665,7,FALSE)/1000000,VLOOKUP(B542,'ADP'!A1:G665,7,FALSE))</f>
        <v>0.8</v>
      </c>
      <c r="I542" s="74">
        <f>IF('Settings'!$E$15="POINTS",((R542*Q542)*'Settings'!$B$12)+(S542*'Settings'!$B$2)+(T542*'Settings'!$B$3)+(U542*'Settings'!$B$4)+(V542*'Settings'!$B$5)+(X542*'Settings'!$B$9)+(AA542*'Settings'!$B$6)+(W542*'Settings'!$B$8)+(AB542*'Settings'!$B$7)+(AC542*'Settings'!$B$14)+(AD542*'Settings'!$B$15)+(AE542*'Settings'!$B$16)+(AF542*'Settings'!$B$17)+(AG542*'Settings'!$B$18)+(Y542*'Settings'!$B$10)+(Z542*'Settings'!$B$11),VLOOKUP(B542,'Standard Deviations'!A1:C666,3,FALSE))</f>
        <v>156.132895262558</v>
      </c>
      <c r="J542" s="75">
        <f>IF(D542="G",I542/AJ542,I542/Q542)</f>
        <v>1.94673352155554</v>
      </c>
      <c r="K542" s="74">
        <f>IF('Settings'!$E$18="C/LW/RW",VLOOKUP(B542,'C'!A1:F206,6,FALSE),VLOOKUP(B542,'F'!A1:F392,6,FALSE))</f>
        <v>-173.558998818620</v>
      </c>
      <c r="L542" s="76">
        <f>_xlfn.IFERROR(K542/H542,"N/A")</f>
        <v>-216.948748523275</v>
      </c>
      <c r="M542" s="109">
        <f>IF('Settings'!$E$9="YAHOO",VLOOKUP(B542,'ADP'!A1:E665,2,FALSE),IF('Settings'!$E$9="ESPN",VLOOKUP(B542,'ADP'!A1:E665,3,FALSE),IF('Settings'!$E$9="FANTRAX",VLOOKUP(B542,'ADP'!A1:E665,4,FALSE),VLOOKUP(B542,'ADP'!A1:E665,5,FALSE))))</f>
        <v>0</v>
      </c>
      <c r="N542" s="79">
        <f>_xlfn.IFERROR(M542-A542,"N/A")</f>
        <v>-559</v>
      </c>
      <c r="O542" s="77"/>
      <c r="P542" t="s" s="78">
        <f>IF('Settings'!$E$27="ON",VLOOKUP(B542,'ADP'!A1:H665,8,FALSE)," ")</f>
        <v>138</v>
      </c>
      <c r="Q542" s="79">
        <f>IF('Settings'!$E$12="YES",VLOOKUP(B542,'Player Data'!A1:E667,5,FALSE),82)</f>
        <v>80.2025</v>
      </c>
      <c r="R542" s="77">
        <f>VLOOKUP(B542,'Player Data'!$A1:$AE667,6,FALSE)</f>
        <v>11.6418285660067</v>
      </c>
      <c r="S542" s="79">
        <f>VLOOKUP(B542,'Player Data'!$A1:$AE667,7,FALSE)*$Q542*_xlfn.IFERROR((VLOOKUP(P542,'Settings'!$E$28:$F$33,2,FALSE)+1),1)</f>
        <v>5.90154104446024</v>
      </c>
      <c r="T542" s="79">
        <f>VLOOKUP(B542,'Player Data'!$A1:$AE667,8,FALSE)*$Q542*_xlfn.IFERROR((VLOOKUP(P542,'Settings'!$E$28:$F$33,2,FALSE)+1),1)</f>
        <v>2.58399853363509</v>
      </c>
      <c r="U542" s="79">
        <f>SUM(S542:T542)</f>
        <v>8.485539578095331</v>
      </c>
      <c r="V542" s="79">
        <f>VLOOKUP(B542,'Player Data'!$A1:$AE667,10,FALSE)*$Q542*_xlfn.IFERROR(((VLOOKUP(P542,'Settings'!$E$28:$F$33,2,FALSE)/2)+1),1)</f>
        <v>65.74421641452621</v>
      </c>
      <c r="W542" s="79">
        <f>VLOOKUP(B542,'Player Data'!$A1:$AE667,11,FALSE)*$Q542*_xlfn.IFERROR((VLOOKUP(P542,'Settings'!$E$28:$F$33,2,FALSE)+1),1)</f>
        <v>0.0157951704260225</v>
      </c>
      <c r="X542" s="79">
        <f>VLOOKUP(B542,'Player Data'!$A1:$AE667,12,FALSE)*$Q542*_xlfn.IFERROR((VLOOKUP(P542,'Settings'!$E$28:$F$33,2,FALSE)+1),1)</f>
        <v>0.0339677332884148</v>
      </c>
      <c r="Y542" s="79">
        <f>VLOOKUP(B542,'Player Data'!$A1:$AE667,13,FALSE)*$Q542</f>
        <v>0.906914893632376</v>
      </c>
      <c r="Z542" s="79">
        <f>VLOOKUP(B542,'Player Data'!$A1:$AE667,14,FALSE)*$Q542</f>
        <v>1.16767691935106</v>
      </c>
      <c r="AA542" s="79">
        <f>VLOOKUP(B542,'Player Data'!$A1:$AE667,15,FALSE)*$Q542</f>
        <v>54.0984814318976</v>
      </c>
      <c r="AB542" s="79">
        <f>VLOOKUP(B542,'Player Data'!$A1:$AE667,16,FALSE)*$Q542</f>
        <v>123.157718385920</v>
      </c>
      <c r="AC542" s="79">
        <f>VLOOKUP(B542,'Player Data'!$A1:$AE667,17,FALSE)*$Q542*_xlfn.IFERROR((VLOOKUP(P542,'Settings'!$E$28:$F$33,2,FALSE)+1),1)</f>
        <v>-1.1836403579269</v>
      </c>
      <c r="AD542" s="79">
        <f>VLOOKUP(B542,'Player Data'!$A1:$AE667,18,FALSE)*$Q542</f>
        <v>24.9157263053652</v>
      </c>
      <c r="AE542" s="79">
        <f>VLOOKUP(B542,'Player Data'!$A1:$AE667,19,FALSE)*$Q542*_xlfn.IFERROR((VLOOKUP(P542,'Settings'!$E$28:$F$33,2,FALSE)+1),1)</f>
        <v>0.929856379147399</v>
      </c>
      <c r="AF542" s="79">
        <f>VLOOKUP(B542,'Player Data'!$A1:$AE667,20,FALSE)*$Q542</f>
        <v>486.357208855437</v>
      </c>
      <c r="AG542" s="79">
        <f>VLOOKUP(B542,'Player Data'!$A1:$AE667,21,FALSE)*$Q542</f>
        <v>356.329122760349</v>
      </c>
      <c r="AH542" s="81">
        <f>VLOOKUP(B542,'Player Data'!$A1:$AE667,22,FALSE)</f>
        <v>0.577150940520044</v>
      </c>
      <c r="AI542" s="77"/>
      <c r="AJ542" s="89"/>
      <c r="AK542" s="79"/>
      <c r="AL542" s="79"/>
      <c r="AM542" s="79"/>
      <c r="AN542" s="79"/>
      <c r="AO542" s="79"/>
      <c r="AP542" s="79"/>
      <c r="AQ542" s="82"/>
      <c r="AR542" s="83"/>
      <c r="AS542" s="84"/>
    </row>
    <row r="543" ht="21.25" customHeight="1">
      <c r="A543" s="85">
        <f>RANK(K543,K$1:K$665)</f>
        <v>525</v>
      </c>
      <c r="B543" t="s" s="16">
        <v>733</v>
      </c>
      <c r="C543" t="s" s="69">
        <v>127</v>
      </c>
      <c r="D543" t="s" s="70">
        <f>VLOOKUP(B543,'Player Data'!A1:D667,4,FALSE)</f>
        <v>153</v>
      </c>
      <c r="E543" s="95">
        <f>VLOOKUP(B543,'D'!A1:C213,3,FALSE)</f>
        <v>175</v>
      </c>
      <c r="F543" t="s" s="86">
        <f>VLOOKUP(B543,'Player Data'!A1:B667,2,FALSE)</f>
        <v>156</v>
      </c>
      <c r="G543" s="11">
        <f>VLOOKUP(B543,'Player Data'!A1:D667,3,FALSE)</f>
        <v>30</v>
      </c>
      <c r="H543" s="94">
        <f>_xlfn.IFERROR(VLOOKUP(B543,'ADP'!A1:G665,7,FALSE)/1000000,VLOOKUP(B543,'ADP'!A1:G665,7,FALSE))</f>
        <v>3</v>
      </c>
      <c r="I543" s="74">
        <f>IF('Settings'!$E$15="POINTS",((R543*Q543)*'Settings'!$B$12)+(S543*'Settings'!$B$2)+(T543*'Settings'!$B$3)+(U543*'Settings'!$B$4)+(V543*'Settings'!$B$5)+(X543*'Settings'!$B$9)+(AA543*'Settings'!$B$6)+(W543*'Settings'!$B$8)+(AB543*'Settings'!$B$7)+(AC543*'Settings'!$B$14)+(AD543*'Settings'!$B$15)+(AE543*'Settings'!$B$16)+(AF543*'Settings'!$B$17)+(AG543*'Settings'!$B$18)+(U543*'Settings'!$B$13)+(Y543*'Settings'!$B$10)+(Z543*'Settings'!$B$11),VLOOKUP(B543,'Standard Deviations'!A1:C666,3,FALSE))</f>
        <v>167.834030796341</v>
      </c>
      <c r="J543" s="75">
        <f>IF(D543="G",I543/AJ543,I543/Q543)</f>
        <v>2.14882569357072</v>
      </c>
      <c r="K543" s="74">
        <f>VLOOKUP(B543,'D'!A1:F213,6,FALSE)</f>
        <v>-163.706177123741</v>
      </c>
      <c r="L543" s="76">
        <f>_xlfn.IFERROR(K543/H543,"N/A")</f>
        <v>-54.5687257079137</v>
      </c>
      <c r="M543" s="109">
        <f>IF('Settings'!$E$9="YAHOO",VLOOKUP(B543,'ADP'!A1:E665,2,FALSE),IF('Settings'!$E$9="ESPN",VLOOKUP(B543,'ADP'!A1:E665,3,FALSE),IF('Settings'!$E$9="FANTRAX",VLOOKUP(B543,'ADP'!A1:E665,4,FALSE),VLOOKUP(B543,'ADP'!A1:E665,5,FALSE))))</f>
        <v>0</v>
      </c>
      <c r="N543" s="79">
        <f>_xlfn.IFERROR(M543-A543,"N/A")</f>
        <v>-525</v>
      </c>
      <c r="O543" s="77"/>
      <c r="P543" t="s" s="78">
        <f>IF('Settings'!$E$27="ON",VLOOKUP(B543,'ADP'!A1:H665,8,FALSE)," ")</f>
        <v>138</v>
      </c>
      <c r="Q543" s="79">
        <f>IF('Settings'!$E$12="YES",VLOOKUP(B543,'Player Data'!A1:E667,5,FALSE),82)</f>
        <v>78.105</v>
      </c>
      <c r="R543" s="77">
        <f>VLOOKUP(B543,'Player Data'!$A1:$AE667,6,FALSE)</f>
        <v>16.0988238854331</v>
      </c>
      <c r="S543" s="79">
        <f>VLOOKUP(B543,'Player Data'!$A1:$AE667,7,FALSE)*$Q543*_xlfn.IFERROR((VLOOKUP(P543,'Settings'!$E$28:$F$33,2,FALSE)+1),1)</f>
        <v>3.70422634326862</v>
      </c>
      <c r="T543" s="79">
        <f>VLOOKUP(B543,'Player Data'!$A1:$AE667,8,FALSE)*$Q543*_xlfn.IFERROR((VLOOKUP(P543,'Settings'!$E$28:$F$33,2,FALSE)+1),1)</f>
        <v>13.2125976486457</v>
      </c>
      <c r="U543" s="79">
        <f>SUM(S543:T543)</f>
        <v>16.9168239919143</v>
      </c>
      <c r="V543" s="79">
        <f>VLOOKUP(B543,'Player Data'!$A1:$AE667,10,FALSE)*$Q543*_xlfn.IFERROR(((VLOOKUP(P543,'Settings'!$E$28:$F$33,2,FALSE)/2)+1),1)</f>
        <v>57.0500249680791</v>
      </c>
      <c r="W543" s="79">
        <f>VLOOKUP(B543,'Player Data'!$A1:$AE667,11,FALSE)*$Q543*_xlfn.IFERROR((VLOOKUP(P543,'Settings'!$E$28:$F$33,2,FALSE)+1),1)</f>
        <v>0.0184441496327028</v>
      </c>
      <c r="X543" s="79">
        <f>VLOOKUP(B543,'Player Data'!$A1:$AE667,12,FALSE)*$Q543*_xlfn.IFERROR((VLOOKUP(P543,'Settings'!$E$28:$F$33,2,FALSE)+1),1)</f>
        <v>0.120044579801128</v>
      </c>
      <c r="Y543" s="79">
        <f>VLOOKUP(B543,'Player Data'!$A1:$AE667,13,FALSE)*$Q543</f>
        <v>0.0139098744671965</v>
      </c>
      <c r="Z543" s="79">
        <f>VLOOKUP(B543,'Player Data'!$A1:$AE667,14,FALSE)*$Q543</f>
        <v>0.06997349493879559</v>
      </c>
      <c r="AA543" s="79">
        <f>VLOOKUP(B543,'Player Data'!$A1:$AE667,15,FALSE)*$Q543</f>
        <v>104.567153153899</v>
      </c>
      <c r="AB543" s="79">
        <f>VLOOKUP(B543,'Player Data'!$A1:$AE667,16,FALSE)*$Q543</f>
        <v>70.8769286502705</v>
      </c>
      <c r="AC543" s="79">
        <f>VLOOKUP(B543,'Player Data'!$A1:$AE667,17,FALSE)*$Q543*_xlfn.IFERROR((VLOOKUP(P543,'Settings'!$E$28:$F$33,2,FALSE)+1),1)</f>
        <v>-1.53903146771981</v>
      </c>
      <c r="AD543" s="79">
        <f>VLOOKUP(B543,'Player Data'!$A1:$AE667,18,FALSE)*$Q543</f>
        <v>16.8951919093363</v>
      </c>
      <c r="AE543" s="79">
        <f>VLOOKUP(B543,'Player Data'!$A1:$AE667,19,FALSE)*$Q543*_xlfn.IFERROR((VLOOKUP(P543,'Settings'!$E$28:$F$33,2,FALSE)+1),1)</f>
        <v>0.508748318213757</v>
      </c>
      <c r="AF543" s="79">
        <f>VLOOKUP(B543,'Player Data'!$A1:$AE667,20,FALSE)*$Q543</f>
        <v>0</v>
      </c>
      <c r="AG543" s="79">
        <f>VLOOKUP(B543,'Player Data'!$A1:$AE667,21,FALSE)*$Q543</f>
        <v>0</v>
      </c>
      <c r="AH543" s="81">
        <f>VLOOKUP(B543,'Player Data'!$A1:$AE667,22,FALSE)</f>
        <v>0</v>
      </c>
      <c r="AI543" s="77"/>
      <c r="AJ543" s="89"/>
      <c r="AK543" s="79"/>
      <c r="AL543" s="79"/>
      <c r="AM543" s="79"/>
      <c r="AN543" s="79"/>
      <c r="AO543" s="79"/>
      <c r="AP543" s="79"/>
      <c r="AQ543" s="82"/>
      <c r="AR543" s="83"/>
      <c r="AS543" s="84"/>
    </row>
    <row r="544" ht="21.25" customHeight="1">
      <c r="A544" s="85">
        <f>RANK(K544,K$1:K$665)</f>
        <v>526</v>
      </c>
      <c r="B544" t="s" s="16">
        <v>734</v>
      </c>
      <c r="C544" t="s" s="69">
        <v>127</v>
      </c>
      <c r="D544" t="s" s="70">
        <f>VLOOKUP(B544,'Player Data'!A1:D667,4,FALSE)</f>
        <v>153</v>
      </c>
      <c r="E544" s="95">
        <f>VLOOKUP(B544,'D'!A1:C213,3,FALSE)</f>
        <v>176</v>
      </c>
      <c r="F544" t="s" s="88">
        <f>VLOOKUP(B544,'Player Data'!A1:B667,2,FALSE)</f>
        <v>143</v>
      </c>
      <c r="G544" s="96">
        <f>VLOOKUP(B544,'Player Data'!A1:D667,3,FALSE)</f>
        <v>23</v>
      </c>
      <c r="H544" s="94">
        <f>_xlfn.IFERROR(VLOOKUP(B544,'ADP'!A1:G665,7,FALSE)/1000000,VLOOKUP(B544,'ADP'!A1:G665,7,FALSE))</f>
        <v>0.925</v>
      </c>
      <c r="I544" s="74">
        <f>IF('Settings'!$E$15="POINTS",((R544*Q544)*'Settings'!$B$12)+(S544*'Settings'!$B$2)+(T544*'Settings'!$B$3)+(U544*'Settings'!$B$4)+(V544*'Settings'!$B$5)+(X544*'Settings'!$B$9)+(AA544*'Settings'!$B$6)+(W544*'Settings'!$B$8)+(AB544*'Settings'!$B$7)+(AC544*'Settings'!$B$14)+(AD544*'Settings'!$B$15)+(AE544*'Settings'!$B$16)+(AF544*'Settings'!$B$17)+(AG544*'Settings'!$B$18)+(U544*'Settings'!$B$13)+(Y544*'Settings'!$B$10)+(Z544*'Settings'!$B$11),VLOOKUP(B544,'Standard Deviations'!A1:C666,3,FALSE))</f>
        <v>167.795831893656</v>
      </c>
      <c r="J544" s="75">
        <f>IF(D544="G",I544/AJ544,I544/Q544)</f>
        <v>2.58087874942176</v>
      </c>
      <c r="K544" s="74">
        <f>VLOOKUP(B544,'D'!A1:F213,6,FALSE)</f>
        <v>-163.744376026426</v>
      </c>
      <c r="L544" s="76">
        <f>_xlfn.IFERROR(K544/H544,"N/A")</f>
        <v>-177.020947055596</v>
      </c>
      <c r="M544" s="109">
        <f>IF('Settings'!$E$9="YAHOO",VLOOKUP(B544,'ADP'!A1:E665,2,FALSE),IF('Settings'!$E$9="ESPN",VLOOKUP(B544,'ADP'!A1:E665,3,FALSE),IF('Settings'!$E$9="FANTRAX",VLOOKUP(B544,'ADP'!A1:E665,4,FALSE),VLOOKUP(B544,'ADP'!A1:E665,5,FALSE))))</f>
        <v>0</v>
      </c>
      <c r="N544" s="79">
        <f>_xlfn.IFERROR(M544-A544,"N/A")</f>
        <v>-526</v>
      </c>
      <c r="O544" s="77"/>
      <c r="P544" t="s" s="78">
        <f>IF('Settings'!$E$27="ON",VLOOKUP(B544,'ADP'!A1:H665,8,FALSE)," ")</f>
        <v>138</v>
      </c>
      <c r="Q544" s="79">
        <f>IF('Settings'!$E$12="YES",VLOOKUP(B544,'Player Data'!A1:E667,5,FALSE),82)</f>
        <v>65.015</v>
      </c>
      <c r="R544" s="77">
        <f>VLOOKUP(B544,'Player Data'!$A1:$AE667,6,FALSE)</f>
        <v>16.6723216680212</v>
      </c>
      <c r="S544" s="79">
        <f>VLOOKUP(B544,'Player Data'!$A1:$AE667,7,FALSE)*$Q544*_xlfn.IFERROR((VLOOKUP(P544,'Settings'!$E$28:$F$33,2,FALSE)+1),1)</f>
        <v>4.77895350482275</v>
      </c>
      <c r="T544" s="79">
        <f>VLOOKUP(B544,'Player Data'!$A1:$AE667,8,FALSE)*$Q544*_xlfn.IFERROR((VLOOKUP(P544,'Settings'!$E$28:$F$33,2,FALSE)+1),1)</f>
        <v>13.5954020625385</v>
      </c>
      <c r="U544" s="79">
        <f>SUM(S544:T544)</f>
        <v>18.3743555673613</v>
      </c>
      <c r="V544" s="79">
        <f>VLOOKUP(B544,'Player Data'!$A1:$AE667,10,FALSE)*$Q544*_xlfn.IFERROR(((VLOOKUP(P544,'Settings'!$E$28:$F$33,2,FALSE)/2)+1),1)</f>
        <v>69.6617799089673</v>
      </c>
      <c r="W544" s="79">
        <f>VLOOKUP(B544,'Player Data'!$A1:$AE667,11,FALSE)*$Q544*_xlfn.IFERROR((VLOOKUP(P544,'Settings'!$E$28:$F$33,2,FALSE)+1),1)</f>
        <v>0.657331348520892</v>
      </c>
      <c r="X544" s="79">
        <f>VLOOKUP(B544,'Player Data'!$A1:$AE667,12,FALSE)*$Q544*_xlfn.IFERROR((VLOOKUP(P544,'Settings'!$E$28:$F$33,2,FALSE)+1),1)</f>
        <v>2.54996872081142</v>
      </c>
      <c r="Y544" s="79">
        <f>VLOOKUP(B544,'Player Data'!$A1:$AE667,13,FALSE)*$Q544</f>
        <v>0.0104811619137192</v>
      </c>
      <c r="Z544" s="79">
        <f>VLOOKUP(B544,'Player Data'!$A1:$AE667,14,FALSE)*$Q544</f>
        <v>0.0516960651874754</v>
      </c>
      <c r="AA544" s="79">
        <f>VLOOKUP(B544,'Player Data'!$A1:$AE667,15,FALSE)*$Q544</f>
        <v>91.8928360466014</v>
      </c>
      <c r="AB544" s="79">
        <f>VLOOKUP(B544,'Player Data'!$A1:$AE667,16,FALSE)*$Q544</f>
        <v>72.2949160927017</v>
      </c>
      <c r="AC544" s="79">
        <f>VLOOKUP(B544,'Player Data'!$A1:$AE667,17,FALSE)*$Q544*_xlfn.IFERROR((VLOOKUP(P544,'Settings'!$E$28:$F$33,2,FALSE)+1),1)</f>
        <v>0.706828119463905</v>
      </c>
      <c r="AD544" s="79">
        <f>VLOOKUP(B544,'Player Data'!$A1:$AE667,18,FALSE)*$Q544</f>
        <v>27.3172383498913</v>
      </c>
      <c r="AE544" s="79">
        <f>VLOOKUP(B544,'Player Data'!$A1:$AE667,19,FALSE)*$Q544*_xlfn.IFERROR((VLOOKUP(P544,'Settings'!$E$28:$F$33,2,FALSE)+1),1)</f>
        <v>0.7443397763698399</v>
      </c>
      <c r="AF544" s="79">
        <f>VLOOKUP(B544,'Player Data'!$A1:$AE667,20,FALSE)*$Q544</f>
        <v>0</v>
      </c>
      <c r="AG544" s="79">
        <f>VLOOKUP(B544,'Player Data'!$A1:$AE667,21,FALSE)*$Q544</f>
        <v>0</v>
      </c>
      <c r="AH544" s="81">
        <f>VLOOKUP(B544,'Player Data'!$A1:$AE667,22,FALSE)</f>
        <v>0</v>
      </c>
      <c r="AI544" s="77"/>
      <c r="AJ544" s="89"/>
      <c r="AK544" s="79"/>
      <c r="AL544" s="79"/>
      <c r="AM544" s="79"/>
      <c r="AN544" s="79"/>
      <c r="AO544" s="79"/>
      <c r="AP544" s="79"/>
      <c r="AQ544" s="82"/>
      <c r="AR544" s="83"/>
      <c r="AS544" s="84"/>
    </row>
    <row r="545" ht="21.25" customHeight="1">
      <c r="A545" s="85">
        <f>RANK(K545,K$1:K$665)</f>
        <v>560</v>
      </c>
      <c r="B545" t="s" s="16">
        <v>735</v>
      </c>
      <c r="C545" t="s" s="69">
        <v>127</v>
      </c>
      <c r="D545" t="s" s="70">
        <f>VLOOKUP(B545,'Player Data'!A1:D667,4,FALSE)</f>
        <v>128</v>
      </c>
      <c r="E545" s="71">
        <f>VLOOKUP(B545,'C'!A1:C206,3,FALSE)</f>
        <v>172</v>
      </c>
      <c r="F545" t="s" s="86">
        <f>VLOOKUP(B545,'Player Data'!A1:B667,2,FALSE)</f>
        <v>132</v>
      </c>
      <c r="G545" s="91">
        <f>VLOOKUP(B545,'Player Data'!A1:D667,3,FALSE)</f>
        <v>32</v>
      </c>
      <c r="H545" s="73">
        <f>_xlfn.IFERROR(VLOOKUP(B545,'ADP'!A1:G665,7,FALSE)/1000000,VLOOKUP(B545,'ADP'!A1:G665,7,FALSE))</f>
        <v>2.1</v>
      </c>
      <c r="I545" s="74">
        <f>IF('Settings'!$E$15="POINTS",((R545*Q545)*'Settings'!$B$12)+(S545*'Settings'!$B$2)+(T545*'Settings'!$B$3)+(U545*'Settings'!$B$4)+(V545*'Settings'!$B$5)+(X545*'Settings'!$B$9)+(AA545*'Settings'!$B$6)+(W545*'Settings'!$B$8)+(AB545*'Settings'!$B$7)+(AC545*'Settings'!$B$14)+(AD545*'Settings'!$B$15)+(AE545*'Settings'!$B$16)+(AF545*'Settings'!$B$17)+(AG545*'Settings'!$B$18)+(Y545*'Settings'!$B$10)+(Z545*'Settings'!$B$11),VLOOKUP(B545,'Standard Deviations'!A1:C666,3,FALSE))</f>
        <v>155.422825129197</v>
      </c>
      <c r="J545" s="75">
        <f>IF(D545="G",I545/AJ545,I545/Q545)</f>
        <v>2.1040758808569</v>
      </c>
      <c r="K545" s="74">
        <f>IF('Settings'!$E$18="C/LW/RW",VLOOKUP(B545,'C'!A1:F206,6,FALSE),VLOOKUP(B545,'F'!A1:F392,6,FALSE))</f>
        <v>-174.269068951981</v>
      </c>
      <c r="L545" s="76">
        <f>_xlfn.IFERROR(K545/H545,"N/A")</f>
        <v>-82.9852709295148</v>
      </c>
      <c r="M545" s="109">
        <f>IF('Settings'!$E$9="YAHOO",VLOOKUP(B545,'ADP'!A1:E665,2,FALSE),IF('Settings'!$E$9="ESPN",VLOOKUP(B545,'ADP'!A1:E665,3,FALSE),IF('Settings'!$E$9="FANTRAX",VLOOKUP(B545,'ADP'!A1:E665,4,FALSE),VLOOKUP(B545,'ADP'!A1:E665,5,FALSE))))</f>
        <v>0</v>
      </c>
      <c r="N545" s="79">
        <f>_xlfn.IFERROR(M545-A545,"N/A")</f>
        <v>-560</v>
      </c>
      <c r="O545" s="77"/>
      <c r="P545" t="s" s="78">
        <f>IF('Settings'!$E$27="ON",VLOOKUP(B545,'ADP'!A1:H665,8,FALSE)," ")</f>
        <v>138</v>
      </c>
      <c r="Q545" s="79">
        <f>IF('Settings'!$E$12="YES",VLOOKUP(B545,'Player Data'!A1:E667,5,FALSE),82)</f>
        <v>73.86750000000001</v>
      </c>
      <c r="R545" s="108">
        <f>VLOOKUP(B545,'Player Data'!$A1:$AE667,6,FALSE)</f>
        <v>13.9248461685564</v>
      </c>
      <c r="S545" s="79">
        <f>VLOOKUP(B545,'Player Data'!$A1:$AE667,7,FALSE)*$Q545*_xlfn.IFERROR((VLOOKUP(P545,'Settings'!$E$28:$F$33,2,FALSE)+1),1)</f>
        <v>12.5547870694646</v>
      </c>
      <c r="T545" s="79">
        <f>VLOOKUP(B545,'Player Data'!$A1:$AE667,8,FALSE)*$Q545*_xlfn.IFERROR((VLOOKUP(P545,'Settings'!$E$28:$F$33,2,FALSE)+1),1)</f>
        <v>14.0178591460476</v>
      </c>
      <c r="U545" s="79">
        <f>SUM(S545:T545)</f>
        <v>26.5726462155122</v>
      </c>
      <c r="V545" s="79">
        <f>VLOOKUP(B545,'Player Data'!$A1:$AE667,10,FALSE)*$Q545*_xlfn.IFERROR(((VLOOKUP(P545,'Settings'!$E$28:$F$33,2,FALSE)/2)+1),1)</f>
        <v>107.325563299864</v>
      </c>
      <c r="W545" s="79">
        <f>VLOOKUP(B545,'Player Data'!$A1:$AE667,11,FALSE)*$Q545*_xlfn.IFERROR((VLOOKUP(P545,'Settings'!$E$28:$F$33,2,FALSE)+1),1)</f>
        <v>0.426990547851504</v>
      </c>
      <c r="X545" s="79">
        <f>VLOOKUP(B545,'Player Data'!$A1:$AE667,12,FALSE)*$Q545*_xlfn.IFERROR((VLOOKUP(P545,'Settings'!$E$28:$F$33,2,FALSE)+1),1)</f>
        <v>1.04299348052582</v>
      </c>
      <c r="Y545" s="79">
        <f>VLOOKUP(B545,'Player Data'!$A1:$AE667,13,FALSE)*$Q545</f>
        <v>0.816044080861047</v>
      </c>
      <c r="Z545" s="79">
        <f>VLOOKUP(B545,'Player Data'!$A1:$AE667,14,FALSE)*$Q545</f>
        <v>1.42582346046048</v>
      </c>
      <c r="AA545" s="79">
        <f>VLOOKUP(B545,'Player Data'!$A1:$AE667,15,FALSE)*$Q545</f>
        <v>21.9130637364604</v>
      </c>
      <c r="AB545" s="79">
        <f>VLOOKUP(B545,'Player Data'!$A1:$AE667,16,FALSE)*$Q545</f>
        <v>70.2914997042576</v>
      </c>
      <c r="AC545" s="79">
        <f>VLOOKUP(B545,'Player Data'!$A1:$AE667,17,FALSE)*$Q545*_xlfn.IFERROR((VLOOKUP(P545,'Settings'!$E$28:$F$33,2,FALSE)+1),1)</f>
        <v>5.8149786722025</v>
      </c>
      <c r="AD545" s="79">
        <f>VLOOKUP(B545,'Player Data'!$A1:$AE667,18,FALSE)*$Q545</f>
        <v>17.9156911037027</v>
      </c>
      <c r="AE545" s="79">
        <f>VLOOKUP(B545,'Player Data'!$A1:$AE667,19,FALSE)*$Q545*_xlfn.IFERROR((VLOOKUP(P545,'Settings'!$E$28:$F$33,2,FALSE)+1),1)</f>
        <v>2.00854087900585</v>
      </c>
      <c r="AF545" s="79">
        <f>VLOOKUP(B545,'Player Data'!$A1:$AE667,20,FALSE)*$Q545</f>
        <v>99.61223602722551</v>
      </c>
      <c r="AG545" s="79">
        <f>VLOOKUP(B545,'Player Data'!$A1:$AE667,21,FALSE)*$Q545</f>
        <v>107.773683798753</v>
      </c>
      <c r="AH545" s="81">
        <f>VLOOKUP(B545,'Player Data'!$A1:$AE667,22,FALSE)</f>
        <v>0.480323042715782</v>
      </c>
      <c r="AI545" s="77"/>
      <c r="AJ545" s="79"/>
      <c r="AK545" s="79"/>
      <c r="AL545" s="79"/>
      <c r="AM545" s="79"/>
      <c r="AN545" s="79"/>
      <c r="AO545" s="79"/>
      <c r="AP545" s="79"/>
      <c r="AQ545" s="82"/>
      <c r="AR545" s="83"/>
      <c r="AS545" s="84"/>
    </row>
    <row r="546" ht="21.25" customHeight="1">
      <c r="A546" s="85">
        <f>RANK(K546,K$1:K$665)</f>
        <v>527</v>
      </c>
      <c r="B546" t="s" s="16">
        <v>736</v>
      </c>
      <c r="C546" t="s" s="69">
        <v>127</v>
      </c>
      <c r="D546" t="s" s="70">
        <f>VLOOKUP(B546,'Player Data'!A1:D667,4,FALSE)</f>
        <v>153</v>
      </c>
      <c r="E546" s="95">
        <f>VLOOKUP(B546,'D'!A1:C213,3,FALSE)</f>
        <v>177</v>
      </c>
      <c r="F546" t="s" s="78">
        <f>VLOOKUP(B546,'Player Data'!A1:B667,2,FALSE)</f>
        <v>244</v>
      </c>
      <c r="G546" s="96">
        <f>VLOOKUP(B546,'Player Data'!A1:D667,3,FALSE)</f>
        <v>20</v>
      </c>
      <c r="H546" s="73">
        <f>_xlfn.IFERROR(VLOOKUP(B546,'ADP'!A1:G665,7,FALSE)/1000000,VLOOKUP(B546,'ADP'!A1:G665,7,FALSE))</f>
        <v>0.918333</v>
      </c>
      <c r="I546" s="74">
        <f>IF('Settings'!$E$15="POINTS",((R546*Q546)*'Settings'!$B$12)+(S546*'Settings'!$B$2)+(T546*'Settings'!$B$3)+(U546*'Settings'!$B$4)+(V546*'Settings'!$B$5)+(X546*'Settings'!$B$9)+(AA546*'Settings'!$B$6)+(W546*'Settings'!$B$8)+(AB546*'Settings'!$B$7)+(AC546*'Settings'!$B$14)+(AD546*'Settings'!$B$15)+(AE546*'Settings'!$B$16)+(AF546*'Settings'!$B$17)+(AG546*'Settings'!$B$18)+(U546*'Settings'!$B$13)+(Y546*'Settings'!$B$10)+(Z546*'Settings'!$B$11),VLOOKUP(B546,'Standard Deviations'!A1:C666,3,FALSE))</f>
        <v>167.302570420249</v>
      </c>
      <c r="J546" s="75">
        <f>IF(D546="G",I546/AJ546,I546/Q546)</f>
        <v>2.1033765453891</v>
      </c>
      <c r="K546" s="74">
        <f>VLOOKUP(B546,'D'!A1:F213,6,FALSE)</f>
        <v>-164.237637499833</v>
      </c>
      <c r="L546" s="76">
        <f>_xlfn.IFERROR(K546/H546,"N/A")</f>
        <v>-178.843227347632</v>
      </c>
      <c r="M546" s="109">
        <f>IF('Settings'!$E$9="YAHOO",VLOOKUP(B546,'ADP'!A1:E665,2,FALSE),IF('Settings'!$E$9="ESPN",VLOOKUP(B546,'ADP'!A1:E665,3,FALSE),IF('Settings'!$E$9="FANTRAX",VLOOKUP(B546,'ADP'!A1:E665,4,FALSE),VLOOKUP(B546,'ADP'!A1:E665,5,FALSE))))</f>
        <v>0</v>
      </c>
      <c r="N546" s="79">
        <f>_xlfn.IFERROR(M546-A546,"N/A")</f>
        <v>-527</v>
      </c>
      <c r="O546" s="77"/>
      <c r="P546" t="s" s="78">
        <f>IF('Settings'!$E$27="ON",VLOOKUP(B546,'ADP'!A1:H665,8,FALSE)," ")</f>
        <v>138</v>
      </c>
      <c r="Q546" s="79">
        <f>IF('Settings'!$E$12="YES",VLOOKUP(B546,'Player Data'!A1:E667,5,FALSE),82)</f>
        <v>79.54000000000001</v>
      </c>
      <c r="R546" s="77">
        <f>VLOOKUP(B546,'Player Data'!$A1:$AE667,6,FALSE)</f>
        <v>18.6948545857826</v>
      </c>
      <c r="S546" s="79">
        <f>VLOOKUP(B546,'Player Data'!$A1:$AE667,7,FALSE)*$Q546*_xlfn.IFERROR((VLOOKUP(P546,'Settings'!$E$28:$F$33,2,FALSE)+1),1)</f>
        <v>5.32420141333068</v>
      </c>
      <c r="T546" s="79">
        <f>VLOOKUP(B546,'Player Data'!$A1:$AE667,8,FALSE)*$Q546*_xlfn.IFERROR((VLOOKUP(P546,'Settings'!$E$28:$F$33,2,FALSE)+1),1)</f>
        <v>14.8807337578636</v>
      </c>
      <c r="U546" s="79">
        <f>SUM(S546:T546)</f>
        <v>20.2049351711943</v>
      </c>
      <c r="V546" s="79">
        <f>VLOOKUP(B546,'Player Data'!$A1:$AE667,10,FALSE)*$Q546*_xlfn.IFERROR(((VLOOKUP(P546,'Settings'!$E$28:$F$33,2,FALSE)/2)+1),1)</f>
        <v>96.0879383404273</v>
      </c>
      <c r="W546" s="79">
        <f>VLOOKUP(B546,'Player Data'!$A1:$AE667,11,FALSE)*$Q546*_xlfn.IFERROR((VLOOKUP(P546,'Settings'!$E$28:$F$33,2,FALSE)+1),1)</f>
        <v>0.381471654591338</v>
      </c>
      <c r="X546" s="79">
        <f>VLOOKUP(B546,'Player Data'!$A1:$AE667,12,FALSE)*$Q546*_xlfn.IFERROR((VLOOKUP(P546,'Settings'!$E$28:$F$33,2,FALSE)+1),1)</f>
        <v>8.44767678884125</v>
      </c>
      <c r="Y546" s="79">
        <f>VLOOKUP(B546,'Player Data'!$A1:$AE667,13,FALSE)*$Q546</f>
        <v>0.009821335984489679</v>
      </c>
      <c r="Z546" s="79">
        <f>VLOOKUP(B546,'Player Data'!$A1:$AE667,14,FALSE)*$Q546</f>
        <v>0.0486730436566142</v>
      </c>
      <c r="AA546" s="79">
        <f>VLOOKUP(B546,'Player Data'!$A1:$AE667,15,FALSE)*$Q546</f>
        <v>90.25085753661629</v>
      </c>
      <c r="AB546" s="79">
        <f>VLOOKUP(B546,'Player Data'!$A1:$AE667,16,FALSE)*$Q546</f>
        <v>50.1046609294859</v>
      </c>
      <c r="AC546" s="79">
        <f>VLOOKUP(B546,'Player Data'!$A1:$AE667,17,FALSE)*$Q546*_xlfn.IFERROR((VLOOKUP(P546,'Settings'!$E$28:$F$33,2,FALSE)+1),1)</f>
        <v>-10.2611626522593</v>
      </c>
      <c r="AD546" s="79">
        <f>VLOOKUP(B546,'Player Data'!$A1:$AE667,18,FALSE)*$Q546</f>
        <v>25.8823407304589</v>
      </c>
      <c r="AE546" s="79">
        <f>VLOOKUP(B546,'Player Data'!$A1:$AE667,19,FALSE)*$Q546*_xlfn.IFERROR((VLOOKUP(P546,'Settings'!$E$28:$F$33,2,FALSE)+1),1)</f>
        <v>0.688074475809764</v>
      </c>
      <c r="AF546" s="79">
        <f>VLOOKUP(B546,'Player Data'!$A1:$AE667,20,FALSE)*$Q546</f>
        <v>0</v>
      </c>
      <c r="AG546" s="79">
        <f>VLOOKUP(B546,'Player Data'!$A1:$AE667,21,FALSE)*$Q546</f>
        <v>0</v>
      </c>
      <c r="AH546" s="81">
        <f>VLOOKUP(B546,'Player Data'!$A1:$AE667,22,FALSE)</f>
        <v>0</v>
      </c>
      <c r="AI546" s="77"/>
      <c r="AJ546" s="79"/>
      <c r="AK546" s="79"/>
      <c r="AL546" s="79"/>
      <c r="AM546" s="79"/>
      <c r="AN546" s="79"/>
      <c r="AO546" s="79"/>
      <c r="AP546" s="79"/>
      <c r="AQ546" s="82"/>
      <c r="AR546" s="83"/>
      <c r="AS546" s="84"/>
    </row>
    <row r="547" ht="21.25" customHeight="1">
      <c r="A547" s="85">
        <f>RANK(K547,K$1:K$665)</f>
        <v>562</v>
      </c>
      <c r="B547" t="s" s="16">
        <v>737</v>
      </c>
      <c r="C547" t="s" s="69">
        <v>127</v>
      </c>
      <c r="D547" t="s" s="70">
        <f>VLOOKUP(B547,'Player Data'!A1:D667,4,FALSE)</f>
        <v>128</v>
      </c>
      <c r="E547" s="71">
        <f>VLOOKUP(B547,'C'!A1:C206,3,FALSE)</f>
        <v>173</v>
      </c>
      <c r="F547" t="s" s="86">
        <f>VLOOKUP(B547,'Player Data'!A1:B667,2,FALSE)</f>
        <v>165</v>
      </c>
      <c r="G547" s="96">
        <f>VLOOKUP(B547,'Player Data'!A1:D667,3,FALSE)</f>
        <v>23</v>
      </c>
      <c r="H547" t="s" s="86">
        <f>_xlfn.IFERROR(VLOOKUP(B547,'ADP'!A1:G665,7,FALSE)/1000000,VLOOKUP(B547,'ADP'!A1:G665,7,FALSE))</f>
        <v>157</v>
      </c>
      <c r="I547" s="74">
        <f>IF('Settings'!$E$15="POINTS",((R547*Q547)*'Settings'!$B$12)+(S547*'Settings'!$B$2)+(T547*'Settings'!$B$3)+(U547*'Settings'!$B$4)+(V547*'Settings'!$B$5)+(X547*'Settings'!$B$9)+(AA547*'Settings'!$B$6)+(W547*'Settings'!$B$8)+(AB547*'Settings'!$B$7)+(AC547*'Settings'!$B$14)+(AD547*'Settings'!$B$15)+(AE547*'Settings'!$B$16)+(AF547*'Settings'!$B$17)+(AG547*'Settings'!$B$18)+(Y547*'Settings'!$B$10)+(Z547*'Settings'!$B$11),VLOOKUP(B547,'Standard Deviations'!A1:C666,3,FALSE))</f>
        <v>155.247483285742</v>
      </c>
      <c r="J547" s="75">
        <f>IF(D547="G",I547/AJ547,I547/Q547)</f>
        <v>2.33815254016705</v>
      </c>
      <c r="K547" s="74">
        <f>IF('Settings'!$E$18="C/LW/RW",VLOOKUP(B547,'C'!A1:F206,6,FALSE),VLOOKUP(B547,'F'!A1:F392,6,FALSE))</f>
        <v>-174.444410795436</v>
      </c>
      <c r="L547" t="s" s="97">
        <f>_xlfn.IFERROR(K547/H547,"N/A")</f>
        <v>158</v>
      </c>
      <c r="M547" s="109">
        <f>IF('Settings'!$E$9="YAHOO",VLOOKUP(B547,'ADP'!A1:E665,2,FALSE),IF('Settings'!$E$9="ESPN",VLOOKUP(B547,'ADP'!A1:E665,3,FALSE),IF('Settings'!$E$9="FANTRAX",VLOOKUP(B547,'ADP'!A1:E665,4,FALSE),VLOOKUP(B547,'ADP'!A1:E665,5,FALSE))))</f>
        <v>0</v>
      </c>
      <c r="N547" s="79">
        <f>_xlfn.IFERROR(M547-A547,"N/A")</f>
        <v>-562</v>
      </c>
      <c r="O547" s="77"/>
      <c r="P547" t="s" s="78">
        <f>IF('Settings'!$E$27="ON",VLOOKUP(B547,'ADP'!A1:H665,8,FALSE)," ")</f>
        <v>138</v>
      </c>
      <c r="Q547" s="79">
        <f>IF('Settings'!$E$12="YES",VLOOKUP(B547,'Player Data'!A1:E667,5,FALSE),82)</f>
        <v>66.39749999999999</v>
      </c>
      <c r="R547" s="108">
        <f>VLOOKUP(B547,'Player Data'!$A1:$AE667,6,FALSE)</f>
        <v>13.4594411989796</v>
      </c>
      <c r="S547" s="79">
        <f>VLOOKUP(B547,'Player Data'!$A1:$AE667,7,FALSE)*$Q547*_xlfn.IFERROR((VLOOKUP(P547,'Settings'!$E$28:$F$33,2,FALSE)+1),1)</f>
        <v>11.2591752812283</v>
      </c>
      <c r="T547" s="79">
        <f>VLOOKUP(B547,'Player Data'!$A1:$AE667,8,FALSE)*$Q547*_xlfn.IFERROR((VLOOKUP(P547,'Settings'!$E$28:$F$33,2,FALSE)+1),1)</f>
        <v>14.4547819097794</v>
      </c>
      <c r="U547" s="79">
        <f>SUM(S547:T547)</f>
        <v>25.7139571910077</v>
      </c>
      <c r="V547" s="79">
        <f>VLOOKUP(B547,'Player Data'!$A1:$AE667,10,FALSE)*$Q547*_xlfn.IFERROR(((VLOOKUP(P547,'Settings'!$E$28:$F$33,2,FALSE)/2)+1),1)</f>
        <v>78.3748028536923</v>
      </c>
      <c r="W547" s="79">
        <f>VLOOKUP(B547,'Player Data'!$A1:$AE667,11,FALSE)*$Q547*_xlfn.IFERROR((VLOOKUP(P547,'Settings'!$E$28:$F$33,2,FALSE)+1),1)</f>
        <v>0.444805950779665</v>
      </c>
      <c r="X547" s="79">
        <f>VLOOKUP(B547,'Player Data'!$A1:$AE667,12,FALSE)*$Q547*_xlfn.IFERROR((VLOOKUP(P547,'Settings'!$E$28:$F$33,2,FALSE)+1),1)</f>
        <v>1.22267792903993</v>
      </c>
      <c r="Y547" s="79">
        <f>VLOOKUP(B547,'Player Data'!$A1:$AE667,13,FALSE)*$Q547</f>
        <v>0.0276156870399529</v>
      </c>
      <c r="Z547" s="79">
        <f>VLOOKUP(B547,'Player Data'!$A1:$AE667,14,FALSE)*$Q547</f>
        <v>0.0466287497255264</v>
      </c>
      <c r="AA547" s="79">
        <f>VLOOKUP(B547,'Player Data'!$A1:$AE667,15,FALSE)*$Q547</f>
        <v>25.7651881021134</v>
      </c>
      <c r="AB547" s="79">
        <f>VLOOKUP(B547,'Player Data'!$A1:$AE667,16,FALSE)*$Q547</f>
        <v>94.57446858716401</v>
      </c>
      <c r="AC547" s="79">
        <f>VLOOKUP(B547,'Player Data'!$A1:$AE667,17,FALSE)*$Q547*_xlfn.IFERROR((VLOOKUP(P547,'Settings'!$E$28:$F$33,2,FALSE)+1),1)</f>
        <v>0.228029372291129</v>
      </c>
      <c r="AD547" s="79">
        <f>VLOOKUP(B547,'Player Data'!$A1:$AE667,18,FALSE)*$Q547</f>
        <v>20.4689866399082</v>
      </c>
      <c r="AE547" s="79">
        <f>VLOOKUP(B547,'Player Data'!$A1:$AE667,19,FALSE)*$Q547*_xlfn.IFERROR((VLOOKUP(P547,'Settings'!$E$28:$F$33,2,FALSE)+1),1)</f>
        <v>1.59421837920617</v>
      </c>
      <c r="AF547" s="79">
        <f>VLOOKUP(B547,'Player Data'!$A1:$AE667,20,FALSE)*$Q547</f>
        <v>135.190995535380</v>
      </c>
      <c r="AG547" s="79">
        <f>VLOOKUP(B547,'Player Data'!$A1:$AE667,21,FALSE)*$Q547</f>
        <v>178.427247899406</v>
      </c>
      <c r="AH547" s="81">
        <f>VLOOKUP(B547,'Player Data'!$A1:$AE667,22,FALSE)</f>
        <v>0.431068658681177</v>
      </c>
      <c r="AI547" s="77"/>
      <c r="AJ547" s="79"/>
      <c r="AK547" s="79"/>
      <c r="AL547" s="79"/>
      <c r="AM547" s="79"/>
      <c r="AN547" s="79"/>
      <c r="AO547" s="79"/>
      <c r="AP547" s="79"/>
      <c r="AQ547" s="82"/>
      <c r="AR547" s="83"/>
      <c r="AS547" s="84"/>
    </row>
    <row r="548" ht="21.25" customHeight="1">
      <c r="A548" s="85">
        <f>RANK(K548,K$1:K$665)</f>
        <v>563</v>
      </c>
      <c r="B548" t="s" s="16">
        <v>738</v>
      </c>
      <c r="C548" t="s" s="69">
        <v>127</v>
      </c>
      <c r="D548" t="s" s="70">
        <f>VLOOKUP(B548,'Player Data'!A1:D667,4,FALSE)</f>
        <v>128</v>
      </c>
      <c r="E548" s="71">
        <f>VLOOKUP(B548,'C'!A1:C206,3,FALSE)</f>
        <v>174</v>
      </c>
      <c r="F548" t="s" s="104">
        <f>VLOOKUP(B548,'Player Data'!A1:B667,2,FALSE)</f>
        <v>333</v>
      </c>
      <c r="G548" s="11">
        <f>VLOOKUP(B548,'Player Data'!A1:D667,3,FALSE)</f>
        <v>29</v>
      </c>
      <c r="H548" s="94">
        <f>_xlfn.IFERROR(VLOOKUP(B548,'ADP'!A1:G665,7,FALSE)/1000000,VLOOKUP(B548,'ADP'!A1:G665,7,FALSE))</f>
        <v>2</v>
      </c>
      <c r="I548" s="74">
        <f>IF('Settings'!$E$15="POINTS",((R548*Q548)*'Settings'!$B$12)+(S548*'Settings'!$B$2)+(T548*'Settings'!$B$3)+(U548*'Settings'!$B$4)+(V548*'Settings'!$B$5)+(X548*'Settings'!$B$9)+(AA548*'Settings'!$B$6)+(W548*'Settings'!$B$8)+(AB548*'Settings'!$B$7)+(AC548*'Settings'!$B$14)+(AD548*'Settings'!$B$15)+(AE548*'Settings'!$B$16)+(AF548*'Settings'!$B$17)+(AG548*'Settings'!$B$18)+(Y548*'Settings'!$B$10)+(Z548*'Settings'!$B$11),VLOOKUP(B548,'Standard Deviations'!A1:C666,3,FALSE))</f>
        <v>154.826644372950</v>
      </c>
      <c r="J548" s="75">
        <f>IF(D548="G",I548/AJ548,I548/Q548)</f>
        <v>2.01708815911084</v>
      </c>
      <c r="K548" s="74">
        <f>IF('Settings'!$E$18="C/LW/RW",VLOOKUP(B548,'C'!A1:F206,6,FALSE),VLOOKUP(B548,'F'!A1:F392,6,FALSE))</f>
        <v>-174.865249708228</v>
      </c>
      <c r="L548" s="76">
        <f>_xlfn.IFERROR(K548/H548,"N/A")</f>
        <v>-87.432624854114</v>
      </c>
      <c r="M548" s="109">
        <f>IF('Settings'!$E$9="YAHOO",VLOOKUP(B548,'ADP'!A1:E665,2,FALSE),IF('Settings'!$E$9="ESPN",VLOOKUP(B548,'ADP'!A1:E665,3,FALSE),IF('Settings'!$E$9="FANTRAX",VLOOKUP(B548,'ADP'!A1:E665,4,FALSE),VLOOKUP(B548,'ADP'!A1:E665,5,FALSE))))</f>
        <v>0</v>
      </c>
      <c r="N548" s="79">
        <f>_xlfn.IFERROR(M548-A548,"N/A")</f>
        <v>-563</v>
      </c>
      <c r="O548" s="77"/>
      <c r="P548" t="s" s="78">
        <f>IF('Settings'!$E$27="ON",VLOOKUP(B548,'ADP'!A1:H665,8,FALSE)," ")</f>
        <v>138</v>
      </c>
      <c r="Q548" s="79">
        <f>IF('Settings'!$E$12="YES",VLOOKUP(B548,'Player Data'!A1:E667,5,FALSE),82)</f>
        <v>76.75749999999999</v>
      </c>
      <c r="R548" s="108">
        <f>VLOOKUP(B548,'Player Data'!$A1:$AE667,6,FALSE)</f>
        <v>12.7847497152593</v>
      </c>
      <c r="S548" s="79">
        <f>VLOOKUP(B548,'Player Data'!$A1:$AE667,7,FALSE)*$Q548*_xlfn.IFERROR((VLOOKUP(P548,'Settings'!$E$28:$F$33,2,FALSE)+1),1)</f>
        <v>8.525140308281919</v>
      </c>
      <c r="T548" s="79">
        <f>VLOOKUP(B548,'Player Data'!$A1:$AE667,8,FALSE)*$Q548*_xlfn.IFERROR((VLOOKUP(P548,'Settings'!$E$28:$F$33,2,FALSE)+1),1)</f>
        <v>10.7277028691272</v>
      </c>
      <c r="U548" s="79">
        <f>SUM(S548:T548)</f>
        <v>19.2528431774091</v>
      </c>
      <c r="V548" s="79">
        <f>VLOOKUP(B548,'Player Data'!$A1:$AE667,10,FALSE)*$Q548*_xlfn.IFERROR(((VLOOKUP(P548,'Settings'!$E$28:$F$33,2,FALSE)/2)+1),1)</f>
        <v>89.659324309775</v>
      </c>
      <c r="W548" s="79">
        <f>VLOOKUP(B548,'Player Data'!$A1:$AE667,11,FALSE)*$Q548*_xlfn.IFERROR((VLOOKUP(P548,'Settings'!$E$28:$F$33,2,FALSE)+1),1)</f>
        <v>0.160614956275095</v>
      </c>
      <c r="X548" s="79">
        <f>VLOOKUP(B548,'Player Data'!$A1:$AE667,12,FALSE)*$Q548*_xlfn.IFERROR((VLOOKUP(P548,'Settings'!$E$28:$F$33,2,FALSE)+1),1)</f>
        <v>0.365885093614598</v>
      </c>
      <c r="Y548" s="79">
        <f>VLOOKUP(B548,'Player Data'!$A1:$AE667,13,FALSE)*$Q548</f>
        <v>0.707833607530796</v>
      </c>
      <c r="Z548" s="79">
        <f>VLOOKUP(B548,'Player Data'!$A1:$AE667,14,FALSE)*$Q548</f>
        <v>0.7768237852587619</v>
      </c>
      <c r="AA548" s="79">
        <f>VLOOKUP(B548,'Player Data'!$A1:$AE667,15,FALSE)*$Q548</f>
        <v>40.4637848405063</v>
      </c>
      <c r="AB548" s="79">
        <f>VLOOKUP(B548,'Player Data'!$A1:$AE667,16,FALSE)*$Q548</f>
        <v>83.1622708673725</v>
      </c>
      <c r="AC548" s="79">
        <f>VLOOKUP(B548,'Player Data'!$A1:$AE667,17,FALSE)*$Q548*_xlfn.IFERROR((VLOOKUP(P548,'Settings'!$E$28:$F$33,2,FALSE)+1),1)</f>
        <v>-9.351134834968139</v>
      </c>
      <c r="AD548" s="79">
        <f>VLOOKUP(B548,'Player Data'!$A1:$AE667,18,FALSE)*$Q548</f>
        <v>18.8707609717163</v>
      </c>
      <c r="AE548" s="79">
        <f>VLOOKUP(B548,'Player Data'!$A1:$AE667,19,FALSE)*$Q548*_xlfn.IFERROR((VLOOKUP(P548,'Settings'!$E$28:$F$33,2,FALSE)+1),1)</f>
        <v>0.910571301272875</v>
      </c>
      <c r="AF548" s="79">
        <f>VLOOKUP(B548,'Player Data'!$A1:$AE667,20,FALSE)*$Q548</f>
        <v>473.4192606648</v>
      </c>
      <c r="AG548" s="79">
        <f>VLOOKUP(B548,'Player Data'!$A1:$AE667,21,FALSE)*$Q548</f>
        <v>360.447602962996</v>
      </c>
      <c r="AH548" s="81">
        <f>VLOOKUP(B548,'Player Data'!$A1:$AE667,22,FALSE)</f>
        <v>0.567739625250435</v>
      </c>
      <c r="AI548" s="77"/>
      <c r="AJ548" s="79"/>
      <c r="AK548" s="79"/>
      <c r="AL548" s="79"/>
      <c r="AM548" s="79"/>
      <c r="AN548" s="79"/>
      <c r="AO548" s="79"/>
      <c r="AP548" s="79"/>
      <c r="AQ548" s="82"/>
      <c r="AR548" s="83"/>
      <c r="AS548" s="84"/>
    </row>
    <row r="549" ht="21.25" customHeight="1">
      <c r="A549" s="85">
        <f>RANK(K549,K$1:K$665)</f>
        <v>564</v>
      </c>
      <c r="B549" t="s" s="16">
        <v>739</v>
      </c>
      <c r="C549" t="s" s="69">
        <v>127</v>
      </c>
      <c r="D549" t="s" s="70">
        <f>VLOOKUP(B549,'Player Data'!A1:D667,4,FALSE)</f>
        <v>128</v>
      </c>
      <c r="E549" s="71">
        <f>VLOOKUP(B549,'C'!A1:C206,3,FALSE)</f>
        <v>175</v>
      </c>
      <c r="F549" t="s" s="78">
        <f>VLOOKUP(B549,'Player Data'!A1:B667,2,FALSE)</f>
        <v>204</v>
      </c>
      <c r="G549" s="96">
        <f>VLOOKUP(B549,'Player Data'!A1:D667,3,FALSE)</f>
        <v>22</v>
      </c>
      <c r="H549" s="73">
        <f>_xlfn.IFERROR(VLOOKUP(B549,'ADP'!A1:G665,7,FALSE)/1000000,VLOOKUP(B549,'ADP'!A1:G665,7,FALSE))</f>
        <v>0.894167</v>
      </c>
      <c r="I549" s="74">
        <f>IF('Settings'!$E$15="POINTS",((R549*Q549)*'Settings'!$B$12)+(S549*'Settings'!$B$2)+(T549*'Settings'!$B$3)+(U549*'Settings'!$B$4)+(V549*'Settings'!$B$5)+(X549*'Settings'!$B$9)+(AA549*'Settings'!$B$6)+(W549*'Settings'!$B$8)+(AB549*'Settings'!$B$7)+(AC549*'Settings'!$B$14)+(AD549*'Settings'!$B$15)+(AE549*'Settings'!$B$16)+(AF549*'Settings'!$B$17)+(AG549*'Settings'!$B$18)+(Y549*'Settings'!$B$10)+(Z549*'Settings'!$B$11),VLOOKUP(B549,'Standard Deviations'!A1:C666,3,FALSE))</f>
        <v>154.809912756428</v>
      </c>
      <c r="J549" s="75">
        <f>IF(D549="G",I549/AJ549,I549/Q549)</f>
        <v>2.15013767717261</v>
      </c>
      <c r="K549" s="74">
        <f>IF('Settings'!$E$18="C/LW/RW",VLOOKUP(B549,'C'!A1:F206,6,FALSE),VLOOKUP(B549,'F'!A1:F392,6,FALSE))</f>
        <v>-174.881981324750</v>
      </c>
      <c r="L549" s="76">
        <f>_xlfn.IFERROR(K549/H549,"N/A")</f>
        <v>-195.580894088856</v>
      </c>
      <c r="M549" s="109">
        <f>IF('Settings'!$E$9="YAHOO",VLOOKUP(B549,'ADP'!A1:E665,2,FALSE),IF('Settings'!$E$9="ESPN",VLOOKUP(B549,'ADP'!A1:E665,3,FALSE),IF('Settings'!$E$9="FANTRAX",VLOOKUP(B549,'ADP'!A1:E665,4,FALSE),VLOOKUP(B549,'ADP'!A1:E665,5,FALSE))))</f>
        <v>0</v>
      </c>
      <c r="N549" s="79">
        <f>_xlfn.IFERROR(M549-A549,"N/A")</f>
        <v>-564</v>
      </c>
      <c r="O549" s="77"/>
      <c r="P549" t="s" s="78">
        <f>IF('Settings'!$E$27="ON",VLOOKUP(B549,'ADP'!A1:H665,8,FALSE)," ")</f>
        <v>138</v>
      </c>
      <c r="Q549" s="79">
        <f>IF('Settings'!$E$12="YES",VLOOKUP(B549,'Player Data'!A1:E667,5,FALSE),82)</f>
        <v>72</v>
      </c>
      <c r="R549" s="77">
        <f>VLOOKUP(B549,'Player Data'!$A1:$AE667,6,FALSE)</f>
        <v>14</v>
      </c>
      <c r="S549" s="79">
        <f>VLOOKUP(B549,'Player Data'!$A1:$AE667,7,FALSE)*$Q549*_xlfn.IFERROR((VLOOKUP(P549,'Settings'!$E$28:$F$33,2,FALSE)+1),1)</f>
        <v>9.25010502943003</v>
      </c>
      <c r="T549" s="79">
        <f>VLOOKUP(B549,'Player Data'!$A1:$AE667,8,FALSE)*$Q549*_xlfn.IFERROR((VLOOKUP(P549,'Settings'!$E$28:$F$33,2,FALSE)+1),1)</f>
        <v>15.3624620294886</v>
      </c>
      <c r="U549" s="79">
        <f>SUM(S549:T549)</f>
        <v>24.6125670589186</v>
      </c>
      <c r="V549" s="79">
        <f>VLOOKUP(B549,'Player Data'!$A1:$AE667,10,FALSE)*$Q549*_xlfn.IFERROR(((VLOOKUP(P549,'Settings'!$E$28:$F$33,2,FALSE)/2)+1),1)</f>
        <v>98.792566809053</v>
      </c>
      <c r="W549" s="79">
        <f>VLOOKUP(B549,'Player Data'!$A1:$AE667,11,FALSE)*$Q549*_xlfn.IFERROR((VLOOKUP(P549,'Settings'!$E$28:$F$33,2,FALSE)+1),1)</f>
        <v>1.3900715016978</v>
      </c>
      <c r="X549" s="79">
        <f>VLOOKUP(B549,'Player Data'!$A1:$AE667,12,FALSE)*$Q549*_xlfn.IFERROR((VLOOKUP(P549,'Settings'!$E$28:$F$33,2,FALSE)+1),1)</f>
        <v>3.69868536015281</v>
      </c>
      <c r="Y549" s="79">
        <f>VLOOKUP(B549,'Player Data'!$A1:$AE667,13,FALSE)*$Q549</f>
        <v>0</v>
      </c>
      <c r="Z549" s="79">
        <f>VLOOKUP(B549,'Player Data'!$A1:$AE667,14,FALSE)*$Q549</f>
        <v>0</v>
      </c>
      <c r="AA549" s="79">
        <f>VLOOKUP(B549,'Player Data'!$A1:$AE667,15,FALSE)*$Q549</f>
        <v>30.2048780487805</v>
      </c>
      <c r="AB549" s="79">
        <f>VLOOKUP(B549,'Player Data'!$A1:$AE667,16,FALSE)*$Q549</f>
        <v>85.18265303524269</v>
      </c>
      <c r="AC549" s="79">
        <f>VLOOKUP(B549,'Player Data'!$A1:$AE667,17,FALSE)*$Q549*_xlfn.IFERROR((VLOOKUP(P549,'Settings'!$E$28:$F$33,2,FALSE)+1),1)</f>
        <v>3.99950070183424</v>
      </c>
      <c r="AD549" s="79">
        <f>VLOOKUP(B549,'Player Data'!$A1:$AE667,18,FALSE)*$Q549</f>
        <v>29.0928166836123</v>
      </c>
      <c r="AE549" s="79">
        <f>VLOOKUP(B549,'Player Data'!$A1:$AE667,19,FALSE)*$Q549*_xlfn.IFERROR((VLOOKUP(P549,'Settings'!$E$28:$F$33,2,FALSE)+1),1)</f>
        <v>1.47926489861453</v>
      </c>
      <c r="AF549" s="79">
        <f>VLOOKUP(B549,'Player Data'!$A1:$AE667,20,FALSE)*$Q549</f>
        <v>87.8048780487804</v>
      </c>
      <c r="AG549" s="79">
        <f>VLOOKUP(B549,'Player Data'!$A1:$AE667,21,FALSE)*$Q549</f>
        <v>131.707317073171</v>
      </c>
      <c r="AH549" s="81">
        <f>VLOOKUP(B549,'Player Data'!$A1:$AE667,22,FALSE)</f>
        <v>0.4</v>
      </c>
      <c r="AI549" s="77"/>
      <c r="AJ549" s="89"/>
      <c r="AK549" s="79"/>
      <c r="AL549" s="79"/>
      <c r="AM549" s="79"/>
      <c r="AN549" s="79"/>
      <c r="AO549" s="79"/>
      <c r="AP549" s="79"/>
      <c r="AQ549" s="82"/>
      <c r="AR549" s="83"/>
      <c r="AS549" s="84"/>
    </row>
    <row r="550" ht="21.25" customHeight="1">
      <c r="A550" s="85">
        <f>RANK(K550,K$1:K$665)</f>
        <v>566</v>
      </c>
      <c r="B550" t="s" s="16">
        <v>740</v>
      </c>
      <c r="C550" t="s" s="69">
        <v>127</v>
      </c>
      <c r="D550" t="s" s="70">
        <f>VLOOKUP(B550,'Player Data'!A1:D667,4,FALSE)</f>
        <v>128</v>
      </c>
      <c r="E550" s="71">
        <f>VLOOKUP(B550,'C'!A1:C206,3,FALSE)</f>
        <v>176</v>
      </c>
      <c r="F550" t="s" s="103">
        <f>VLOOKUP(B550,'Player Data'!A1:B667,2,FALSE)</f>
        <v>182</v>
      </c>
      <c r="G550" s="11">
        <f>VLOOKUP(B550,'Player Data'!A1:D667,3,FALSE)</f>
        <v>24</v>
      </c>
      <c r="H550" s="94">
        <f>_xlfn.IFERROR(VLOOKUP(B550,'ADP'!A1:G665,7,FALSE)/1000000,VLOOKUP(B550,'ADP'!A1:G665,7,FALSE))</f>
        <v>0.7875</v>
      </c>
      <c r="I550" s="74">
        <f>IF('Settings'!$E$15="POINTS",((R550*Q550)*'Settings'!$B$12)+(S550*'Settings'!$B$2)+(T550*'Settings'!$B$3)+(U550*'Settings'!$B$4)+(V550*'Settings'!$B$5)+(X550*'Settings'!$B$9)+(AA550*'Settings'!$B$6)+(W550*'Settings'!$B$8)+(AB550*'Settings'!$B$7)+(AC550*'Settings'!$B$14)+(AD550*'Settings'!$B$15)+(AE550*'Settings'!$B$16)+(AF550*'Settings'!$B$17)+(AG550*'Settings'!$B$18)+(Y550*'Settings'!$B$10)+(Z550*'Settings'!$B$11),VLOOKUP(B550,'Standard Deviations'!A1:C666,3,FALSE))</f>
        <v>154.465703819208</v>
      </c>
      <c r="J550" s="75">
        <f>IF(D550="G",I550/AJ550,I550/Q550)</f>
        <v>2.40929153939104</v>
      </c>
      <c r="K550" s="74">
        <f>IF('Settings'!$E$18="C/LW/RW",VLOOKUP(B550,'C'!A1:F206,6,FALSE),VLOOKUP(B550,'F'!A1:F392,6,FALSE))</f>
        <v>-175.226190261970</v>
      </c>
      <c r="L550" s="76">
        <f>_xlfn.IFERROR(K550/H550,"N/A")</f>
        <v>-222.509447951708</v>
      </c>
      <c r="M550" s="109">
        <f>IF('Settings'!$E$9="YAHOO",VLOOKUP(B550,'ADP'!A1:E665,2,FALSE),IF('Settings'!$E$9="ESPN",VLOOKUP(B550,'ADP'!A1:E665,3,FALSE),IF('Settings'!$E$9="FANTRAX",VLOOKUP(B550,'ADP'!A1:E665,4,FALSE),VLOOKUP(B550,'ADP'!A1:E665,5,FALSE))))</f>
        <v>0</v>
      </c>
      <c r="N550" s="79">
        <f>_xlfn.IFERROR(M550-A550,"N/A")</f>
        <v>-566</v>
      </c>
      <c r="O550" s="77"/>
      <c r="P550" t="s" s="78">
        <f>IF('Settings'!$E$27="ON",VLOOKUP(B550,'ADP'!A1:H665,8,FALSE)," ")</f>
        <v>138</v>
      </c>
      <c r="Q550" s="79">
        <f>IF('Settings'!$E$12="YES",VLOOKUP(B550,'Player Data'!A1:E667,5,FALSE),82)</f>
        <v>64.1125</v>
      </c>
      <c r="R550" s="77">
        <f>VLOOKUP(B550,'Player Data'!$A1:$AE667,6,FALSE)</f>
        <v>9.79071020151294</v>
      </c>
      <c r="S550" s="79">
        <f>VLOOKUP(B550,'Player Data'!$A1:$AE667,7,FALSE)*$Q550*_xlfn.IFERROR((VLOOKUP(P550,'Settings'!$E$28:$F$33,2,FALSE)+1),1)</f>
        <v>5.06406538671803</v>
      </c>
      <c r="T550" s="79">
        <f>VLOOKUP(B550,'Player Data'!$A1:$AE667,8,FALSE)*$Q550*_xlfn.IFERROR((VLOOKUP(P550,'Settings'!$E$28:$F$33,2,FALSE)+1),1)</f>
        <v>8.82961052235386</v>
      </c>
      <c r="U550" s="79">
        <f>SUM(S550:T550)</f>
        <v>13.8936759090719</v>
      </c>
      <c r="V550" s="79">
        <f>VLOOKUP(B550,'Player Data'!$A1:$AE667,10,FALSE)*$Q550*_xlfn.IFERROR(((VLOOKUP(P550,'Settings'!$E$28:$F$33,2,FALSE)/2)+1),1)</f>
        <v>50.7561670572363</v>
      </c>
      <c r="W550" s="79">
        <f>VLOOKUP(B550,'Player Data'!$A1:$AE667,11,FALSE)*$Q550*_xlfn.IFERROR((VLOOKUP(P550,'Settings'!$E$28:$F$33,2,FALSE)+1),1)</f>
        <v>0.0610378564859281</v>
      </c>
      <c r="X550" s="79">
        <f>VLOOKUP(B550,'Player Data'!$A1:$AE667,12,FALSE)*$Q550*_xlfn.IFERROR((VLOOKUP(P550,'Settings'!$E$28:$F$33,2,FALSE)+1),1)</f>
        <v>0.140005387359459</v>
      </c>
      <c r="Y550" s="79">
        <f>VLOOKUP(B550,'Player Data'!$A1:$AE667,13,FALSE)*$Q550</f>
        <v>0.0380091289265818</v>
      </c>
      <c r="Z550" s="79">
        <f>VLOOKUP(B550,'Player Data'!$A1:$AE667,14,FALSE)*$Q550</f>
        <v>0.0638710899532724</v>
      </c>
      <c r="AA550" s="79">
        <f>VLOOKUP(B550,'Player Data'!$A1:$AE667,15,FALSE)*$Q550</f>
        <v>25.4423262360583</v>
      </c>
      <c r="AB550" s="79">
        <f>VLOOKUP(B550,'Player Data'!$A1:$AE667,16,FALSE)*$Q550</f>
        <v>160.801385525039</v>
      </c>
      <c r="AC550" s="79">
        <f>VLOOKUP(B550,'Player Data'!$A1:$AE667,17,FALSE)*$Q550*_xlfn.IFERROR((VLOOKUP(P550,'Settings'!$E$28:$F$33,2,FALSE)+1),1)</f>
        <v>1.06779596088737</v>
      </c>
      <c r="AD550" s="79">
        <f>VLOOKUP(B550,'Player Data'!$A1:$AE667,18,FALSE)*$Q550</f>
        <v>25.7483539663589</v>
      </c>
      <c r="AE550" s="79">
        <f>VLOOKUP(B550,'Player Data'!$A1:$AE667,19,FALSE)*$Q550*_xlfn.IFERROR((VLOOKUP(P550,'Settings'!$E$28:$F$33,2,FALSE)+1),1)</f>
        <v>0.835971493347347</v>
      </c>
      <c r="AF550" s="79">
        <f>VLOOKUP(B550,'Player Data'!$A1:$AE667,20,FALSE)*$Q550</f>
        <v>5.68752370126295</v>
      </c>
      <c r="AG550" s="79">
        <f>VLOOKUP(B550,'Player Data'!$A1:$AE667,21,FALSE)*$Q550</f>
        <v>11.0424430340491</v>
      </c>
      <c r="AH550" s="81">
        <f>VLOOKUP(B550,'Player Data'!$A1:$AE667,22,FALSE)</f>
        <v>0.339960251639846</v>
      </c>
      <c r="AI550" s="77"/>
      <c r="AJ550" s="79"/>
      <c r="AK550" s="79"/>
      <c r="AL550" s="79"/>
      <c r="AM550" s="79"/>
      <c r="AN550" s="79"/>
      <c r="AO550" s="79"/>
      <c r="AP550" s="79"/>
      <c r="AQ550" s="82"/>
      <c r="AR550" s="83"/>
      <c r="AS550" s="84"/>
    </row>
    <row r="551" ht="21.25" customHeight="1">
      <c r="A551" s="85">
        <f>RANK(K551,K$1:K$665)</f>
        <v>555</v>
      </c>
      <c r="B551" t="s" s="16">
        <v>741</v>
      </c>
      <c r="C551" t="s" s="69">
        <v>127</v>
      </c>
      <c r="D551" t="s" s="70">
        <f>VLOOKUP(B551,'Player Data'!A1:D667,4,FALSE)</f>
        <v>178</v>
      </c>
      <c r="E551" s="102">
        <f>VLOOKUP(B551,'LW'!A1:C152,3,FALSE)</f>
        <v>124</v>
      </c>
      <c r="F551" t="s" s="88">
        <f>VLOOKUP(B551,'Player Data'!A1:B667,2,FALSE)</f>
        <v>304</v>
      </c>
      <c r="G551" s="11">
        <f>VLOOKUP(B551,'Player Data'!A1:D667,3,FALSE)</f>
        <v>29</v>
      </c>
      <c r="H551" s="73">
        <f>_xlfn.IFERROR(VLOOKUP(B551,'ADP'!A1:G665,7,FALSE)/1000000,VLOOKUP(B551,'ADP'!A1:G665,7,FALSE))</f>
        <v>5.5</v>
      </c>
      <c r="I551" s="74">
        <f>IF('Settings'!$E$15="POINTS",((R551*Q551)*'Settings'!$B$12)+(S551*'Settings'!$B$2)+(T551*'Settings'!$B$3)+(U551*'Settings'!$B$4)+(V551*'Settings'!$B$5)+(X551*'Settings'!$B$9)+(AA551*'Settings'!$B$6)+(W551*'Settings'!$B$8)+(AB551*'Settings'!$B$7)+(AC551*'Settings'!$B$14)+(AD551*'Settings'!$B$15)+(AE551*'Settings'!$B$16)+(AF551*'Settings'!$B$17)+(AG551*'Settings'!$B$18)+(Y551*'Settings'!$B$10)+(Z551*'Settings'!$B$11),VLOOKUP(B551,'Standard Deviations'!A1:C666,3,FALSE))</f>
        <v>159.358744932452</v>
      </c>
      <c r="J551" s="75">
        <f>IF(D551="G",I551/AJ551,I551/Q551)</f>
        <v>2.23082165510537</v>
      </c>
      <c r="K551" s="74">
        <f>IF('Settings'!$E$18="C/LW/RW",VLOOKUP(B551,'LW'!A1:F152,6,FALSE),VLOOKUP(B551,'F'!A1:F392,6,FALSE))</f>
        <v>-172.361366833760</v>
      </c>
      <c r="L551" s="76">
        <f>_xlfn.IFERROR(K551/H551,"N/A")</f>
        <v>-31.3384303334109</v>
      </c>
      <c r="M551" s="109">
        <f>IF('Settings'!$E$9="YAHOO",VLOOKUP(B551,'ADP'!A1:E665,2,FALSE),IF('Settings'!$E$9="ESPN",VLOOKUP(B551,'ADP'!A1:E665,3,FALSE),IF('Settings'!$E$9="FANTRAX",VLOOKUP(B551,'ADP'!A1:E665,4,FALSE),VLOOKUP(B551,'ADP'!A1:E665,5,FALSE))))</f>
        <v>0</v>
      </c>
      <c r="N551" s="79">
        <f>_xlfn.IFERROR(M551-A551,"N/A")</f>
        <v>-555</v>
      </c>
      <c r="O551" s="77"/>
      <c r="P551" t="s" s="78">
        <f>IF('Settings'!$E$27="ON",VLOOKUP(B551,'ADP'!A1:H665,8,FALSE)," ")</f>
        <v>138</v>
      </c>
      <c r="Q551" s="79">
        <f>IF('Settings'!$E$12="YES",VLOOKUP(B551,'Player Data'!A1:E667,5,FALSE),82)</f>
        <v>71.435</v>
      </c>
      <c r="R551" s="77">
        <f>VLOOKUP(B551,'Player Data'!$A1:$AE667,6,FALSE)</f>
        <v>14.5269907121278</v>
      </c>
      <c r="S551" s="79">
        <f>VLOOKUP(B551,'Player Data'!$A1:$AE667,7,FALSE)*$Q551*_xlfn.IFERROR((VLOOKUP(P551,'Settings'!$E$28:$F$33,2,FALSE)+1),1)</f>
        <v>13.0119352007532</v>
      </c>
      <c r="T551" s="79">
        <f>VLOOKUP(B551,'Player Data'!$A1:$AE667,8,FALSE)*$Q551*_xlfn.IFERROR((VLOOKUP(P551,'Settings'!$E$28:$F$33,2,FALSE)+1),1)</f>
        <v>22.163027511674</v>
      </c>
      <c r="U551" s="79">
        <f>SUM(S551:T551)</f>
        <v>35.1749627124272</v>
      </c>
      <c r="V551" s="79">
        <f>VLOOKUP(B551,'Player Data'!$A1:$AE667,10,FALSE)*$Q551*_xlfn.IFERROR(((VLOOKUP(P551,'Settings'!$E$28:$F$33,2,FALSE)/2)+1),1)</f>
        <v>127.372295480084</v>
      </c>
      <c r="W551" s="79">
        <f>VLOOKUP(B551,'Player Data'!$A1:$AE667,11,FALSE)*$Q551*_xlfn.IFERROR((VLOOKUP(P551,'Settings'!$E$28:$F$33,2,FALSE)+1),1)</f>
        <v>4.03158979133367</v>
      </c>
      <c r="X551" s="79">
        <f>VLOOKUP(B551,'Player Data'!$A1:$AE667,12,FALSE)*$Q551*_xlfn.IFERROR((VLOOKUP(P551,'Settings'!$E$28:$F$33,2,FALSE)+1),1)</f>
        <v>9.736831034215131</v>
      </c>
      <c r="Y551" s="79">
        <f>VLOOKUP(B551,'Player Data'!$A1:$AE667,13,FALSE)*$Q551</f>
        <v>0</v>
      </c>
      <c r="Z551" s="79">
        <f>VLOOKUP(B551,'Player Data'!$A1:$AE667,14,FALSE)*$Q551</f>
        <v>0</v>
      </c>
      <c r="AA551" s="79">
        <f>VLOOKUP(B551,'Player Data'!$A1:$AE667,15,FALSE)*$Q551</f>
        <v>23.4234755713721</v>
      </c>
      <c r="AB551" s="79">
        <f>VLOOKUP(B551,'Player Data'!$A1:$AE667,16,FALSE)*$Q551</f>
        <v>33.2853409755905</v>
      </c>
      <c r="AC551" s="79">
        <f>VLOOKUP(B551,'Player Data'!$A1:$AE667,17,FALSE)*$Q551*_xlfn.IFERROR((VLOOKUP(P551,'Settings'!$E$28:$F$33,2,FALSE)+1),1)</f>
        <v>-1.72463399609215</v>
      </c>
      <c r="AD551" s="79">
        <f>VLOOKUP(B551,'Player Data'!$A1:$AE667,18,FALSE)*$Q551</f>
        <v>20.1683146885459</v>
      </c>
      <c r="AE551" s="79">
        <f>VLOOKUP(B551,'Player Data'!$A1:$AE667,19,FALSE)*$Q551*_xlfn.IFERROR((VLOOKUP(P551,'Settings'!$E$28:$F$33,2,FALSE)+1),1)</f>
        <v>1.97583205350469</v>
      </c>
      <c r="AF551" s="79">
        <f>VLOOKUP(B551,'Player Data'!$A1:$AE667,20,FALSE)*$Q551</f>
        <v>3.1603859805534</v>
      </c>
      <c r="AG551" s="79">
        <f>VLOOKUP(B551,'Player Data'!$A1:$AE667,21,FALSE)*$Q551</f>
        <v>7.0976943805002</v>
      </c>
      <c r="AH551" s="81">
        <f>VLOOKUP(B551,'Player Data'!$A1:$AE667,22,FALSE)</f>
        <v>0.308087465619035</v>
      </c>
      <c r="AI551" s="77"/>
      <c r="AJ551" s="79"/>
      <c r="AK551" s="79"/>
      <c r="AL551" s="79"/>
      <c r="AM551" s="79"/>
      <c r="AN551" s="79"/>
      <c r="AO551" s="79"/>
      <c r="AP551" s="79"/>
      <c r="AQ551" s="82"/>
      <c r="AR551" s="83"/>
      <c r="AS551" s="84"/>
    </row>
    <row r="552" ht="21.25" customHeight="1">
      <c r="A552" s="85">
        <f>RANK(K552,K$1:K$665)</f>
        <v>530</v>
      </c>
      <c r="B552" t="s" s="16">
        <v>742</v>
      </c>
      <c r="C552" t="s" s="69">
        <v>127</v>
      </c>
      <c r="D552" t="s" s="70">
        <f>VLOOKUP(B552,'Player Data'!A1:D667,4,FALSE)</f>
        <v>153</v>
      </c>
      <c r="E552" s="95">
        <f>VLOOKUP(B552,'D'!A1:C213,3,FALSE)</f>
        <v>178</v>
      </c>
      <c r="F552" t="s" s="86">
        <f>VLOOKUP(B552,'Player Data'!A1:B667,2,FALSE)</f>
        <v>192</v>
      </c>
      <c r="G552" s="91">
        <f>VLOOKUP(B552,'Player Data'!A1:D667,3,FALSE)</f>
        <v>33</v>
      </c>
      <c r="H552" s="73">
        <f>_xlfn.IFERROR(VLOOKUP(B552,'ADP'!A1:G665,7,FALSE)/1000000,VLOOKUP(B552,'ADP'!A1:G665,7,FALSE))</f>
        <v>3</v>
      </c>
      <c r="I552" s="74">
        <f>IF('Settings'!$E$15="POINTS",((R552*Q552)*'Settings'!$B$12)+(S552*'Settings'!$B$2)+(T552*'Settings'!$B$3)+(U552*'Settings'!$B$4)+(V552*'Settings'!$B$5)+(X552*'Settings'!$B$9)+(AA552*'Settings'!$B$6)+(W552*'Settings'!$B$8)+(AB552*'Settings'!$B$7)+(AC552*'Settings'!$B$14)+(AD552*'Settings'!$B$15)+(AE552*'Settings'!$B$16)+(AF552*'Settings'!$B$17)+(AG552*'Settings'!$B$18)+(U552*'Settings'!$B$13)+(Y552*'Settings'!$B$10)+(Z552*'Settings'!$B$11),VLOOKUP(B552,'Standard Deviations'!A1:C666,3,FALSE))</f>
        <v>166.100265916976</v>
      </c>
      <c r="J552" s="75">
        <f>IF(D552="G",I552/AJ552,I552/Q552)</f>
        <v>2.13119827960835</v>
      </c>
      <c r="K552" s="74">
        <f>VLOOKUP(B552,'D'!A1:F213,6,FALSE)</f>
        <v>-165.439942003106</v>
      </c>
      <c r="L552" s="76">
        <f>_xlfn.IFERROR(K552/H552,"N/A")</f>
        <v>-55.1466473343687</v>
      </c>
      <c r="M552" s="109">
        <f>IF('Settings'!$E$9="YAHOO",VLOOKUP(B552,'ADP'!A1:E665,2,FALSE),IF('Settings'!$E$9="ESPN",VLOOKUP(B552,'ADP'!A1:E665,3,FALSE),IF('Settings'!$E$9="FANTRAX",VLOOKUP(B552,'ADP'!A1:E665,4,FALSE),VLOOKUP(B552,'ADP'!A1:E665,5,FALSE))))</f>
        <v>0</v>
      </c>
      <c r="N552" s="79">
        <f>_xlfn.IFERROR(M552-A552,"N/A")</f>
        <v>-530</v>
      </c>
      <c r="O552" s="77"/>
      <c r="P552" t="s" s="78">
        <f>IF('Settings'!$E$27="ON",VLOOKUP(B552,'ADP'!A1:H665,8,FALSE)," ")</f>
        <v>138</v>
      </c>
      <c r="Q552" s="79">
        <f>IF('Settings'!$E$12="YES",VLOOKUP(B552,'Player Data'!A1:E667,5,FALSE),82)</f>
        <v>77.9375</v>
      </c>
      <c r="R552" s="108">
        <f>VLOOKUP(B552,'Player Data'!$A1:$AE667,6,FALSE)</f>
        <v>16.9117603920745</v>
      </c>
      <c r="S552" s="79">
        <f>VLOOKUP(B552,'Player Data'!$A1:$AE667,7,FALSE)*$Q552*_xlfn.IFERROR((VLOOKUP(P552,'Settings'!$E$28:$F$33,2,FALSE)+1),1)</f>
        <v>2.49822705328305</v>
      </c>
      <c r="T552" s="79">
        <f>VLOOKUP(B552,'Player Data'!$A1:$AE667,8,FALSE)*$Q552*_xlfn.IFERROR((VLOOKUP(P552,'Settings'!$E$28:$F$33,2,FALSE)+1),1)</f>
        <v>13.8136450400195</v>
      </c>
      <c r="U552" s="79">
        <f>SUM(S552:T552)</f>
        <v>16.3118720933026</v>
      </c>
      <c r="V552" s="79">
        <f>VLOOKUP(B552,'Player Data'!$A1:$AE667,10,FALSE)*$Q552*_xlfn.IFERROR(((VLOOKUP(P552,'Settings'!$E$28:$F$33,2,FALSE)/2)+1),1)</f>
        <v>75.4323968185755</v>
      </c>
      <c r="W552" s="79">
        <f>VLOOKUP(B552,'Player Data'!$A1:$AE667,11,FALSE)*$Q552*_xlfn.IFERROR((VLOOKUP(P552,'Settings'!$E$28:$F$33,2,FALSE)+1),1)</f>
        <v>0.0146542035889652</v>
      </c>
      <c r="X552" s="79">
        <f>VLOOKUP(B552,'Player Data'!$A1:$AE667,12,FALSE)*$Q552*_xlfn.IFERROR((VLOOKUP(P552,'Settings'!$E$28:$F$33,2,FALSE)+1),1)</f>
        <v>0.135996586990705</v>
      </c>
      <c r="Y552" s="79">
        <f>VLOOKUP(B552,'Player Data'!$A1:$AE667,13,FALSE)*$Q552</f>
        <v>0.0260402738787151</v>
      </c>
      <c r="Z552" s="79">
        <f>VLOOKUP(B552,'Player Data'!$A1:$AE667,14,FALSE)*$Q552</f>
        <v>0.657722150103038</v>
      </c>
      <c r="AA552" s="79">
        <f>VLOOKUP(B552,'Player Data'!$A1:$AE667,15,FALSE)*$Q552</f>
        <v>118.705946075569</v>
      </c>
      <c r="AB552" s="79">
        <f>VLOOKUP(B552,'Player Data'!$A1:$AE667,16,FALSE)*$Q552</f>
        <v>42.4471612592742</v>
      </c>
      <c r="AC552" s="79">
        <f>VLOOKUP(B552,'Player Data'!$A1:$AE667,17,FALSE)*$Q552*_xlfn.IFERROR((VLOOKUP(P552,'Settings'!$E$28:$F$33,2,FALSE)+1),1)</f>
        <v>-0.9372423487818</v>
      </c>
      <c r="AD552" s="79">
        <f>VLOOKUP(B552,'Player Data'!$A1:$AE667,18,FALSE)*$Q552</f>
        <v>22.5345599495102</v>
      </c>
      <c r="AE552" s="79">
        <f>VLOOKUP(B552,'Player Data'!$A1:$AE667,19,FALSE)*$Q552*_xlfn.IFERROR((VLOOKUP(P552,'Settings'!$E$28:$F$33,2,FALSE)+1),1)</f>
        <v>0.354529734222283</v>
      </c>
      <c r="AF552" s="79">
        <f>VLOOKUP(B552,'Player Data'!$A1:$AE667,20,FALSE)*$Q552</f>
        <v>0</v>
      </c>
      <c r="AG552" s="79">
        <f>VLOOKUP(B552,'Player Data'!$A1:$AE667,21,FALSE)*$Q552</f>
        <v>0</v>
      </c>
      <c r="AH552" s="81">
        <f>VLOOKUP(B552,'Player Data'!$A1:$AE667,22,FALSE)</f>
        <v>0</v>
      </c>
      <c r="AI552" s="77"/>
      <c r="AJ552" s="79"/>
      <c r="AK552" s="79"/>
      <c r="AL552" s="79"/>
      <c r="AM552" s="79"/>
      <c r="AN552" s="79"/>
      <c r="AO552" s="79"/>
      <c r="AP552" s="79"/>
      <c r="AQ552" s="82"/>
      <c r="AR552" s="83"/>
      <c r="AS552" s="84"/>
    </row>
    <row r="553" ht="21.25" customHeight="1">
      <c r="A553" s="85">
        <f>RANK(K553,K$1:K$665)</f>
        <v>551</v>
      </c>
      <c r="B553" t="s" s="16">
        <v>743</v>
      </c>
      <c r="C553" t="s" s="69">
        <v>127</v>
      </c>
      <c r="D553" t="s" s="70">
        <f>VLOOKUP(B553,'Player Data'!A1:D667,4,FALSE)</f>
        <v>140</v>
      </c>
      <c r="E553" s="90">
        <f>VLOOKUP(B553,'RW'!A1:F136,3,FALSE)</f>
        <v>111</v>
      </c>
      <c r="F553" t="s" s="86">
        <f>VLOOKUP(B553,'Player Data'!A1:B667,2,FALSE)</f>
        <v>156</v>
      </c>
      <c r="G553" s="11">
        <f>VLOOKUP(B553,'Player Data'!A1:D667,3,FALSE)</f>
        <v>27</v>
      </c>
      <c r="H553" s="94">
        <f>_xlfn.IFERROR(VLOOKUP(B553,'ADP'!A1:G665,7,FALSE)/1000000,VLOOKUP(B553,'ADP'!A1:G665,7,FALSE))</f>
        <v>1.125</v>
      </c>
      <c r="I553" s="74">
        <f>IF('Settings'!$E$15="POINTS",((R553*Q553)*'Settings'!$B$12)+(S553*'Settings'!$B$2)+(T553*'Settings'!$B$3)+(U553*'Settings'!$B$4)+(V553*'Settings'!$B$5)+(X553*'Settings'!$B$9)+(AA553*'Settings'!$B$6)+(W553*'Settings'!$B$8)+(AB553*'Settings'!$B$7)+(AC553*'Settings'!$B$14)+(AD553*'Settings'!$B$15)+(AE553*'Settings'!$B$16)+(AF553*'Settings'!$B$17)+(AG553*'Settings'!$B$18)+(Y553*'Settings'!$B$10)+(Z553*'Settings'!$B$11),VLOOKUP(B553,'Standard Deviations'!A1:C666,3,FALSE))</f>
        <v>159.070096184988</v>
      </c>
      <c r="J553" s="75">
        <f>IF(D553="G",I553/AJ553,I553/Q553)</f>
        <v>2.03096295681302</v>
      </c>
      <c r="K553" s="74">
        <f>IF('Settings'!$E$18="C/LW/RW",VLOOKUP(B553,'RW'!A1:F136,6,FALSE),VLOOKUP(B553,'F'!A1:F392,6,FALSE))</f>
        <v>-170.621797896190</v>
      </c>
      <c r="L553" s="76">
        <f>_xlfn.IFERROR(K553/H553,"N/A")</f>
        <v>-151.663820352169</v>
      </c>
      <c r="M553" s="109">
        <f>IF('Settings'!$E$9="YAHOO",VLOOKUP(B553,'ADP'!A1:E665,2,FALSE),IF('Settings'!$E$9="ESPN",VLOOKUP(B553,'ADP'!A1:E665,3,FALSE),IF('Settings'!$E$9="FANTRAX",VLOOKUP(B553,'ADP'!A1:E665,4,FALSE),VLOOKUP(B553,'ADP'!A1:E665,5,FALSE))))</f>
        <v>0</v>
      </c>
      <c r="N553" s="79">
        <f>_xlfn.IFERROR(M553-A553,"N/A")</f>
        <v>-551</v>
      </c>
      <c r="O553" s="77"/>
      <c r="P553" t="s" s="78">
        <f>IF('Settings'!$E$27="ON",VLOOKUP(B553,'ADP'!A1:H665,8,FALSE)," ")</f>
        <v>138</v>
      </c>
      <c r="Q553" s="79">
        <f>IF('Settings'!$E$12="YES",VLOOKUP(B553,'Player Data'!A1:E667,5,FALSE),82)</f>
        <v>78.32250000000001</v>
      </c>
      <c r="R553" s="77">
        <f>VLOOKUP(B553,'Player Data'!$A1:$AE667,6,FALSE)</f>
        <v>11.4260234344739</v>
      </c>
      <c r="S553" s="79">
        <f>VLOOKUP(B553,'Player Data'!$A1:$AE667,7,FALSE)*$Q553*_xlfn.IFERROR((VLOOKUP(P553,'Settings'!$E$28:$F$33,2,FALSE)+1),1)</f>
        <v>7.05169995177091</v>
      </c>
      <c r="T553" s="79">
        <f>VLOOKUP(B553,'Player Data'!$A1:$AE667,8,FALSE)*$Q553*_xlfn.IFERROR((VLOOKUP(P553,'Settings'!$E$28:$F$33,2,FALSE)+1),1)</f>
        <v>11.6648655310431</v>
      </c>
      <c r="U553" s="79">
        <f>SUM(S553:T553)</f>
        <v>18.716565482814</v>
      </c>
      <c r="V553" s="79">
        <f>VLOOKUP(B553,'Player Data'!$A1:$AE667,10,FALSE)*$Q553*_xlfn.IFERROR(((VLOOKUP(P553,'Settings'!$E$28:$F$33,2,FALSE)/2)+1),1)</f>
        <v>89.4724375503326</v>
      </c>
      <c r="W553" s="79">
        <f>VLOOKUP(B553,'Player Data'!$A1:$AE667,11,FALSE)*$Q553*_xlfn.IFERROR((VLOOKUP(P553,'Settings'!$E$28:$F$33,2,FALSE)+1),1)</f>
        <v>0.0644906673561931</v>
      </c>
      <c r="X553" s="79">
        <f>VLOOKUP(B553,'Player Data'!$A1:$AE667,12,FALSE)*$Q553*_xlfn.IFERROR((VLOOKUP(P553,'Settings'!$E$28:$F$33,2,FALSE)+1),1)</f>
        <v>0.156084564215477</v>
      </c>
      <c r="Y553" s="79">
        <f>VLOOKUP(B553,'Player Data'!$A1:$AE667,13,FALSE)*$Q553</f>
        <v>0.525287514885607</v>
      </c>
      <c r="Z553" s="79">
        <f>VLOOKUP(B553,'Player Data'!$A1:$AE667,14,FALSE)*$Q553</f>
        <v>0.583561010681752</v>
      </c>
      <c r="AA553" s="79">
        <f>VLOOKUP(B553,'Player Data'!$A1:$AE667,15,FALSE)*$Q553</f>
        <v>31.573591808303</v>
      </c>
      <c r="AB553" s="79">
        <f>VLOOKUP(B553,'Player Data'!$A1:$AE667,16,FALSE)*$Q553</f>
        <v>124.842255443013</v>
      </c>
      <c r="AC553" s="79">
        <f>VLOOKUP(B553,'Player Data'!$A1:$AE667,17,FALSE)*$Q553*_xlfn.IFERROR((VLOOKUP(P553,'Settings'!$E$28:$F$33,2,FALSE)+1),1)</f>
        <v>-2.98685878254261</v>
      </c>
      <c r="AD553" s="79">
        <f>VLOOKUP(B553,'Player Data'!$A1:$AE667,18,FALSE)*$Q553</f>
        <v>24.1500731907767</v>
      </c>
      <c r="AE553" s="79">
        <f>VLOOKUP(B553,'Player Data'!$A1:$AE667,19,FALSE)*$Q553*_xlfn.IFERROR((VLOOKUP(P553,'Settings'!$E$28:$F$33,2,FALSE)+1),1)</f>
        <v>0.968499265043783</v>
      </c>
      <c r="AF553" s="79">
        <f>VLOOKUP(B553,'Player Data'!$A1:$AE667,20,FALSE)*$Q553</f>
        <v>56.7072831237293</v>
      </c>
      <c r="AG553" s="79">
        <f>VLOOKUP(B553,'Player Data'!$A1:$AE667,21,FALSE)*$Q553</f>
        <v>133.555747574928</v>
      </c>
      <c r="AH553" s="81">
        <f>VLOOKUP(B553,'Player Data'!$A1:$AE667,22,FALSE)</f>
        <v>0.298046777219393</v>
      </c>
      <c r="AI553" s="77"/>
      <c r="AJ553" s="89"/>
      <c r="AK553" s="79"/>
      <c r="AL553" s="79"/>
      <c r="AM553" s="79"/>
      <c r="AN553" s="79"/>
      <c r="AO553" s="79"/>
      <c r="AP553" s="79"/>
      <c r="AQ553" s="82"/>
      <c r="AR553" s="83"/>
      <c r="AS553" s="84"/>
    </row>
    <row r="554" ht="21.25" customHeight="1">
      <c r="A554" s="85">
        <f>RANK(K554,K$1:K$665)</f>
        <v>552</v>
      </c>
      <c r="B554" t="s" s="16">
        <v>744</v>
      </c>
      <c r="C554" t="s" s="69">
        <v>127</v>
      </c>
      <c r="D554" t="s" s="70">
        <f>VLOOKUP(B554,'Player Data'!A1:D667,4,FALSE)</f>
        <v>140</v>
      </c>
      <c r="E554" s="90">
        <f>VLOOKUP(B554,'RW'!A1:F136,3,FALSE)</f>
        <v>112</v>
      </c>
      <c r="F554" t="s" s="88">
        <f>VLOOKUP(B554,'Player Data'!A1:B667,2,FALSE)</f>
        <v>239</v>
      </c>
      <c r="G554" s="91">
        <f>VLOOKUP(B554,'Player Data'!A1:D667,3,FALSE)</f>
        <v>32</v>
      </c>
      <c r="H554" s="73">
        <f>_xlfn.IFERROR(VLOOKUP(B554,'ADP'!A1:G665,7,FALSE)/1000000,VLOOKUP(B554,'ADP'!A1:G665,7,FALSE))</f>
        <v>6.5</v>
      </c>
      <c r="I554" s="74">
        <f>IF('Settings'!$E$15="POINTS",((R554*Q554)*'Settings'!$B$12)+(S554*'Settings'!$B$2)+(T554*'Settings'!$B$3)+(U554*'Settings'!$B$4)+(V554*'Settings'!$B$5)+(X554*'Settings'!$B$9)+(AA554*'Settings'!$B$6)+(W554*'Settings'!$B$8)+(AB554*'Settings'!$B$7)+(AC554*'Settings'!$B$14)+(AD554*'Settings'!$B$15)+(AE554*'Settings'!$B$16)+(AF554*'Settings'!$B$17)+(AG554*'Settings'!$B$18)+(Y554*'Settings'!$B$10)+(Z554*'Settings'!$B$11),VLOOKUP(B554,'Standard Deviations'!A1:C666,3,FALSE))</f>
        <v>158.846560375064</v>
      </c>
      <c r="J554" s="75">
        <f>IF(D554="G",I554/AJ554,I554/Q554)</f>
        <v>2.19537779524655</v>
      </c>
      <c r="K554" s="74">
        <f>IF('Settings'!$E$18="C/LW/RW",VLOOKUP(B554,'RW'!A1:F136,6,FALSE),VLOOKUP(B554,'F'!A1:F392,6,FALSE))</f>
        <v>-170.845333706114</v>
      </c>
      <c r="L554" s="76">
        <f>_xlfn.IFERROR(K554/H554,"N/A")</f>
        <v>-26.2838974932483</v>
      </c>
      <c r="M554" s="109">
        <f>IF('Settings'!$E$9="YAHOO",VLOOKUP(B554,'ADP'!A1:E665,2,FALSE),IF('Settings'!$E$9="ESPN",VLOOKUP(B554,'ADP'!A1:E665,3,FALSE),IF('Settings'!$E$9="FANTRAX",VLOOKUP(B554,'ADP'!A1:E665,4,FALSE),VLOOKUP(B554,'ADP'!A1:E665,5,FALSE))))</f>
        <v>0</v>
      </c>
      <c r="N554" s="79">
        <f>_xlfn.IFERROR(M554-A554,"N/A")</f>
        <v>-552</v>
      </c>
      <c r="O554" s="77"/>
      <c r="P554" t="s" s="78">
        <f>IF('Settings'!$E$27="ON",VLOOKUP(B554,'ADP'!A1:H665,8,FALSE)," ")</f>
        <v>138</v>
      </c>
      <c r="Q554" s="79">
        <f>IF('Settings'!$E$12="YES",VLOOKUP(B554,'Player Data'!A1:E667,5,FALSE),82)</f>
        <v>72.355</v>
      </c>
      <c r="R554" s="77">
        <f>VLOOKUP(B554,'Player Data'!$A1:$AE667,6,FALSE)</f>
        <v>13.1846497092395</v>
      </c>
      <c r="S554" s="79">
        <f>VLOOKUP(B554,'Player Data'!$A1:$AE667,7,FALSE)*$Q554*_xlfn.IFERROR((VLOOKUP(P554,'Settings'!$E$28:$F$33,2,FALSE)+1),1)</f>
        <v>12.7483013834295</v>
      </c>
      <c r="T554" s="79">
        <f>VLOOKUP(B554,'Player Data'!$A1:$AE667,8,FALSE)*$Q554*_xlfn.IFERROR((VLOOKUP(P554,'Settings'!$E$28:$F$33,2,FALSE)+1),1)</f>
        <v>13.5549612859917</v>
      </c>
      <c r="U554" s="79">
        <f>SUM(S554:T554)</f>
        <v>26.3032626694212</v>
      </c>
      <c r="V554" s="79">
        <f>VLOOKUP(B554,'Player Data'!$A1:$AE667,10,FALSE)*$Q554*_xlfn.IFERROR(((VLOOKUP(P554,'Settings'!$E$28:$F$33,2,FALSE)/2)+1),1)</f>
        <v>139.628497367381</v>
      </c>
      <c r="W554" s="79">
        <f>VLOOKUP(B554,'Player Data'!$A1:$AE667,11,FALSE)*$Q554*_xlfn.IFERROR((VLOOKUP(P554,'Settings'!$E$28:$F$33,2,FALSE)+1),1)</f>
        <v>1.70850329232258</v>
      </c>
      <c r="X554" s="79">
        <f>VLOOKUP(B554,'Player Data'!$A1:$AE667,12,FALSE)*$Q554*_xlfn.IFERROR((VLOOKUP(P554,'Settings'!$E$28:$F$33,2,FALSE)+1),1)</f>
        <v>4.63037075313948</v>
      </c>
      <c r="Y554" s="79">
        <f>VLOOKUP(B554,'Player Data'!$A1:$AE667,13,FALSE)*$Q554</f>
        <v>0.00173965056422083</v>
      </c>
      <c r="Z554" s="79">
        <f>VLOOKUP(B554,'Player Data'!$A1:$AE667,14,FALSE)*$Q554</f>
        <v>0.00295321770602018</v>
      </c>
      <c r="AA554" s="79">
        <f>VLOOKUP(B554,'Player Data'!$A1:$AE667,15,FALSE)*$Q554</f>
        <v>30.627812041892</v>
      </c>
      <c r="AB554" s="79">
        <f>VLOOKUP(B554,'Player Data'!$A1:$AE667,16,FALSE)*$Q554</f>
        <v>57.8630920796728</v>
      </c>
      <c r="AC554" s="79">
        <f>VLOOKUP(B554,'Player Data'!$A1:$AE667,17,FALSE)*$Q554*_xlfn.IFERROR((VLOOKUP(P554,'Settings'!$E$28:$F$33,2,FALSE)+1),1)</f>
        <v>-3.33167628082273</v>
      </c>
      <c r="AD554" s="79">
        <f>VLOOKUP(B554,'Player Data'!$A1:$AE667,18,FALSE)*$Q554</f>
        <v>48.3466786503205</v>
      </c>
      <c r="AE554" s="79">
        <f>VLOOKUP(B554,'Player Data'!$A1:$AE667,19,FALSE)*$Q554*_xlfn.IFERROR((VLOOKUP(P554,'Settings'!$E$28:$F$33,2,FALSE)+1),1)</f>
        <v>1.47754435465407</v>
      </c>
      <c r="AF554" s="79">
        <f>VLOOKUP(B554,'Player Data'!$A1:$AE667,20,FALSE)*$Q554</f>
        <v>12.3405935481539</v>
      </c>
      <c r="AG554" s="79">
        <f>VLOOKUP(B554,'Player Data'!$A1:$AE667,21,FALSE)*$Q554</f>
        <v>19.396545059112</v>
      </c>
      <c r="AH554" s="81">
        <f>VLOOKUP(B554,'Player Data'!$A1:$AE667,22,FALSE)</f>
        <v>0.388837623355517</v>
      </c>
      <c r="AI554" s="77"/>
      <c r="AJ554" s="79"/>
      <c r="AK554" s="79"/>
      <c r="AL554" s="79"/>
      <c r="AM554" s="79"/>
      <c r="AN554" s="79"/>
      <c r="AO554" s="79"/>
      <c r="AP554" s="79"/>
      <c r="AQ554" s="82"/>
      <c r="AR554" s="83"/>
      <c r="AS554" s="84"/>
    </row>
    <row r="555" ht="21.25" customHeight="1">
      <c r="A555" s="85">
        <f>RANK(K555,K$1:K$665)</f>
        <v>573</v>
      </c>
      <c r="B555" t="s" s="16">
        <v>745</v>
      </c>
      <c r="C555" t="s" s="69">
        <v>127</v>
      </c>
      <c r="D555" t="s" s="70">
        <f>VLOOKUP(B555,'Player Data'!A1:D667,4,FALSE)</f>
        <v>128</v>
      </c>
      <c r="E555" s="71">
        <f>VLOOKUP(B555,'C'!A1:C206,3,FALSE)</f>
        <v>177</v>
      </c>
      <c r="F555" t="s" s="86">
        <f>VLOOKUP(B555,'Player Data'!A1:B667,2,FALSE)</f>
        <v>165</v>
      </c>
      <c r="G555" s="96">
        <f>VLOOKUP(B555,'Player Data'!A1:D667,3,FALSE)</f>
        <v>23</v>
      </c>
      <c r="H555" t="s" s="86">
        <f>_xlfn.IFERROR(VLOOKUP(B555,'ADP'!A1:G665,7,FALSE)/1000000,VLOOKUP(B555,'ADP'!A1:G665,7,FALSE))</f>
        <v>157</v>
      </c>
      <c r="I555" s="74">
        <f>IF('Settings'!$E$15="POINTS",((R555*Q555)*'Settings'!$B$12)+(S555*'Settings'!$B$2)+(T555*'Settings'!$B$3)+(U555*'Settings'!$B$4)+(V555*'Settings'!$B$5)+(X555*'Settings'!$B$9)+(AA555*'Settings'!$B$6)+(W555*'Settings'!$B$8)+(AB555*'Settings'!$B$7)+(AC555*'Settings'!$B$14)+(AD555*'Settings'!$B$15)+(AE555*'Settings'!$B$16)+(AF555*'Settings'!$B$17)+(AG555*'Settings'!$B$18)+(Y555*'Settings'!$B$10)+(Z555*'Settings'!$B$11),VLOOKUP(B555,'Standard Deviations'!A1:C666,3,FALSE))</f>
        <v>152.760011420672</v>
      </c>
      <c r="J555" s="75">
        <f>IF(D555="G",I555/AJ555,I555/Q555)</f>
        <v>2.27524592524087</v>
      </c>
      <c r="K555" s="74">
        <f>IF('Settings'!$E$18="C/LW/RW",VLOOKUP(B555,'C'!A1:F206,6,FALSE),VLOOKUP(B555,'F'!A1:F392,6,FALSE))</f>
        <v>-176.931882660506</v>
      </c>
      <c r="L555" t="s" s="97">
        <f>_xlfn.IFERROR(K555/H555,"N/A")</f>
        <v>158</v>
      </c>
      <c r="M555" s="109">
        <f>IF('Settings'!$E$9="YAHOO",VLOOKUP(B555,'ADP'!A1:E665,2,FALSE),IF('Settings'!$E$9="ESPN",VLOOKUP(B555,'ADP'!A1:E665,3,FALSE),IF('Settings'!$E$9="FANTRAX",VLOOKUP(B555,'ADP'!A1:E665,4,FALSE),VLOOKUP(B555,'ADP'!A1:E665,5,FALSE))))</f>
        <v>0</v>
      </c>
      <c r="N555" s="79">
        <f>_xlfn.IFERROR(M555-A555,"N/A")</f>
        <v>-573</v>
      </c>
      <c r="O555" s="77"/>
      <c r="P555" t="s" s="78">
        <f>IF('Settings'!$E$27="ON",VLOOKUP(B555,'ADP'!A1:H665,8,FALSE)," ")</f>
        <v>138</v>
      </c>
      <c r="Q555" s="79">
        <f>IF('Settings'!$E$12="YES",VLOOKUP(B555,'Player Data'!A1:E667,5,FALSE),82)</f>
        <v>67.14</v>
      </c>
      <c r="R555" s="77">
        <f>VLOOKUP(B555,'Player Data'!$A1:$AE667,6,FALSE)</f>
        <v>13.0759227716082</v>
      </c>
      <c r="S555" s="79">
        <f>VLOOKUP(B555,'Player Data'!$A1:$AE667,7,FALSE)*$Q555*_xlfn.IFERROR((VLOOKUP(P555,'Settings'!$E$28:$F$33,2,FALSE)+1),1)</f>
        <v>10.8619912629707</v>
      </c>
      <c r="T555" s="79">
        <f>VLOOKUP(B555,'Player Data'!$A1:$AE667,8,FALSE)*$Q555*_xlfn.IFERROR((VLOOKUP(P555,'Settings'!$E$28:$F$33,2,FALSE)+1),1)</f>
        <v>20.2071337007694</v>
      </c>
      <c r="U555" s="79">
        <f>SUM(S555:T555)</f>
        <v>31.0691249637401</v>
      </c>
      <c r="V555" s="79">
        <f>VLOOKUP(B555,'Player Data'!$A1:$AE667,10,FALSE)*$Q555*_xlfn.IFERROR(((VLOOKUP(P555,'Settings'!$E$28:$F$33,2,FALSE)/2)+1),1)</f>
        <v>108.090584756623</v>
      </c>
      <c r="W555" s="79">
        <f>VLOOKUP(B555,'Player Data'!$A1:$AE667,11,FALSE)*$Q555*_xlfn.IFERROR((VLOOKUP(P555,'Settings'!$E$28:$F$33,2,FALSE)+1),1)</f>
        <v>1.24088110747188</v>
      </c>
      <c r="X555" s="79">
        <f>VLOOKUP(B555,'Player Data'!$A1:$AE667,12,FALSE)*$Q555*_xlfn.IFERROR((VLOOKUP(P555,'Settings'!$E$28:$F$33,2,FALSE)+1),1)</f>
        <v>3.61430737744263</v>
      </c>
      <c r="Y555" s="79">
        <f>VLOOKUP(B555,'Player Data'!$A1:$AE667,13,FALSE)*$Q555</f>
        <v>0.00026200745698611</v>
      </c>
      <c r="Z555" s="79">
        <f>VLOOKUP(B555,'Player Data'!$A1:$AE667,14,FALSE)*$Q555</f>
        <v>0.000436684456497638</v>
      </c>
      <c r="AA555" s="79">
        <f>VLOOKUP(B555,'Player Data'!$A1:$AE667,15,FALSE)*$Q555</f>
        <v>31.4327064916967</v>
      </c>
      <c r="AB555" s="79">
        <f>VLOOKUP(B555,'Player Data'!$A1:$AE667,16,FALSE)*$Q555</f>
        <v>44.0453682074002</v>
      </c>
      <c r="AC555" s="79">
        <f>VLOOKUP(B555,'Player Data'!$A1:$AE667,17,FALSE)*$Q555*_xlfn.IFERROR((VLOOKUP(P555,'Settings'!$E$28:$F$33,2,FALSE)+1),1)</f>
        <v>1.02388315002465</v>
      </c>
      <c r="AD555" s="79">
        <f>VLOOKUP(B555,'Player Data'!$A1:$AE667,18,FALSE)*$Q555</f>
        <v>16.6088469431997</v>
      </c>
      <c r="AE555" s="79">
        <f>VLOOKUP(B555,'Player Data'!$A1:$AE667,19,FALSE)*$Q555*_xlfn.IFERROR((VLOOKUP(P555,'Settings'!$E$28:$F$33,2,FALSE)+1),1)</f>
        <v>1.53797997399288</v>
      </c>
      <c r="AF555" s="79">
        <f>VLOOKUP(B555,'Player Data'!$A1:$AE667,20,FALSE)*$Q555</f>
        <v>13.1532506762482</v>
      </c>
      <c r="AG555" s="79">
        <f>VLOOKUP(B555,'Player Data'!$A1:$AE667,21,FALSE)*$Q555</f>
        <v>24.1711845439036</v>
      </c>
      <c r="AH555" s="81">
        <f>VLOOKUP(B555,'Player Data'!$A1:$AE667,22,FALSE)</f>
        <v>0.352403207139398</v>
      </c>
      <c r="AI555" s="77"/>
      <c r="AJ555" s="79"/>
      <c r="AK555" s="79"/>
      <c r="AL555" s="79"/>
      <c r="AM555" s="79"/>
      <c r="AN555" s="79"/>
      <c r="AO555" s="79"/>
      <c r="AP555" s="79"/>
      <c r="AQ555" s="82"/>
      <c r="AR555" s="83"/>
      <c r="AS555" s="84"/>
    </row>
    <row r="556" ht="21.25" customHeight="1">
      <c r="A556" s="85">
        <f>RANK(K556,K$1:K$665)</f>
        <v>554</v>
      </c>
      <c r="B556" t="s" s="16">
        <v>746</v>
      </c>
      <c r="C556" t="s" s="69">
        <v>127</v>
      </c>
      <c r="D556" t="s" s="70">
        <f>VLOOKUP(B556,'Player Data'!A1:D667,4,FALSE)</f>
        <v>140</v>
      </c>
      <c r="E556" s="90">
        <f>VLOOKUP(B556,'RW'!A1:F136,3,FALSE)</f>
        <v>113</v>
      </c>
      <c r="F556" t="s" s="104">
        <f>VLOOKUP(B556,'Player Data'!A1:B667,2,FALSE)</f>
        <v>281</v>
      </c>
      <c r="G556" s="91">
        <f>VLOOKUP(B556,'Player Data'!A1:D667,3,FALSE)</f>
        <v>31</v>
      </c>
      <c r="H556" s="94">
        <f>_xlfn.IFERROR(VLOOKUP(B556,'ADP'!A1:G665,7,FALSE)/1000000,VLOOKUP(B556,'ADP'!A1:G665,7,FALSE))</f>
        <v>1.1</v>
      </c>
      <c r="I556" s="74">
        <f>IF('Settings'!$E$15="POINTS",((R556*Q556)*'Settings'!$B$12)+(S556*'Settings'!$B$2)+(T556*'Settings'!$B$3)+(U556*'Settings'!$B$4)+(V556*'Settings'!$B$5)+(X556*'Settings'!$B$9)+(AA556*'Settings'!$B$6)+(W556*'Settings'!$B$8)+(AB556*'Settings'!$B$7)+(AC556*'Settings'!$B$14)+(AD556*'Settings'!$B$15)+(AE556*'Settings'!$B$16)+(AF556*'Settings'!$B$17)+(AG556*'Settings'!$B$18)+(Y556*'Settings'!$B$10)+(Z556*'Settings'!$B$11),VLOOKUP(B556,'Standard Deviations'!A1:C666,3,FALSE))</f>
        <v>157.562345448224</v>
      </c>
      <c r="J556" s="75">
        <f>IF(D556="G",I556/AJ556,I556/Q556)</f>
        <v>2.38993357018276</v>
      </c>
      <c r="K556" s="74">
        <f>IF('Settings'!$E$18="C/LW/RW",VLOOKUP(B556,'RW'!A1:F136,6,FALSE),VLOOKUP(B556,'F'!A1:F392,6,FALSE))</f>
        <v>-172.129548632954</v>
      </c>
      <c r="L556" s="76">
        <f>_xlfn.IFERROR(K556/H556,"N/A")</f>
        <v>-156.481407848140</v>
      </c>
      <c r="M556" s="109">
        <f>IF('Settings'!$E$9="YAHOO",VLOOKUP(B556,'ADP'!A1:E665,2,FALSE),IF('Settings'!$E$9="ESPN",VLOOKUP(B556,'ADP'!A1:E665,3,FALSE),IF('Settings'!$E$9="FANTRAX",VLOOKUP(B556,'ADP'!A1:E665,4,FALSE),VLOOKUP(B556,'ADP'!A1:E665,5,FALSE))))</f>
        <v>0</v>
      </c>
      <c r="N556" s="79">
        <f>_xlfn.IFERROR(M556-A556,"N/A")</f>
        <v>-554</v>
      </c>
      <c r="O556" s="77"/>
      <c r="P556" t="s" s="78">
        <f>IF('Settings'!$E$27="ON",VLOOKUP(B556,'ADP'!A1:H665,8,FALSE)," ")</f>
        <v>138</v>
      </c>
      <c r="Q556" s="79">
        <f>IF('Settings'!$E$12="YES",VLOOKUP(B556,'Player Data'!A1:E667,5,FALSE),82)</f>
        <v>65.92749999999999</v>
      </c>
      <c r="R556" s="77">
        <f>VLOOKUP(B556,'Player Data'!$A1:$AE667,6,FALSE)</f>
        <v>13.6498163305888</v>
      </c>
      <c r="S556" s="79">
        <f>VLOOKUP(B556,'Player Data'!$A1:$AE667,7,FALSE)*$Q556*_xlfn.IFERROR((VLOOKUP(P556,'Settings'!$E$28:$F$33,2,FALSE)+1),1)</f>
        <v>9.543017475756161</v>
      </c>
      <c r="T556" s="79">
        <f>VLOOKUP(B556,'Player Data'!$A1:$AE667,8,FALSE)*$Q556*_xlfn.IFERROR((VLOOKUP(P556,'Settings'!$E$28:$F$33,2,FALSE)+1),1)</f>
        <v>12.0506563422574</v>
      </c>
      <c r="U556" s="79">
        <f>SUM(S556:T556)</f>
        <v>21.5936738180136</v>
      </c>
      <c r="V556" s="79">
        <f>VLOOKUP(B556,'Player Data'!$A1:$AE667,10,FALSE)*$Q556*_xlfn.IFERROR(((VLOOKUP(P556,'Settings'!$E$28:$F$33,2,FALSE)/2)+1),1)</f>
        <v>81.957018044007</v>
      </c>
      <c r="W556" s="79">
        <f>VLOOKUP(B556,'Player Data'!$A1:$AE667,11,FALSE)*$Q556*_xlfn.IFERROR((VLOOKUP(P556,'Settings'!$E$28:$F$33,2,FALSE)+1),1)</f>
        <v>0.165426708811878</v>
      </c>
      <c r="X556" s="79">
        <f>VLOOKUP(B556,'Player Data'!$A1:$AE667,12,FALSE)*$Q556*_xlfn.IFERROR((VLOOKUP(P556,'Settings'!$E$28:$F$33,2,FALSE)+1),1)</f>
        <v>0.434297484154056</v>
      </c>
      <c r="Y556" s="79">
        <f>VLOOKUP(B556,'Player Data'!$A1:$AE667,13,FALSE)*$Q556</f>
        <v>0.138041824787559</v>
      </c>
      <c r="Z556" s="79">
        <f>VLOOKUP(B556,'Player Data'!$A1:$AE667,14,FALSE)*$Q556</f>
        <v>0.236740579422403</v>
      </c>
      <c r="AA556" s="79">
        <f>VLOOKUP(B556,'Player Data'!$A1:$AE667,15,FALSE)*$Q556</f>
        <v>39.6560534735412</v>
      </c>
      <c r="AB556" s="79">
        <f>VLOOKUP(B556,'Player Data'!$A1:$AE667,16,FALSE)*$Q556</f>
        <v>95.3649457837098</v>
      </c>
      <c r="AC556" s="79">
        <f>VLOOKUP(B556,'Player Data'!$A1:$AE667,17,FALSE)*$Q556*_xlfn.IFERROR((VLOOKUP(P556,'Settings'!$E$28:$F$33,2,FALSE)+1),1)</f>
        <v>-5.78040694473472</v>
      </c>
      <c r="AD556" s="79">
        <f>VLOOKUP(B556,'Player Data'!$A1:$AE667,18,FALSE)*$Q556</f>
        <v>18.5218466825901</v>
      </c>
      <c r="AE556" s="79">
        <f>VLOOKUP(B556,'Player Data'!$A1:$AE667,19,FALSE)*$Q556*_xlfn.IFERROR((VLOOKUP(P556,'Settings'!$E$28:$F$33,2,FALSE)+1),1)</f>
        <v>1.05530837630991</v>
      </c>
      <c r="AF556" s="79">
        <f>VLOOKUP(B556,'Player Data'!$A1:$AE667,20,FALSE)*$Q556</f>
        <v>153.708331906064</v>
      </c>
      <c r="AG556" s="79">
        <f>VLOOKUP(B556,'Player Data'!$A1:$AE667,21,FALSE)*$Q556</f>
        <v>160.780169544947</v>
      </c>
      <c r="AH556" s="81">
        <f>VLOOKUP(B556,'Player Data'!$A1:$AE667,22,FALSE)</f>
        <v>0.488756603808638</v>
      </c>
      <c r="AI556" s="77"/>
      <c r="AJ556" s="79"/>
      <c r="AK556" s="79"/>
      <c r="AL556" s="79"/>
      <c r="AM556" s="79"/>
      <c r="AN556" s="79"/>
      <c r="AO556" s="79"/>
      <c r="AP556" s="79"/>
      <c r="AQ556" s="82"/>
      <c r="AR556" s="83"/>
      <c r="AS556" s="84"/>
    </row>
    <row r="557" ht="21.25" customHeight="1">
      <c r="A557" s="85">
        <f>RANK(K557,K$1:K$665)</f>
        <v>561</v>
      </c>
      <c r="B557" t="s" s="16">
        <v>747</v>
      </c>
      <c r="C557" t="s" s="69">
        <v>127</v>
      </c>
      <c r="D557" t="s" s="70">
        <f>VLOOKUP(B557,'Player Data'!A1:D667,4,FALSE)</f>
        <v>178</v>
      </c>
      <c r="E557" s="102">
        <f>VLOOKUP(B557,'LW'!A1:C152,3,FALSE)</f>
        <v>125</v>
      </c>
      <c r="F557" t="s" s="92">
        <f>VLOOKUP(B557,'Player Data'!A1:B667,2,FALSE)</f>
        <v>170</v>
      </c>
      <c r="G557" s="91">
        <f>VLOOKUP(B557,'Player Data'!A1:D667,3,FALSE)</f>
        <v>31</v>
      </c>
      <c r="H557" s="94">
        <f>_xlfn.IFERROR(VLOOKUP(B557,'ADP'!A1:G665,7,FALSE)/1000000,VLOOKUP(B557,'ADP'!A1:G665,7,FALSE))</f>
        <v>0.8</v>
      </c>
      <c r="I557" s="74">
        <f>IF('Settings'!$E$15="POINTS",((R557*Q557)*'Settings'!$B$12)+(S557*'Settings'!$B$2)+(T557*'Settings'!$B$3)+(U557*'Settings'!$B$4)+(V557*'Settings'!$B$5)+(X557*'Settings'!$B$9)+(AA557*'Settings'!$B$6)+(W557*'Settings'!$B$8)+(AB557*'Settings'!$B$7)+(AC557*'Settings'!$B$14)+(AD557*'Settings'!$B$15)+(AE557*'Settings'!$B$16)+(AF557*'Settings'!$B$17)+(AG557*'Settings'!$B$18)+(Y557*'Settings'!$B$10)+(Z557*'Settings'!$B$11),VLOOKUP(B557,'Standard Deviations'!A1:C666,3,FALSE))</f>
        <v>157.357016166277</v>
      </c>
      <c r="J557" s="75">
        <f>IF(D557="G",I557/AJ557,I557/Q557)</f>
        <v>1.96358778557201</v>
      </c>
      <c r="K557" s="74">
        <f>IF('Settings'!$E$18="C/LW/RW",VLOOKUP(B557,'LW'!A1:F152,6,FALSE),VLOOKUP(B557,'F'!A1:F392,6,FALSE))</f>
        <v>-174.363095599935</v>
      </c>
      <c r="L557" s="76">
        <f>_xlfn.IFERROR(K557/H557,"N/A")</f>
        <v>-217.953869499919</v>
      </c>
      <c r="M557" s="109">
        <f>IF('Settings'!$E$9="YAHOO",VLOOKUP(B557,'ADP'!A1:E665,2,FALSE),IF('Settings'!$E$9="ESPN",VLOOKUP(B557,'ADP'!A1:E665,3,FALSE),IF('Settings'!$E$9="FANTRAX",VLOOKUP(B557,'ADP'!A1:E665,4,FALSE),VLOOKUP(B557,'ADP'!A1:E665,5,FALSE))))</f>
        <v>0</v>
      </c>
      <c r="N557" s="79">
        <f>_xlfn.IFERROR(M557-A557,"N/A")</f>
        <v>-561</v>
      </c>
      <c r="O557" s="77"/>
      <c r="P557" t="s" s="78">
        <f>IF('Settings'!$E$27="ON",VLOOKUP(B557,'ADP'!A1:H665,8,FALSE)," ")</f>
        <v>138</v>
      </c>
      <c r="Q557" s="79">
        <f>IF('Settings'!$E$12="YES",VLOOKUP(B557,'Player Data'!A1:E667,5,FALSE),82)</f>
        <v>80.1375</v>
      </c>
      <c r="R557" s="77">
        <f>VLOOKUP(B557,'Player Data'!$A1:$AE667,6,FALSE)</f>
        <v>12.4530060016013</v>
      </c>
      <c r="S557" s="79">
        <f>VLOOKUP(B557,'Player Data'!$A1:$AE667,7,FALSE)*$Q557*_xlfn.IFERROR((VLOOKUP(P557,'Settings'!$E$28:$F$33,2,FALSE)+1),1)</f>
        <v>10.1860445031579</v>
      </c>
      <c r="T557" s="79">
        <f>VLOOKUP(B557,'Player Data'!$A1:$AE667,8,FALSE)*$Q557*_xlfn.IFERROR((VLOOKUP(P557,'Settings'!$E$28:$F$33,2,FALSE)+1),1)</f>
        <v>11.7567440175688</v>
      </c>
      <c r="U557" s="79">
        <f>SUM(S557:T557)</f>
        <v>21.9427885207267</v>
      </c>
      <c r="V557" s="79">
        <f>VLOOKUP(B557,'Player Data'!$A1:$AE667,10,FALSE)*$Q557*_xlfn.IFERROR(((VLOOKUP(P557,'Settings'!$E$28:$F$33,2,FALSE)/2)+1),1)</f>
        <v>111.508611484304</v>
      </c>
      <c r="W557" s="79">
        <f>VLOOKUP(B557,'Player Data'!$A1:$AE667,11,FALSE)*$Q557*_xlfn.IFERROR((VLOOKUP(P557,'Settings'!$E$28:$F$33,2,FALSE)+1),1)</f>
        <v>0.189273759815389</v>
      </c>
      <c r="X557" s="79">
        <f>VLOOKUP(B557,'Player Data'!$A1:$AE667,12,FALSE)*$Q557*_xlfn.IFERROR((VLOOKUP(P557,'Settings'!$E$28:$F$33,2,FALSE)+1),1)</f>
        <v>0.44167529303119</v>
      </c>
      <c r="Y557" s="79">
        <f>VLOOKUP(B557,'Player Data'!$A1:$AE667,13,FALSE)*$Q557</f>
        <v>0.560387076517427</v>
      </c>
      <c r="Z557" s="79">
        <f>VLOOKUP(B557,'Player Data'!$A1:$AE667,14,FALSE)*$Q557</f>
        <v>0.630769793380099</v>
      </c>
      <c r="AA557" s="79">
        <f>VLOOKUP(B557,'Player Data'!$A1:$AE667,15,FALSE)*$Q557</f>
        <v>31.9017574154155</v>
      </c>
      <c r="AB557" s="79">
        <f>VLOOKUP(B557,'Player Data'!$A1:$AE667,16,FALSE)*$Q557</f>
        <v>86.6326616528021</v>
      </c>
      <c r="AC557" s="79">
        <f>VLOOKUP(B557,'Player Data'!$A1:$AE667,17,FALSE)*$Q557*_xlfn.IFERROR((VLOOKUP(P557,'Settings'!$E$28:$F$33,2,FALSE)+1),1)</f>
        <v>2.23230172515016</v>
      </c>
      <c r="AD557" s="79">
        <f>VLOOKUP(B557,'Player Data'!$A1:$AE667,18,FALSE)*$Q557</f>
        <v>19.5632316961241</v>
      </c>
      <c r="AE557" s="79">
        <f>VLOOKUP(B557,'Player Data'!$A1:$AE667,19,FALSE)*$Q557*_xlfn.IFERROR((VLOOKUP(P557,'Settings'!$E$28:$F$33,2,FALSE)+1),1)</f>
        <v>1.66499355738884</v>
      </c>
      <c r="AF557" s="79">
        <f>VLOOKUP(B557,'Player Data'!$A1:$AE667,20,FALSE)*$Q557</f>
        <v>8.46669663802628</v>
      </c>
      <c r="AG557" s="79">
        <f>VLOOKUP(B557,'Player Data'!$A1:$AE667,21,FALSE)*$Q557</f>
        <v>19.1456257603751</v>
      </c>
      <c r="AH557" s="81">
        <f>VLOOKUP(B557,'Player Data'!$A1:$AE667,22,FALSE)</f>
        <v>0.30662747290378</v>
      </c>
      <c r="AI557" s="77"/>
      <c r="AJ557" s="79"/>
      <c r="AK557" s="79"/>
      <c r="AL557" s="79"/>
      <c r="AM557" s="79"/>
      <c r="AN557" s="79"/>
      <c r="AO557" s="79"/>
      <c r="AP557" s="79"/>
      <c r="AQ557" s="82"/>
      <c r="AR557" s="83"/>
      <c r="AS557" s="84"/>
    </row>
    <row r="558" ht="21.25" customHeight="1">
      <c r="A558" s="85">
        <f>RANK(K558,K$1:K$665)</f>
        <v>538</v>
      </c>
      <c r="B558" t="s" s="16">
        <v>748</v>
      </c>
      <c r="C558" t="s" s="69">
        <v>127</v>
      </c>
      <c r="D558" t="s" s="70">
        <f>VLOOKUP(B558,'Player Data'!A1:D667,4,FALSE)</f>
        <v>153</v>
      </c>
      <c r="E558" s="95">
        <f>VLOOKUP(B558,'D'!A1:C213,3,FALSE)</f>
        <v>179</v>
      </c>
      <c r="F558" t="s" s="100">
        <f>VLOOKUP(B558,'Player Data'!A1:B667,2,FALSE)</f>
        <v>172</v>
      </c>
      <c r="G558" s="11">
        <f>VLOOKUP(B558,'Player Data'!A1:D667,3,FALSE)</f>
        <v>30</v>
      </c>
      <c r="H558" s="94">
        <f>_xlfn.IFERROR(VLOOKUP(B558,'ADP'!A1:G665,7,FALSE)/1000000,VLOOKUP(B558,'ADP'!A1:G665,7,FALSE))</f>
        <v>2.75</v>
      </c>
      <c r="I558" s="74">
        <f>IF('Settings'!$E$15="POINTS",((R558*Q558)*'Settings'!$B$12)+(S558*'Settings'!$B$2)+(T558*'Settings'!$B$3)+(U558*'Settings'!$B$4)+(V558*'Settings'!$B$5)+(X558*'Settings'!$B$9)+(AA558*'Settings'!$B$6)+(W558*'Settings'!$B$8)+(AB558*'Settings'!$B$7)+(AC558*'Settings'!$B$14)+(AD558*'Settings'!$B$15)+(AE558*'Settings'!$B$16)+(AF558*'Settings'!$B$17)+(AG558*'Settings'!$B$18)+(U558*'Settings'!$B$13)+(Y558*'Settings'!$B$10)+(Z558*'Settings'!$B$11),VLOOKUP(B558,'Standard Deviations'!A1:C666,3,FALSE))</f>
        <v>164.108586010838</v>
      </c>
      <c r="J558" s="75">
        <f>IF(D558="G",I558/AJ558,I558/Q558)</f>
        <v>2.13696967264585</v>
      </c>
      <c r="K558" s="74">
        <f>VLOOKUP(B558,'D'!A1:F213,6,FALSE)</f>
        <v>-167.431621909244</v>
      </c>
      <c r="L558" s="76">
        <f>_xlfn.IFERROR(K558/H558,"N/A")</f>
        <v>-60.884226148816</v>
      </c>
      <c r="M558" s="109">
        <f>IF('Settings'!$E$9="YAHOO",VLOOKUP(B558,'ADP'!A1:E665,2,FALSE),IF('Settings'!$E$9="ESPN",VLOOKUP(B558,'ADP'!A1:E665,3,FALSE),IF('Settings'!$E$9="FANTRAX",VLOOKUP(B558,'ADP'!A1:E665,4,FALSE),VLOOKUP(B558,'ADP'!A1:E665,5,FALSE))))</f>
        <v>0</v>
      </c>
      <c r="N558" s="79">
        <f>_xlfn.IFERROR(M558-A558,"N/A")</f>
        <v>-538</v>
      </c>
      <c r="O558" s="77"/>
      <c r="P558" t="s" s="78">
        <f>IF('Settings'!$E$27="ON",VLOOKUP(B558,'ADP'!A1:H665,8,FALSE)," ")</f>
        <v>138</v>
      </c>
      <c r="Q558" s="79">
        <f>IF('Settings'!$E$12="YES",VLOOKUP(B558,'Player Data'!A1:E667,5,FALSE),82)</f>
        <v>76.795</v>
      </c>
      <c r="R558" s="108">
        <f>VLOOKUP(B558,'Player Data'!$A1:$AE667,6,FALSE)</f>
        <v>16.3365618959683</v>
      </c>
      <c r="S558" s="79">
        <f>VLOOKUP(B558,'Player Data'!$A1:$AE667,7,FALSE)*$Q558*_xlfn.IFERROR((VLOOKUP(P558,'Settings'!$E$28:$F$33,2,FALSE)+1),1)</f>
        <v>3.1327455975549</v>
      </c>
      <c r="T558" s="79">
        <f>VLOOKUP(B558,'Player Data'!$A1:$AE667,8,FALSE)*$Q558*_xlfn.IFERROR((VLOOKUP(P558,'Settings'!$E$28:$F$33,2,FALSE)+1),1)</f>
        <v>15.1666825253781</v>
      </c>
      <c r="U558" s="79">
        <f>SUM(S558:T558)</f>
        <v>18.299428122933</v>
      </c>
      <c r="V558" s="79">
        <f>VLOOKUP(B558,'Player Data'!$A1:$AE667,10,FALSE)*$Q558*_xlfn.IFERROR(((VLOOKUP(P558,'Settings'!$E$28:$F$33,2,FALSE)/2)+1),1)</f>
        <v>79.9294204056833</v>
      </c>
      <c r="W558" s="79">
        <f>VLOOKUP(B558,'Player Data'!$A1:$AE667,11,FALSE)*$Q558*_xlfn.IFERROR((VLOOKUP(P558,'Settings'!$E$28:$F$33,2,FALSE)+1),1)</f>
        <v>0.0192397438734963</v>
      </c>
      <c r="X558" s="79">
        <f>VLOOKUP(B558,'Player Data'!$A1:$AE667,12,FALSE)*$Q558*_xlfn.IFERROR((VLOOKUP(P558,'Settings'!$E$28:$F$33,2,FALSE)+1),1)</f>
        <v>0.281395760529879</v>
      </c>
      <c r="Y558" s="79">
        <f>VLOOKUP(B558,'Player Data'!$A1:$AE667,13,FALSE)*$Q558</f>
        <v>0.0147406683618459</v>
      </c>
      <c r="Z558" s="79">
        <f>VLOOKUP(B558,'Player Data'!$A1:$AE667,14,FALSE)*$Q558</f>
        <v>0.07555889866086039</v>
      </c>
      <c r="AA558" s="79">
        <f>VLOOKUP(B558,'Player Data'!$A1:$AE667,15,FALSE)*$Q558</f>
        <v>88.6221500622123</v>
      </c>
      <c r="AB558" s="79">
        <f>VLOOKUP(B558,'Player Data'!$A1:$AE667,16,FALSE)*$Q558</f>
        <v>69.05038834073039</v>
      </c>
      <c r="AC558" s="79">
        <f>VLOOKUP(B558,'Player Data'!$A1:$AE667,17,FALSE)*$Q558*_xlfn.IFERROR((VLOOKUP(P558,'Settings'!$E$28:$F$33,2,FALSE)+1),1)</f>
        <v>0.678765766665644</v>
      </c>
      <c r="AD558" s="79">
        <f>VLOOKUP(B558,'Player Data'!$A1:$AE667,18,FALSE)*$Q558</f>
        <v>27.8666017521963</v>
      </c>
      <c r="AE558" s="79">
        <f>VLOOKUP(B558,'Player Data'!$A1:$AE667,19,FALSE)*$Q558*_xlfn.IFERROR((VLOOKUP(P558,'Settings'!$E$28:$F$33,2,FALSE)+1),1)</f>
        <v>0.464407299266532</v>
      </c>
      <c r="AF558" s="79">
        <f>VLOOKUP(B558,'Player Data'!$A1:$AE667,20,FALSE)*$Q558</f>
        <v>0</v>
      </c>
      <c r="AG558" s="79">
        <f>VLOOKUP(B558,'Player Data'!$A1:$AE667,21,FALSE)*$Q558</f>
        <v>0</v>
      </c>
      <c r="AH558" s="81">
        <f>VLOOKUP(B558,'Player Data'!$A1:$AE667,22,FALSE)</f>
        <v>0</v>
      </c>
      <c r="AI558" s="77"/>
      <c r="AJ558" s="79"/>
      <c r="AK558" s="79"/>
      <c r="AL558" s="79"/>
      <c r="AM558" s="79"/>
      <c r="AN558" s="79"/>
      <c r="AO558" s="79"/>
      <c r="AP558" s="79"/>
      <c r="AQ558" s="82"/>
      <c r="AR558" s="83"/>
      <c r="AS558" s="84"/>
    </row>
    <row r="559" ht="21.25" customHeight="1">
      <c r="A559" s="85">
        <f>RANK(K559,K$1:K$665)</f>
        <v>539</v>
      </c>
      <c r="B559" t="s" s="16">
        <v>749</v>
      </c>
      <c r="C559" t="s" s="69">
        <v>127</v>
      </c>
      <c r="D559" t="s" s="70">
        <f>VLOOKUP(B559,'Player Data'!A1:D667,4,FALSE)</f>
        <v>153</v>
      </c>
      <c r="E559" s="95">
        <f>VLOOKUP(B559,'D'!A1:C213,3,FALSE)</f>
        <v>180</v>
      </c>
      <c r="F559" t="s" s="78">
        <f>VLOOKUP(B559,'Player Data'!A1:B667,2,FALSE)</f>
        <v>168</v>
      </c>
      <c r="G559" s="11">
        <f>VLOOKUP(B559,'Player Data'!A1:D667,3,FALSE)</f>
        <v>26</v>
      </c>
      <c r="H559" s="73">
        <f>_xlfn.IFERROR(VLOOKUP(B559,'ADP'!A1:G665,7,FALSE)/1000000,VLOOKUP(B559,'ADP'!A1:G665,7,FALSE))</f>
        <v>1.25</v>
      </c>
      <c r="I559" s="74">
        <f>IF('Settings'!$E$15="POINTS",((R559*Q559)*'Settings'!$B$12)+(S559*'Settings'!$B$2)+(T559*'Settings'!$B$3)+(U559*'Settings'!$B$4)+(V559*'Settings'!$B$5)+(X559*'Settings'!$B$9)+(AA559*'Settings'!$B$6)+(W559*'Settings'!$B$8)+(AB559*'Settings'!$B$7)+(AC559*'Settings'!$B$14)+(AD559*'Settings'!$B$15)+(AE559*'Settings'!$B$16)+(AF559*'Settings'!$B$17)+(AG559*'Settings'!$B$18)+(U559*'Settings'!$B$13)+(Y559*'Settings'!$B$10)+(Z559*'Settings'!$B$11),VLOOKUP(B559,'Standard Deviations'!A1:C666,3,FALSE))</f>
        <v>163.986941228375</v>
      </c>
      <c r="J559" s="75">
        <f>IF(D559="G",I559/AJ559,I559/Q559)</f>
        <v>2.69493740720419</v>
      </c>
      <c r="K559" s="74">
        <f>VLOOKUP(B559,'D'!A1:F213,6,FALSE)</f>
        <v>-167.553266691707</v>
      </c>
      <c r="L559" s="76">
        <f>_xlfn.IFERROR(K559/H559,"N/A")</f>
        <v>-134.042613353366</v>
      </c>
      <c r="M559" s="109">
        <f>IF('Settings'!$E$9="YAHOO",VLOOKUP(B559,'ADP'!A1:E665,2,FALSE),IF('Settings'!$E$9="ESPN",VLOOKUP(B559,'ADP'!A1:E665,3,FALSE),IF('Settings'!$E$9="FANTRAX",VLOOKUP(B559,'ADP'!A1:E665,4,FALSE),VLOOKUP(B559,'ADP'!A1:E665,5,FALSE))))</f>
        <v>0</v>
      </c>
      <c r="N559" s="79">
        <f>_xlfn.IFERROR(M559-A559,"N/A")</f>
        <v>-539</v>
      </c>
      <c r="O559" s="77"/>
      <c r="P559" t="s" s="78">
        <f>IF('Settings'!$E$27="ON",VLOOKUP(B559,'ADP'!A1:H665,8,FALSE)," ")</f>
        <v>138</v>
      </c>
      <c r="Q559" s="79">
        <f>IF('Settings'!$E$12="YES",VLOOKUP(B559,'Player Data'!A1:E667,5,FALSE),82)</f>
        <v>60.85</v>
      </c>
      <c r="R559" s="98">
        <f>VLOOKUP(B559,'Player Data'!$A1:$AE667,6,FALSE)</f>
        <v>15.3139008076229</v>
      </c>
      <c r="S559" s="79">
        <f>VLOOKUP(B559,'Player Data'!$A1:$AE667,7,FALSE)*$Q559*_xlfn.IFERROR((VLOOKUP(P559,'Settings'!$E$28:$F$33,2,FALSE)+1),1)</f>
        <v>2.47140357102949</v>
      </c>
      <c r="T559" s="79">
        <f>VLOOKUP(B559,'Player Data'!$A1:$AE667,8,FALSE)*$Q559*_xlfn.IFERROR((VLOOKUP(P559,'Settings'!$E$28:$F$33,2,FALSE)+1),1)</f>
        <v>9.20598929127666</v>
      </c>
      <c r="U559" s="79">
        <f>SUM(S559:T559)</f>
        <v>11.6773928623062</v>
      </c>
      <c r="V559" s="79">
        <f>VLOOKUP(B559,'Player Data'!$A1:$AE667,10,FALSE)*$Q559*_xlfn.IFERROR(((VLOOKUP(P559,'Settings'!$E$28:$F$33,2,FALSE)/2)+1),1)</f>
        <v>69.43423675525941</v>
      </c>
      <c r="W559" s="79">
        <f>VLOOKUP(B559,'Player Data'!$A1:$AE667,11,FALSE)*$Q559*_xlfn.IFERROR((VLOOKUP(P559,'Settings'!$E$28:$F$33,2,FALSE)+1),1)</f>
        <v>0.0203193034146877</v>
      </c>
      <c r="X559" s="79">
        <f>VLOOKUP(B559,'Player Data'!$A1:$AE667,12,FALSE)*$Q559*_xlfn.IFERROR((VLOOKUP(P559,'Settings'!$E$28:$F$33,2,FALSE)+1),1)</f>
        <v>0.13019174477182</v>
      </c>
      <c r="Y559" s="79">
        <f>VLOOKUP(B559,'Player Data'!$A1:$AE667,13,FALSE)*$Q559</f>
        <v>0.0225152256655373</v>
      </c>
      <c r="Z559" s="79">
        <f>VLOOKUP(B559,'Player Data'!$A1:$AE667,14,FALSE)*$Q559</f>
        <v>0.257211902126259</v>
      </c>
      <c r="AA559" s="79">
        <f>VLOOKUP(B559,'Player Data'!$A1:$AE667,15,FALSE)*$Q559</f>
        <v>85.2504388277913</v>
      </c>
      <c r="AB559" s="79">
        <f>VLOOKUP(B559,'Player Data'!$A1:$AE667,16,FALSE)*$Q559</f>
        <v>105.033104121112</v>
      </c>
      <c r="AC559" s="79">
        <f>VLOOKUP(B559,'Player Data'!$A1:$AE667,17,FALSE)*$Q559*_xlfn.IFERROR((VLOOKUP(P559,'Settings'!$E$28:$F$33,2,FALSE)+1),1)</f>
        <v>1.38523145430488</v>
      </c>
      <c r="AD559" s="79">
        <f>VLOOKUP(B559,'Player Data'!$A1:$AE667,18,FALSE)*$Q559</f>
        <v>48.0190605406798</v>
      </c>
      <c r="AE559" s="79">
        <f>VLOOKUP(B559,'Player Data'!$A1:$AE667,19,FALSE)*$Q559*_xlfn.IFERROR((VLOOKUP(P559,'Settings'!$E$28:$F$33,2,FALSE)+1),1)</f>
        <v>0.410812908704702</v>
      </c>
      <c r="AF559" s="79">
        <f>VLOOKUP(B559,'Player Data'!$A1:$AE667,20,FALSE)*$Q559</f>
        <v>0</v>
      </c>
      <c r="AG559" s="79">
        <f>VLOOKUP(B559,'Player Data'!$A1:$AE667,21,FALSE)*$Q559</f>
        <v>0</v>
      </c>
      <c r="AH559" s="81">
        <f>VLOOKUP(B559,'Player Data'!$A1:$AE667,22,FALSE)</f>
        <v>0</v>
      </c>
      <c r="AI559" s="77"/>
      <c r="AJ559" s="79"/>
      <c r="AK559" s="79"/>
      <c r="AL559" s="79"/>
      <c r="AM559" s="79"/>
      <c r="AN559" s="79"/>
      <c r="AO559" s="79"/>
      <c r="AP559" s="79"/>
      <c r="AQ559" s="82"/>
      <c r="AR559" s="83"/>
      <c r="AS559" s="84"/>
    </row>
    <row r="560" ht="21.25" customHeight="1">
      <c r="A560" s="85">
        <f>RANK(K560,K$1:K$665)</f>
        <v>540</v>
      </c>
      <c r="B560" t="s" s="16">
        <v>750</v>
      </c>
      <c r="C560" t="s" s="69">
        <v>127</v>
      </c>
      <c r="D560" t="s" s="70">
        <f>VLOOKUP(B560,'Player Data'!A1:D667,4,FALSE)</f>
        <v>153</v>
      </c>
      <c r="E560" s="95">
        <f>VLOOKUP(B560,'D'!A1:C213,3,FALSE)</f>
        <v>181</v>
      </c>
      <c r="F560" t="s" s="86">
        <f>VLOOKUP(B560,'Player Data'!A1:B667,2,FALSE)</f>
        <v>149</v>
      </c>
      <c r="G560" s="91">
        <f>VLOOKUP(B560,'Player Data'!A1:D667,3,FALSE)</f>
        <v>33</v>
      </c>
      <c r="H560" s="94">
        <f>_xlfn.IFERROR(VLOOKUP(B560,'ADP'!A1:G665,7,FALSE)/1000000,VLOOKUP(B560,'ADP'!A1:G665,7,FALSE))</f>
        <v>0.8</v>
      </c>
      <c r="I560" s="74">
        <f>IF('Settings'!$E$15="POINTS",((R560*Q560)*'Settings'!$B$12)+(S560*'Settings'!$B$2)+(T560*'Settings'!$B$3)+(U560*'Settings'!$B$4)+(V560*'Settings'!$B$5)+(X560*'Settings'!$B$9)+(AA560*'Settings'!$B$6)+(W560*'Settings'!$B$8)+(AB560*'Settings'!$B$7)+(AC560*'Settings'!$B$14)+(AD560*'Settings'!$B$15)+(AE560*'Settings'!$B$16)+(AF560*'Settings'!$B$17)+(AG560*'Settings'!$B$18)+(U560*'Settings'!$B$13)+(Y560*'Settings'!$B$10)+(Z560*'Settings'!$B$11),VLOOKUP(B560,'Standard Deviations'!A1:C666,3,FALSE))</f>
        <v>163.753372220772</v>
      </c>
      <c r="J560" s="75">
        <f>IF(D560="G",I560/AJ560,I560/Q560)</f>
        <v>2.13651734908699</v>
      </c>
      <c r="K560" s="74">
        <f>VLOOKUP(B560,'D'!A1:F213,6,FALSE)</f>
        <v>-167.786835699310</v>
      </c>
      <c r="L560" s="76">
        <f>_xlfn.IFERROR(K560/H560,"N/A")</f>
        <v>-209.733544624138</v>
      </c>
      <c r="M560" s="109">
        <f>IF('Settings'!$E$9="YAHOO",VLOOKUP(B560,'ADP'!A1:E665,2,FALSE),IF('Settings'!$E$9="ESPN",VLOOKUP(B560,'ADP'!A1:E665,3,FALSE),IF('Settings'!$E$9="FANTRAX",VLOOKUP(B560,'ADP'!A1:E665,4,FALSE),VLOOKUP(B560,'ADP'!A1:E665,5,FALSE))))</f>
        <v>0</v>
      </c>
      <c r="N560" s="79">
        <f>_xlfn.IFERROR(M560-A560,"N/A")</f>
        <v>-540</v>
      </c>
      <c r="O560" s="77"/>
      <c r="P560" t="s" s="78">
        <f>IF('Settings'!$E$27="ON",VLOOKUP(B560,'ADP'!A1:H665,8,FALSE)," ")</f>
        <v>138</v>
      </c>
      <c r="Q560" s="79">
        <f>IF('Settings'!$E$12="YES",VLOOKUP(B560,'Player Data'!A1:E667,5,FALSE),82)</f>
        <v>76.645</v>
      </c>
      <c r="R560" s="77">
        <f>VLOOKUP(B560,'Player Data'!$A1:$AE667,6,FALSE)</f>
        <v>15.8475305289352</v>
      </c>
      <c r="S560" s="79">
        <f>VLOOKUP(B560,'Player Data'!$A1:$AE667,7,FALSE)*$Q560*_xlfn.IFERROR((VLOOKUP(P560,'Settings'!$E$28:$F$33,2,FALSE)+1),1)</f>
        <v>3.03322718295395</v>
      </c>
      <c r="T560" s="79">
        <f>VLOOKUP(B560,'Player Data'!$A1:$AE667,8,FALSE)*$Q560*_xlfn.IFERROR((VLOOKUP(P560,'Settings'!$E$28:$F$33,2,FALSE)+1),1)</f>
        <v>12.4246994448419</v>
      </c>
      <c r="U560" s="79">
        <f>SUM(S560:T560)</f>
        <v>15.4579266277959</v>
      </c>
      <c r="V560" s="79">
        <f>VLOOKUP(B560,'Player Data'!$A1:$AE667,10,FALSE)*$Q560*_xlfn.IFERROR(((VLOOKUP(P560,'Settings'!$E$28:$F$33,2,FALSE)/2)+1),1)</f>
        <v>82.2360233634065</v>
      </c>
      <c r="W560" s="79">
        <f>VLOOKUP(B560,'Player Data'!$A1:$AE667,11,FALSE)*$Q560*_xlfn.IFERROR((VLOOKUP(P560,'Settings'!$E$28:$F$33,2,FALSE)+1),1)</f>
        <v>0.365391638684002</v>
      </c>
      <c r="X560" s="79">
        <f>VLOOKUP(B560,'Player Data'!$A1:$AE667,12,FALSE)*$Q560*_xlfn.IFERROR((VLOOKUP(P560,'Settings'!$E$28:$F$33,2,FALSE)+1),1)</f>
        <v>1.75489695659886</v>
      </c>
      <c r="Y560" s="79">
        <f>VLOOKUP(B560,'Player Data'!$A1:$AE667,13,FALSE)*$Q560</f>
        <v>0.0169709304954041</v>
      </c>
      <c r="Z560" s="79">
        <f>VLOOKUP(B560,'Player Data'!$A1:$AE667,14,FALSE)*$Q560</f>
        <v>0.203761132254931</v>
      </c>
      <c r="AA560" s="79">
        <f>VLOOKUP(B560,'Player Data'!$A1:$AE667,15,FALSE)*$Q560</f>
        <v>91.319699856790</v>
      </c>
      <c r="AB560" s="79">
        <f>VLOOKUP(B560,'Player Data'!$A1:$AE667,16,FALSE)*$Q560</f>
        <v>74.1227658135368</v>
      </c>
      <c r="AC560" s="79">
        <f>VLOOKUP(B560,'Player Data'!$A1:$AE667,17,FALSE)*$Q560*_xlfn.IFERROR((VLOOKUP(P560,'Settings'!$E$28:$F$33,2,FALSE)+1),1)</f>
        <v>2.84359416924485</v>
      </c>
      <c r="AD560" s="79">
        <f>VLOOKUP(B560,'Player Data'!$A1:$AE667,18,FALSE)*$Q560</f>
        <v>15.5620241812093</v>
      </c>
      <c r="AE560" s="79">
        <f>VLOOKUP(B560,'Player Data'!$A1:$AE667,19,FALSE)*$Q560*_xlfn.IFERROR((VLOOKUP(P560,'Settings'!$E$28:$F$33,2,FALSE)+1),1)</f>
        <v>0.5167458320364819</v>
      </c>
      <c r="AF560" s="79">
        <f>VLOOKUP(B560,'Player Data'!$A1:$AE667,20,FALSE)*$Q560</f>
        <v>0</v>
      </c>
      <c r="AG560" s="79">
        <f>VLOOKUP(B560,'Player Data'!$A1:$AE667,21,FALSE)*$Q560</f>
        <v>0</v>
      </c>
      <c r="AH560" s="81">
        <f>VLOOKUP(B560,'Player Data'!$A1:$AE667,22,FALSE)</f>
        <v>0</v>
      </c>
      <c r="AI560" s="77"/>
      <c r="AJ560" s="79"/>
      <c r="AK560" s="79"/>
      <c r="AL560" s="79"/>
      <c r="AM560" s="79"/>
      <c r="AN560" s="79"/>
      <c r="AO560" s="79"/>
      <c r="AP560" s="79"/>
      <c r="AQ560" s="82"/>
      <c r="AR560" s="83"/>
      <c r="AS560" s="84"/>
    </row>
    <row r="561" ht="21.25" customHeight="1">
      <c r="A561" s="85">
        <f>RANK(K561,K$1:K$665)</f>
        <v>541</v>
      </c>
      <c r="B561" t="s" s="16">
        <v>751</v>
      </c>
      <c r="C561" t="s" s="69">
        <v>127</v>
      </c>
      <c r="D561" t="s" s="70">
        <f>VLOOKUP(B561,'Player Data'!A1:D667,4,FALSE)</f>
        <v>153</v>
      </c>
      <c r="E561" s="95">
        <f>VLOOKUP(B561,'D'!A1:C213,3,FALSE)</f>
        <v>182</v>
      </c>
      <c r="F561" t="s" s="104">
        <f>VLOOKUP(B561,'Player Data'!A1:B667,2,FALSE)</f>
        <v>281</v>
      </c>
      <c r="G561" s="96">
        <f>VLOOKUP(B561,'Player Data'!A1:D667,3,FALSE)</f>
        <v>24</v>
      </c>
      <c r="H561" s="94">
        <f>_xlfn.IFERROR(VLOOKUP(B561,'ADP'!A1:G665,7,FALSE)/1000000,VLOOKUP(B561,'ADP'!A1:G665,7,FALSE))</f>
        <v>1.4</v>
      </c>
      <c r="I561" s="74">
        <f>IF('Settings'!$E$15="POINTS",((R561*Q561)*'Settings'!$B$12)+(S561*'Settings'!$B$2)+(T561*'Settings'!$B$3)+(U561*'Settings'!$B$4)+(V561*'Settings'!$B$5)+(X561*'Settings'!$B$9)+(AA561*'Settings'!$B$6)+(W561*'Settings'!$B$8)+(AB561*'Settings'!$B$7)+(AC561*'Settings'!$B$14)+(AD561*'Settings'!$B$15)+(AE561*'Settings'!$B$16)+(AF561*'Settings'!$B$17)+(AG561*'Settings'!$B$18)+(U561*'Settings'!$B$13)+(Y561*'Settings'!$B$10)+(Z561*'Settings'!$B$11),VLOOKUP(B561,'Standard Deviations'!A1:C666,3,FALSE))</f>
        <v>163.574478437085</v>
      </c>
      <c r="J561" s="75">
        <f>IF(D561="G",I561/AJ561,I561/Q561)</f>
        <v>2.24451275684656</v>
      </c>
      <c r="K561" s="74">
        <f>VLOOKUP(B561,'D'!A1:F213,6,FALSE)</f>
        <v>-167.965729482997</v>
      </c>
      <c r="L561" s="76">
        <f>_xlfn.IFERROR(K561/H561,"N/A")</f>
        <v>-119.975521059284</v>
      </c>
      <c r="M561" s="109">
        <f>IF('Settings'!$E$9="YAHOO",VLOOKUP(B561,'ADP'!A1:E665,2,FALSE),IF('Settings'!$E$9="ESPN",VLOOKUP(B561,'ADP'!A1:E665,3,FALSE),IF('Settings'!$E$9="FANTRAX",VLOOKUP(B561,'ADP'!A1:E665,4,FALSE),VLOOKUP(B561,'ADP'!A1:E665,5,FALSE))))</f>
        <v>0</v>
      </c>
      <c r="N561" s="79">
        <f>_xlfn.IFERROR(M561-A561,"N/A")</f>
        <v>-541</v>
      </c>
      <c r="O561" s="77"/>
      <c r="P561" t="s" s="78">
        <f>IF('Settings'!$E$27="ON",VLOOKUP(B561,'ADP'!A1:H665,8,FALSE)," ")</f>
        <v>138</v>
      </c>
      <c r="Q561" s="79">
        <f>IF('Settings'!$E$12="YES",VLOOKUP(B561,'Player Data'!A1:E667,5,FALSE),82)</f>
        <v>72.8775</v>
      </c>
      <c r="R561" s="77">
        <f>VLOOKUP(B561,'Player Data'!$A1:$AE667,6,FALSE)</f>
        <v>16.7669784952661</v>
      </c>
      <c r="S561" s="79">
        <f>VLOOKUP(B561,'Player Data'!$A1:$AE667,7,FALSE)*$Q561*_xlfn.IFERROR((VLOOKUP(P561,'Settings'!$E$28:$F$33,2,FALSE)+1),1)</f>
        <v>4.12669873449227</v>
      </c>
      <c r="T561" s="79">
        <f>VLOOKUP(B561,'Player Data'!$A1:$AE667,8,FALSE)*$Q561*_xlfn.IFERROR((VLOOKUP(P561,'Settings'!$E$28:$F$33,2,FALSE)+1),1)</f>
        <v>13.5769172510318</v>
      </c>
      <c r="U561" s="79">
        <f>SUM(S561:T561)</f>
        <v>17.7036159855241</v>
      </c>
      <c r="V561" s="79">
        <f>VLOOKUP(B561,'Player Data'!$A1:$AE667,10,FALSE)*$Q561*_xlfn.IFERROR(((VLOOKUP(P561,'Settings'!$E$28:$F$33,2,FALSE)/2)+1),1)</f>
        <v>64.90026453834049</v>
      </c>
      <c r="W561" s="79">
        <f>VLOOKUP(B561,'Player Data'!$A1:$AE667,11,FALSE)*$Q561*_xlfn.IFERROR((VLOOKUP(P561,'Settings'!$E$28:$F$33,2,FALSE)+1),1)</f>
        <v>0.0241209448462883</v>
      </c>
      <c r="X561" s="79">
        <f>VLOOKUP(B561,'Player Data'!$A1:$AE667,12,FALSE)*$Q561*_xlfn.IFERROR((VLOOKUP(P561,'Settings'!$E$28:$F$33,2,FALSE)+1),1)</f>
        <v>0.203667079748722</v>
      </c>
      <c r="Y561" s="79">
        <f>VLOOKUP(B561,'Player Data'!$A1:$AE667,13,FALSE)*$Q561</f>
        <v>0.0193659364980782</v>
      </c>
      <c r="Z561" s="79">
        <f>VLOOKUP(B561,'Player Data'!$A1:$AE667,14,FALSE)*$Q561</f>
        <v>0.0953898612159883</v>
      </c>
      <c r="AA561" s="79">
        <f>VLOOKUP(B561,'Player Data'!$A1:$AE667,15,FALSE)*$Q561</f>
        <v>101.206149910248</v>
      </c>
      <c r="AB561" s="79">
        <f>VLOOKUP(B561,'Player Data'!$A1:$AE667,16,FALSE)*$Q561</f>
        <v>59.9197612059723</v>
      </c>
      <c r="AC561" s="79">
        <f>VLOOKUP(B561,'Player Data'!$A1:$AE667,17,FALSE)*$Q561*_xlfn.IFERROR((VLOOKUP(P561,'Settings'!$E$28:$F$33,2,FALSE)+1),1)</f>
        <v>-3.5207290170044</v>
      </c>
      <c r="AD561" s="79">
        <f>VLOOKUP(B561,'Player Data'!$A1:$AE667,18,FALSE)*$Q561</f>
        <v>29.9209063017683</v>
      </c>
      <c r="AE561" s="79">
        <f>VLOOKUP(B561,'Player Data'!$A1:$AE667,19,FALSE)*$Q561*_xlfn.IFERROR((VLOOKUP(P561,'Settings'!$E$28:$F$33,2,FALSE)+1),1)</f>
        <v>0.456348293616862</v>
      </c>
      <c r="AF561" s="79">
        <f>VLOOKUP(B561,'Player Data'!$A1:$AE667,20,FALSE)*$Q561</f>
        <v>0</v>
      </c>
      <c r="AG561" s="79">
        <f>VLOOKUP(B561,'Player Data'!$A1:$AE667,21,FALSE)*$Q561</f>
        <v>0</v>
      </c>
      <c r="AH561" s="81">
        <f>VLOOKUP(B561,'Player Data'!$A1:$AE667,22,FALSE)</f>
        <v>0</v>
      </c>
      <c r="AI561" s="77"/>
      <c r="AJ561" s="79"/>
      <c r="AK561" s="79"/>
      <c r="AL561" s="79"/>
      <c r="AM561" s="79"/>
      <c r="AN561" s="79"/>
      <c r="AO561" s="79"/>
      <c r="AP561" s="79"/>
      <c r="AQ561" s="82"/>
      <c r="AR561" s="83"/>
      <c r="AS561" s="84"/>
    </row>
    <row r="562" ht="21.25" customHeight="1">
      <c r="A562" s="85">
        <f>RANK(K562,K$1:K$665)</f>
        <v>565</v>
      </c>
      <c r="B562" t="s" s="16">
        <v>752</v>
      </c>
      <c r="C562" t="s" s="69">
        <v>127</v>
      </c>
      <c r="D562" t="s" s="70">
        <f>VLOOKUP(B562,'Player Data'!A1:D667,4,FALSE)</f>
        <v>136</v>
      </c>
      <c r="E562" s="87">
        <f>VLOOKUP(B562,'LW'!A1:C152,3,FALSE)</f>
        <v>126</v>
      </c>
      <c r="F562" t="s" s="107">
        <f>VLOOKUP(B562,'Player Data'!A1:B667,2,FALSE)</f>
        <v>279</v>
      </c>
      <c r="G562" s="11">
        <f>VLOOKUP(B562,'Player Data'!A1:D667,3,FALSE)</f>
        <v>28</v>
      </c>
      <c r="H562" s="94">
        <f>_xlfn.IFERROR(VLOOKUP(B562,'ADP'!A1:G665,7,FALSE)/1000000,VLOOKUP(B562,'ADP'!A1:G665,7,FALSE))</f>
        <v>4</v>
      </c>
      <c r="I562" s="74">
        <f>IF('Settings'!$E$15="POINTS",((R562*Q562)*'Settings'!$B$12)+(S562*'Settings'!$B$2)+(T562*'Settings'!$B$3)+(U562*'Settings'!$B$4)+(V562*'Settings'!$B$5)+(X562*'Settings'!$B$9)+(AA562*'Settings'!$B$6)+(W562*'Settings'!$B$8)+(AB562*'Settings'!$B$7)+(AC562*'Settings'!$B$14)+(AD562*'Settings'!$B$15)+(AE562*'Settings'!$B$16)+(AF562*'Settings'!$B$17)+(AG562*'Settings'!$B$18)+(Y562*'Settings'!$B$10)+(Z562*'Settings'!$B$11),VLOOKUP(B562,'Standard Deviations'!A1:C666,3,FALSE))</f>
        <v>156.635248898101</v>
      </c>
      <c r="J562" s="75">
        <f>IF(D562="G",I562/AJ562,I562/Q562)</f>
        <v>2.25309621545024</v>
      </c>
      <c r="K562" s="74">
        <f>IF('Settings'!$E$18="C/LW/RW",VLOOKUP(B562,'LW'!A1:F152,6,FALSE),VLOOKUP(B562,'F'!A1:F392,6,FALSE))</f>
        <v>-175.084862868111</v>
      </c>
      <c r="L562" s="76">
        <f>_xlfn.IFERROR(K562/H562,"N/A")</f>
        <v>-43.7712157170278</v>
      </c>
      <c r="M562" s="109">
        <f>IF('Settings'!$E$9="YAHOO",VLOOKUP(B562,'ADP'!A1:E665,2,FALSE),IF('Settings'!$E$9="ESPN",VLOOKUP(B562,'ADP'!A1:E665,3,FALSE),IF('Settings'!$E$9="FANTRAX",VLOOKUP(B562,'ADP'!A1:E665,4,FALSE),VLOOKUP(B562,'ADP'!A1:E665,5,FALSE))))</f>
        <v>0</v>
      </c>
      <c r="N562" s="79">
        <f>_xlfn.IFERROR(M562-A562,"N/A")</f>
        <v>-565</v>
      </c>
      <c r="O562" s="77"/>
      <c r="P562" t="s" s="78">
        <f>IF('Settings'!$E$27="ON",VLOOKUP(B562,'ADP'!A1:H665,8,FALSE)," ")</f>
        <v>138</v>
      </c>
      <c r="Q562" s="79">
        <f>IF('Settings'!$E$12="YES",VLOOKUP(B562,'Player Data'!A1:E667,5,FALSE),82)</f>
        <v>69.52</v>
      </c>
      <c r="R562" s="77">
        <f>VLOOKUP(B562,'Player Data'!$A1:$AE667,6,FALSE)</f>
        <v>12.477499161584</v>
      </c>
      <c r="S562" s="79">
        <f>VLOOKUP(B562,'Player Data'!$A1:$AE667,7,FALSE)*$Q562*_xlfn.IFERROR((VLOOKUP(P562,'Settings'!$E$28:$F$33,2,FALSE)+1),1)</f>
        <v>13.140547962334</v>
      </c>
      <c r="T562" s="79">
        <f>VLOOKUP(B562,'Player Data'!$A1:$AE667,8,FALSE)*$Q562*_xlfn.IFERROR((VLOOKUP(P562,'Settings'!$E$28:$F$33,2,FALSE)+1),1)</f>
        <v>11.1913968288934</v>
      </c>
      <c r="U562" s="79">
        <f>SUM(S562:T562)</f>
        <v>24.3319447912274</v>
      </c>
      <c r="V562" s="79">
        <f>VLOOKUP(B562,'Player Data'!$A1:$AE667,10,FALSE)*$Q562*_xlfn.IFERROR(((VLOOKUP(P562,'Settings'!$E$28:$F$33,2,FALSE)/2)+1),1)</f>
        <v>91.87816199399219</v>
      </c>
      <c r="W562" s="79">
        <f>VLOOKUP(B562,'Player Data'!$A1:$AE667,11,FALSE)*$Q562*_xlfn.IFERROR((VLOOKUP(P562,'Settings'!$E$28:$F$33,2,FALSE)+1),1)</f>
        <v>1.89281784067762</v>
      </c>
      <c r="X562" s="79">
        <f>VLOOKUP(B562,'Player Data'!$A1:$AE667,12,FALSE)*$Q562*_xlfn.IFERROR((VLOOKUP(P562,'Settings'!$E$28:$F$33,2,FALSE)+1),1)</f>
        <v>4.47324175817607</v>
      </c>
      <c r="Y562" s="79">
        <f>VLOOKUP(B562,'Player Data'!$A1:$AE667,13,FALSE)*$Q562</f>
        <v>0.0150330526808719</v>
      </c>
      <c r="Z562" s="79">
        <f>VLOOKUP(B562,'Player Data'!$A1:$AE667,14,FALSE)*$Q562</f>
        <v>0.0254150219742134</v>
      </c>
      <c r="AA562" s="79">
        <f>VLOOKUP(B562,'Player Data'!$A1:$AE667,15,FALSE)*$Q562</f>
        <v>30.7140320333541</v>
      </c>
      <c r="AB562" s="79">
        <f>VLOOKUP(B562,'Player Data'!$A1:$AE667,16,FALSE)*$Q562</f>
        <v>81.9283122281449</v>
      </c>
      <c r="AC562" s="79">
        <f>VLOOKUP(B562,'Player Data'!$A1:$AE667,17,FALSE)*$Q562*_xlfn.IFERROR((VLOOKUP(P562,'Settings'!$E$28:$F$33,2,FALSE)+1),1)</f>
        <v>-3.18441504896347</v>
      </c>
      <c r="AD562" s="79">
        <f>VLOOKUP(B562,'Player Data'!$A1:$AE667,18,FALSE)*$Q562</f>
        <v>24.5662233918923</v>
      </c>
      <c r="AE562" s="79">
        <f>VLOOKUP(B562,'Player Data'!$A1:$AE667,19,FALSE)*$Q562*_xlfn.IFERROR((VLOOKUP(P562,'Settings'!$E$28:$F$33,2,FALSE)+1),1)</f>
        <v>1.53165634844042</v>
      </c>
      <c r="AF562" s="79">
        <f>VLOOKUP(B562,'Player Data'!$A1:$AE667,20,FALSE)*$Q562</f>
        <v>56.5841363756823</v>
      </c>
      <c r="AG562" s="79">
        <f>VLOOKUP(B562,'Player Data'!$A1:$AE667,21,FALSE)*$Q562</f>
        <v>53.2678144492096</v>
      </c>
      <c r="AH562" s="81">
        <f>VLOOKUP(B562,'Player Data'!$A1:$AE667,22,FALSE)</f>
        <v>0.515094506294927</v>
      </c>
      <c r="AI562" s="77"/>
      <c r="AJ562" s="89"/>
      <c r="AK562" s="79"/>
      <c r="AL562" s="79"/>
      <c r="AM562" s="79"/>
      <c r="AN562" s="79"/>
      <c r="AO562" s="79"/>
      <c r="AP562" s="79"/>
      <c r="AQ562" s="82"/>
      <c r="AR562" s="83"/>
      <c r="AS562" s="84"/>
    </row>
    <row r="563" ht="21.25" customHeight="1">
      <c r="A563" s="85">
        <f>RANK(K563,K$1:K$665)</f>
        <v>529</v>
      </c>
      <c r="B563" t="s" s="16">
        <v>753</v>
      </c>
      <c r="C563" t="s" s="69">
        <v>127</v>
      </c>
      <c r="D563" t="s" s="70">
        <f>VLOOKUP(B563,'Player Data'!A1:D667,4,FALSE)</f>
        <v>161</v>
      </c>
      <c r="E563" s="99">
        <f>VLOOKUP(B563,'G'!A1:D65,3,FALSE)</f>
        <v>60</v>
      </c>
      <c r="F563" t="s" s="86">
        <f>VLOOKUP(B563,'Player Data'!A1:B667,2,FALSE)</f>
        <v>165</v>
      </c>
      <c r="G563" s="11">
        <f>VLOOKUP(B563,'Player Data'!A1:D667,3,FALSE)</f>
        <v>31</v>
      </c>
      <c r="H563" s="73">
        <f>_xlfn.IFERROR(VLOOKUP(B563,'ADP'!A1:G665,7,FALSE)/1000000,VLOOKUP(B563,'ADP'!A1:G665,7,FALSE))</f>
        <v>1.5</v>
      </c>
      <c r="I563" s="74">
        <f>IF('Settings'!$E$15="POINTS",(AJ563*'Settings'!$B$29)+(AK563*'Settings'!$B$21)+(AL563*'Settings'!$B$22)+(AN563*'Settings'!$B$24)+(AO563*'Settings'!$B$25)+(AP563*'Settings'!$B$27)+(AM563*'Settings'!$B$23),VLOOKUP(B563,'Standard Deviations'!A1:C666,3,FALSE))</f>
        <v>102.562711009676</v>
      </c>
      <c r="J563" s="75">
        <f>IF(D563="G",I563/AJ563,I563/Q563)</f>
        <v>5.1281355504838</v>
      </c>
      <c r="K563" s="74">
        <f>VLOOKUP(B563,'G'!A1:F65,6,FALSE)</f>
        <v>-165.028303554914</v>
      </c>
      <c r="L563" s="76">
        <f>_xlfn.IFERROR(K563/H563,"N/A")</f>
        <v>-110.018869036609</v>
      </c>
      <c r="M563" s="109">
        <f>IF('Settings'!$E$9="YAHOO",VLOOKUP(B563,'ADP'!A1:E665,2,FALSE),IF('Settings'!$E$9="ESPN",VLOOKUP(B563,'ADP'!A1:E665,3,FALSE),IF('Settings'!$E$9="FANTRAX",VLOOKUP(B563,'ADP'!A1:E665,4,FALSE),VLOOKUP(B563,'ADP'!A1:E665,5,FALSE))))</f>
        <v>0</v>
      </c>
      <c r="N563" s="79">
        <f>_xlfn.IFERROR(M563-A563,"N/A")</f>
        <v>-529</v>
      </c>
      <c r="O563" s="77"/>
      <c r="P563" t="s" s="78">
        <f>IF('Settings'!$E$27="ON",VLOOKUP(B563,'ADP'!A1:H665,8,FALSE)," ")</f>
        <v>138</v>
      </c>
      <c r="Q563" s="79"/>
      <c r="R563" s="77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81"/>
      <c r="AI563" s="77"/>
      <c r="AJ563" s="89">
        <f>VLOOKUP(B563,'Player Data'!$A1:$AE667,24,FALSE)</f>
        <v>20</v>
      </c>
      <c r="AK563" s="79">
        <f>VLOOKUP(B563,'Player Data'!$A1:$AE667,25,FALSE)*$AJ563*_xlfn.IFERROR((VLOOKUP(P563,'Settings'!$E$28:$F$33,2,FALSE)+1),1)</f>
        <v>9.963598653998121</v>
      </c>
      <c r="AL563" s="79">
        <f>AJ563-AK563-AM563</f>
        <v>7.53640134600188</v>
      </c>
      <c r="AM563" s="79">
        <f>VLOOKUP(B563,'Player Data'!$A1:$AE667,27,FALSE)*$AJ563</f>
        <v>2.5</v>
      </c>
      <c r="AN563" s="79">
        <f>VLOOKUP(B563,'Player Data'!$A1:$AE667,28,FALSE)*AJ563</f>
        <v>0.788805991959618</v>
      </c>
      <c r="AO563" s="79">
        <f>VLOOKUP(B563,'Player Data'!$A1:$AE667,29,FALSE)*$AJ563*_xlfn.IFERROR((VLOOKUP(P563,'Settings'!$E$28:$F$33,2,FALSE)/4)+1,1)</f>
        <v>543.534548110026</v>
      </c>
      <c r="AP563" s="79">
        <f>VLOOKUP(B563,'Player Data'!$A1:$AE667,31,FALSE)*$AJ563*(_xlfn.IFERROR(1-(VLOOKUP(P563,'Settings'!$E$28:$F$33,2,FALSE)/4),1))</f>
        <v>60.392727567780</v>
      </c>
      <c r="AQ563" s="82">
        <f>1-(AP563/(AO563+AP563))</f>
        <v>0.900000000000001</v>
      </c>
      <c r="AR563" s="83">
        <f>AP563/AJ563</f>
        <v>3.019636378389</v>
      </c>
      <c r="AS563" s="84"/>
    </row>
    <row r="564" ht="21.25" customHeight="1">
      <c r="A564" s="85">
        <f>RANK(K564,K$1:K$665)</f>
        <v>545</v>
      </c>
      <c r="B564" t="s" s="16">
        <v>754</v>
      </c>
      <c r="C564" t="s" s="69">
        <v>127</v>
      </c>
      <c r="D564" t="s" s="70">
        <f>VLOOKUP(B564,'Player Data'!A1:D667,4,FALSE)</f>
        <v>153</v>
      </c>
      <c r="E564" s="95">
        <f>VLOOKUP(B564,'D'!A1:C213,3,FALSE)</f>
        <v>183</v>
      </c>
      <c r="F564" t="s" s="104">
        <f>VLOOKUP(B564,'Player Data'!A1:B667,2,FALSE)</f>
        <v>333</v>
      </c>
      <c r="G564" s="91">
        <f>VLOOKUP(B564,'Player Data'!A1:D667,3,FALSE)</f>
        <v>37</v>
      </c>
      <c r="H564" s="73">
        <f>_xlfn.IFERROR(VLOOKUP(B564,'ADP'!A1:G665,7,FALSE)/1000000,VLOOKUP(B564,'ADP'!A1:G665,7,FALSE))</f>
        <v>7</v>
      </c>
      <c r="I564" s="74">
        <f>IF('Settings'!$E$15="POINTS",((R564*Q564)*'Settings'!$B$12)+(S564*'Settings'!$B$2)+(T564*'Settings'!$B$3)+(U564*'Settings'!$B$4)+(V564*'Settings'!$B$5)+(X564*'Settings'!$B$9)+(AA564*'Settings'!$B$6)+(W564*'Settings'!$B$8)+(AB564*'Settings'!$B$7)+(AC564*'Settings'!$B$14)+(AD564*'Settings'!$B$15)+(AE564*'Settings'!$B$16)+(AF564*'Settings'!$B$17)+(AG564*'Settings'!$B$18)+(U564*'Settings'!$B$13)+(Y564*'Settings'!$B$10)+(Z564*'Settings'!$B$11),VLOOKUP(B564,'Standard Deviations'!A1:C666,3,FALSE))</f>
        <v>162.233656967127</v>
      </c>
      <c r="J564" s="75">
        <f>IF(D564="G",I564/AJ564,I564/Q564)</f>
        <v>2.12507655587814</v>
      </c>
      <c r="K564" s="74">
        <f>VLOOKUP(B564,'D'!A1:F213,6,FALSE)</f>
        <v>-169.306550952955</v>
      </c>
      <c r="L564" s="76">
        <f>_xlfn.IFERROR(K564/H564,"N/A")</f>
        <v>-24.1866501361364</v>
      </c>
      <c r="M564" s="109">
        <f>IF('Settings'!$E$9="YAHOO",VLOOKUP(B564,'ADP'!A1:E665,2,FALSE),IF('Settings'!$E$9="ESPN",VLOOKUP(B564,'ADP'!A1:E665,3,FALSE),IF('Settings'!$E$9="FANTRAX",VLOOKUP(B564,'ADP'!A1:E665,4,FALSE),VLOOKUP(B564,'ADP'!A1:E665,5,FALSE))))</f>
        <v>0</v>
      </c>
      <c r="N564" s="79">
        <f>_xlfn.IFERROR(M564-A564,"N/A")</f>
        <v>-545</v>
      </c>
      <c r="O564" s="77"/>
      <c r="P564" t="s" s="78">
        <f>IF('Settings'!$E$27="ON",VLOOKUP(B564,'ADP'!A1:H665,8,FALSE)," ")</f>
        <v>138</v>
      </c>
      <c r="Q564" s="79">
        <f>IF('Settings'!$E$12="YES",VLOOKUP(B564,'Player Data'!A1:E667,5,FALSE),82)</f>
        <v>76.3425</v>
      </c>
      <c r="R564" s="77">
        <f>VLOOKUP(B564,'Player Data'!$A1:$AE667,6,FALSE)</f>
        <v>15.4882438339319</v>
      </c>
      <c r="S564" s="79">
        <f>VLOOKUP(B564,'Player Data'!$A1:$AE667,7,FALSE)*$Q564*_xlfn.IFERROR((VLOOKUP(P564,'Settings'!$E$28:$F$33,2,FALSE)+1),1)</f>
        <v>2.9061167067526</v>
      </c>
      <c r="T564" s="79">
        <f>VLOOKUP(B564,'Player Data'!$A1:$AE667,8,FALSE)*$Q564*_xlfn.IFERROR((VLOOKUP(P564,'Settings'!$E$28:$F$33,2,FALSE)+1),1)</f>
        <v>11.2075960188158</v>
      </c>
      <c r="U564" s="79">
        <f>SUM(S564:T564)</f>
        <v>14.1137127255684</v>
      </c>
      <c r="V564" s="79">
        <f>VLOOKUP(B564,'Player Data'!$A1:$AE667,10,FALSE)*$Q564*_xlfn.IFERROR(((VLOOKUP(P564,'Settings'!$E$28:$F$33,2,FALSE)/2)+1),1)</f>
        <v>73.4232356774375</v>
      </c>
      <c r="W564" s="79">
        <f>VLOOKUP(B564,'Player Data'!$A1:$AE667,11,FALSE)*$Q564*_xlfn.IFERROR((VLOOKUP(P564,'Settings'!$E$28:$F$33,2,FALSE)+1),1)</f>
        <v>0.00878797869984782</v>
      </c>
      <c r="X564" s="79">
        <f>VLOOKUP(B564,'Player Data'!$A1:$AE667,12,FALSE)*$Q564*_xlfn.IFERROR((VLOOKUP(P564,'Settings'!$E$28:$F$33,2,FALSE)+1),1)</f>
        <v>0.0612011206994298</v>
      </c>
      <c r="Y564" s="79">
        <f>VLOOKUP(B564,'Player Data'!$A1:$AE667,13,FALSE)*$Q564</f>
        <v>0.008580715489628009</v>
      </c>
      <c r="Z564" s="79">
        <f>VLOOKUP(B564,'Player Data'!$A1:$AE667,14,FALSE)*$Q564</f>
        <v>0.0461870609892943</v>
      </c>
      <c r="AA564" s="79">
        <f>VLOOKUP(B564,'Player Data'!$A1:$AE667,15,FALSE)*$Q564</f>
        <v>110.817651033009</v>
      </c>
      <c r="AB564" s="79">
        <f>VLOOKUP(B564,'Player Data'!$A1:$AE667,16,FALSE)*$Q564</f>
        <v>58.2307055087368</v>
      </c>
      <c r="AC564" s="79">
        <f>VLOOKUP(B564,'Player Data'!$A1:$AE667,17,FALSE)*$Q564*_xlfn.IFERROR((VLOOKUP(P564,'Settings'!$E$28:$F$33,2,FALSE)+1),1)</f>
        <v>-9.874082269165649</v>
      </c>
      <c r="AD564" s="79">
        <f>VLOOKUP(B564,'Player Data'!$A1:$AE667,18,FALSE)*$Q564</f>
        <v>18.030571707340</v>
      </c>
      <c r="AE564" s="79">
        <f>VLOOKUP(B564,'Player Data'!$A1:$AE667,19,FALSE)*$Q564*_xlfn.IFERROR((VLOOKUP(P564,'Settings'!$E$28:$F$33,2,FALSE)+1),1)</f>
        <v>0.310402688475149</v>
      </c>
      <c r="AF564" s="79">
        <f>VLOOKUP(B564,'Player Data'!$A1:$AE667,20,FALSE)*$Q564</f>
        <v>0</v>
      </c>
      <c r="AG564" s="79">
        <f>VLOOKUP(B564,'Player Data'!$A1:$AE667,21,FALSE)*$Q564</f>
        <v>0</v>
      </c>
      <c r="AH564" s="81">
        <f>VLOOKUP(B564,'Player Data'!$A1:$AE667,22,FALSE)</f>
        <v>0</v>
      </c>
      <c r="AI564" s="77"/>
      <c r="AJ564" s="79"/>
      <c r="AK564" s="79"/>
      <c r="AL564" s="79"/>
      <c r="AM564" s="79"/>
      <c r="AN564" s="79"/>
      <c r="AO564" s="79"/>
      <c r="AP564" s="79"/>
      <c r="AQ564" s="82"/>
      <c r="AR564" s="83"/>
      <c r="AS564" s="93"/>
    </row>
    <row r="565" ht="21.25" customHeight="1">
      <c r="A565" s="85">
        <f>RANK(K565,K$1:K$665)</f>
        <v>531</v>
      </c>
      <c r="B565" t="s" s="16">
        <v>755</v>
      </c>
      <c r="C565" t="s" s="69">
        <v>127</v>
      </c>
      <c r="D565" t="s" s="70">
        <f>VLOOKUP(B565,'Player Data'!A1:D667,4,FALSE)</f>
        <v>161</v>
      </c>
      <c r="E565" s="99">
        <f>VLOOKUP(B565,'G'!A1:D65,3,FALSE)</f>
        <v>61</v>
      </c>
      <c r="F565" t="s" s="78">
        <f>VLOOKUP(B565,'Player Data'!A1:B667,2,FALSE)</f>
        <v>162</v>
      </c>
      <c r="G565" s="91">
        <f>VLOOKUP(B565,'Player Data'!A1:D667,3,FALSE)</f>
        <v>38</v>
      </c>
      <c r="H565" s="94">
        <f>_xlfn.IFERROR(VLOOKUP(B565,'ADP'!A1:G665,7,FALSE)/1000000,VLOOKUP(B565,'ADP'!A1:G665,7,FALSE))</f>
        <v>1.275</v>
      </c>
      <c r="I565" s="74">
        <f>IF('Settings'!$E$15="POINTS",(AJ565*'Settings'!$B$29)+(AK565*'Settings'!$B$21)+(AL565*'Settings'!$B$22)+(AN565*'Settings'!$B$24)+(AO565*'Settings'!$B$25)+(AP565*'Settings'!$B$27)+(AM565*'Settings'!$B$23),VLOOKUP(B565,'Standard Deviations'!A1:C666,3,FALSE))</f>
        <v>101.739446648084</v>
      </c>
      <c r="J565" s="75">
        <f>IF(D565="G",I565/AJ565,I565/Q565)</f>
        <v>5.0869723324042</v>
      </c>
      <c r="K565" s="74">
        <f>VLOOKUP(B565,'G'!A1:F65,6,FALSE)</f>
        <v>-165.851567916506</v>
      </c>
      <c r="L565" s="76">
        <f>_xlfn.IFERROR(K565/H565,"N/A")</f>
        <v>-130.079661110985</v>
      </c>
      <c r="M565" s="109">
        <f>IF('Settings'!$E$9="YAHOO",VLOOKUP(B565,'ADP'!A1:E665,2,FALSE),IF('Settings'!$E$9="ESPN",VLOOKUP(B565,'ADP'!A1:E665,3,FALSE),IF('Settings'!$E$9="FANTRAX",VLOOKUP(B565,'ADP'!A1:E665,4,FALSE),VLOOKUP(B565,'ADP'!A1:E665,5,FALSE))))</f>
        <v>0</v>
      </c>
      <c r="N565" s="79">
        <f>_xlfn.IFERROR(M565-A565,"N/A")</f>
        <v>-531</v>
      </c>
      <c r="O565" s="77"/>
      <c r="P565" t="s" s="78">
        <f>IF('Settings'!$E$27="ON",VLOOKUP(B565,'ADP'!A1:H665,8,FALSE)," ")</f>
        <v>138</v>
      </c>
      <c r="Q565" s="79"/>
      <c r="R565" s="77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81"/>
      <c r="AI565" s="77"/>
      <c r="AJ565" s="89">
        <f>VLOOKUP(B565,'Player Data'!$A1:$AE667,24,FALSE)</f>
        <v>20</v>
      </c>
      <c r="AK565" s="79">
        <f>VLOOKUP(B565,'Player Data'!$A1:$AE667,25,FALSE)*$AJ565*_xlfn.IFERROR((VLOOKUP(P565,'Settings'!$E$28:$F$33,2,FALSE)+1),1)</f>
        <v>10.5916522318519</v>
      </c>
      <c r="AL565" s="79">
        <f>AJ565-AK565-AM565</f>
        <v>6.9083477681481</v>
      </c>
      <c r="AM565" s="79">
        <f>VLOOKUP(B565,'Player Data'!$A1:$AE667,27,FALSE)*$AJ565</f>
        <v>2.5</v>
      </c>
      <c r="AN565" s="79">
        <f>VLOOKUP(B565,'Player Data'!$A1:$AE667,28,FALSE)*AJ565</f>
        <v>0.874223967458898</v>
      </c>
      <c r="AO565" s="79">
        <f>VLOOKUP(B565,'Player Data'!$A1:$AE667,29,FALSE)*$AJ565*_xlfn.IFERROR((VLOOKUP(P565,'Settings'!$E$28:$F$33,2,FALSE)/4)+1,1)</f>
        <v>528.824298492424</v>
      </c>
      <c r="AP565" s="79">
        <f>VLOOKUP(B565,'Player Data'!$A1:$AE667,31,FALSE)*$AJ565*(_xlfn.IFERROR(1-(VLOOKUP(P565,'Settings'!$E$28:$F$33,2,FALSE)/4),1))</f>
        <v>59.453620940678</v>
      </c>
      <c r="AQ565" s="82">
        <f>1-(AP565/(AO565+AP565))</f>
        <v>0.898936167792987</v>
      </c>
      <c r="AR565" s="83">
        <f>AP565/AJ565</f>
        <v>2.9726810470339</v>
      </c>
      <c r="AS565" s="84"/>
    </row>
    <row r="566" ht="21.25" customHeight="1">
      <c r="A566" s="85">
        <f>RANK(K566,K$1:K$665)</f>
        <v>572</v>
      </c>
      <c r="B566" t="s" s="16">
        <v>756</v>
      </c>
      <c r="C566" t="s" s="69">
        <v>127</v>
      </c>
      <c r="D566" t="s" s="70">
        <f>VLOOKUP(B566,'Player Data'!A1:D667,4,FALSE)</f>
        <v>178</v>
      </c>
      <c r="E566" s="102">
        <f>VLOOKUP(B566,'LW'!A1:C152,3,FALSE)</f>
        <v>127</v>
      </c>
      <c r="F566" t="s" s="88">
        <f>VLOOKUP(B566,'Player Data'!A1:B667,2,FALSE)</f>
        <v>141</v>
      </c>
      <c r="G566" s="91">
        <f>VLOOKUP(B566,'Player Data'!A1:D667,3,FALSE)</f>
        <v>30</v>
      </c>
      <c r="H566" s="73">
        <f>_xlfn.IFERROR(VLOOKUP(B566,'ADP'!A1:G665,7,FALSE)/1000000,VLOOKUP(B566,'ADP'!A1:G665,7,FALSE))</f>
        <v>0.85</v>
      </c>
      <c r="I566" s="74">
        <f>IF('Settings'!$E$15="POINTS",((R566*Q566)*'Settings'!$B$12)+(S566*'Settings'!$B$2)+(T566*'Settings'!$B$3)+(U566*'Settings'!$B$4)+(V566*'Settings'!$B$5)+(X566*'Settings'!$B$9)+(AA566*'Settings'!$B$6)+(W566*'Settings'!$B$8)+(AB566*'Settings'!$B$7)+(AC566*'Settings'!$B$14)+(AD566*'Settings'!$B$15)+(AE566*'Settings'!$B$16)+(AF566*'Settings'!$B$17)+(AG566*'Settings'!$B$18)+(Y566*'Settings'!$B$10)+(Z566*'Settings'!$B$11),VLOOKUP(B566,'Standard Deviations'!A1:C666,3,FALSE))</f>
        <v>154.841148018791</v>
      </c>
      <c r="J566" s="75">
        <f>IF(D566="G",I566/AJ566,I566/Q566)</f>
        <v>2.04323093087178</v>
      </c>
      <c r="K566" s="74">
        <f>IF('Settings'!$E$18="C/LW/RW",VLOOKUP(B566,'LW'!A1:F152,6,FALSE),VLOOKUP(B566,'F'!A1:F392,6,FALSE))</f>
        <v>-176.878963747421</v>
      </c>
      <c r="L566" s="76">
        <f>_xlfn.IFERROR(K566/H566,"N/A")</f>
        <v>-208.092898526378</v>
      </c>
      <c r="M566" s="109">
        <f>IF('Settings'!$E$9="YAHOO",VLOOKUP(B566,'ADP'!A1:E665,2,FALSE),IF('Settings'!$E$9="ESPN",VLOOKUP(B566,'ADP'!A1:E665,3,FALSE),IF('Settings'!$E$9="FANTRAX",VLOOKUP(B566,'ADP'!A1:E665,4,FALSE),VLOOKUP(B566,'ADP'!A1:E665,5,FALSE))))</f>
        <v>0</v>
      </c>
      <c r="N566" s="79">
        <f>_xlfn.IFERROR(M566-A566,"N/A")</f>
        <v>-572</v>
      </c>
      <c r="O566" s="77"/>
      <c r="P566" t="s" s="78">
        <f>IF('Settings'!$E$27="ON",VLOOKUP(B566,'ADP'!A1:H665,8,FALSE)," ")</f>
        <v>138</v>
      </c>
      <c r="Q566" s="79">
        <f>IF('Settings'!$E$12="YES",VLOOKUP(B566,'Player Data'!A1:E667,5,FALSE),82)</f>
        <v>75.7825</v>
      </c>
      <c r="R566" s="108">
        <f>VLOOKUP(B566,'Player Data'!$A1:$AE667,6,FALSE)</f>
        <v>10.8116502399899</v>
      </c>
      <c r="S566" s="79">
        <f>VLOOKUP(B566,'Player Data'!$A1:$AE667,7,FALSE)*$Q566*_xlfn.IFERROR((VLOOKUP(P566,'Settings'!$E$28:$F$33,2,FALSE)+1),1)</f>
        <v>8.2484748104995</v>
      </c>
      <c r="T566" s="79">
        <f>VLOOKUP(B566,'Player Data'!$A1:$AE667,8,FALSE)*$Q566*_xlfn.IFERROR((VLOOKUP(P566,'Settings'!$E$28:$F$33,2,FALSE)+1),1)</f>
        <v>7.08336081757425</v>
      </c>
      <c r="U566" s="79">
        <f>SUM(S566:T566)</f>
        <v>15.3318356280738</v>
      </c>
      <c r="V566" s="79">
        <f>VLOOKUP(B566,'Player Data'!$A1:$AE667,10,FALSE)*$Q566*_xlfn.IFERROR(((VLOOKUP(P566,'Settings'!$E$28:$F$33,2,FALSE)/2)+1),1)</f>
        <v>82.7803745856195</v>
      </c>
      <c r="W566" s="79">
        <f>VLOOKUP(B566,'Player Data'!$A1:$AE667,11,FALSE)*$Q566*_xlfn.IFERROR((VLOOKUP(P566,'Settings'!$E$28:$F$33,2,FALSE)+1),1)</f>
        <v>0.0658002061564734</v>
      </c>
      <c r="X566" s="79">
        <f>VLOOKUP(B566,'Player Data'!$A1:$AE667,12,FALSE)*$Q566*_xlfn.IFERROR((VLOOKUP(P566,'Settings'!$E$28:$F$33,2,FALSE)+1),1)</f>
        <v>0.152704785986964</v>
      </c>
      <c r="Y566" s="79">
        <f>VLOOKUP(B566,'Player Data'!$A1:$AE667,13,FALSE)*$Q566</f>
        <v>0.07957256831301079</v>
      </c>
      <c r="Z566" s="79">
        <f>VLOOKUP(B566,'Player Data'!$A1:$AE667,14,FALSE)*$Q566</f>
        <v>0.134571258841843</v>
      </c>
      <c r="AA566" s="79">
        <f>VLOOKUP(B566,'Player Data'!$A1:$AE667,15,FALSE)*$Q566</f>
        <v>37.6213667319794</v>
      </c>
      <c r="AB566" s="79">
        <f>VLOOKUP(B566,'Player Data'!$A1:$AE667,16,FALSE)*$Q566</f>
        <v>120.894652022827</v>
      </c>
      <c r="AC566" s="79">
        <f>VLOOKUP(B566,'Player Data'!$A1:$AE667,17,FALSE)*$Q566*_xlfn.IFERROR((VLOOKUP(P566,'Settings'!$E$28:$F$33,2,FALSE)+1),1)</f>
        <v>-1.55012600389247</v>
      </c>
      <c r="AD566" s="79">
        <f>VLOOKUP(B566,'Player Data'!$A1:$AE667,18,FALSE)*$Q566</f>
        <v>19.8420582719008</v>
      </c>
      <c r="AE566" s="79">
        <f>VLOOKUP(B566,'Player Data'!$A1:$AE667,19,FALSE)*$Q566*_xlfn.IFERROR((VLOOKUP(P566,'Settings'!$E$28:$F$33,2,FALSE)+1),1)</f>
        <v>1.29964307000445</v>
      </c>
      <c r="AF566" s="79">
        <f>VLOOKUP(B566,'Player Data'!$A1:$AE667,20,FALSE)*$Q566</f>
        <v>102.283754089627</v>
      </c>
      <c r="AG566" s="79">
        <f>VLOOKUP(B566,'Player Data'!$A1:$AE667,21,FALSE)*$Q566</f>
        <v>114.148919648007</v>
      </c>
      <c r="AH566" s="81">
        <f>VLOOKUP(B566,'Player Data'!$A1:$AE667,22,FALSE)</f>
        <v>0.472589245991657</v>
      </c>
      <c r="AI566" s="77"/>
      <c r="AJ566" s="89"/>
      <c r="AK566" s="79"/>
      <c r="AL566" s="79"/>
      <c r="AM566" s="79"/>
      <c r="AN566" s="79"/>
      <c r="AO566" s="79"/>
      <c r="AP566" s="79"/>
      <c r="AQ566" s="82"/>
      <c r="AR566" s="83"/>
      <c r="AS566" s="84"/>
    </row>
    <row r="567" ht="21.25" customHeight="1">
      <c r="A567" s="85">
        <f>RANK(K567,K$1:K$665)</f>
        <v>574</v>
      </c>
      <c r="B567" t="s" s="16">
        <v>757</v>
      </c>
      <c r="C567" t="s" s="69">
        <v>127</v>
      </c>
      <c r="D567" t="s" s="70">
        <f>VLOOKUP(B567,'Player Data'!A1:D667,4,FALSE)</f>
        <v>178</v>
      </c>
      <c r="E567" s="102">
        <f>VLOOKUP(B567,'LW'!A1:C152,3,FALSE)</f>
        <v>128</v>
      </c>
      <c r="F567" t="s" s="86">
        <f>VLOOKUP(B567,'Player Data'!A1:B667,2,FALSE)</f>
        <v>174</v>
      </c>
      <c r="G567" s="11">
        <f>VLOOKUP(B567,'Player Data'!A1:D667,3,FALSE)</f>
        <v>29</v>
      </c>
      <c r="H567" s="73">
        <f>_xlfn.IFERROR(VLOOKUP(B567,'ADP'!A1:G665,7,FALSE)/1000000,VLOOKUP(B567,'ADP'!A1:G665,7,FALSE))</f>
        <v>2</v>
      </c>
      <c r="I567" s="74">
        <f>IF('Settings'!$E$15="POINTS",((R567*Q567)*'Settings'!$B$12)+(S567*'Settings'!$B$2)+(T567*'Settings'!$B$3)+(U567*'Settings'!$B$4)+(V567*'Settings'!$B$5)+(X567*'Settings'!$B$9)+(AA567*'Settings'!$B$6)+(W567*'Settings'!$B$8)+(AB567*'Settings'!$B$7)+(AC567*'Settings'!$B$14)+(AD567*'Settings'!$B$15)+(AE567*'Settings'!$B$16)+(AF567*'Settings'!$B$17)+(AG567*'Settings'!$B$18)+(Y567*'Settings'!$B$10)+(Z567*'Settings'!$B$11),VLOOKUP(B567,'Standard Deviations'!A1:C666,3,FALSE))</f>
        <v>154.537512567508</v>
      </c>
      <c r="J567" s="75">
        <f>IF(D567="G",I567/AJ567,I567/Q567)</f>
        <v>1.97903009530985</v>
      </c>
      <c r="K567" s="74">
        <f>IF('Settings'!$E$18="C/LW/RW",VLOOKUP(B567,'LW'!A1:F152,6,FALSE),VLOOKUP(B567,'F'!A1:F392,6,FALSE))</f>
        <v>-177.182599198704</v>
      </c>
      <c r="L567" s="76">
        <f>_xlfn.IFERROR(K567/H567,"N/A")</f>
        <v>-88.591299599352</v>
      </c>
      <c r="M567" s="109">
        <f>IF('Settings'!$E$9="YAHOO",VLOOKUP(B567,'ADP'!A1:E665,2,FALSE),IF('Settings'!$E$9="ESPN",VLOOKUP(B567,'ADP'!A1:E665,3,FALSE),IF('Settings'!$E$9="FANTRAX",VLOOKUP(B567,'ADP'!A1:E665,4,FALSE),VLOOKUP(B567,'ADP'!A1:E665,5,FALSE))))</f>
        <v>0</v>
      </c>
      <c r="N567" s="79">
        <f>_xlfn.IFERROR(M567-A567,"N/A")</f>
        <v>-574</v>
      </c>
      <c r="O567" s="77"/>
      <c r="P567" t="s" s="78">
        <f>IF('Settings'!$E$27="ON",VLOOKUP(B567,'ADP'!A1:H665,8,FALSE)," ")</f>
        <v>138</v>
      </c>
      <c r="Q567" s="79">
        <f>IF('Settings'!$E$12="YES",VLOOKUP(B567,'Player Data'!A1:E667,5,FALSE),82)</f>
        <v>78.08750000000001</v>
      </c>
      <c r="R567" s="77">
        <f>VLOOKUP(B567,'Player Data'!$A1:$AE667,6,FALSE)</f>
        <v>9.65857787393718</v>
      </c>
      <c r="S567" s="79">
        <f>VLOOKUP(B567,'Player Data'!$A1:$AE667,7,FALSE)*$Q567*_xlfn.IFERROR((VLOOKUP(P567,'Settings'!$E$28:$F$33,2,FALSE)+1),1)</f>
        <v>6.83297855242715</v>
      </c>
      <c r="T567" s="79">
        <f>VLOOKUP(B567,'Player Data'!$A1:$AE667,8,FALSE)*$Q567*_xlfn.IFERROR((VLOOKUP(P567,'Settings'!$E$28:$F$33,2,FALSE)+1),1)</f>
        <v>5.60293053217706</v>
      </c>
      <c r="U567" s="79">
        <f>SUM(S567:T567)</f>
        <v>12.4359090846042</v>
      </c>
      <c r="V567" s="79">
        <f>VLOOKUP(B567,'Player Data'!$A1:$AE667,10,FALSE)*$Q567*_xlfn.IFERROR(((VLOOKUP(P567,'Settings'!$E$28:$F$33,2,FALSE)/2)+1),1)</f>
        <v>83.0870761013651</v>
      </c>
      <c r="W567" s="79">
        <f>VLOOKUP(B567,'Player Data'!$A1:$AE667,11,FALSE)*$Q567*_xlfn.IFERROR((VLOOKUP(P567,'Settings'!$E$28:$F$33,2,FALSE)+1),1)</f>
        <v>0.104928085467276</v>
      </c>
      <c r="X567" s="79">
        <f>VLOOKUP(B567,'Player Data'!$A1:$AE667,12,FALSE)*$Q567*_xlfn.IFERROR((VLOOKUP(P567,'Settings'!$E$28:$F$33,2,FALSE)+1),1)</f>
        <v>0.181721639657981</v>
      </c>
      <c r="Y567" s="79">
        <f>VLOOKUP(B567,'Player Data'!$A1:$AE667,13,FALSE)*$Q567</f>
        <v>0.0838707887202859</v>
      </c>
      <c r="Z567" s="79">
        <f>VLOOKUP(B567,'Player Data'!$A1:$AE667,14,FALSE)*$Q567</f>
        <v>0.269490976800761</v>
      </c>
      <c r="AA567" s="79">
        <f>VLOOKUP(B567,'Player Data'!$A1:$AE667,15,FALSE)*$Q567</f>
        <v>22.921911872936</v>
      </c>
      <c r="AB567" s="79">
        <f>VLOOKUP(B567,'Player Data'!$A1:$AE667,16,FALSE)*$Q567</f>
        <v>151.684005187003</v>
      </c>
      <c r="AC567" s="79">
        <f>VLOOKUP(B567,'Player Data'!$A1:$AE667,17,FALSE)*$Q567*_xlfn.IFERROR((VLOOKUP(P567,'Settings'!$E$28:$F$33,2,FALSE)+1),1)</f>
        <v>3.39723994375333</v>
      </c>
      <c r="AD567" s="79">
        <f>VLOOKUP(B567,'Player Data'!$A1:$AE667,18,FALSE)*$Q567</f>
        <v>45.8064089880165</v>
      </c>
      <c r="AE567" s="79">
        <f>VLOOKUP(B567,'Player Data'!$A1:$AE667,19,FALSE)*$Q567*_xlfn.IFERROR((VLOOKUP(P567,'Settings'!$E$28:$F$33,2,FALSE)+1),1)</f>
        <v>0.992720941455646</v>
      </c>
      <c r="AF567" s="79">
        <f>VLOOKUP(B567,'Player Data'!$A1:$AE667,20,FALSE)*$Q567</f>
        <v>6.26489095557461</v>
      </c>
      <c r="AG567" s="79">
        <f>VLOOKUP(B567,'Player Data'!$A1:$AE667,21,FALSE)*$Q567</f>
        <v>11.6638702274443</v>
      </c>
      <c r="AH567" s="81">
        <f>VLOOKUP(B567,'Player Data'!$A1:$AE667,22,FALSE)</f>
        <v>0.349432450553713</v>
      </c>
      <c r="AI567" s="77"/>
      <c r="AJ567" s="89"/>
      <c r="AK567" s="79"/>
      <c r="AL567" s="79"/>
      <c r="AM567" s="79"/>
      <c r="AN567" s="79"/>
      <c r="AO567" s="79"/>
      <c r="AP567" s="79"/>
      <c r="AQ567" s="82"/>
      <c r="AR567" s="83"/>
      <c r="AS567" s="84"/>
    </row>
    <row r="568" ht="21.25" customHeight="1">
      <c r="A568" s="85">
        <f>RANK(K568,K$1:K$665)</f>
        <v>567</v>
      </c>
      <c r="B568" t="s" s="16">
        <v>758</v>
      </c>
      <c r="C568" t="s" s="69">
        <v>127</v>
      </c>
      <c r="D568" t="s" s="70">
        <f>VLOOKUP(B568,'Player Data'!A1:D667,4,FALSE)</f>
        <v>140</v>
      </c>
      <c r="E568" s="90">
        <f>VLOOKUP(B568,'RW'!A1:F136,3,FALSE)</f>
        <v>114</v>
      </c>
      <c r="F568" t="s" s="86">
        <f>VLOOKUP(B568,'Player Data'!A1:B667,2,FALSE)</f>
        <v>129</v>
      </c>
      <c r="G568" s="96">
        <f>VLOOKUP(B568,'Player Data'!A1:D667,3,FALSE)</f>
        <v>23</v>
      </c>
      <c r="H568" s="73">
        <f>_xlfn.IFERROR(VLOOKUP(B568,'ADP'!A1:G665,7,FALSE)/1000000,VLOOKUP(B568,'ADP'!A1:G665,7,FALSE))</f>
        <v>1</v>
      </c>
      <c r="I568" s="74">
        <f>IF('Settings'!$E$15="POINTS",((R568*Q568)*'Settings'!$B$12)+(S568*'Settings'!$B$2)+(T568*'Settings'!$B$3)+(U568*'Settings'!$B$4)+(V568*'Settings'!$B$5)+(X568*'Settings'!$B$9)+(AA568*'Settings'!$B$6)+(W568*'Settings'!$B$8)+(AB568*'Settings'!$B$7)+(AC568*'Settings'!$B$14)+(AD568*'Settings'!$B$15)+(AE568*'Settings'!$B$16)+(AF568*'Settings'!$B$17)+(AG568*'Settings'!$B$18)+(Y568*'Settings'!$B$10)+(Z568*'Settings'!$B$11),VLOOKUP(B568,'Standard Deviations'!A1:C666,3,FALSE))</f>
        <v>154.163682894545</v>
      </c>
      <c r="J568" s="75">
        <f>IF(D568="G",I568/AJ568,I568/Q568)</f>
        <v>2.38514245988311</v>
      </c>
      <c r="K568" s="74">
        <f>IF('Settings'!$E$18="C/LW/RW",VLOOKUP(B568,'RW'!A1:F136,6,FALSE),VLOOKUP(B568,'F'!A1:F392,6,FALSE))</f>
        <v>-175.528211186633</v>
      </c>
      <c r="L568" s="76">
        <f>_xlfn.IFERROR(K568/H568,"N/A")</f>
        <v>-175.528211186633</v>
      </c>
      <c r="M568" s="109">
        <f>IF('Settings'!$E$9="YAHOO",VLOOKUP(B568,'ADP'!A1:E665,2,FALSE),IF('Settings'!$E$9="ESPN",VLOOKUP(B568,'ADP'!A1:E665,3,FALSE),IF('Settings'!$E$9="FANTRAX",VLOOKUP(B568,'ADP'!A1:E665,4,FALSE),VLOOKUP(B568,'ADP'!A1:E665,5,FALSE))))</f>
        <v>0</v>
      </c>
      <c r="N568" s="79">
        <f>_xlfn.IFERROR(M568-A568,"N/A")</f>
        <v>-567</v>
      </c>
      <c r="O568" s="77"/>
      <c r="P568" t="s" s="78">
        <f>IF('Settings'!$E$27="ON",VLOOKUP(B568,'ADP'!A1:H665,8,FALSE)," ")</f>
        <v>138</v>
      </c>
      <c r="Q568" s="79">
        <f>IF('Settings'!$E$12="YES",VLOOKUP(B568,'Player Data'!A1:E667,5,FALSE),82)</f>
        <v>64.63500000000001</v>
      </c>
      <c r="R568" s="98">
        <f>VLOOKUP(B568,'Player Data'!$A1:$AE667,6,FALSE)</f>
        <v>12.1064269137834</v>
      </c>
      <c r="S568" s="79">
        <f>VLOOKUP(B568,'Player Data'!$A1:$AE667,7,FALSE)*$Q568*_xlfn.IFERROR((VLOOKUP(P568,'Settings'!$E$28:$F$33,2,FALSE)+1),1)</f>
        <v>7.63549040641328</v>
      </c>
      <c r="T568" s="79">
        <f>VLOOKUP(B568,'Player Data'!$A1:$AE667,8,FALSE)*$Q568*_xlfn.IFERROR((VLOOKUP(P568,'Settings'!$E$28:$F$33,2,FALSE)+1),1)</f>
        <v>9.52947634609893</v>
      </c>
      <c r="U568" s="79">
        <f>SUM(S568:T568)</f>
        <v>17.1649667525122</v>
      </c>
      <c r="V568" s="79">
        <f>VLOOKUP(B568,'Player Data'!$A1:$AE667,10,FALSE)*$Q568*_xlfn.IFERROR(((VLOOKUP(P568,'Settings'!$E$28:$F$33,2,FALSE)/2)+1),1)</f>
        <v>83.1142454862816</v>
      </c>
      <c r="W568" s="79">
        <f>VLOOKUP(B568,'Player Data'!$A1:$AE667,11,FALSE)*$Q568*_xlfn.IFERROR((VLOOKUP(P568,'Settings'!$E$28:$F$33,2,FALSE)+1),1)</f>
        <v>0.31905090737241</v>
      </c>
      <c r="X568" s="79">
        <f>VLOOKUP(B568,'Player Data'!$A1:$AE667,12,FALSE)*$Q568*_xlfn.IFERROR((VLOOKUP(P568,'Settings'!$E$28:$F$33,2,FALSE)+1),1)</f>
        <v>0.646406956243421</v>
      </c>
      <c r="Y568" s="79">
        <f>VLOOKUP(B568,'Player Data'!$A1:$AE667,13,FALSE)*$Q568</f>
        <v>0</v>
      </c>
      <c r="Z568" s="79">
        <f>VLOOKUP(B568,'Player Data'!$A1:$AE667,14,FALSE)*$Q568</f>
        <v>0</v>
      </c>
      <c r="AA568" s="79">
        <f>VLOOKUP(B568,'Player Data'!$A1:$AE667,15,FALSE)*$Q568</f>
        <v>23.121955738908</v>
      </c>
      <c r="AB568" s="79">
        <f>VLOOKUP(B568,'Player Data'!$A1:$AE667,16,FALSE)*$Q568</f>
        <v>131.107852561873</v>
      </c>
      <c r="AC568" s="79">
        <f>VLOOKUP(B568,'Player Data'!$A1:$AE667,17,FALSE)*$Q568*_xlfn.IFERROR((VLOOKUP(P568,'Settings'!$E$28:$F$33,2,FALSE)+1),1)</f>
        <v>3.01492397760571</v>
      </c>
      <c r="AD568" s="79">
        <f>VLOOKUP(B568,'Player Data'!$A1:$AE667,18,FALSE)*$Q568</f>
        <v>21.1284948219469</v>
      </c>
      <c r="AE568" s="79">
        <f>VLOOKUP(B568,'Player Data'!$A1:$AE667,19,FALSE)*$Q568*_xlfn.IFERROR((VLOOKUP(P568,'Settings'!$E$28:$F$33,2,FALSE)+1),1)</f>
        <v>1.23294201604379</v>
      </c>
      <c r="AF568" s="79">
        <f>VLOOKUP(B568,'Player Data'!$A1:$AE667,20,FALSE)*$Q568</f>
        <v>9.794125816614811</v>
      </c>
      <c r="AG568" s="79">
        <f>VLOOKUP(B568,'Player Data'!$A1:$AE667,21,FALSE)*$Q568</f>
        <v>13.6150597716662</v>
      </c>
      <c r="AH568" s="81">
        <f>VLOOKUP(B568,'Player Data'!$A1:$AE667,22,FALSE)</f>
        <v>0.418388148518841</v>
      </c>
      <c r="AI568" s="77"/>
      <c r="AJ568" s="79"/>
      <c r="AK568" s="79"/>
      <c r="AL568" s="79"/>
      <c r="AM568" s="79"/>
      <c r="AN568" s="79"/>
      <c r="AO568" s="79"/>
      <c r="AP568" s="79"/>
      <c r="AQ568" s="82"/>
      <c r="AR568" s="83"/>
      <c r="AS568" s="84"/>
    </row>
    <row r="569" ht="21.25" customHeight="1">
      <c r="A569" s="85">
        <f>RANK(K569,K$1:K$665)</f>
        <v>534</v>
      </c>
      <c r="B569" t="s" s="16">
        <v>759</v>
      </c>
      <c r="C569" t="s" s="69">
        <v>127</v>
      </c>
      <c r="D569" t="s" s="70">
        <f>VLOOKUP(B569,'Player Data'!A1:D667,4,FALSE)</f>
        <v>161</v>
      </c>
      <c r="E569" s="99">
        <f>VLOOKUP(B569,'G'!A1:D65,3,FALSE)</f>
        <v>62</v>
      </c>
      <c r="F569" t="s" s="88">
        <f>VLOOKUP(B569,'Player Data'!A1:B667,2,FALSE)</f>
        <v>141</v>
      </c>
      <c r="G569" s="11">
        <f>VLOOKUP(B569,'Player Data'!A1:D667,3,FALSE)</f>
        <v>28</v>
      </c>
      <c r="H569" s="94">
        <f>_xlfn.IFERROR(VLOOKUP(B569,'ADP'!A1:G665,7,FALSE)/1000000,VLOOKUP(B569,'ADP'!A1:G665,7,FALSE))</f>
        <v>0.775</v>
      </c>
      <c r="I569" s="74">
        <f>IF('Settings'!$E$15="POINTS",(AJ569*'Settings'!$B$29)+(AK569*'Settings'!$B$21)+(AL569*'Settings'!$B$22)+(AN569*'Settings'!$B$24)+(AO569*'Settings'!$B$25)+(AP569*'Settings'!$B$27)+(AM569*'Settings'!$B$23),VLOOKUP(B569,'Standard Deviations'!A1:C666,3,FALSE))</f>
        <v>100.683984517013</v>
      </c>
      <c r="J569" s="75">
        <f>IF(D569="G",I569/AJ569,I569/Q569)</f>
        <v>5.03419922585065</v>
      </c>
      <c r="K569" s="74">
        <f>VLOOKUP(B569,'G'!A1:F65,6,FALSE)</f>
        <v>-166.907030047577</v>
      </c>
      <c r="L569" s="76">
        <f>_xlfn.IFERROR(K569/H569,"N/A")</f>
        <v>-215.363909738809</v>
      </c>
      <c r="M569" s="109">
        <f>IF('Settings'!$E$9="YAHOO",VLOOKUP(B569,'ADP'!A1:E665,2,FALSE),IF('Settings'!$E$9="ESPN",VLOOKUP(B569,'ADP'!A1:E665,3,FALSE),IF('Settings'!$E$9="FANTRAX",VLOOKUP(B569,'ADP'!A1:E665,4,FALSE),VLOOKUP(B569,'ADP'!A1:E665,5,FALSE))))</f>
        <v>0</v>
      </c>
      <c r="N569" s="79">
        <f>_xlfn.IFERROR(M569-A569,"N/A")</f>
        <v>-534</v>
      </c>
      <c r="O569" s="77"/>
      <c r="P569" t="s" s="78">
        <f>IF('Settings'!$E$27="ON",VLOOKUP(B569,'ADP'!A1:H665,8,FALSE)," ")</f>
        <v>138</v>
      </c>
      <c r="Q569" s="79"/>
      <c r="R569" s="77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81"/>
      <c r="AI569" s="77"/>
      <c r="AJ569" s="89">
        <f>VLOOKUP(B569,'Player Data'!$A1:$AE667,24,FALSE)</f>
        <v>20</v>
      </c>
      <c r="AK569" s="79">
        <f>VLOOKUP(B569,'Player Data'!$A1:$AE667,25,FALSE)*$AJ569*_xlfn.IFERROR((VLOOKUP(P569,'Settings'!$E$28:$F$33,2,FALSE)+1),1)</f>
        <v>9.9863593155057</v>
      </c>
      <c r="AL569" s="79">
        <f>AJ569-AK569-AM569</f>
        <v>7.5136406844943</v>
      </c>
      <c r="AM569" s="79">
        <f>VLOOKUP(B569,'Player Data'!$A1:$AE667,27,FALSE)*$AJ569</f>
        <v>2.5</v>
      </c>
      <c r="AN569" s="79">
        <f>VLOOKUP(B569,'Player Data'!$A1:$AE667,28,FALSE)*AJ569</f>
        <v>0.717309118573796</v>
      </c>
      <c r="AO569" s="79">
        <f>VLOOKUP(B569,'Player Data'!$A1:$AE667,29,FALSE)*$AJ569*_xlfn.IFERROR((VLOOKUP(P569,'Settings'!$E$28:$F$33,2,FALSE)/4)+1,1)</f>
        <v>540.731173030956</v>
      </c>
      <c r="AP569" s="79">
        <f>VLOOKUP(B569,'Player Data'!$A1:$AE667,31,FALSE)*$AJ569*(_xlfn.IFERROR(1-(VLOOKUP(P569,'Settings'!$E$28:$F$33,2,FALSE)/4),1))</f>
        <v>61.550901708860</v>
      </c>
      <c r="AQ569" s="82">
        <f>1-(AP569/(AO569+AP569))</f>
        <v>0.897803862524964</v>
      </c>
      <c r="AR569" s="83">
        <f>AP569/AJ569</f>
        <v>3.077545085443</v>
      </c>
      <c r="AS569" s="84"/>
    </row>
    <row r="570" ht="21.25" customHeight="1">
      <c r="A570" s="85">
        <f>RANK(K570,K$1:K$665)</f>
        <v>570</v>
      </c>
      <c r="B570" t="s" s="16">
        <v>760</v>
      </c>
      <c r="C570" t="s" s="69">
        <v>127</v>
      </c>
      <c r="D570" t="s" s="70">
        <f>VLOOKUP(B570,'Player Data'!A1:D667,4,FALSE)</f>
        <v>140</v>
      </c>
      <c r="E570" s="90">
        <f>VLOOKUP(B570,'RW'!A1:F136,3,FALSE)</f>
        <v>115</v>
      </c>
      <c r="F570" t="s" s="88">
        <f>VLOOKUP(B570,'Player Data'!A1:B667,2,FALSE)</f>
        <v>141</v>
      </c>
      <c r="G570" s="91">
        <f>VLOOKUP(B570,'Player Data'!A1:D667,3,FALSE)</f>
        <v>35</v>
      </c>
      <c r="H570" s="94">
        <f>_xlfn.IFERROR(VLOOKUP(B570,'ADP'!A1:G665,7,FALSE)/1000000,VLOOKUP(B570,'ADP'!A1:G665,7,FALSE))</f>
        <v>0.9</v>
      </c>
      <c r="I570" s="74">
        <f>IF('Settings'!$E$15="POINTS",((R570*Q570)*'Settings'!$B$12)+(S570*'Settings'!$B$2)+(T570*'Settings'!$B$3)+(U570*'Settings'!$B$4)+(V570*'Settings'!$B$5)+(X570*'Settings'!$B$9)+(AA570*'Settings'!$B$6)+(W570*'Settings'!$B$8)+(AB570*'Settings'!$B$7)+(AC570*'Settings'!$B$14)+(AD570*'Settings'!$B$15)+(AE570*'Settings'!$B$16)+(AF570*'Settings'!$B$17)+(AG570*'Settings'!$B$18)+(Y570*'Settings'!$B$10)+(Z570*'Settings'!$B$11),VLOOKUP(B570,'Standard Deviations'!A1:C666,3,FALSE))</f>
        <v>153.979090701230</v>
      </c>
      <c r="J570" s="75">
        <f>IF(D570="G",I570/AJ570,I570/Q570)</f>
        <v>2.00853208154221</v>
      </c>
      <c r="K570" s="74">
        <f>IF('Settings'!$E$18="C/LW/RW",VLOOKUP(B570,'RW'!A1:F136,6,FALSE),VLOOKUP(B570,'F'!A1:F392,6,FALSE))</f>
        <v>-175.712803379948</v>
      </c>
      <c r="L570" s="76">
        <f>_xlfn.IFERROR(K570/H570,"N/A")</f>
        <v>-195.236448199942</v>
      </c>
      <c r="M570" s="109">
        <f>IF('Settings'!$E$9="YAHOO",VLOOKUP(B570,'ADP'!A1:E665,2,FALSE),IF('Settings'!$E$9="ESPN",VLOOKUP(B570,'ADP'!A1:E665,3,FALSE),IF('Settings'!$E$9="FANTRAX",VLOOKUP(B570,'ADP'!A1:E665,4,FALSE),VLOOKUP(B570,'ADP'!A1:E665,5,FALSE))))</f>
        <v>0</v>
      </c>
      <c r="N570" s="79">
        <f>_xlfn.IFERROR(M570-A570,"N/A")</f>
        <v>-570</v>
      </c>
      <c r="O570" s="77"/>
      <c r="P570" t="s" s="78">
        <f>IF('Settings'!$E$27="ON",VLOOKUP(B570,'ADP'!A1:H665,8,FALSE)," ")</f>
        <v>138</v>
      </c>
      <c r="Q570" s="79">
        <f>IF('Settings'!$E$12="YES",VLOOKUP(B570,'Player Data'!A1:E667,5,FALSE),82)</f>
        <v>76.66249999999999</v>
      </c>
      <c r="R570" s="108">
        <f>VLOOKUP(B570,'Player Data'!$A1:$AE667,6,FALSE)</f>
        <v>12.1906674122343</v>
      </c>
      <c r="S570" s="79">
        <f>VLOOKUP(B570,'Player Data'!$A1:$AE667,7,FALSE)*$Q570*_xlfn.IFERROR((VLOOKUP(P570,'Settings'!$E$28:$F$33,2,FALSE)+1),1)</f>
        <v>11.2171982093683</v>
      </c>
      <c r="T570" s="79">
        <f>VLOOKUP(B570,'Player Data'!$A1:$AE667,8,FALSE)*$Q570*_xlfn.IFERROR((VLOOKUP(P570,'Settings'!$E$28:$F$33,2,FALSE)+1),1)</f>
        <v>13.3742187293691</v>
      </c>
      <c r="U570" s="79">
        <f>SUM(S570:T570)</f>
        <v>24.5914169387374</v>
      </c>
      <c r="V570" s="79">
        <f>VLOOKUP(B570,'Player Data'!$A1:$AE667,10,FALSE)*$Q570*_xlfn.IFERROR(((VLOOKUP(P570,'Settings'!$E$28:$F$33,2,FALSE)/2)+1),1)</f>
        <v>138.835009923854</v>
      </c>
      <c r="W570" s="79">
        <f>VLOOKUP(B570,'Player Data'!$A1:$AE667,11,FALSE)*$Q570*_xlfn.IFERROR((VLOOKUP(P570,'Settings'!$E$28:$F$33,2,FALSE)+1),1)</f>
        <v>0.995097947692325</v>
      </c>
      <c r="X570" s="79">
        <f>VLOOKUP(B570,'Player Data'!$A1:$AE667,12,FALSE)*$Q570*_xlfn.IFERROR((VLOOKUP(P570,'Settings'!$E$28:$F$33,2,FALSE)+1),1)</f>
        <v>2.63427929865831</v>
      </c>
      <c r="Y570" s="79">
        <f>VLOOKUP(B570,'Player Data'!$A1:$AE667,13,FALSE)*$Q570</f>
        <v>0.266142126241862</v>
      </c>
      <c r="Z570" s="79">
        <f>VLOOKUP(B570,'Player Data'!$A1:$AE667,14,FALSE)*$Q570</f>
        <v>0.304350957203414</v>
      </c>
      <c r="AA570" s="79">
        <f>VLOOKUP(B570,'Player Data'!$A1:$AE667,15,FALSE)*$Q570</f>
        <v>39.3914718080828</v>
      </c>
      <c r="AB570" s="79">
        <f>VLOOKUP(B570,'Player Data'!$A1:$AE667,16,FALSE)*$Q570</f>
        <v>46.1347704398487</v>
      </c>
      <c r="AC570" s="79">
        <f>VLOOKUP(B570,'Player Data'!$A1:$AE667,17,FALSE)*$Q570*_xlfn.IFERROR((VLOOKUP(P570,'Settings'!$E$28:$F$33,2,FALSE)+1),1)</f>
        <v>-3.77761048547266</v>
      </c>
      <c r="AD570" s="79">
        <f>VLOOKUP(B570,'Player Data'!$A1:$AE667,18,FALSE)*$Q570</f>
        <v>20.5352182987672</v>
      </c>
      <c r="AE570" s="79">
        <f>VLOOKUP(B570,'Player Data'!$A1:$AE667,19,FALSE)*$Q570*_xlfn.IFERROR((VLOOKUP(P570,'Settings'!$E$28:$F$33,2,FALSE)+1),1)</f>
        <v>1.76739994394054</v>
      </c>
      <c r="AF570" s="79">
        <f>VLOOKUP(B570,'Player Data'!$A1:$AE667,20,FALSE)*$Q570</f>
        <v>7.72644573686331</v>
      </c>
      <c r="AG570" s="79">
        <f>VLOOKUP(B570,'Player Data'!$A1:$AE667,21,FALSE)*$Q570</f>
        <v>11.4300294181686</v>
      </c>
      <c r="AH570" s="81">
        <f>VLOOKUP(B570,'Player Data'!$A1:$AE667,22,FALSE)</f>
        <v>0.40333337288482</v>
      </c>
      <c r="AI570" s="77"/>
      <c r="AJ570" s="79"/>
      <c r="AK570" s="79"/>
      <c r="AL570" s="79"/>
      <c r="AM570" s="79"/>
      <c r="AN570" s="79"/>
      <c r="AO570" s="79"/>
      <c r="AP570" s="79"/>
      <c r="AQ570" s="82"/>
      <c r="AR570" s="83"/>
      <c r="AS570" s="93"/>
    </row>
    <row r="571" ht="21.25" customHeight="1">
      <c r="A571" s="85">
        <f>RANK(K571,K$1:K$665)</f>
        <v>583</v>
      </c>
      <c r="B571" t="s" s="16">
        <v>761</v>
      </c>
      <c r="C571" t="s" s="69">
        <v>127</v>
      </c>
      <c r="D571" t="s" s="70">
        <f>VLOOKUP(B571,'Player Data'!A1:D667,4,FALSE)</f>
        <v>128</v>
      </c>
      <c r="E571" s="71">
        <f>VLOOKUP(B571,'C'!A1:C206,3,FALSE)</f>
        <v>178</v>
      </c>
      <c r="F571" t="s" s="104">
        <f>VLOOKUP(B571,'Player Data'!A1:B667,2,FALSE)</f>
        <v>281</v>
      </c>
      <c r="G571" s="96">
        <f>VLOOKUP(B571,'Player Data'!A1:D667,3,FALSE)</f>
        <v>21</v>
      </c>
      <c r="H571" s="73">
        <f>_xlfn.IFERROR(VLOOKUP(B571,'ADP'!A1:G665,7,FALSE)/1000000,VLOOKUP(B571,'ADP'!A1:G665,7,FALSE))</f>
        <v>1.8</v>
      </c>
      <c r="I571" s="74">
        <f>IF('Settings'!$E$15="POINTS",((R571*Q571)*'Settings'!$B$12)+(S571*'Settings'!$B$2)+(T571*'Settings'!$B$3)+(U571*'Settings'!$B$4)+(V571*'Settings'!$B$5)+(X571*'Settings'!$B$9)+(AA571*'Settings'!$B$6)+(W571*'Settings'!$B$8)+(AB571*'Settings'!$B$7)+(AC571*'Settings'!$B$14)+(AD571*'Settings'!$B$15)+(AE571*'Settings'!$B$16)+(AF571*'Settings'!$B$17)+(AG571*'Settings'!$B$18)+(Y571*'Settings'!$B$10)+(Z571*'Settings'!$B$11),VLOOKUP(B571,'Standard Deviations'!A1:C666,3,FALSE))</f>
        <v>148.322685617994</v>
      </c>
      <c r="J571" s="75">
        <f>IF(D571="G",I571/AJ571,I571/Q571)</f>
        <v>2.10334577399928</v>
      </c>
      <c r="K571" s="74">
        <f>IF('Settings'!$E$18="C/LW/RW",VLOOKUP(B571,'C'!A1:F206,6,FALSE),VLOOKUP(B571,'F'!A1:F392,6,FALSE))</f>
        <v>-181.369208463184</v>
      </c>
      <c r="L571" s="76">
        <f>_xlfn.IFERROR(K571/H571,"N/A")</f>
        <v>-100.760671368436</v>
      </c>
      <c r="M571" s="109">
        <f>IF('Settings'!$E$9="YAHOO",VLOOKUP(B571,'ADP'!A1:E665,2,FALSE),IF('Settings'!$E$9="ESPN",VLOOKUP(B571,'ADP'!A1:E665,3,FALSE),IF('Settings'!$E$9="FANTRAX",VLOOKUP(B571,'ADP'!A1:E665,4,FALSE),VLOOKUP(B571,'ADP'!A1:E665,5,FALSE))))</f>
        <v>0</v>
      </c>
      <c r="N571" s="79">
        <f>_xlfn.IFERROR(M571-A571,"N/A")</f>
        <v>-583</v>
      </c>
      <c r="O571" s="77"/>
      <c r="P571" t="s" s="78">
        <f>IF('Settings'!$E$27="ON",VLOOKUP(B571,'ADP'!A1:H665,8,FALSE)," ")</f>
        <v>138</v>
      </c>
      <c r="Q571" s="79">
        <f>IF('Settings'!$E$12="YES",VLOOKUP(B571,'Player Data'!A1:E667,5,FALSE),82)</f>
        <v>70.5175</v>
      </c>
      <c r="R571" s="77">
        <f>VLOOKUP(B571,'Player Data'!$A1:$AE667,6,FALSE)</f>
        <v>13.9842743888701</v>
      </c>
      <c r="S571" s="79">
        <f>VLOOKUP(B571,'Player Data'!$A1:$AE667,7,FALSE)*$Q571*_xlfn.IFERROR((VLOOKUP(P571,'Settings'!$E$28:$F$33,2,FALSE)+1),1)</f>
        <v>13.0267632613422</v>
      </c>
      <c r="T571" s="79">
        <f>VLOOKUP(B571,'Player Data'!$A1:$AE667,8,FALSE)*$Q571*_xlfn.IFERROR((VLOOKUP(P571,'Settings'!$E$28:$F$33,2,FALSE)+1),1)</f>
        <v>19.736509174441</v>
      </c>
      <c r="U571" s="79">
        <f>SUM(S571:T571)</f>
        <v>32.7632724357832</v>
      </c>
      <c r="V571" s="79">
        <f>VLOOKUP(B571,'Player Data'!$A1:$AE667,10,FALSE)*$Q571*_xlfn.IFERROR(((VLOOKUP(P571,'Settings'!$E$28:$F$33,2,FALSE)/2)+1),1)</f>
        <v>107.942382859444</v>
      </c>
      <c r="W571" s="79">
        <f>VLOOKUP(B571,'Player Data'!$A1:$AE667,11,FALSE)*$Q571*_xlfn.IFERROR((VLOOKUP(P571,'Settings'!$E$28:$F$33,2,FALSE)+1),1)</f>
        <v>2.33839272350152</v>
      </c>
      <c r="X571" s="79">
        <f>VLOOKUP(B571,'Player Data'!$A1:$AE667,12,FALSE)*$Q571*_xlfn.IFERROR((VLOOKUP(P571,'Settings'!$E$28:$F$33,2,FALSE)+1),1)</f>
        <v>6.97526340411882</v>
      </c>
      <c r="Y571" s="79">
        <f>VLOOKUP(B571,'Player Data'!$A1:$AE667,13,FALSE)*$Q571</f>
        <v>0</v>
      </c>
      <c r="Z571" s="79">
        <f>VLOOKUP(B571,'Player Data'!$A1:$AE667,14,FALSE)*$Q571</f>
        <v>0</v>
      </c>
      <c r="AA571" s="79">
        <f>VLOOKUP(B571,'Player Data'!$A1:$AE667,15,FALSE)*$Q571</f>
        <v>28.1177049771783</v>
      </c>
      <c r="AB571" s="79">
        <f>VLOOKUP(B571,'Player Data'!$A1:$AE667,16,FALSE)*$Q571</f>
        <v>29.5464797646723</v>
      </c>
      <c r="AC571" s="79">
        <f>VLOOKUP(B571,'Player Data'!$A1:$AE667,17,FALSE)*$Q571*_xlfn.IFERROR((VLOOKUP(P571,'Settings'!$E$28:$F$33,2,FALSE)+1),1)</f>
        <v>-6.03700294490203</v>
      </c>
      <c r="AD571" s="79">
        <f>VLOOKUP(B571,'Player Data'!$A1:$AE667,18,FALSE)*$Q571</f>
        <v>18.016441799813</v>
      </c>
      <c r="AE571" s="79">
        <f>VLOOKUP(B571,'Player Data'!$A1:$AE667,19,FALSE)*$Q571*_xlfn.IFERROR((VLOOKUP(P571,'Settings'!$E$28:$F$33,2,FALSE)+1),1)</f>
        <v>1.44055613654961</v>
      </c>
      <c r="AF571" s="79">
        <f>VLOOKUP(B571,'Player Data'!$A1:$AE667,20,FALSE)*$Q571</f>
        <v>18.5543120288154</v>
      </c>
      <c r="AG571" s="79">
        <f>VLOOKUP(B571,'Player Data'!$A1:$AE667,21,FALSE)*$Q571</f>
        <v>39.3586236517361</v>
      </c>
      <c r="AH571" s="81">
        <f>VLOOKUP(B571,'Player Data'!$A1:$AE667,22,FALSE)</f>
        <v>0.32038286111347</v>
      </c>
      <c r="AI571" s="77"/>
      <c r="AJ571" s="89"/>
      <c r="AK571" s="79"/>
      <c r="AL571" s="79"/>
      <c r="AM571" s="79"/>
      <c r="AN571" s="79"/>
      <c r="AO571" s="79"/>
      <c r="AP571" s="79"/>
      <c r="AQ571" s="82"/>
      <c r="AR571" s="83"/>
      <c r="AS571" s="84"/>
    </row>
    <row r="572" ht="21.25" customHeight="1">
      <c r="A572" s="85">
        <f>RANK(K572,K$1:K$665)</f>
        <v>584</v>
      </c>
      <c r="B572" t="s" s="16">
        <v>762</v>
      </c>
      <c r="C572" t="s" s="69">
        <v>127</v>
      </c>
      <c r="D572" t="s" s="70">
        <f>VLOOKUP(B572,'Player Data'!A1:D667,4,FALSE)</f>
        <v>128</v>
      </c>
      <c r="E572" s="71">
        <f>VLOOKUP(B572,'C'!A1:C206,3,FALSE)</f>
        <v>179</v>
      </c>
      <c r="F572" t="s" s="104">
        <f>VLOOKUP(B572,'Player Data'!A1:B667,2,FALSE)</f>
        <v>271</v>
      </c>
      <c r="G572" s="91">
        <f>VLOOKUP(B572,'Player Data'!A1:D667,3,FALSE)</f>
        <v>30</v>
      </c>
      <c r="H572" s="73">
        <f>_xlfn.IFERROR(VLOOKUP(B572,'ADP'!A1:G665,7,FALSE)/1000000,VLOOKUP(B572,'ADP'!A1:G665,7,FALSE))</f>
        <v>1.5</v>
      </c>
      <c r="I572" s="74">
        <f>IF('Settings'!$E$15="POINTS",((R572*Q572)*'Settings'!$B$12)+(S572*'Settings'!$B$2)+(T572*'Settings'!$B$3)+(U572*'Settings'!$B$4)+(V572*'Settings'!$B$5)+(X572*'Settings'!$B$9)+(AA572*'Settings'!$B$6)+(W572*'Settings'!$B$8)+(AB572*'Settings'!$B$7)+(AC572*'Settings'!$B$14)+(AD572*'Settings'!$B$15)+(AE572*'Settings'!$B$16)+(AF572*'Settings'!$B$17)+(AG572*'Settings'!$B$18)+(Y572*'Settings'!$B$10)+(Z572*'Settings'!$B$11),VLOOKUP(B572,'Standard Deviations'!A1:C666,3,FALSE))</f>
        <v>148.266502233479</v>
      </c>
      <c r="J572" s="75">
        <f>IF(D572="G",I572/AJ572,I572/Q572)</f>
        <v>1.95821834819361</v>
      </c>
      <c r="K572" s="74">
        <f>IF('Settings'!$E$18="C/LW/RW",VLOOKUP(B572,'C'!A1:F206,6,FALSE),VLOOKUP(B572,'F'!A1:F392,6,FALSE))</f>
        <v>-181.425391847699</v>
      </c>
      <c r="L572" s="76">
        <f>_xlfn.IFERROR(K572/H572,"N/A")</f>
        <v>-120.950261231799</v>
      </c>
      <c r="M572" s="109">
        <f>IF('Settings'!$E$9="YAHOO",VLOOKUP(B572,'ADP'!A1:E665,2,FALSE),IF('Settings'!$E$9="ESPN",VLOOKUP(B572,'ADP'!A1:E665,3,FALSE),IF('Settings'!$E$9="FANTRAX",VLOOKUP(B572,'ADP'!A1:E665,4,FALSE),VLOOKUP(B572,'ADP'!A1:E665,5,FALSE))))</f>
        <v>0</v>
      </c>
      <c r="N572" s="79">
        <f>_xlfn.IFERROR(M572-A572,"N/A")</f>
        <v>-584</v>
      </c>
      <c r="O572" s="77"/>
      <c r="P572" t="s" s="78">
        <f>IF('Settings'!$E$27="ON",VLOOKUP(B572,'ADP'!A1:H665,8,FALSE)," ")</f>
        <v>138</v>
      </c>
      <c r="Q572" s="79">
        <f>IF('Settings'!$E$12="YES",VLOOKUP(B572,'Player Data'!A1:E667,5,FALSE),82)</f>
        <v>75.715</v>
      </c>
      <c r="R572" s="77">
        <f>VLOOKUP(B572,'Player Data'!$A1:$AE667,6,FALSE)</f>
        <v>12.4466917366314</v>
      </c>
      <c r="S572" s="79">
        <f>VLOOKUP(B572,'Player Data'!$A1:$AE667,7,FALSE)*$Q572*_xlfn.IFERROR((VLOOKUP(P572,'Settings'!$E$28:$F$33,2,FALSE)+1),1)</f>
        <v>6.19427748347023</v>
      </c>
      <c r="T572" s="79">
        <f>VLOOKUP(B572,'Player Data'!$A1:$AE667,8,FALSE)*$Q572*_xlfn.IFERROR((VLOOKUP(P572,'Settings'!$E$28:$F$33,2,FALSE)+1),1)</f>
        <v>13.9078528215328</v>
      </c>
      <c r="U572" s="79">
        <f>SUM(S572:T572)</f>
        <v>20.102130305003</v>
      </c>
      <c r="V572" s="79">
        <f>VLOOKUP(B572,'Player Data'!$A1:$AE667,10,FALSE)*$Q572*_xlfn.IFERROR(((VLOOKUP(P572,'Settings'!$E$28:$F$33,2,FALSE)/2)+1),1)</f>
        <v>69.8146073379357</v>
      </c>
      <c r="W572" s="79">
        <f>VLOOKUP(B572,'Player Data'!$A1:$AE667,11,FALSE)*$Q572*_xlfn.IFERROR((VLOOKUP(P572,'Settings'!$E$28:$F$33,2,FALSE)+1),1)</f>
        <v>0.900578443267647</v>
      </c>
      <c r="X572" s="79">
        <f>VLOOKUP(B572,'Player Data'!$A1:$AE667,12,FALSE)*$Q572*_xlfn.IFERROR((VLOOKUP(P572,'Settings'!$E$28:$F$33,2,FALSE)+1),1)</f>
        <v>1.99420920711435</v>
      </c>
      <c r="Y572" s="79">
        <f>VLOOKUP(B572,'Player Data'!$A1:$AE667,13,FALSE)*$Q572</f>
        <v>0.509156447906339</v>
      </c>
      <c r="Z572" s="79">
        <f>VLOOKUP(B572,'Player Data'!$A1:$AE667,14,FALSE)*$Q572</f>
        <v>1.4886522549281</v>
      </c>
      <c r="AA572" s="79">
        <f>VLOOKUP(B572,'Player Data'!$A1:$AE667,15,FALSE)*$Q572</f>
        <v>44.3190780199213</v>
      </c>
      <c r="AB572" s="79">
        <f>VLOOKUP(B572,'Player Data'!$A1:$AE667,16,FALSE)*$Q572</f>
        <v>87.3813425729728</v>
      </c>
      <c r="AC572" s="79">
        <f>VLOOKUP(B572,'Player Data'!$A1:$AE667,17,FALSE)*$Q572*_xlfn.IFERROR((VLOOKUP(P572,'Settings'!$E$28:$F$33,2,FALSE)+1),1)</f>
        <v>-4.68279251247604</v>
      </c>
      <c r="AD572" s="79">
        <f>VLOOKUP(B572,'Player Data'!$A1:$AE667,18,FALSE)*$Q572</f>
        <v>27.5256564575378</v>
      </c>
      <c r="AE572" s="79">
        <f>VLOOKUP(B572,'Player Data'!$A1:$AE667,19,FALSE)*$Q572*_xlfn.IFERROR((VLOOKUP(P572,'Settings'!$E$28:$F$33,2,FALSE)+1),1)</f>
        <v>0.745754421545596</v>
      </c>
      <c r="AF572" s="79">
        <f>VLOOKUP(B572,'Player Data'!$A1:$AE667,20,FALSE)*$Q572</f>
        <v>194.849699919248</v>
      </c>
      <c r="AG572" s="79">
        <f>VLOOKUP(B572,'Player Data'!$A1:$AE667,21,FALSE)*$Q572</f>
        <v>267.998022095062</v>
      </c>
      <c r="AH572" s="81">
        <f>VLOOKUP(B572,'Player Data'!$A1:$AE667,22,FALSE)</f>
        <v>0.420980142391677</v>
      </c>
      <c r="AI572" s="77"/>
      <c r="AJ572" s="79"/>
      <c r="AK572" s="79"/>
      <c r="AL572" s="79"/>
      <c r="AM572" s="79"/>
      <c r="AN572" s="79"/>
      <c r="AO572" s="79"/>
      <c r="AP572" s="79"/>
      <c r="AQ572" s="82"/>
      <c r="AR572" s="83"/>
      <c r="AS572" s="84"/>
    </row>
    <row r="573" ht="21.25" customHeight="1">
      <c r="A573" s="85">
        <f>RANK(K573,K$1:K$665)</f>
        <v>577</v>
      </c>
      <c r="B573" t="s" s="16">
        <v>763</v>
      </c>
      <c r="C573" t="s" s="69">
        <v>127</v>
      </c>
      <c r="D573" t="s" s="70">
        <f>VLOOKUP(B573,'Player Data'!A1:D667,4,FALSE)</f>
        <v>178</v>
      </c>
      <c r="E573" s="102">
        <f>VLOOKUP(B573,'LW'!A1:C152,3,FALSE)</f>
        <v>129</v>
      </c>
      <c r="F573" t="s" s="100">
        <f>VLOOKUP(B573,'Player Data'!A1:B667,2,FALSE)</f>
        <v>172</v>
      </c>
      <c r="G573" s="11">
        <f>VLOOKUP(B573,'Player Data'!A1:D667,3,FALSE)</f>
        <v>27</v>
      </c>
      <c r="H573" s="94">
        <f>_xlfn.IFERROR(VLOOKUP(B573,'ADP'!A1:G665,7,FALSE)/1000000,VLOOKUP(B573,'ADP'!A1:G665,7,FALSE))</f>
        <v>1.25</v>
      </c>
      <c r="I573" s="74">
        <f>IF('Settings'!$E$15="POINTS",((R573*Q573)*'Settings'!$B$12)+(S573*'Settings'!$B$2)+(T573*'Settings'!$B$3)+(U573*'Settings'!$B$4)+(V573*'Settings'!$B$5)+(X573*'Settings'!$B$9)+(AA573*'Settings'!$B$6)+(W573*'Settings'!$B$8)+(AB573*'Settings'!$B$7)+(AC573*'Settings'!$B$14)+(AD573*'Settings'!$B$15)+(AE573*'Settings'!$B$16)+(AF573*'Settings'!$B$17)+(AG573*'Settings'!$B$18)+(Y573*'Settings'!$B$10)+(Z573*'Settings'!$B$11),VLOOKUP(B573,'Standard Deviations'!A1:C666,3,FALSE))</f>
        <v>153.271184103058</v>
      </c>
      <c r="J573" s="75">
        <f>IF(D573="G",I573/AJ573,I573/Q573)</f>
        <v>1.97960844821515</v>
      </c>
      <c r="K573" s="74">
        <f>IF('Settings'!$E$18="C/LW/RW",VLOOKUP(B573,'LW'!A1:F152,6,FALSE),VLOOKUP(B573,'F'!A1:F392,6,FALSE))</f>
        <v>-178.448927663154</v>
      </c>
      <c r="L573" s="76">
        <f>_xlfn.IFERROR(K573/H573,"N/A")</f>
        <v>-142.759142130523</v>
      </c>
      <c r="M573" s="109">
        <f>IF('Settings'!$E$9="YAHOO",VLOOKUP(B573,'ADP'!A1:E665,2,FALSE),IF('Settings'!$E$9="ESPN",VLOOKUP(B573,'ADP'!A1:E665,3,FALSE),IF('Settings'!$E$9="FANTRAX",VLOOKUP(B573,'ADP'!A1:E665,4,FALSE),VLOOKUP(B573,'ADP'!A1:E665,5,FALSE))))</f>
        <v>0</v>
      </c>
      <c r="N573" s="79">
        <f>_xlfn.IFERROR(M573-A573,"N/A")</f>
        <v>-577</v>
      </c>
      <c r="O573" s="77"/>
      <c r="P573" t="s" s="78">
        <f>IF('Settings'!$E$27="ON",VLOOKUP(B573,'ADP'!A1:H665,8,FALSE)," ")</f>
        <v>138</v>
      </c>
      <c r="Q573" s="79">
        <f>IF('Settings'!$E$12="YES",VLOOKUP(B573,'Player Data'!A1:E667,5,FALSE),82)</f>
        <v>77.425</v>
      </c>
      <c r="R573" s="77">
        <f>VLOOKUP(B573,'Player Data'!$A1:$AE667,6,FALSE)</f>
        <v>12.9840382006691</v>
      </c>
      <c r="S573" s="79">
        <f>VLOOKUP(B573,'Player Data'!$A1:$AE667,7,FALSE)*$Q573*_xlfn.IFERROR((VLOOKUP(P573,'Settings'!$E$28:$F$33,2,FALSE)+1),1)</f>
        <v>8.92141794232689</v>
      </c>
      <c r="T573" s="79">
        <f>VLOOKUP(B573,'Player Data'!$A1:$AE667,8,FALSE)*$Q573*_xlfn.IFERROR((VLOOKUP(P573,'Settings'!$E$28:$F$33,2,FALSE)+1),1)</f>
        <v>15.5909950006322</v>
      </c>
      <c r="U573" s="79">
        <f>SUM(S573:T573)</f>
        <v>24.5124129429591</v>
      </c>
      <c r="V573" s="79">
        <f>VLOOKUP(B573,'Player Data'!$A1:$AE667,10,FALSE)*$Q573*_xlfn.IFERROR(((VLOOKUP(P573,'Settings'!$E$28:$F$33,2,FALSE)/2)+1),1)</f>
        <v>123.808298623790</v>
      </c>
      <c r="W573" s="79">
        <f>VLOOKUP(B573,'Player Data'!$A1:$AE667,11,FALSE)*$Q573*_xlfn.IFERROR((VLOOKUP(P573,'Settings'!$E$28:$F$33,2,FALSE)+1),1)</f>
        <v>0.976794532866067</v>
      </c>
      <c r="X573" s="79">
        <f>VLOOKUP(B573,'Player Data'!$A1:$AE667,12,FALSE)*$Q573*_xlfn.IFERROR((VLOOKUP(P573,'Settings'!$E$28:$F$33,2,FALSE)+1),1)</f>
        <v>1.92973455986205</v>
      </c>
      <c r="Y573" s="79">
        <f>VLOOKUP(B573,'Player Data'!$A1:$AE667,13,FALSE)*$Q573</f>
        <v>0.00580871395344017</v>
      </c>
      <c r="Z573" s="79">
        <f>VLOOKUP(B573,'Player Data'!$A1:$AE667,14,FALSE)*$Q573</f>
        <v>0.00994659743279077</v>
      </c>
      <c r="AA573" s="79">
        <f>VLOOKUP(B573,'Player Data'!$A1:$AE667,15,FALSE)*$Q573</f>
        <v>35.0820269783066</v>
      </c>
      <c r="AB573" s="79">
        <f>VLOOKUP(B573,'Player Data'!$A1:$AE667,16,FALSE)*$Q573</f>
        <v>64.27672458006759</v>
      </c>
      <c r="AC573" s="79">
        <f>VLOOKUP(B573,'Player Data'!$A1:$AE667,17,FALSE)*$Q573*_xlfn.IFERROR((VLOOKUP(P573,'Settings'!$E$28:$F$33,2,FALSE)+1),1)</f>
        <v>-0.75380350121865</v>
      </c>
      <c r="AD573" s="79">
        <f>VLOOKUP(B573,'Player Data'!$A1:$AE667,18,FALSE)*$Q573</f>
        <v>16.794571148998</v>
      </c>
      <c r="AE573" s="79">
        <f>VLOOKUP(B573,'Player Data'!$A1:$AE667,19,FALSE)*$Q573*_xlfn.IFERROR((VLOOKUP(P573,'Settings'!$E$28:$F$33,2,FALSE)+1),1)</f>
        <v>1.32253688759718</v>
      </c>
      <c r="AF573" s="79">
        <f>VLOOKUP(B573,'Player Data'!$A1:$AE667,20,FALSE)*$Q573</f>
        <v>22.4507546585447</v>
      </c>
      <c r="AG573" s="79">
        <f>VLOOKUP(B573,'Player Data'!$A1:$AE667,21,FALSE)*$Q573</f>
        <v>39.1864112177403</v>
      </c>
      <c r="AH573" s="81">
        <f>VLOOKUP(B573,'Player Data'!$A1:$AE667,22,FALSE)</f>
        <v>0.364240541228108</v>
      </c>
      <c r="AI573" s="77"/>
      <c r="AJ573" s="79"/>
      <c r="AK573" s="79"/>
      <c r="AL573" s="79"/>
      <c r="AM573" s="79"/>
      <c r="AN573" s="79"/>
      <c r="AO573" s="79"/>
      <c r="AP573" s="79"/>
      <c r="AQ573" s="82"/>
      <c r="AR573" s="83"/>
      <c r="AS573" s="84"/>
    </row>
    <row r="574" ht="21.25" customHeight="1">
      <c r="A574" s="85">
        <f>RANK(K574,K$1:K$665)</f>
        <v>579</v>
      </c>
      <c r="B574" t="s" s="16">
        <v>764</v>
      </c>
      <c r="C574" t="s" s="69">
        <v>127</v>
      </c>
      <c r="D574" t="s" s="70">
        <f>VLOOKUP(B574,'Player Data'!A1:D667,4,FALSE)</f>
        <v>178</v>
      </c>
      <c r="E574" s="102">
        <f>VLOOKUP(B574,'LW'!A1:C152,3,FALSE)</f>
        <v>130</v>
      </c>
      <c r="F574" t="s" s="103">
        <f>VLOOKUP(B574,'Player Data'!A1:B667,2,FALSE)</f>
        <v>227</v>
      </c>
      <c r="G574" s="96">
        <f>VLOOKUP(B574,'Player Data'!A1:D667,3,FALSE)</f>
        <v>19</v>
      </c>
      <c r="H574" s="73">
        <f>_xlfn.IFERROR(VLOOKUP(B574,'ADP'!A1:G665,7,FALSE)/1000000,VLOOKUP(B574,'ADP'!A1:G665,7,FALSE))</f>
        <v>0.918333</v>
      </c>
      <c r="I574" s="74">
        <f>IF('Settings'!$E$15="POINTS",((R574*Q574)*'Settings'!$B$12)+(S574*'Settings'!$B$2)+(T574*'Settings'!$B$3)+(U574*'Settings'!$B$4)+(V574*'Settings'!$B$5)+(X574*'Settings'!$B$9)+(AA574*'Settings'!$B$6)+(W574*'Settings'!$B$8)+(AB574*'Settings'!$B$7)+(AC574*'Settings'!$B$14)+(AD574*'Settings'!$B$15)+(AE574*'Settings'!$B$16)+(AF574*'Settings'!$B$17)+(AG574*'Settings'!$B$18)+(Y574*'Settings'!$B$10)+(Z574*'Settings'!$B$11),VLOOKUP(B574,'Standard Deviations'!A1:C666,3,FALSE))</f>
        <v>152.569250249237</v>
      </c>
      <c r="J574" s="75">
        <f>IF(D574="G",I574/AJ574,I574/Q574)</f>
        <v>2.54282083748728</v>
      </c>
      <c r="K574" s="74">
        <f>IF('Settings'!$E$18="C/LW/RW",VLOOKUP(B574,'LW'!A1:F152,6,FALSE),VLOOKUP(B574,'F'!A1:F392,6,FALSE))</f>
        <v>-179.150861516975</v>
      </c>
      <c r="L574" s="76">
        <f>_xlfn.IFERROR(K574/H574,"N/A")</f>
        <v>-195.082678632887</v>
      </c>
      <c r="M574" s="77">
        <f>IF('Settings'!$E$9="YAHOO",VLOOKUP(B574,'ADP'!A1:E665,2,FALSE),IF('Settings'!$E$9="ESPN",VLOOKUP(B574,'ADP'!A1:E665,3,FALSE),IF('Settings'!$E$9="FANTRAX",VLOOKUP(B574,'ADP'!A1:E665,4,FALSE),VLOOKUP(B574,'ADP'!A1:E665,5,FALSE))))</f>
        <v>0</v>
      </c>
      <c r="N574" s="77">
        <f>_xlfn.IFERROR(M574-A574,"N/A")</f>
        <v>-579</v>
      </c>
      <c r="O574" s="77"/>
      <c r="P574" s="111">
        <f>IF('Settings'!$E$27="ON",VLOOKUP(B574,'ADP'!A1:H665,8,FALSE)," ")</f>
        <v>0</v>
      </c>
      <c r="Q574" s="79">
        <f>IF('Settings'!$E$12="YES",VLOOKUP(B574,'Player Data'!A1:E667,5,FALSE),82)</f>
        <v>60</v>
      </c>
      <c r="R574" s="77">
        <f>VLOOKUP(B574,'Player Data'!$A1:$AE667,6,FALSE)</f>
        <v>14</v>
      </c>
      <c r="S574" s="79">
        <f>VLOOKUP(B574,'Player Data'!$A1:$AE667,7,FALSE)*$Q574*_xlfn.IFERROR((VLOOKUP(P574,'Settings'!$E$28:$F$33,2,FALSE)+1),1)</f>
        <v>10.7125736262097</v>
      </c>
      <c r="T574" s="79">
        <f>VLOOKUP(B574,'Player Data'!$A1:$AE667,8,FALSE)*$Q574*_xlfn.IFERROR((VLOOKUP(P574,'Settings'!$E$28:$F$33,2,FALSE)+1),1)</f>
        <v>16.3694427778851</v>
      </c>
      <c r="U574" s="79">
        <f>SUM(S574:T574)</f>
        <v>27.0820164040948</v>
      </c>
      <c r="V574" s="79">
        <f>VLOOKUP(B574,'Player Data'!$A1:$AE667,10,FALSE)*$Q574*_xlfn.IFERROR(((VLOOKUP(P574,'Settings'!$E$28:$F$33,2,FALSE)/2)+1),1)</f>
        <v>96.446657018796</v>
      </c>
      <c r="W574" s="79">
        <f>VLOOKUP(B574,'Player Data'!$A1:$AE667,11,FALSE)*$Q574*_xlfn.IFERROR((VLOOKUP(P574,'Settings'!$E$28:$F$33,2,FALSE)+1),1)</f>
        <v>2.25898830457487</v>
      </c>
      <c r="X574" s="79">
        <f>VLOOKUP(B574,'Player Data'!$A1:$AE667,12,FALSE)*$Q574*_xlfn.IFERROR((VLOOKUP(P574,'Settings'!$E$28:$F$33,2,FALSE)+1),1)</f>
        <v>5.71085534212574</v>
      </c>
      <c r="Y574" s="79">
        <f>VLOOKUP(B574,'Player Data'!$A1:$AE667,13,FALSE)*$Q574</f>
        <v>0</v>
      </c>
      <c r="Z574" s="79">
        <f>VLOOKUP(B574,'Player Data'!$A1:$AE667,14,FALSE)*$Q574</f>
        <v>0</v>
      </c>
      <c r="AA574" s="79">
        <f>VLOOKUP(B574,'Player Data'!$A1:$AE667,15,FALSE)*$Q574</f>
        <v>25.1707317073171</v>
      </c>
      <c r="AB574" s="79">
        <f>VLOOKUP(B574,'Player Data'!$A1:$AE667,16,FALSE)*$Q574</f>
        <v>70.9855441960356</v>
      </c>
      <c r="AC574" s="79">
        <f>VLOOKUP(B574,'Player Data'!$A1:$AE667,17,FALSE)*$Q574*_xlfn.IFERROR((VLOOKUP(P574,'Settings'!$E$28:$F$33,2,FALSE)+1),1)</f>
        <v>3.4623541818859</v>
      </c>
      <c r="AD574" s="79">
        <f>VLOOKUP(B574,'Player Data'!$A1:$AE667,18,FALSE)*$Q574</f>
        <v>24.2440139030102</v>
      </c>
      <c r="AE574" s="79">
        <f>VLOOKUP(B574,'Player Data'!$A1:$AE667,19,FALSE)*$Q574*_xlfn.IFERROR((VLOOKUP(P574,'Settings'!$E$28:$F$33,2,FALSE)+1),1)</f>
        <v>1.85633460014627</v>
      </c>
      <c r="AF574" s="79">
        <f>VLOOKUP(B574,'Player Data'!$A1:$AE667,20,FALSE)*$Q574</f>
        <v>0</v>
      </c>
      <c r="AG574" s="79">
        <f>VLOOKUP(B574,'Player Data'!$A1:$AE667,21,FALSE)*$Q574</f>
        <v>0</v>
      </c>
      <c r="AH574" s="81">
        <f>VLOOKUP(B574,'Player Data'!$A1:$AE667,22,FALSE)</f>
        <v>0</v>
      </c>
      <c r="AI574" s="77"/>
      <c r="AJ574" s="79"/>
      <c r="AK574" s="79"/>
      <c r="AL574" s="79"/>
      <c r="AM574" s="79"/>
      <c r="AN574" s="79"/>
      <c r="AO574" s="79"/>
      <c r="AP574" s="79"/>
      <c r="AQ574" s="82"/>
      <c r="AR574" s="83"/>
      <c r="AS574" s="84"/>
    </row>
    <row r="575" ht="21.25" customHeight="1">
      <c r="A575" s="85">
        <f>RANK(K575,K$1:K$665)</f>
        <v>591</v>
      </c>
      <c r="B575" t="s" s="16">
        <v>765</v>
      </c>
      <c r="C575" t="s" s="69">
        <v>127</v>
      </c>
      <c r="D575" t="s" s="70">
        <f>VLOOKUP(B575,'Player Data'!A1:D667,4,FALSE)</f>
        <v>128</v>
      </c>
      <c r="E575" s="71">
        <f>VLOOKUP(B575,'C'!A1:C206,3,FALSE)</f>
        <v>180</v>
      </c>
      <c r="F575" t="s" s="86">
        <f>VLOOKUP(B575,'Player Data'!A1:B667,2,FALSE)</f>
        <v>132</v>
      </c>
      <c r="G575" s="11">
        <f>VLOOKUP(B575,'Player Data'!A1:D667,3,FALSE)</f>
        <v>29</v>
      </c>
      <c r="H575" s="73">
        <f>_xlfn.IFERROR(VLOOKUP(B575,'ADP'!A1:G665,7,FALSE)/1000000,VLOOKUP(B575,'ADP'!A1:G665,7,FALSE))</f>
        <v>2.4</v>
      </c>
      <c r="I575" s="74">
        <f>IF('Settings'!$E$15="POINTS",((R575*Q575)*'Settings'!$B$12)+(S575*'Settings'!$B$2)+(T575*'Settings'!$B$3)+(U575*'Settings'!$B$4)+(V575*'Settings'!$B$5)+(X575*'Settings'!$B$9)+(AA575*'Settings'!$B$6)+(W575*'Settings'!$B$8)+(AB575*'Settings'!$B$7)+(AC575*'Settings'!$B$14)+(AD575*'Settings'!$B$15)+(AE575*'Settings'!$B$16)+(AF575*'Settings'!$B$17)+(AG575*'Settings'!$B$18)+(Y575*'Settings'!$B$10)+(Z575*'Settings'!$B$11),VLOOKUP(B575,'Standard Deviations'!A1:C666,3,FALSE))</f>
        <v>147.379190276425</v>
      </c>
      <c r="J575" s="75">
        <f>IF(D575="G",I575/AJ575,I575/Q575)</f>
        <v>1.81233632902638</v>
      </c>
      <c r="K575" s="74">
        <f>IF('Settings'!$E$18="C/LW/RW",VLOOKUP(B575,'C'!A1:F206,6,FALSE),VLOOKUP(B575,'F'!A1:F392,6,FALSE))</f>
        <v>-182.312703804753</v>
      </c>
      <c r="L575" s="76">
        <f>_xlfn.IFERROR(K575/H575,"N/A")</f>
        <v>-75.9636265853138</v>
      </c>
      <c r="M575" s="109">
        <f>IF('Settings'!$E$9="YAHOO",VLOOKUP(B575,'ADP'!A1:E665,2,FALSE),IF('Settings'!$E$9="ESPN",VLOOKUP(B575,'ADP'!A1:E665,3,FALSE),IF('Settings'!$E$9="FANTRAX",VLOOKUP(B575,'ADP'!A1:E665,4,FALSE),VLOOKUP(B575,'ADP'!A1:E665,5,FALSE))))</f>
        <v>0</v>
      </c>
      <c r="N575" s="79">
        <f>_xlfn.IFERROR(M575-A575,"N/A")</f>
        <v>-591</v>
      </c>
      <c r="O575" s="77"/>
      <c r="P575" t="s" s="78">
        <f>IF('Settings'!$E$27="ON",VLOOKUP(B575,'ADP'!A1:H665,8,FALSE)," ")</f>
        <v>138</v>
      </c>
      <c r="Q575" s="79">
        <f>IF('Settings'!$E$12="YES",VLOOKUP(B575,'Player Data'!A1:E667,5,FALSE),82)</f>
        <v>81.31999999999999</v>
      </c>
      <c r="R575" s="77">
        <f>VLOOKUP(B575,'Player Data'!$A1:$AE667,6,FALSE)</f>
        <v>13.4135221923399</v>
      </c>
      <c r="S575" s="79">
        <f>VLOOKUP(B575,'Player Data'!$A1:$AE667,7,FALSE)*$Q575*_xlfn.IFERROR((VLOOKUP(P575,'Settings'!$E$28:$F$33,2,FALSE)+1),1)</f>
        <v>7.41393040937302</v>
      </c>
      <c r="T575" s="79">
        <f>VLOOKUP(B575,'Player Data'!$A1:$AE667,8,FALSE)*$Q575*_xlfn.IFERROR((VLOOKUP(P575,'Settings'!$E$28:$F$33,2,FALSE)+1),1)</f>
        <v>13.3154245767626</v>
      </c>
      <c r="U575" s="79">
        <f>SUM(S575:T575)</f>
        <v>20.7293549861356</v>
      </c>
      <c r="V575" s="79">
        <f>VLOOKUP(B575,'Player Data'!$A1:$AE667,10,FALSE)*$Q575*_xlfn.IFERROR(((VLOOKUP(P575,'Settings'!$E$28:$F$33,2,FALSE)/2)+1),1)</f>
        <v>86.0714432512423</v>
      </c>
      <c r="W575" s="79">
        <f>VLOOKUP(B575,'Player Data'!$A1:$AE667,11,FALSE)*$Q575*_xlfn.IFERROR((VLOOKUP(P575,'Settings'!$E$28:$F$33,2,FALSE)+1),1)</f>
        <v>0.0626895208471802</v>
      </c>
      <c r="X575" s="79">
        <f>VLOOKUP(B575,'Player Data'!$A1:$AE667,12,FALSE)*$Q575*_xlfn.IFERROR((VLOOKUP(P575,'Settings'!$E$28:$F$33,2,FALSE)+1),1)</f>
        <v>0.149867006896592</v>
      </c>
      <c r="Y575" s="79">
        <f>VLOOKUP(B575,'Player Data'!$A1:$AE667,13,FALSE)*$Q575</f>
        <v>0.359980731485015</v>
      </c>
      <c r="Z575" s="79">
        <f>VLOOKUP(B575,'Player Data'!$A1:$AE667,14,FALSE)*$Q575</f>
        <v>1.24711250715348</v>
      </c>
      <c r="AA575" s="79">
        <f>VLOOKUP(B575,'Player Data'!$A1:$AE667,15,FALSE)*$Q575</f>
        <v>30.6764903408345</v>
      </c>
      <c r="AB575" s="79">
        <f>VLOOKUP(B575,'Player Data'!$A1:$AE667,16,FALSE)*$Q575</f>
        <v>83.819935512971</v>
      </c>
      <c r="AC575" s="79">
        <f>VLOOKUP(B575,'Player Data'!$A1:$AE667,17,FALSE)*$Q575*_xlfn.IFERROR((VLOOKUP(P575,'Settings'!$E$28:$F$33,2,FALSE)+1),1)</f>
        <v>3.47533048861655</v>
      </c>
      <c r="AD575" s="79">
        <f>VLOOKUP(B575,'Player Data'!$A1:$AE667,18,FALSE)*$Q575</f>
        <v>17.3690864083079</v>
      </c>
      <c r="AE575" s="79">
        <f>VLOOKUP(B575,'Player Data'!$A1:$AE667,19,FALSE)*$Q575*_xlfn.IFERROR((VLOOKUP(P575,'Settings'!$E$28:$F$33,2,FALSE)+1),1)</f>
        <v>1.18609596633847</v>
      </c>
      <c r="AF575" s="79">
        <f>VLOOKUP(B575,'Player Data'!$A1:$AE667,20,FALSE)*$Q575</f>
        <v>502.097152898943</v>
      </c>
      <c r="AG575" s="79">
        <f>VLOOKUP(B575,'Player Data'!$A1:$AE667,21,FALSE)*$Q575</f>
        <v>470.349753624358</v>
      </c>
      <c r="AH575" s="81">
        <f>VLOOKUP(B575,'Player Data'!$A1:$AE667,22,FALSE)</f>
        <v>0.5163234614978049</v>
      </c>
      <c r="AI575" s="77"/>
      <c r="AJ575" s="79"/>
      <c r="AK575" s="79"/>
      <c r="AL575" s="79"/>
      <c r="AM575" s="79"/>
      <c r="AN575" s="79"/>
      <c r="AO575" s="79"/>
      <c r="AP575" s="79"/>
      <c r="AQ575" s="82"/>
      <c r="AR575" s="83"/>
      <c r="AS575" s="84"/>
    </row>
    <row r="576" ht="21.25" customHeight="1">
      <c r="A576" s="85">
        <f>RANK(K576,K$1:K$665)</f>
        <v>580</v>
      </c>
      <c r="B576" t="s" s="16">
        <v>766</v>
      </c>
      <c r="C576" t="s" s="69">
        <v>127</v>
      </c>
      <c r="D576" t="s" s="70">
        <f>VLOOKUP(B576,'Player Data'!A1:D667,4,FALSE)</f>
        <v>178</v>
      </c>
      <c r="E576" s="102">
        <f>VLOOKUP(B576,'LW'!A1:C152,3,FALSE)</f>
        <v>131</v>
      </c>
      <c r="F576" t="s" s="103">
        <f>VLOOKUP(B576,'Player Data'!A1:B667,2,FALSE)</f>
        <v>182</v>
      </c>
      <c r="G576" s="91">
        <f>VLOOKUP(B576,'Player Data'!A1:D667,3,FALSE)</f>
        <v>33</v>
      </c>
      <c r="H576" s="94">
        <f>_xlfn.IFERROR(VLOOKUP(B576,'ADP'!A1:G665,7,FALSE)/1000000,VLOOKUP(B576,'ADP'!A1:G665,7,FALSE))</f>
        <v>2</v>
      </c>
      <c r="I576" s="74">
        <f>IF('Settings'!$E$15="POINTS",((R576*Q576)*'Settings'!$B$12)+(S576*'Settings'!$B$2)+(T576*'Settings'!$B$3)+(U576*'Settings'!$B$4)+(V576*'Settings'!$B$5)+(X576*'Settings'!$B$9)+(AA576*'Settings'!$B$6)+(W576*'Settings'!$B$8)+(AB576*'Settings'!$B$7)+(AC576*'Settings'!$B$14)+(AD576*'Settings'!$B$15)+(AE576*'Settings'!$B$16)+(AF576*'Settings'!$B$17)+(AG576*'Settings'!$B$18)+(Y576*'Settings'!$B$10)+(Z576*'Settings'!$B$11),VLOOKUP(B576,'Standard Deviations'!A1:C666,3,FALSE))</f>
        <v>152.463585811313</v>
      </c>
      <c r="J576" s="75">
        <f>IF(D576="G",I576/AJ576,I576/Q576)</f>
        <v>1.91188896872924</v>
      </c>
      <c r="K576" s="74">
        <f>IF('Settings'!$E$18="C/LW/RW",VLOOKUP(B576,'LW'!A1:F152,6,FALSE),VLOOKUP(B576,'F'!A1:F392,6,FALSE))</f>
        <v>-179.256525954899</v>
      </c>
      <c r="L576" s="76">
        <f>_xlfn.IFERROR(K576/H576,"N/A")</f>
        <v>-89.62826297744949</v>
      </c>
      <c r="M576" s="109">
        <f>IF('Settings'!$E$9="YAHOO",VLOOKUP(B576,'ADP'!A1:E665,2,FALSE),IF('Settings'!$E$9="ESPN",VLOOKUP(B576,'ADP'!A1:E665,3,FALSE),IF('Settings'!$E$9="FANTRAX",VLOOKUP(B576,'ADP'!A1:E665,4,FALSE),VLOOKUP(B576,'ADP'!A1:E665,5,FALSE))))</f>
        <v>0</v>
      </c>
      <c r="N576" s="79">
        <f>_xlfn.IFERROR(M576-A576,"N/A")</f>
        <v>-580</v>
      </c>
      <c r="O576" s="77"/>
      <c r="P576" t="s" s="78">
        <f>IF('Settings'!$E$27="ON",VLOOKUP(B576,'ADP'!A1:H665,8,FALSE)," ")</f>
        <v>138</v>
      </c>
      <c r="Q576" s="79">
        <f>IF('Settings'!$E$12="YES",VLOOKUP(B576,'Player Data'!A1:E667,5,FALSE),82)</f>
        <v>79.745</v>
      </c>
      <c r="R576" s="77">
        <f>VLOOKUP(B576,'Player Data'!$A1:$AE667,6,FALSE)</f>
        <v>15.4719210251769</v>
      </c>
      <c r="S576" s="79">
        <f>VLOOKUP(B576,'Player Data'!$A1:$AE667,7,FALSE)*$Q576*_xlfn.IFERROR((VLOOKUP(P576,'Settings'!$E$28:$F$33,2,FALSE)+1),1)</f>
        <v>11.6818419326313</v>
      </c>
      <c r="T576" s="79">
        <f>VLOOKUP(B576,'Player Data'!$A1:$AE667,8,FALSE)*$Q576*_xlfn.IFERROR((VLOOKUP(P576,'Settings'!$E$28:$F$33,2,FALSE)+1),1)</f>
        <v>18.5148557645407</v>
      </c>
      <c r="U576" s="79">
        <f>SUM(S576:T576)</f>
        <v>30.196697697172</v>
      </c>
      <c r="V576" s="79">
        <f>VLOOKUP(B576,'Player Data'!$A1:$AE667,10,FALSE)*$Q576*_xlfn.IFERROR(((VLOOKUP(P576,'Settings'!$E$28:$F$33,2,FALSE)/2)+1),1)</f>
        <v>116.529425997971</v>
      </c>
      <c r="W576" s="79">
        <f>VLOOKUP(B576,'Player Data'!$A1:$AE667,11,FALSE)*$Q576*_xlfn.IFERROR((VLOOKUP(P576,'Settings'!$E$28:$F$33,2,FALSE)+1),1)</f>
        <v>1.58458842568781</v>
      </c>
      <c r="X576" s="79">
        <f>VLOOKUP(B576,'Player Data'!$A1:$AE667,12,FALSE)*$Q576*_xlfn.IFERROR((VLOOKUP(P576,'Settings'!$E$28:$F$33,2,FALSE)+1),1)</f>
        <v>6.06899925169121</v>
      </c>
      <c r="Y576" s="79">
        <f>VLOOKUP(B576,'Player Data'!$A1:$AE667,13,FALSE)*$Q576</f>
        <v>0.17752412127179</v>
      </c>
      <c r="Z576" s="79">
        <f>VLOOKUP(B576,'Player Data'!$A1:$AE667,14,FALSE)*$Q576</f>
        <v>0.220926606676532</v>
      </c>
      <c r="AA576" s="79">
        <f>VLOOKUP(B576,'Player Data'!$A1:$AE667,15,FALSE)*$Q576</f>
        <v>28.7165524221749</v>
      </c>
      <c r="AB576" s="79">
        <f>VLOOKUP(B576,'Player Data'!$A1:$AE667,16,FALSE)*$Q576</f>
        <v>42.9764247262634</v>
      </c>
      <c r="AC576" s="79">
        <f>VLOOKUP(B576,'Player Data'!$A1:$AE667,17,FALSE)*$Q576*_xlfn.IFERROR((VLOOKUP(P576,'Settings'!$E$28:$F$33,2,FALSE)+1),1)</f>
        <v>-0.267030770138312</v>
      </c>
      <c r="AD576" s="79">
        <f>VLOOKUP(B576,'Player Data'!$A1:$AE667,18,FALSE)*$Q576</f>
        <v>16.8980638438621</v>
      </c>
      <c r="AE576" s="79">
        <f>VLOOKUP(B576,'Player Data'!$A1:$AE667,19,FALSE)*$Q576*_xlfn.IFERROR((VLOOKUP(P576,'Settings'!$E$28:$F$33,2,FALSE)+1),1)</f>
        <v>1.92842826853752</v>
      </c>
      <c r="AF576" s="79">
        <f>VLOOKUP(B576,'Player Data'!$A1:$AE667,20,FALSE)*$Q576</f>
        <v>14.7770323502192</v>
      </c>
      <c r="AG576" s="79">
        <f>VLOOKUP(B576,'Player Data'!$A1:$AE667,21,FALSE)*$Q576</f>
        <v>29.8146085085611</v>
      </c>
      <c r="AH576" s="81">
        <f>VLOOKUP(B576,'Player Data'!$A1:$AE667,22,FALSE)</f>
        <v>0.331385705159794</v>
      </c>
      <c r="AI576" s="77"/>
      <c r="AJ576" s="79"/>
      <c r="AK576" s="79"/>
      <c r="AL576" s="79"/>
      <c r="AM576" s="79"/>
      <c r="AN576" s="79"/>
      <c r="AO576" s="79"/>
      <c r="AP576" s="79"/>
      <c r="AQ576" s="82"/>
      <c r="AR576" s="83"/>
      <c r="AS576" s="84"/>
    </row>
    <row r="577" ht="21.25" customHeight="1">
      <c r="A577" s="85">
        <f>RANK(K577,K$1:K$665)</f>
        <v>556</v>
      </c>
      <c r="B577" t="s" s="16">
        <v>767</v>
      </c>
      <c r="C577" t="s" s="69">
        <v>127</v>
      </c>
      <c r="D577" t="s" s="70">
        <f>VLOOKUP(B577,'Player Data'!A1:D667,4,FALSE)</f>
        <v>153</v>
      </c>
      <c r="E577" s="95">
        <f>VLOOKUP(B577,'D'!A1:C213,3,FALSE)</f>
        <v>184</v>
      </c>
      <c r="F577" t="s" s="88">
        <f>VLOOKUP(B577,'Player Data'!A1:B667,2,FALSE)</f>
        <v>143</v>
      </c>
      <c r="G577" s="11">
        <f>VLOOKUP(B577,'Player Data'!A1:D667,3,FALSE)</f>
        <v>27</v>
      </c>
      <c r="H577" s="94">
        <f>_xlfn.IFERROR(VLOOKUP(B577,'ADP'!A1:G665,7,FALSE)/1000000,VLOOKUP(B577,'ADP'!A1:G665,7,FALSE))</f>
        <v>0.8</v>
      </c>
      <c r="I577" s="74">
        <f>IF('Settings'!$E$15="POINTS",((R577*Q577)*'Settings'!$B$12)+(S577*'Settings'!$B$2)+(T577*'Settings'!$B$3)+(U577*'Settings'!$B$4)+(V577*'Settings'!$B$5)+(X577*'Settings'!$B$9)+(AA577*'Settings'!$B$6)+(W577*'Settings'!$B$8)+(AB577*'Settings'!$B$7)+(AC577*'Settings'!$B$14)+(AD577*'Settings'!$B$15)+(AE577*'Settings'!$B$16)+(AF577*'Settings'!$B$17)+(AG577*'Settings'!$B$18)+(U577*'Settings'!$B$13)+(Y577*'Settings'!$B$10)+(Z577*'Settings'!$B$11),VLOOKUP(B577,'Standard Deviations'!A1:C666,3,FALSE))</f>
        <v>158.964497380497</v>
      </c>
      <c r="J577" s="75">
        <f>IF(D577="G",I577/AJ577,I577/Q577)</f>
        <v>2.60480107132845</v>
      </c>
      <c r="K577" s="74">
        <f>VLOOKUP(B577,'D'!A1:F213,6,FALSE)</f>
        <v>-172.575710539585</v>
      </c>
      <c r="L577" s="76">
        <f>_xlfn.IFERROR(K577/H577,"N/A")</f>
        <v>-215.719638174481</v>
      </c>
      <c r="M577" s="109">
        <f>IF('Settings'!$E$9="YAHOO",VLOOKUP(B577,'ADP'!A1:E665,2,FALSE),IF('Settings'!$E$9="ESPN",VLOOKUP(B577,'ADP'!A1:E665,3,FALSE),IF('Settings'!$E$9="FANTRAX",VLOOKUP(B577,'ADP'!A1:E665,4,FALSE),VLOOKUP(B577,'ADP'!A1:E665,5,FALSE))))</f>
        <v>0</v>
      </c>
      <c r="N577" s="79">
        <f>_xlfn.IFERROR(M577-A577,"N/A")</f>
        <v>-556</v>
      </c>
      <c r="O577" s="77"/>
      <c r="P577" t="s" s="78">
        <f>IF('Settings'!$E$27="ON",VLOOKUP(B577,'ADP'!A1:H665,8,FALSE)," ")</f>
        <v>138</v>
      </c>
      <c r="Q577" s="79">
        <f>IF('Settings'!$E$12="YES",VLOOKUP(B577,'Player Data'!A1:E667,5,FALSE),82)</f>
        <v>61.0275</v>
      </c>
      <c r="R577" s="77">
        <f>VLOOKUP(B577,'Player Data'!$A1:$AE667,6,FALSE)</f>
        <v>16.7600869781174</v>
      </c>
      <c r="S577" s="79">
        <f>VLOOKUP(B577,'Player Data'!$A1:$AE667,7,FALSE)*$Q577*_xlfn.IFERROR((VLOOKUP(P577,'Settings'!$E$28:$F$33,2,FALSE)+1),1)</f>
        <v>1.35141529812024</v>
      </c>
      <c r="T577" s="79">
        <f>VLOOKUP(B577,'Player Data'!$A1:$AE667,8,FALSE)*$Q577*_xlfn.IFERROR((VLOOKUP(P577,'Settings'!$E$28:$F$33,2,FALSE)+1),1)</f>
        <v>10.9989792377274</v>
      </c>
      <c r="U577" s="79">
        <f>SUM(S577:T577)</f>
        <v>12.3503945358476</v>
      </c>
      <c r="V577" s="79">
        <f>VLOOKUP(B577,'Player Data'!$A1:$AE667,10,FALSE)*$Q577*_xlfn.IFERROR(((VLOOKUP(P577,'Settings'!$E$28:$F$33,2,FALSE)/2)+1),1)</f>
        <v>52.9470467622357</v>
      </c>
      <c r="W577" s="79">
        <f>VLOOKUP(B577,'Player Data'!$A1:$AE667,11,FALSE)*$Q577*_xlfn.IFERROR((VLOOKUP(P577,'Settings'!$E$28:$F$33,2,FALSE)+1),1)</f>
        <v>0.0203820000858663</v>
      </c>
      <c r="X577" s="79">
        <f>VLOOKUP(B577,'Player Data'!$A1:$AE667,12,FALSE)*$Q577*_xlfn.IFERROR((VLOOKUP(P577,'Settings'!$E$28:$F$33,2,FALSE)+1),1)</f>
        <v>0.131680100101056</v>
      </c>
      <c r="Y577" s="79">
        <f>VLOOKUP(B577,'Player Data'!$A1:$AE667,13,FALSE)*$Q577</f>
        <v>0.022341586230788</v>
      </c>
      <c r="Z577" s="79">
        <f>VLOOKUP(B577,'Player Data'!$A1:$AE667,14,FALSE)*$Q577</f>
        <v>0.111561357388835</v>
      </c>
      <c r="AA577" s="79">
        <f>VLOOKUP(B577,'Player Data'!$A1:$AE667,15,FALSE)*$Q577</f>
        <v>85.0449143431732</v>
      </c>
      <c r="AB577" s="79">
        <f>VLOOKUP(B577,'Player Data'!$A1:$AE667,16,FALSE)*$Q577</f>
        <v>103.443391989004</v>
      </c>
      <c r="AC577" s="79">
        <f>VLOOKUP(B577,'Player Data'!$A1:$AE667,17,FALSE)*$Q577*_xlfn.IFERROR((VLOOKUP(P577,'Settings'!$E$28:$F$33,2,FALSE)+1),1)</f>
        <v>2.06933455944659</v>
      </c>
      <c r="AD577" s="79">
        <f>VLOOKUP(B577,'Player Data'!$A1:$AE667,18,FALSE)*$Q577</f>
        <v>34.4919862056967</v>
      </c>
      <c r="AE577" s="79">
        <f>VLOOKUP(B577,'Player Data'!$A1:$AE667,19,FALSE)*$Q577*_xlfn.IFERROR((VLOOKUP(P577,'Settings'!$E$28:$F$33,2,FALSE)+1),1)</f>
        <v>0.210487957200351</v>
      </c>
      <c r="AF577" s="79">
        <f>VLOOKUP(B577,'Player Data'!$A1:$AE667,20,FALSE)*$Q577</f>
        <v>0</v>
      </c>
      <c r="AG577" s="79">
        <f>VLOOKUP(B577,'Player Data'!$A1:$AE667,21,FALSE)*$Q577</f>
        <v>0</v>
      </c>
      <c r="AH577" s="81">
        <f>VLOOKUP(B577,'Player Data'!$A1:$AE667,22,FALSE)</f>
        <v>0</v>
      </c>
      <c r="AI577" s="77"/>
      <c r="AJ577" s="89"/>
      <c r="AK577" s="79"/>
      <c r="AL577" s="79"/>
      <c r="AM577" s="79"/>
      <c r="AN577" s="79"/>
      <c r="AO577" s="79"/>
      <c r="AP577" s="79"/>
      <c r="AQ577" s="82"/>
      <c r="AR577" s="83"/>
      <c r="AS577" s="84"/>
    </row>
    <row r="578" ht="21.25" customHeight="1">
      <c r="A578" s="85">
        <f>RANK(K578,K$1:K$665)</f>
        <v>546</v>
      </c>
      <c r="B578" t="s" s="16">
        <v>768</v>
      </c>
      <c r="C578" t="s" s="69">
        <v>127</v>
      </c>
      <c r="D578" t="s" s="70">
        <f>VLOOKUP(B578,'Player Data'!A1:D667,4,FALSE)</f>
        <v>161</v>
      </c>
      <c r="E578" s="99">
        <f>VLOOKUP(B578,'G'!A1:D65,3,FALSE)</f>
        <v>63</v>
      </c>
      <c r="F578" t="s" s="78">
        <f>VLOOKUP(B578,'Player Data'!A1:B667,2,FALSE)</f>
        <v>168</v>
      </c>
      <c r="G578" s="96">
        <f>VLOOKUP(B578,'Player Data'!A1:D667,3,FALSE)</f>
        <v>27</v>
      </c>
      <c r="H578" s="94">
        <f>_xlfn.IFERROR(VLOOKUP(B578,'ADP'!A1:G665,7,FALSE)/1000000,VLOOKUP(B578,'ADP'!A1:G665,7,FALSE))</f>
        <v>1</v>
      </c>
      <c r="I578" s="74">
        <f>IF('Settings'!$E$15="POINTS",(AJ578*'Settings'!$B$29)+(AK578*'Settings'!$B$21)+(AL578*'Settings'!$B$22)+(AN578*'Settings'!$B$24)+(AO578*'Settings'!$B$25)+(AP578*'Settings'!$B$27)+(AM578*'Settings'!$B$23),VLOOKUP(B578,'Standard Deviations'!A1:C666,3,FALSE))</f>
        <v>98.2475496770478</v>
      </c>
      <c r="J578" s="75">
        <f>IF(D578="G",I578/AJ578,I578/Q578)</f>
        <v>4.91237748385239</v>
      </c>
      <c r="K578" s="74">
        <f>VLOOKUP(B578,'G'!A1:F65,6,FALSE)</f>
        <v>-169.343464887542</v>
      </c>
      <c r="L578" s="76">
        <f>_xlfn.IFERROR(K578/H578,"N/A")</f>
        <v>-169.343464887542</v>
      </c>
      <c r="M578" s="109">
        <f>IF('Settings'!$E$9="YAHOO",VLOOKUP(B578,'ADP'!A1:E665,2,FALSE),IF('Settings'!$E$9="ESPN",VLOOKUP(B578,'ADP'!A1:E665,3,FALSE),IF('Settings'!$E$9="FANTRAX",VLOOKUP(B578,'ADP'!A1:E665,4,FALSE),VLOOKUP(B578,'ADP'!A1:E665,5,FALSE))))</f>
        <v>0</v>
      </c>
      <c r="N578" s="79">
        <f>_xlfn.IFERROR(M578-A578,"N/A")</f>
        <v>-546</v>
      </c>
      <c r="O578" s="77"/>
      <c r="P578" t="s" s="78">
        <f>IF('Settings'!$E$27="ON",VLOOKUP(B578,'ADP'!A1:H665,8,FALSE)," ")</f>
        <v>138</v>
      </c>
      <c r="Q578" s="79"/>
      <c r="R578" s="77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81"/>
      <c r="AI578" s="77"/>
      <c r="AJ578" s="89">
        <f>VLOOKUP(B578,'Player Data'!$A1:$AE667,24,FALSE)</f>
        <v>20</v>
      </c>
      <c r="AK578" s="79">
        <f>VLOOKUP(B578,'Player Data'!$A1:$AE667,25,FALSE)*$AJ578*_xlfn.IFERROR((VLOOKUP(P578,'Settings'!$E$28:$F$33,2,FALSE)+1),1)</f>
        <v>9.404506850593901</v>
      </c>
      <c r="AL578" s="79">
        <f>AJ578-AK578-AM578</f>
        <v>8.095493149406099</v>
      </c>
      <c r="AM578" s="79">
        <f>VLOOKUP(B578,'Player Data'!$A1:$AE667,27,FALSE)*$AJ578</f>
        <v>2.5</v>
      </c>
      <c r="AN578" s="79">
        <f>VLOOKUP(B578,'Player Data'!$A1:$AE667,28,FALSE)*AJ578</f>
        <v>0.842609637614116</v>
      </c>
      <c r="AO578" s="79">
        <f>VLOOKUP(B578,'Player Data'!$A1:$AE667,29,FALSE)*$AJ578*_xlfn.IFERROR((VLOOKUP(P578,'Settings'!$E$28:$F$33,2,FALSE)/4)+1,1)</f>
        <v>527.160545886568</v>
      </c>
      <c r="AP578" s="79">
        <f>VLOOKUP(B578,'Player Data'!$A1:$AE667,31,FALSE)*$AJ578*(_xlfn.IFERROR(1-(VLOOKUP(P578,'Settings'!$E$28:$F$33,2,FALSE)/4),1))</f>
        <v>59.8779239203</v>
      </c>
      <c r="AQ578" s="82">
        <f>1-(AP578/(AO578+AP578))</f>
        <v>0.898000000000001</v>
      </c>
      <c r="AR578" s="83">
        <f>AP578/AJ578</f>
        <v>2.993896196015</v>
      </c>
      <c r="AS578" s="84"/>
    </row>
    <row r="579" ht="21.25" customHeight="1">
      <c r="A579" s="85">
        <f>RANK(K579,K$1:K$665)</f>
        <v>594</v>
      </c>
      <c r="B579" t="s" s="16">
        <v>769</v>
      </c>
      <c r="C579" t="s" s="69">
        <v>127</v>
      </c>
      <c r="D579" t="s" s="70">
        <f>VLOOKUP(B579,'Player Data'!A1:D667,4,FALSE)</f>
        <v>128</v>
      </c>
      <c r="E579" s="71">
        <f>VLOOKUP(B579,'C'!A1:C206,3,FALSE)</f>
        <v>181</v>
      </c>
      <c r="F579" t="s" s="88">
        <f>VLOOKUP(B579,'Player Data'!A1:B667,2,FALSE)</f>
        <v>143</v>
      </c>
      <c r="G579" s="96">
        <f>VLOOKUP(B579,'Player Data'!A1:D667,3,FALSE)</f>
        <v>20</v>
      </c>
      <c r="H579" s="73">
        <f>_xlfn.IFERROR(VLOOKUP(B579,'ADP'!A1:G665,7,FALSE)/1000000,VLOOKUP(B579,'ADP'!A1:G665,7,FALSE))</f>
        <v>0.87</v>
      </c>
      <c r="I579" s="74">
        <f>IF('Settings'!$E$15="POINTS",((R579*Q579)*'Settings'!$B$12)+(S579*'Settings'!$B$2)+(T579*'Settings'!$B$3)+(U579*'Settings'!$B$4)+(V579*'Settings'!$B$5)+(X579*'Settings'!$B$9)+(AA579*'Settings'!$B$6)+(W579*'Settings'!$B$8)+(AB579*'Settings'!$B$7)+(AC579*'Settings'!$B$14)+(AD579*'Settings'!$B$15)+(AE579*'Settings'!$B$16)+(AF579*'Settings'!$B$17)+(AG579*'Settings'!$B$18)+(Y579*'Settings'!$B$10)+(Z579*'Settings'!$B$11),VLOOKUP(B579,'Standard Deviations'!A1:C666,3,FALSE))</f>
        <v>146.363992288450</v>
      </c>
      <c r="J579" s="75">
        <f>IF(D579="G",I579/AJ579,I579/Q579)</f>
        <v>2.37238013272469</v>
      </c>
      <c r="K579" s="74">
        <f>IF('Settings'!$E$18="C/LW/RW",VLOOKUP(B579,'C'!A1:F206,6,FALSE),VLOOKUP(B579,'F'!A1:F392,6,FALSE))</f>
        <v>-183.327901792728</v>
      </c>
      <c r="L579" s="76">
        <f>_xlfn.IFERROR(K579/H579,"N/A")</f>
        <v>-210.721726198538</v>
      </c>
      <c r="M579" s="109">
        <f>IF('Settings'!$E$9="YAHOO",VLOOKUP(B579,'ADP'!A1:E665,2,FALSE),IF('Settings'!$E$9="ESPN",VLOOKUP(B579,'ADP'!A1:E665,3,FALSE),IF('Settings'!$E$9="FANTRAX",VLOOKUP(B579,'ADP'!A1:E665,4,FALSE),VLOOKUP(B579,'ADP'!A1:E665,5,FALSE))))</f>
        <v>0</v>
      </c>
      <c r="N579" s="79">
        <f>_xlfn.IFERROR(M579-A579,"N/A")</f>
        <v>-594</v>
      </c>
      <c r="O579" s="77"/>
      <c r="P579" t="s" s="78">
        <f>IF('Settings'!$E$27="ON",VLOOKUP(B579,'ADP'!A1:H665,8,FALSE)," ")</f>
        <v>138</v>
      </c>
      <c r="Q579" s="79">
        <f>IF('Settings'!$E$12="YES",VLOOKUP(B579,'Player Data'!A1:E667,5,FALSE),82)</f>
        <v>61.695</v>
      </c>
      <c r="R579" s="77">
        <f>VLOOKUP(B579,'Player Data'!$A1:$AE667,6,FALSE)</f>
        <v>14.1465655406636</v>
      </c>
      <c r="S579" s="79">
        <f>VLOOKUP(B579,'Player Data'!$A1:$AE667,7,FALSE)*$Q579*_xlfn.IFERROR((VLOOKUP(P579,'Settings'!$E$28:$F$33,2,FALSE)+1),1)</f>
        <v>12.0226811928059</v>
      </c>
      <c r="T579" s="79">
        <f>VLOOKUP(B579,'Player Data'!$A1:$AE667,8,FALSE)*$Q579*_xlfn.IFERROR((VLOOKUP(P579,'Settings'!$E$28:$F$33,2,FALSE)+1),1)</f>
        <v>19.1846457418793</v>
      </c>
      <c r="U579" s="79">
        <f>SUM(S579:T579)</f>
        <v>31.2073269346852</v>
      </c>
      <c r="V579" s="79">
        <f>VLOOKUP(B579,'Player Data'!$A1:$AE667,10,FALSE)*$Q579*_xlfn.IFERROR(((VLOOKUP(P579,'Settings'!$E$28:$F$33,2,FALSE)/2)+1),1)</f>
        <v>89.5320026909026</v>
      </c>
      <c r="W579" s="79">
        <f>VLOOKUP(B579,'Player Data'!$A1:$AE667,11,FALSE)*$Q579*_xlfn.IFERROR((VLOOKUP(P579,'Settings'!$E$28:$F$33,2,FALSE)+1),1)</f>
        <v>1.12686602582035</v>
      </c>
      <c r="X579" s="79">
        <f>VLOOKUP(B579,'Player Data'!$A1:$AE667,12,FALSE)*$Q579*_xlfn.IFERROR((VLOOKUP(P579,'Settings'!$E$28:$F$33,2,FALSE)+1),1)</f>
        <v>3.45973266035532</v>
      </c>
      <c r="Y579" s="79">
        <f>VLOOKUP(B579,'Player Data'!$A1:$AE667,13,FALSE)*$Q579</f>
        <v>0.00767568604230385</v>
      </c>
      <c r="Z579" s="79">
        <f>VLOOKUP(B579,'Player Data'!$A1:$AE667,14,FALSE)*$Q579</f>
        <v>0.0127873096884934</v>
      </c>
      <c r="AA579" s="79">
        <f>VLOOKUP(B579,'Player Data'!$A1:$AE667,15,FALSE)*$Q579</f>
        <v>28.6417716723572</v>
      </c>
      <c r="AB579" s="79">
        <f>VLOOKUP(B579,'Player Data'!$A1:$AE667,16,FALSE)*$Q579</f>
        <v>46.649606426205</v>
      </c>
      <c r="AC579" s="79">
        <f>VLOOKUP(B579,'Player Data'!$A1:$AE667,17,FALSE)*$Q579*_xlfn.IFERROR((VLOOKUP(P579,'Settings'!$E$28:$F$33,2,FALSE)+1),1)</f>
        <v>2.06075680423657</v>
      </c>
      <c r="AD579" s="79">
        <f>VLOOKUP(B579,'Player Data'!$A1:$AE667,18,FALSE)*$Q579</f>
        <v>18.7586383445942</v>
      </c>
      <c r="AE579" s="79">
        <f>VLOOKUP(B579,'Player Data'!$A1:$AE667,19,FALSE)*$Q579*_xlfn.IFERROR((VLOOKUP(P579,'Settings'!$E$28:$F$33,2,FALSE)+1),1)</f>
        <v>1.87257729571715</v>
      </c>
      <c r="AF579" s="79">
        <f>VLOOKUP(B579,'Player Data'!$A1:$AE667,20,FALSE)*$Q579</f>
        <v>219.145682978867</v>
      </c>
      <c r="AG579" s="79">
        <f>VLOOKUP(B579,'Player Data'!$A1:$AE667,21,FALSE)*$Q579</f>
        <v>282.322816810612</v>
      </c>
      <c r="AH579" s="81">
        <f>VLOOKUP(B579,'Player Data'!$A1:$AE667,22,FALSE)</f>
        <v>0.437007874015748</v>
      </c>
      <c r="AI579" s="77"/>
      <c r="AJ579" s="89"/>
      <c r="AK579" s="79"/>
      <c r="AL579" s="79"/>
      <c r="AM579" s="79"/>
      <c r="AN579" s="79"/>
      <c r="AO579" s="79"/>
      <c r="AP579" s="79"/>
      <c r="AQ579" s="82"/>
      <c r="AR579" s="83"/>
      <c r="AS579" s="84"/>
    </row>
    <row r="580" ht="21.25" customHeight="1">
      <c r="A580" s="85">
        <f>RANK(K580,K$1:K$665)</f>
        <v>597</v>
      </c>
      <c r="B580" t="s" s="16">
        <v>770</v>
      </c>
      <c r="C580" t="s" s="69">
        <v>127</v>
      </c>
      <c r="D580" t="s" s="70">
        <f>VLOOKUP(B580,'Player Data'!A1:D667,4,FALSE)</f>
        <v>128</v>
      </c>
      <c r="E580" s="71">
        <f>VLOOKUP(B580,'C'!A1:C206,3,FALSE)</f>
        <v>182</v>
      </c>
      <c r="F580" t="s" s="100">
        <f>VLOOKUP(B580,'Player Data'!A1:B667,2,FALSE)</f>
        <v>172</v>
      </c>
      <c r="G580" s="11">
        <f>VLOOKUP(B580,'Player Data'!A1:D667,3,FALSE)</f>
        <v>25</v>
      </c>
      <c r="H580" s="94">
        <f>_xlfn.IFERROR(VLOOKUP(B580,'ADP'!A1:G665,7,FALSE)/1000000,VLOOKUP(B580,'ADP'!A1:G665,7,FALSE))</f>
        <v>2.5</v>
      </c>
      <c r="I580" s="74">
        <f>IF('Settings'!$E$15="POINTS",((R580*Q580)*'Settings'!$B$12)+(S580*'Settings'!$B$2)+(T580*'Settings'!$B$3)+(U580*'Settings'!$B$4)+(V580*'Settings'!$B$5)+(X580*'Settings'!$B$9)+(AA580*'Settings'!$B$6)+(W580*'Settings'!$B$8)+(AB580*'Settings'!$B$7)+(AC580*'Settings'!$B$14)+(AD580*'Settings'!$B$15)+(AE580*'Settings'!$B$16)+(AF580*'Settings'!$B$17)+(AG580*'Settings'!$B$18)+(Y580*'Settings'!$B$10)+(Z580*'Settings'!$B$11),VLOOKUP(B580,'Standard Deviations'!A1:C666,3,FALSE))</f>
        <v>146.215719797158</v>
      </c>
      <c r="J580" s="75">
        <f>IF(D580="G",I580/AJ580,I580/Q580)</f>
        <v>2.06877322764894</v>
      </c>
      <c r="K580" s="74">
        <f>IF('Settings'!$E$18="C/LW/RW",VLOOKUP(B580,'C'!A1:F206,6,FALSE),VLOOKUP(B580,'F'!A1:F392,6,FALSE))</f>
        <v>-183.476174284020</v>
      </c>
      <c r="L580" s="76">
        <f>_xlfn.IFERROR(K580/H580,"N/A")</f>
        <v>-73.390469713608</v>
      </c>
      <c r="M580" s="109">
        <f>IF('Settings'!$E$9="YAHOO",VLOOKUP(B580,'ADP'!A1:E665,2,FALSE),IF('Settings'!$E$9="ESPN",VLOOKUP(B580,'ADP'!A1:E665,3,FALSE),IF('Settings'!$E$9="FANTRAX",VLOOKUP(B580,'ADP'!A1:E665,4,FALSE),VLOOKUP(B580,'ADP'!A1:E665,5,FALSE))))</f>
        <v>0</v>
      </c>
      <c r="N580" s="79">
        <f>_xlfn.IFERROR(M580-A580,"N/A")</f>
        <v>-597</v>
      </c>
      <c r="O580" s="77"/>
      <c r="P580" t="s" s="78">
        <f>IF('Settings'!$E$27="ON",VLOOKUP(B580,'ADP'!A1:H665,8,FALSE)," ")</f>
        <v>138</v>
      </c>
      <c r="Q580" s="79">
        <f>IF('Settings'!$E$12="YES",VLOOKUP(B580,'Player Data'!A1:E667,5,FALSE),82)</f>
        <v>70.67749999999999</v>
      </c>
      <c r="R580" s="108">
        <f>VLOOKUP(B580,'Player Data'!$A1:$AE667,6,FALSE)</f>
        <v>12.1565286306402</v>
      </c>
      <c r="S580" s="79">
        <f>VLOOKUP(B580,'Player Data'!$A1:$AE667,7,FALSE)*$Q580*_xlfn.IFERROR((VLOOKUP(P580,'Settings'!$E$28:$F$33,2,FALSE)+1),1)</f>
        <v>9.89003279376961</v>
      </c>
      <c r="T580" s="79">
        <f>VLOOKUP(B580,'Player Data'!$A1:$AE667,8,FALSE)*$Q580*_xlfn.IFERROR((VLOOKUP(P580,'Settings'!$E$28:$F$33,2,FALSE)+1),1)</f>
        <v>14.7810544798731</v>
      </c>
      <c r="U580" s="79">
        <f>SUM(S580:T580)</f>
        <v>24.6710872736427</v>
      </c>
      <c r="V580" s="79">
        <f>VLOOKUP(B580,'Player Data'!$A1:$AE667,10,FALSE)*$Q580*_xlfn.IFERROR(((VLOOKUP(P580,'Settings'!$E$28:$F$33,2,FALSE)/2)+1),1)</f>
        <v>110.008399737430</v>
      </c>
      <c r="W580" s="79">
        <f>VLOOKUP(B580,'Player Data'!$A1:$AE667,11,FALSE)*$Q580*_xlfn.IFERROR((VLOOKUP(P580,'Settings'!$E$28:$F$33,2,FALSE)+1),1)</f>
        <v>1.39850460423423</v>
      </c>
      <c r="X580" s="79">
        <f>VLOOKUP(B580,'Player Data'!$A1:$AE667,12,FALSE)*$Q580*_xlfn.IFERROR((VLOOKUP(P580,'Settings'!$E$28:$F$33,2,FALSE)+1),1)</f>
        <v>2.71348035365346</v>
      </c>
      <c r="Y580" s="79">
        <f>VLOOKUP(B580,'Player Data'!$A1:$AE667,13,FALSE)*$Q580</f>
        <v>0.0294364015040414</v>
      </c>
      <c r="Z580" s="79">
        <f>VLOOKUP(B580,'Player Data'!$A1:$AE667,14,FALSE)*$Q580</f>
        <v>0.0497775904205655</v>
      </c>
      <c r="AA580" s="79">
        <f>VLOOKUP(B580,'Player Data'!$A1:$AE667,15,FALSE)*$Q580</f>
        <v>31.346057205464</v>
      </c>
      <c r="AB580" s="79">
        <f>VLOOKUP(B580,'Player Data'!$A1:$AE667,16,FALSE)*$Q580</f>
        <v>59.7972328360834</v>
      </c>
      <c r="AC580" s="79">
        <f>VLOOKUP(B580,'Player Data'!$A1:$AE667,17,FALSE)*$Q580*_xlfn.IFERROR((VLOOKUP(P580,'Settings'!$E$28:$F$33,2,FALSE)+1),1)</f>
        <v>0.659726014380523</v>
      </c>
      <c r="AD580" s="79">
        <f>VLOOKUP(B580,'Player Data'!$A1:$AE667,18,FALSE)*$Q580</f>
        <v>21.9648748083785</v>
      </c>
      <c r="AE580" s="79">
        <f>VLOOKUP(B580,'Player Data'!$A1:$AE667,19,FALSE)*$Q580*_xlfn.IFERROR((VLOOKUP(P580,'Settings'!$E$28:$F$33,2,FALSE)+1),1)</f>
        <v>1.46612716429856</v>
      </c>
      <c r="AF580" s="79">
        <f>VLOOKUP(B580,'Player Data'!$A1:$AE667,20,FALSE)*$Q580</f>
        <v>197.210640108759</v>
      </c>
      <c r="AG580" s="79">
        <f>VLOOKUP(B580,'Player Data'!$A1:$AE667,21,FALSE)*$Q580</f>
        <v>214.963087665375</v>
      </c>
      <c r="AH580" s="81">
        <f>VLOOKUP(B580,'Player Data'!$A1:$AE667,22,FALSE)</f>
        <v>0.478464848241924</v>
      </c>
      <c r="AI580" s="77"/>
      <c r="AJ580" s="89"/>
      <c r="AK580" s="79"/>
      <c r="AL580" s="79"/>
      <c r="AM580" s="79"/>
      <c r="AN580" s="79"/>
      <c r="AO580" s="79"/>
      <c r="AP580" s="79"/>
      <c r="AQ580" s="82"/>
      <c r="AR580" s="83"/>
      <c r="AS580" s="84"/>
    </row>
    <row r="581" ht="21.25" customHeight="1">
      <c r="A581" s="85">
        <f>RANK(K581,K$1:K$665)</f>
        <v>599</v>
      </c>
      <c r="B581" t="s" s="16">
        <v>771</v>
      </c>
      <c r="C581" t="s" s="69">
        <v>127</v>
      </c>
      <c r="D581" t="s" s="70">
        <f>VLOOKUP(B581,'Player Data'!A1:D667,4,FALSE)</f>
        <v>128</v>
      </c>
      <c r="E581" s="71">
        <f>VLOOKUP(B581,'C'!A1:C206,3,FALSE)</f>
        <v>183</v>
      </c>
      <c r="F581" t="s" s="86">
        <f>VLOOKUP(B581,'Player Data'!A1:B667,2,FALSE)</f>
        <v>149</v>
      </c>
      <c r="G581" s="11">
        <f>VLOOKUP(B581,'Player Data'!A1:D667,3,FALSE)</f>
        <v>25</v>
      </c>
      <c r="H581" s="94">
        <f>_xlfn.IFERROR(VLOOKUP(B581,'ADP'!A1:G665,7,FALSE)/1000000,VLOOKUP(B581,'ADP'!A1:G665,7,FALSE))</f>
        <v>0.775</v>
      </c>
      <c r="I581" s="74">
        <f>IF('Settings'!$E$15="POINTS",((R581*Q581)*'Settings'!$B$12)+(S581*'Settings'!$B$2)+(T581*'Settings'!$B$3)+(U581*'Settings'!$B$4)+(V581*'Settings'!$B$5)+(X581*'Settings'!$B$9)+(AA581*'Settings'!$B$6)+(W581*'Settings'!$B$8)+(AB581*'Settings'!$B$7)+(AC581*'Settings'!$B$14)+(AD581*'Settings'!$B$15)+(AE581*'Settings'!$B$16)+(AF581*'Settings'!$B$17)+(AG581*'Settings'!$B$18)+(Y581*'Settings'!$B$10)+(Z581*'Settings'!$B$11),VLOOKUP(B581,'Standard Deviations'!A1:C666,3,FALSE))</f>
        <v>146.090961495431</v>
      </c>
      <c r="J581" s="75">
        <f>IF(D581="G",I581/AJ581,I581/Q581)</f>
        <v>2.04130312635527</v>
      </c>
      <c r="K581" s="74">
        <f>IF('Settings'!$E$18="C/LW/RW",VLOOKUP(B581,'C'!A1:F206,6,FALSE),VLOOKUP(B581,'F'!A1:F392,6,FALSE))</f>
        <v>-183.600932585747</v>
      </c>
      <c r="L581" s="76">
        <f>_xlfn.IFERROR(K581/H581,"N/A")</f>
        <v>-236.904429142899</v>
      </c>
      <c r="M581" s="109">
        <f>IF('Settings'!$E$9="YAHOO",VLOOKUP(B581,'ADP'!A1:E665,2,FALSE),IF('Settings'!$E$9="ESPN",VLOOKUP(B581,'ADP'!A1:E665,3,FALSE),IF('Settings'!$E$9="FANTRAX",VLOOKUP(B581,'ADP'!A1:E665,4,FALSE),VLOOKUP(B581,'ADP'!A1:E665,5,FALSE))))</f>
        <v>0</v>
      </c>
      <c r="N581" s="79">
        <f>_xlfn.IFERROR(M581-A581,"N/A")</f>
        <v>-599</v>
      </c>
      <c r="O581" s="77"/>
      <c r="P581" t="s" s="78">
        <f>IF('Settings'!$E$27="ON",VLOOKUP(B581,'ADP'!A1:H665,8,FALSE)," ")</f>
        <v>138</v>
      </c>
      <c r="Q581" s="79">
        <f>IF('Settings'!$E$12="YES",VLOOKUP(B581,'Player Data'!A1:E667,5,FALSE),82)</f>
        <v>71.5675</v>
      </c>
      <c r="R581" s="77">
        <f>VLOOKUP(B581,'Player Data'!$A1:$AE667,6,FALSE)</f>
        <v>11.0964627400707</v>
      </c>
      <c r="S581" s="79">
        <f>VLOOKUP(B581,'Player Data'!$A1:$AE667,7,FALSE)*$Q581*_xlfn.IFERROR((VLOOKUP(P581,'Settings'!$E$28:$F$33,2,FALSE)+1),1)</f>
        <v>10.9510018627876</v>
      </c>
      <c r="T581" s="79">
        <f>VLOOKUP(B581,'Player Data'!$A1:$AE667,8,FALSE)*$Q581*_xlfn.IFERROR((VLOOKUP(P581,'Settings'!$E$28:$F$33,2,FALSE)+1),1)</f>
        <v>13.5888113313447</v>
      </c>
      <c r="U581" s="79">
        <f>SUM(S581:T581)</f>
        <v>24.5398131941323</v>
      </c>
      <c r="V581" s="79">
        <f>VLOOKUP(B581,'Player Data'!$A1:$AE667,10,FALSE)*$Q581*_xlfn.IFERROR(((VLOOKUP(P581,'Settings'!$E$28:$F$33,2,FALSE)/2)+1),1)</f>
        <v>77.8032524057798</v>
      </c>
      <c r="W581" s="79">
        <f>VLOOKUP(B581,'Player Data'!$A1:$AE667,11,FALSE)*$Q581*_xlfn.IFERROR((VLOOKUP(P581,'Settings'!$E$28:$F$33,2,FALSE)+1),1)</f>
        <v>0.0635577857286473</v>
      </c>
      <c r="X581" s="79">
        <f>VLOOKUP(B581,'Player Data'!$A1:$AE667,12,FALSE)*$Q581*_xlfn.IFERROR((VLOOKUP(P581,'Settings'!$E$28:$F$33,2,FALSE)+1),1)</f>
        <v>0.164883071189622</v>
      </c>
      <c r="Y581" s="79">
        <f>VLOOKUP(B581,'Player Data'!$A1:$AE667,13,FALSE)*$Q581</f>
        <v>0.0409903196182167</v>
      </c>
      <c r="Z581" s="79">
        <f>VLOOKUP(B581,'Player Data'!$A1:$AE667,14,FALSE)*$Q581</f>
        <v>0.0694654646292585</v>
      </c>
      <c r="AA581" s="79">
        <f>VLOOKUP(B581,'Player Data'!$A1:$AE667,15,FALSE)*$Q581</f>
        <v>23.9296837117334</v>
      </c>
      <c r="AB581" s="79">
        <f>VLOOKUP(B581,'Player Data'!$A1:$AE667,16,FALSE)*$Q581</f>
        <v>89.0456864675991</v>
      </c>
      <c r="AC581" s="79">
        <f>VLOOKUP(B581,'Player Data'!$A1:$AE667,17,FALSE)*$Q581*_xlfn.IFERROR((VLOOKUP(P581,'Settings'!$E$28:$F$33,2,FALSE)+1),1)</f>
        <v>3.02940217661768</v>
      </c>
      <c r="AD581" s="79">
        <f>VLOOKUP(B581,'Player Data'!$A1:$AE667,18,FALSE)*$Q581</f>
        <v>13.8446261045545</v>
      </c>
      <c r="AE581" s="79">
        <f>VLOOKUP(B581,'Player Data'!$A1:$AE667,19,FALSE)*$Q581*_xlfn.IFERROR((VLOOKUP(P581,'Settings'!$E$28:$F$33,2,FALSE)+1),1)</f>
        <v>1.86563162859046</v>
      </c>
      <c r="AF581" s="79">
        <f>VLOOKUP(B581,'Player Data'!$A1:$AE667,20,FALSE)*$Q581</f>
        <v>91.4327835236475</v>
      </c>
      <c r="AG581" s="79">
        <f>VLOOKUP(B581,'Player Data'!$A1:$AE667,21,FALSE)*$Q581</f>
        <v>169.249366277533</v>
      </c>
      <c r="AH581" s="81">
        <f>VLOOKUP(B581,'Player Data'!$A1:$AE667,22,FALSE)</f>
        <v>0.35074432059649</v>
      </c>
      <c r="AI581" s="77"/>
      <c r="AJ581" s="79"/>
      <c r="AK581" s="79"/>
      <c r="AL581" s="79"/>
      <c r="AM581" s="79"/>
      <c r="AN581" s="79"/>
      <c r="AO581" s="79"/>
      <c r="AP581" s="79"/>
      <c r="AQ581" s="82"/>
      <c r="AR581" s="83"/>
      <c r="AS581" s="84"/>
    </row>
    <row r="582" ht="21.25" customHeight="1">
      <c r="A582" s="85">
        <f>RANK(K582,K$1:K$665)</f>
        <v>578</v>
      </c>
      <c r="B582" t="s" s="16">
        <v>772</v>
      </c>
      <c r="C582" t="s" s="69">
        <v>127</v>
      </c>
      <c r="D582" t="s" s="70">
        <f>VLOOKUP(B582,'Player Data'!A1:D667,4,FALSE)</f>
        <v>140</v>
      </c>
      <c r="E582" s="90">
        <f>VLOOKUP(B582,'RW'!A1:F136,3,FALSE)</f>
        <v>116</v>
      </c>
      <c r="F582" t="s" s="107">
        <f>VLOOKUP(B582,'Player Data'!A1:B667,2,FALSE)</f>
        <v>279</v>
      </c>
      <c r="G582" s="11">
        <f>VLOOKUP(B582,'Player Data'!A1:D667,3,FALSE)</f>
        <v>25</v>
      </c>
      <c r="H582" s="94">
        <f>_xlfn.IFERROR(VLOOKUP(B582,'ADP'!A1:G665,7,FALSE)/1000000,VLOOKUP(B582,'ADP'!A1:G665,7,FALSE))</f>
        <v>1.05</v>
      </c>
      <c r="I582" s="74">
        <f>IF('Settings'!$E$15="POINTS",((R582*Q582)*'Settings'!$B$12)+(S582*'Settings'!$B$2)+(T582*'Settings'!$B$3)+(U582*'Settings'!$B$4)+(V582*'Settings'!$B$5)+(X582*'Settings'!$B$9)+(AA582*'Settings'!$B$6)+(W582*'Settings'!$B$8)+(AB582*'Settings'!$B$7)+(AC582*'Settings'!$B$14)+(AD582*'Settings'!$B$15)+(AE582*'Settings'!$B$16)+(AF582*'Settings'!$B$17)+(AG582*'Settings'!$B$18)+(Y582*'Settings'!$B$10)+(Z582*'Settings'!$B$11),VLOOKUP(B582,'Standard Deviations'!A1:C666,3,FALSE))</f>
        <v>150.945267156279</v>
      </c>
      <c r="J582" s="75">
        <f>IF(D582="G",I582/AJ582,I582/Q582)</f>
        <v>2.12314884529544</v>
      </c>
      <c r="K582" s="74">
        <f>IF('Settings'!$E$18="C/LW/RW",VLOOKUP(B582,'RW'!A1:F136,6,FALSE),VLOOKUP(B582,'F'!A1:F392,6,FALSE))</f>
        <v>-178.746626924899</v>
      </c>
      <c r="L582" s="76">
        <f>_xlfn.IFERROR(K582/H582,"N/A")</f>
        <v>-170.234882785618</v>
      </c>
      <c r="M582" s="109">
        <f>IF('Settings'!$E$9="YAHOO",VLOOKUP(B582,'ADP'!A1:E665,2,FALSE),IF('Settings'!$E$9="ESPN",VLOOKUP(B582,'ADP'!A1:E665,3,FALSE),IF('Settings'!$E$9="FANTRAX",VLOOKUP(B582,'ADP'!A1:E665,4,FALSE),VLOOKUP(B582,'ADP'!A1:E665,5,FALSE))))</f>
        <v>0</v>
      </c>
      <c r="N582" s="79">
        <f>_xlfn.IFERROR(M582-A582,"N/A")</f>
        <v>-578</v>
      </c>
      <c r="O582" s="77"/>
      <c r="P582" t="s" s="78">
        <f>IF('Settings'!$E$27="ON",VLOOKUP(B582,'ADP'!A1:H665,8,FALSE)," ")</f>
        <v>138</v>
      </c>
      <c r="Q582" s="79">
        <f>IF('Settings'!$E$12="YES",VLOOKUP(B582,'Player Data'!A1:E667,5,FALSE),82)</f>
        <v>71.095</v>
      </c>
      <c r="R582" s="108">
        <f>VLOOKUP(B582,'Player Data'!$A1:$AE667,6,FALSE)</f>
        <v>11.5884562272366</v>
      </c>
      <c r="S582" s="79">
        <f>VLOOKUP(B582,'Player Data'!$A1:$AE667,7,FALSE)*$Q582*_xlfn.IFERROR((VLOOKUP(P582,'Settings'!$E$28:$F$33,2,FALSE)+1),1)</f>
        <v>9.46795341968142</v>
      </c>
      <c r="T582" s="79">
        <f>VLOOKUP(B582,'Player Data'!$A1:$AE667,8,FALSE)*$Q582*_xlfn.IFERROR((VLOOKUP(P582,'Settings'!$E$28:$F$33,2,FALSE)+1),1)</f>
        <v>8.61777769928773</v>
      </c>
      <c r="U582" s="79">
        <f>SUM(S582:T582)</f>
        <v>18.0857311189692</v>
      </c>
      <c r="V582" s="79">
        <f>VLOOKUP(B582,'Player Data'!$A1:$AE667,10,FALSE)*$Q582*_xlfn.IFERROR(((VLOOKUP(P582,'Settings'!$E$28:$F$33,2,FALSE)/2)+1),1)</f>
        <v>83.9717178390337</v>
      </c>
      <c r="W582" s="79">
        <f>VLOOKUP(B582,'Player Data'!$A1:$AE667,11,FALSE)*$Q582*_xlfn.IFERROR((VLOOKUP(P582,'Settings'!$E$28:$F$33,2,FALSE)+1),1)</f>
        <v>0.107924512334943</v>
      </c>
      <c r="X582" s="79">
        <f>VLOOKUP(B582,'Player Data'!$A1:$AE667,12,FALSE)*$Q582*_xlfn.IFERROR((VLOOKUP(P582,'Settings'!$E$28:$F$33,2,FALSE)+1),1)</f>
        <v>0.250978327697695</v>
      </c>
      <c r="Y582" s="79">
        <f>VLOOKUP(B582,'Player Data'!$A1:$AE667,13,FALSE)*$Q582</f>
        <v>1.65448928289024</v>
      </c>
      <c r="Z582" s="79">
        <f>VLOOKUP(B582,'Player Data'!$A1:$AE667,14,FALSE)*$Q582</f>
        <v>1.85130585205123</v>
      </c>
      <c r="AA582" s="79">
        <f>VLOOKUP(B582,'Player Data'!$A1:$AE667,15,FALSE)*$Q582</f>
        <v>51.3490041254077</v>
      </c>
      <c r="AB582" s="79">
        <f>VLOOKUP(B582,'Player Data'!$A1:$AE667,16,FALSE)*$Q582</f>
        <v>73.29553450766799</v>
      </c>
      <c r="AC582" s="79">
        <f>VLOOKUP(B582,'Player Data'!$A1:$AE667,17,FALSE)*$Q582*_xlfn.IFERROR((VLOOKUP(P582,'Settings'!$E$28:$F$33,2,FALSE)+1),1)</f>
        <v>-7.09126742677249</v>
      </c>
      <c r="AD582" s="79">
        <f>VLOOKUP(B582,'Player Data'!$A1:$AE667,18,FALSE)*$Q582</f>
        <v>16.8640902737775</v>
      </c>
      <c r="AE582" s="79">
        <f>VLOOKUP(B582,'Player Data'!$A1:$AE667,19,FALSE)*$Q582*_xlfn.IFERROR((VLOOKUP(P582,'Settings'!$E$28:$F$33,2,FALSE)+1),1)</f>
        <v>1.10358038367659</v>
      </c>
      <c r="AF582" s="79">
        <f>VLOOKUP(B582,'Player Data'!$A1:$AE667,20,FALSE)*$Q582</f>
        <v>12.964105622740</v>
      </c>
      <c r="AG582" s="79">
        <f>VLOOKUP(B582,'Player Data'!$A1:$AE667,21,FALSE)*$Q582</f>
        <v>20.7586763745968</v>
      </c>
      <c r="AH582" s="81">
        <f>VLOOKUP(B582,'Player Data'!$A1:$AE667,22,FALSE)</f>
        <v>0.384431676596666</v>
      </c>
      <c r="AI582" s="77"/>
      <c r="AJ582" s="79"/>
      <c r="AK582" s="79"/>
      <c r="AL582" s="79"/>
      <c r="AM582" s="79"/>
      <c r="AN582" s="79"/>
      <c r="AO582" s="79"/>
      <c r="AP582" s="79"/>
      <c r="AQ582" s="82"/>
      <c r="AR582" s="83"/>
      <c r="AS582" s="84"/>
    </row>
    <row r="583" ht="21.25" customHeight="1">
      <c r="A583" s="85">
        <f>RANK(K583,K$1:K$665)</f>
        <v>602</v>
      </c>
      <c r="B583" t="s" s="16">
        <v>773</v>
      </c>
      <c r="C583" t="s" s="69">
        <v>127</v>
      </c>
      <c r="D583" t="s" s="70">
        <f>VLOOKUP(B583,'Player Data'!A1:D667,4,FALSE)</f>
        <v>128</v>
      </c>
      <c r="E583" s="71">
        <f>VLOOKUP(B583,'C'!A1:C206,3,FALSE)</f>
        <v>184</v>
      </c>
      <c r="F583" t="s" s="103">
        <f>VLOOKUP(B583,'Player Data'!A1:B667,2,FALSE)</f>
        <v>227</v>
      </c>
      <c r="G583" s="11">
        <f>VLOOKUP(B583,'Player Data'!A1:D667,3,FALSE)</f>
        <v>24</v>
      </c>
      <c r="H583" s="73">
        <f>_xlfn.IFERROR(VLOOKUP(B583,'ADP'!A1:G665,7,FALSE)/1000000,VLOOKUP(B583,'ADP'!A1:G665,7,FALSE))</f>
        <v>1.725</v>
      </c>
      <c r="I583" s="74">
        <f>IF('Settings'!$E$15="POINTS",((R583*Q583)*'Settings'!$B$12)+(S583*'Settings'!$B$2)+(T583*'Settings'!$B$3)+(U583*'Settings'!$B$4)+(V583*'Settings'!$B$5)+(X583*'Settings'!$B$9)+(AA583*'Settings'!$B$6)+(W583*'Settings'!$B$8)+(AB583*'Settings'!$B$7)+(AC583*'Settings'!$B$14)+(AD583*'Settings'!$B$15)+(AE583*'Settings'!$B$16)+(AF583*'Settings'!$B$17)+(AG583*'Settings'!$B$18)+(Y583*'Settings'!$B$10)+(Z583*'Settings'!$B$11),VLOOKUP(B583,'Standard Deviations'!A1:C666,3,FALSE))</f>
        <v>145.424865925261</v>
      </c>
      <c r="J583" s="75">
        <f>IF(D583="G",I583/AJ583,I583/Q583)</f>
        <v>2.07276034671125</v>
      </c>
      <c r="K583" s="74">
        <f>IF('Settings'!$E$18="C/LW/RW",VLOOKUP(B583,'C'!A1:F206,6,FALSE),VLOOKUP(B583,'F'!A1:F392,6,FALSE))</f>
        <v>-184.267028155917</v>
      </c>
      <c r="L583" s="76">
        <f>_xlfn.IFERROR(K583/H583,"N/A")</f>
        <v>-106.821465597633</v>
      </c>
      <c r="M583" s="109">
        <f>IF('Settings'!$E$9="YAHOO",VLOOKUP(B583,'ADP'!A1:E665,2,FALSE),IF('Settings'!$E$9="ESPN",VLOOKUP(B583,'ADP'!A1:E665,3,FALSE),IF('Settings'!$E$9="FANTRAX",VLOOKUP(B583,'ADP'!A1:E665,4,FALSE),VLOOKUP(B583,'ADP'!A1:E665,5,FALSE))))</f>
        <v>0</v>
      </c>
      <c r="N583" s="79">
        <f>_xlfn.IFERROR(M583-A583,"N/A")</f>
        <v>-602</v>
      </c>
      <c r="O583" s="77"/>
      <c r="P583" t="s" s="78">
        <f>IF('Settings'!$E$27="ON",VLOOKUP(B583,'ADP'!A1:H665,8,FALSE)," ")</f>
        <v>138</v>
      </c>
      <c r="Q583" s="79">
        <f>IF('Settings'!$E$12="YES",VLOOKUP(B583,'Player Data'!A1:E667,5,FALSE),82)</f>
        <v>70.16</v>
      </c>
      <c r="R583" s="77">
        <f>VLOOKUP(B583,'Player Data'!$A1:$AE667,6,FALSE)</f>
        <v>12.7434690642738</v>
      </c>
      <c r="S583" s="79">
        <f>VLOOKUP(B583,'Player Data'!$A1:$AE667,7,FALSE)*$Q583*_xlfn.IFERROR((VLOOKUP(P583,'Settings'!$E$28:$F$33,2,FALSE)+1),1)</f>
        <v>8.239705655647439</v>
      </c>
      <c r="T583" s="79">
        <f>VLOOKUP(B583,'Player Data'!$A1:$AE667,8,FALSE)*$Q583*_xlfn.IFERROR((VLOOKUP(P583,'Settings'!$E$28:$F$33,2,FALSE)+1),1)</f>
        <v>16.5123140159432</v>
      </c>
      <c r="U583" s="79">
        <f>SUM(S583:T583)</f>
        <v>24.7520196715906</v>
      </c>
      <c r="V583" s="79">
        <f>VLOOKUP(B583,'Player Data'!$A1:$AE667,10,FALSE)*$Q583*_xlfn.IFERROR(((VLOOKUP(P583,'Settings'!$E$28:$F$33,2,FALSE)/2)+1),1)</f>
        <v>111.337245925899</v>
      </c>
      <c r="W583" s="79">
        <f>VLOOKUP(B583,'Player Data'!$A1:$AE667,11,FALSE)*$Q583*_xlfn.IFERROR((VLOOKUP(P583,'Settings'!$E$28:$F$33,2,FALSE)+1),1)</f>
        <v>2.29968355918499</v>
      </c>
      <c r="X583" s="79">
        <f>VLOOKUP(B583,'Player Data'!$A1:$AE667,12,FALSE)*$Q583*_xlfn.IFERROR((VLOOKUP(P583,'Settings'!$E$28:$F$33,2,FALSE)+1),1)</f>
        <v>7.44019733465246</v>
      </c>
      <c r="Y583" s="79">
        <f>VLOOKUP(B583,'Player Data'!$A1:$AE667,13,FALSE)*$Q583</f>
        <v>0.0936423568708066</v>
      </c>
      <c r="Z583" s="79">
        <f>VLOOKUP(B583,'Player Data'!$A1:$AE667,14,FALSE)*$Q583</f>
        <v>0.156852836678998</v>
      </c>
      <c r="AA583" s="79">
        <f>VLOOKUP(B583,'Player Data'!$A1:$AE667,15,FALSE)*$Q583</f>
        <v>33.5906581671286</v>
      </c>
      <c r="AB583" s="79">
        <f>VLOOKUP(B583,'Player Data'!$A1:$AE667,16,FALSE)*$Q583</f>
        <v>46.3682648235549</v>
      </c>
      <c r="AC583" s="79">
        <f>VLOOKUP(B583,'Player Data'!$A1:$AE667,17,FALSE)*$Q583*_xlfn.IFERROR((VLOOKUP(P583,'Settings'!$E$28:$F$33,2,FALSE)+1),1)</f>
        <v>5.2495968145826</v>
      </c>
      <c r="AD583" s="79">
        <f>VLOOKUP(B583,'Player Data'!$A1:$AE667,18,FALSE)*$Q583</f>
        <v>29.3245359181531</v>
      </c>
      <c r="AE583" s="79">
        <f>VLOOKUP(B583,'Player Data'!$A1:$AE667,19,FALSE)*$Q583*_xlfn.IFERROR((VLOOKUP(P583,'Settings'!$E$28:$F$33,2,FALSE)+1),1)</f>
        <v>1.4278222243604</v>
      </c>
      <c r="AF583" s="79">
        <f>VLOOKUP(B583,'Player Data'!$A1:$AE667,20,FALSE)*$Q583</f>
        <v>341.113899294403</v>
      </c>
      <c r="AG583" s="79">
        <f>VLOOKUP(B583,'Player Data'!$A1:$AE667,21,FALSE)*$Q583</f>
        <v>278.245628774844</v>
      </c>
      <c r="AH583" s="81">
        <f>VLOOKUP(B583,'Player Data'!$A1:$AE667,22,FALSE)</f>
        <v>0.550752646621535</v>
      </c>
      <c r="AI583" s="77"/>
      <c r="AJ583" s="79"/>
      <c r="AK583" s="79"/>
      <c r="AL583" s="79"/>
      <c r="AM583" s="79"/>
      <c r="AN583" s="79"/>
      <c r="AO583" s="79"/>
      <c r="AP583" s="79"/>
      <c r="AQ583" s="82"/>
      <c r="AR583" s="83"/>
      <c r="AS583" s="84"/>
    </row>
    <row r="584" ht="21.25" customHeight="1">
      <c r="A584" s="85">
        <f>RANK(K584,K$1:K$665)</f>
        <v>586</v>
      </c>
      <c r="B584" t="s" s="16">
        <v>774</v>
      </c>
      <c r="C584" t="s" s="69">
        <v>127</v>
      </c>
      <c r="D584" t="s" s="70">
        <f>VLOOKUP(B584,'Player Data'!A1:D667,4,FALSE)</f>
        <v>178</v>
      </c>
      <c r="E584" s="102">
        <f>VLOOKUP(B584,'LW'!A1:C152,3,FALSE)</f>
        <v>132</v>
      </c>
      <c r="F584" t="s" s="86">
        <f>VLOOKUP(B584,'Player Data'!A1:B667,2,FALSE)</f>
        <v>149</v>
      </c>
      <c r="G584" s="11">
        <f>VLOOKUP(B584,'Player Data'!A1:D667,3,FALSE)</f>
        <v>27</v>
      </c>
      <c r="H584" s="73">
        <f>_xlfn.IFERROR(VLOOKUP(B584,'ADP'!A1:G665,7,FALSE)/1000000,VLOOKUP(B584,'ADP'!A1:G665,7,FALSE))</f>
        <v>0.85</v>
      </c>
      <c r="I584" s="74">
        <f>IF('Settings'!$E$15="POINTS",((R584*Q584)*'Settings'!$B$12)+(S584*'Settings'!$B$2)+(T584*'Settings'!$B$3)+(U584*'Settings'!$B$4)+(V584*'Settings'!$B$5)+(X584*'Settings'!$B$9)+(AA584*'Settings'!$B$6)+(W584*'Settings'!$B$8)+(AB584*'Settings'!$B$7)+(AC584*'Settings'!$B$14)+(AD584*'Settings'!$B$15)+(AE584*'Settings'!$B$16)+(AF584*'Settings'!$B$17)+(AG584*'Settings'!$B$18)+(Y584*'Settings'!$B$10)+(Z584*'Settings'!$B$11),VLOOKUP(B584,'Standard Deviations'!A1:C666,3,FALSE))</f>
        <v>149.955677453038</v>
      </c>
      <c r="J584" s="75">
        <f>IF(D584="G",I584/AJ584,I584/Q584)</f>
        <v>2.05531356158221</v>
      </c>
      <c r="K584" s="74">
        <f>IF('Settings'!$E$18="C/LW/RW",VLOOKUP(B584,'LW'!A1:F152,6,FALSE),VLOOKUP(B584,'F'!A1:F392,6,FALSE))</f>
        <v>-181.764434313174</v>
      </c>
      <c r="L584" s="76">
        <f>_xlfn.IFERROR(K584/H584,"N/A")</f>
        <v>-213.840510956675</v>
      </c>
      <c r="M584" s="109">
        <f>IF('Settings'!$E$9="YAHOO",VLOOKUP(B584,'ADP'!A1:E665,2,FALSE),IF('Settings'!$E$9="ESPN",VLOOKUP(B584,'ADP'!A1:E665,3,FALSE),IF('Settings'!$E$9="FANTRAX",VLOOKUP(B584,'ADP'!A1:E665,4,FALSE),VLOOKUP(B584,'ADP'!A1:E665,5,FALSE))))</f>
        <v>0</v>
      </c>
      <c r="N584" s="79">
        <f>_xlfn.IFERROR(M584-A584,"N/A")</f>
        <v>-586</v>
      </c>
      <c r="O584" s="77"/>
      <c r="P584" t="s" s="78">
        <f>IF('Settings'!$E$27="ON",VLOOKUP(B584,'ADP'!A1:H665,8,FALSE)," ")</f>
        <v>138</v>
      </c>
      <c r="Q584" s="79">
        <f>IF('Settings'!$E$12="YES",VLOOKUP(B584,'Player Data'!A1:E667,5,FALSE),82)</f>
        <v>72.95999999999999</v>
      </c>
      <c r="R584" s="77">
        <f>VLOOKUP(B584,'Player Data'!$A1:$AE667,6,FALSE)</f>
        <v>9.753264417895471</v>
      </c>
      <c r="S584" s="79">
        <f>VLOOKUP(B584,'Player Data'!$A1:$AE667,7,FALSE)*$Q584*_xlfn.IFERROR((VLOOKUP(P584,'Settings'!$E$28:$F$33,2,FALSE)+1),1)</f>
        <v>6.09299596292802</v>
      </c>
      <c r="T584" s="79">
        <f>VLOOKUP(B584,'Player Data'!$A1:$AE667,8,FALSE)*$Q584*_xlfn.IFERROR((VLOOKUP(P584,'Settings'!$E$28:$F$33,2,FALSE)+1),1)</f>
        <v>7.90998470159591</v>
      </c>
      <c r="U584" s="79">
        <f>SUM(S584:T584)</f>
        <v>14.0029806645239</v>
      </c>
      <c r="V584" s="79">
        <f>VLOOKUP(B584,'Player Data'!$A1:$AE667,10,FALSE)*$Q584*_xlfn.IFERROR(((VLOOKUP(P584,'Settings'!$E$28:$F$33,2,FALSE)/2)+1),1)</f>
        <v>78.97104650858959</v>
      </c>
      <c r="W584" s="79">
        <f>VLOOKUP(B584,'Player Data'!$A1:$AE667,11,FALSE)*$Q584*_xlfn.IFERROR((VLOOKUP(P584,'Settings'!$E$28:$F$33,2,FALSE)+1),1)</f>
        <v>0.10259679164008</v>
      </c>
      <c r="X584" s="79">
        <f>VLOOKUP(B584,'Player Data'!$A1:$AE667,12,FALSE)*$Q584*_xlfn.IFERROR((VLOOKUP(P584,'Settings'!$E$28:$F$33,2,FALSE)+1),1)</f>
        <v>0.179533180111476</v>
      </c>
      <c r="Y584" s="79">
        <f>VLOOKUP(B584,'Player Data'!$A1:$AE667,13,FALSE)*$Q584</f>
        <v>0.083982578580701</v>
      </c>
      <c r="Z584" s="79">
        <f>VLOOKUP(B584,'Player Data'!$A1:$AE667,14,FALSE)*$Q584</f>
        <v>0.143666022731391</v>
      </c>
      <c r="AA584" s="79">
        <f>VLOOKUP(B584,'Player Data'!$A1:$AE667,15,FALSE)*$Q584</f>
        <v>32.1386827749937</v>
      </c>
      <c r="AB584" s="79">
        <f>VLOOKUP(B584,'Player Data'!$A1:$AE667,16,FALSE)*$Q584</f>
        <v>128.089092297815</v>
      </c>
      <c r="AC584" s="79">
        <f>VLOOKUP(B584,'Player Data'!$A1:$AE667,17,FALSE)*$Q584*_xlfn.IFERROR((VLOOKUP(P584,'Settings'!$E$28:$F$33,2,FALSE)+1),1)</f>
        <v>-3.03314965696879</v>
      </c>
      <c r="AD584" s="79">
        <f>VLOOKUP(B584,'Player Data'!$A1:$AE667,18,FALSE)*$Q584</f>
        <v>43.5545255040667</v>
      </c>
      <c r="AE584" s="79">
        <f>VLOOKUP(B584,'Player Data'!$A1:$AE667,19,FALSE)*$Q584*_xlfn.IFERROR((VLOOKUP(P584,'Settings'!$E$28:$F$33,2,FALSE)+1),1)</f>
        <v>1.03801333647284</v>
      </c>
      <c r="AF584" s="79">
        <f>VLOOKUP(B584,'Player Data'!$A1:$AE667,20,FALSE)*$Q584</f>
        <v>5.88211063162222</v>
      </c>
      <c r="AG584" s="79">
        <f>VLOOKUP(B584,'Player Data'!$A1:$AE667,21,FALSE)*$Q584</f>
        <v>4.22775806940297</v>
      </c>
      <c r="AH584" s="81">
        <f>VLOOKUP(B584,'Player Data'!$A1:$AE667,22,FALSE)</f>
        <v>0.581818696718163</v>
      </c>
      <c r="AI584" s="77"/>
      <c r="AJ584" s="79"/>
      <c r="AK584" s="79"/>
      <c r="AL584" s="79"/>
      <c r="AM584" s="79"/>
      <c r="AN584" s="79"/>
      <c r="AO584" s="79"/>
      <c r="AP584" s="79"/>
      <c r="AQ584" s="82"/>
      <c r="AR584" s="83"/>
      <c r="AS584" s="84"/>
    </row>
    <row r="585" ht="21.25" customHeight="1">
      <c r="A585" s="85">
        <f>RANK(K585,K$1:K$665)</f>
        <v>605</v>
      </c>
      <c r="B585" t="s" s="16">
        <v>775</v>
      </c>
      <c r="C585" t="s" s="69">
        <v>127</v>
      </c>
      <c r="D585" t="s" s="70">
        <f>VLOOKUP(B585,'Player Data'!A1:D667,4,FALSE)</f>
        <v>128</v>
      </c>
      <c r="E585" s="71">
        <f>VLOOKUP(B585,'C'!A1:C206,3,FALSE)</f>
        <v>185</v>
      </c>
      <c r="F585" t="s" s="103">
        <f>VLOOKUP(B585,'Player Data'!A1:B667,2,FALSE)</f>
        <v>182</v>
      </c>
      <c r="G585" s="91">
        <f>VLOOKUP(B585,'Player Data'!A1:D667,3,FALSE)</f>
        <v>31</v>
      </c>
      <c r="H585" s="73">
        <f>_xlfn.IFERROR(VLOOKUP(B585,'ADP'!A1:G665,7,FALSE)/1000000,VLOOKUP(B585,'ADP'!A1:G665,7,FALSE))</f>
        <v>2.1</v>
      </c>
      <c r="I585" s="74">
        <f>IF('Settings'!$E$15="POINTS",((R585*Q585)*'Settings'!$B$12)+(S585*'Settings'!$B$2)+(T585*'Settings'!$B$3)+(U585*'Settings'!$B$4)+(V585*'Settings'!$B$5)+(X585*'Settings'!$B$9)+(AA585*'Settings'!$B$6)+(W585*'Settings'!$B$8)+(AB585*'Settings'!$B$7)+(AC585*'Settings'!$B$14)+(AD585*'Settings'!$B$15)+(AE585*'Settings'!$B$16)+(AF585*'Settings'!$B$17)+(AG585*'Settings'!$B$18)+(Y585*'Settings'!$B$10)+(Z585*'Settings'!$B$11),VLOOKUP(B585,'Standard Deviations'!A1:C666,3,FALSE))</f>
        <v>144.645233925207</v>
      </c>
      <c r="J585" s="75">
        <f>IF(D585="G",I585/AJ585,I585/Q585)</f>
        <v>1.83635679595273</v>
      </c>
      <c r="K585" s="74">
        <f>IF('Settings'!$E$18="C/LW/RW",VLOOKUP(B585,'C'!A1:F206,6,FALSE),VLOOKUP(B585,'F'!A1:F392,6,FALSE))</f>
        <v>-185.046660155971</v>
      </c>
      <c r="L585" s="76">
        <f>_xlfn.IFERROR(K585/H585,"N/A")</f>
        <v>-88.117457217129</v>
      </c>
      <c r="M585" s="109">
        <f>IF('Settings'!$E$9="YAHOO",VLOOKUP(B585,'ADP'!A1:E665,2,FALSE),IF('Settings'!$E$9="ESPN",VLOOKUP(B585,'ADP'!A1:E665,3,FALSE),IF('Settings'!$E$9="FANTRAX",VLOOKUP(B585,'ADP'!A1:E665,4,FALSE),VLOOKUP(B585,'ADP'!A1:E665,5,FALSE))))</f>
        <v>0</v>
      </c>
      <c r="N585" s="79">
        <f>_xlfn.IFERROR(M585-A585,"N/A")</f>
        <v>-605</v>
      </c>
      <c r="O585" s="77"/>
      <c r="P585" t="s" s="78">
        <f>IF('Settings'!$E$27="ON",VLOOKUP(B585,'ADP'!A1:H665,8,FALSE)," ")</f>
        <v>138</v>
      </c>
      <c r="Q585" s="79">
        <f>IF('Settings'!$E$12="YES",VLOOKUP(B585,'Player Data'!A1:E667,5,FALSE),82)</f>
        <v>78.7675</v>
      </c>
      <c r="R585" s="77">
        <f>VLOOKUP(B585,'Player Data'!$A1:$AE667,6,FALSE)</f>
        <v>13.1364855816861</v>
      </c>
      <c r="S585" s="79">
        <f>VLOOKUP(B585,'Player Data'!$A1:$AE667,7,FALSE)*$Q585*_xlfn.IFERROR((VLOOKUP(P585,'Settings'!$E$28:$F$33,2,FALSE)+1),1)</f>
        <v>8.253516367141129</v>
      </c>
      <c r="T585" s="79">
        <f>VLOOKUP(B585,'Player Data'!$A1:$AE667,8,FALSE)*$Q585*_xlfn.IFERROR((VLOOKUP(P585,'Settings'!$E$28:$F$33,2,FALSE)+1),1)</f>
        <v>12.8385233503238</v>
      </c>
      <c r="U585" s="79">
        <f>SUM(S585:T585)</f>
        <v>21.0920397174649</v>
      </c>
      <c r="V585" s="79">
        <f>VLOOKUP(B585,'Player Data'!$A1:$AE667,10,FALSE)*$Q585*_xlfn.IFERROR(((VLOOKUP(P585,'Settings'!$E$28:$F$33,2,FALSE)/2)+1),1)</f>
        <v>107.001447315014</v>
      </c>
      <c r="W585" s="79">
        <f>VLOOKUP(B585,'Player Data'!$A1:$AE667,11,FALSE)*$Q585*_xlfn.IFERROR((VLOOKUP(P585,'Settings'!$E$28:$F$33,2,FALSE)+1),1)</f>
        <v>0.824440142779977</v>
      </c>
      <c r="X585" s="79">
        <f>VLOOKUP(B585,'Player Data'!$A1:$AE667,12,FALSE)*$Q585*_xlfn.IFERROR((VLOOKUP(P585,'Settings'!$E$28:$F$33,2,FALSE)+1),1)</f>
        <v>2.12936411275941</v>
      </c>
      <c r="Y585" s="79">
        <f>VLOOKUP(B585,'Player Data'!$A1:$AE667,13,FALSE)*$Q585</f>
        <v>0.529332584357146</v>
      </c>
      <c r="Z585" s="79">
        <f>VLOOKUP(B585,'Player Data'!$A1:$AE667,14,FALSE)*$Q585</f>
        <v>1.13063394072632</v>
      </c>
      <c r="AA585" s="79">
        <f>VLOOKUP(B585,'Player Data'!$A1:$AE667,15,FALSE)*$Q585</f>
        <v>48.5041005316894</v>
      </c>
      <c r="AB585" s="79">
        <f>VLOOKUP(B585,'Player Data'!$A1:$AE667,16,FALSE)*$Q585</f>
        <v>46.6609349771263</v>
      </c>
      <c r="AC585" s="79">
        <f>VLOOKUP(B585,'Player Data'!$A1:$AE667,17,FALSE)*$Q585*_xlfn.IFERROR((VLOOKUP(P585,'Settings'!$E$28:$F$33,2,FALSE)+1),1)</f>
        <v>-1.55514850970023</v>
      </c>
      <c r="AD585" s="79">
        <f>VLOOKUP(B585,'Player Data'!$A1:$AE667,18,FALSE)*$Q585</f>
        <v>13.2192460368654</v>
      </c>
      <c r="AE585" s="79">
        <f>VLOOKUP(B585,'Player Data'!$A1:$AE667,19,FALSE)*$Q585*_xlfn.IFERROR((VLOOKUP(P585,'Settings'!$E$28:$F$33,2,FALSE)+1),1)</f>
        <v>1.36248327695416</v>
      </c>
      <c r="AF585" s="79">
        <f>VLOOKUP(B585,'Player Data'!$A1:$AE667,20,FALSE)*$Q585</f>
        <v>332.929698384498</v>
      </c>
      <c r="AG585" s="79">
        <f>VLOOKUP(B585,'Player Data'!$A1:$AE667,21,FALSE)*$Q585</f>
        <v>337.268501884095</v>
      </c>
      <c r="AH585" s="81">
        <f>VLOOKUP(B585,'Player Data'!$A1:$AE667,22,FALSE)</f>
        <v>0.496763044500972</v>
      </c>
      <c r="AI585" s="77"/>
      <c r="AJ585" s="79"/>
      <c r="AK585" s="79"/>
      <c r="AL585" s="79"/>
      <c r="AM585" s="79"/>
      <c r="AN585" s="79"/>
      <c r="AO585" s="79"/>
      <c r="AP585" s="79"/>
      <c r="AQ585" s="82"/>
      <c r="AR585" s="83"/>
      <c r="AS585" s="84"/>
    </row>
    <row r="586" ht="21.25" customHeight="1">
      <c r="A586" s="85">
        <f>RANK(K586,K$1:K$665)</f>
        <v>581</v>
      </c>
      <c r="B586" t="s" s="16">
        <v>776</v>
      </c>
      <c r="C586" t="s" s="69">
        <v>127</v>
      </c>
      <c r="D586" t="s" s="70">
        <f>VLOOKUP(B586,'Player Data'!A1:D667,4,FALSE)</f>
        <v>140</v>
      </c>
      <c r="E586" s="90">
        <f>VLOOKUP(B586,'RW'!A1:F136,3,FALSE)</f>
        <v>117</v>
      </c>
      <c r="F586" t="s" s="106">
        <f>VLOOKUP(B586,'Player Data'!A1:B667,2,FALSE)</f>
        <v>242</v>
      </c>
      <c r="G586" s="96">
        <f>VLOOKUP(B586,'Player Data'!A1:D667,3,FALSE)</f>
        <v>23</v>
      </c>
      <c r="H586" s="73">
        <f>_xlfn.IFERROR(VLOOKUP(B586,'ADP'!A1:G665,7,FALSE)/1000000,VLOOKUP(B586,'ADP'!A1:G665,7,FALSE))</f>
        <v>1.5</v>
      </c>
      <c r="I586" s="74">
        <f>IF('Settings'!$E$15="POINTS",((R586*Q586)*'Settings'!$B$12)+(S586*'Settings'!$B$2)+(T586*'Settings'!$B$3)+(U586*'Settings'!$B$4)+(V586*'Settings'!$B$5)+(X586*'Settings'!$B$9)+(AA586*'Settings'!$B$6)+(W586*'Settings'!$B$8)+(AB586*'Settings'!$B$7)+(AC586*'Settings'!$B$14)+(AD586*'Settings'!$B$15)+(AE586*'Settings'!$B$16)+(AF586*'Settings'!$B$17)+(AG586*'Settings'!$B$18)+(Y586*'Settings'!$B$10)+(Z586*'Settings'!$B$11),VLOOKUP(B586,'Standard Deviations'!A1:C666,3,FALSE))</f>
        <v>149.647400240377</v>
      </c>
      <c r="J586" s="75">
        <f>IF(D586="G",I586/AJ586,I586/Q586)</f>
        <v>2.31589585236781</v>
      </c>
      <c r="K586" s="74">
        <f>IF('Settings'!$E$18="C/LW/RW",VLOOKUP(B586,'RW'!A1:F136,6,FALSE),VLOOKUP(B586,'F'!A1:F392,6,FALSE))</f>
        <v>-180.044493840801</v>
      </c>
      <c r="L586" s="76">
        <f>_xlfn.IFERROR(K586/H586,"N/A")</f>
        <v>-120.029662560534</v>
      </c>
      <c r="M586" s="109">
        <f>IF('Settings'!$E$9="YAHOO",VLOOKUP(B586,'ADP'!A1:E665,2,FALSE),IF('Settings'!$E$9="ESPN",VLOOKUP(B586,'ADP'!A1:E665,3,FALSE),IF('Settings'!$E$9="FANTRAX",VLOOKUP(B586,'ADP'!A1:E665,4,FALSE),VLOOKUP(B586,'ADP'!A1:E665,5,FALSE))))</f>
        <v>0</v>
      </c>
      <c r="N586" s="79">
        <f>_xlfn.IFERROR(M586-A586,"N/A")</f>
        <v>-581</v>
      </c>
      <c r="O586" s="77"/>
      <c r="P586" t="s" s="78">
        <f>IF('Settings'!$E$27="ON",VLOOKUP(B586,'ADP'!A1:H665,8,FALSE)," ")</f>
        <v>138</v>
      </c>
      <c r="Q586" s="79">
        <f>IF('Settings'!$E$12="YES",VLOOKUP(B586,'Player Data'!A1:E667,5,FALSE),82)</f>
        <v>64.61750000000001</v>
      </c>
      <c r="R586" s="77">
        <f>VLOOKUP(B586,'Player Data'!$A1:$AE667,6,FALSE)</f>
        <v>14.024352068116</v>
      </c>
      <c r="S586" s="79">
        <f>VLOOKUP(B586,'Player Data'!$A1:$AE667,7,FALSE)*$Q586*_xlfn.IFERROR((VLOOKUP(P586,'Settings'!$E$28:$F$33,2,FALSE)+1),1)</f>
        <v>12.9157471030816</v>
      </c>
      <c r="T586" s="79">
        <f>VLOOKUP(B586,'Player Data'!$A1:$AE667,8,FALSE)*$Q586*_xlfn.IFERROR((VLOOKUP(P586,'Settings'!$E$28:$F$33,2,FALSE)+1),1)</f>
        <v>16.5035473738978</v>
      </c>
      <c r="U586" s="79">
        <f>SUM(S586:T586)</f>
        <v>29.4192944769794</v>
      </c>
      <c r="V586" s="79">
        <f>VLOOKUP(B586,'Player Data'!$A1:$AE667,10,FALSE)*$Q586*_xlfn.IFERROR(((VLOOKUP(P586,'Settings'!$E$28:$F$33,2,FALSE)/2)+1),1)</f>
        <v>96.6507911427677</v>
      </c>
      <c r="W586" s="79">
        <f>VLOOKUP(B586,'Player Data'!$A1:$AE667,11,FALSE)*$Q586*_xlfn.IFERROR((VLOOKUP(P586,'Settings'!$E$28:$F$33,2,FALSE)+1),1)</f>
        <v>2.12132001451789</v>
      </c>
      <c r="X586" s="79">
        <f>VLOOKUP(B586,'Player Data'!$A1:$AE667,12,FALSE)*$Q586*_xlfn.IFERROR((VLOOKUP(P586,'Settings'!$E$28:$F$33,2,FALSE)+1),1)</f>
        <v>4.33637256473924</v>
      </c>
      <c r="Y586" s="79">
        <f>VLOOKUP(B586,'Player Data'!$A1:$AE667,13,FALSE)*$Q586</f>
        <v>0.00446983311921518</v>
      </c>
      <c r="Z586" s="79">
        <f>VLOOKUP(B586,'Player Data'!$A1:$AE667,14,FALSE)*$Q586</f>
        <v>0.00753827691463428</v>
      </c>
      <c r="AA586" s="79">
        <f>VLOOKUP(B586,'Player Data'!$A1:$AE667,15,FALSE)*$Q586</f>
        <v>28.2347087356182</v>
      </c>
      <c r="AB586" s="79">
        <f>VLOOKUP(B586,'Player Data'!$A1:$AE667,16,FALSE)*$Q586</f>
        <v>49.6643259548475</v>
      </c>
      <c r="AC586" s="79">
        <f>VLOOKUP(B586,'Player Data'!$A1:$AE667,17,FALSE)*$Q586*_xlfn.IFERROR((VLOOKUP(P586,'Settings'!$E$28:$F$33,2,FALSE)+1),1)</f>
        <v>-1.78392331152049</v>
      </c>
      <c r="AD586" s="79">
        <f>VLOOKUP(B586,'Player Data'!$A1:$AE667,18,FALSE)*$Q586</f>
        <v>16.3632026806695</v>
      </c>
      <c r="AE586" s="79">
        <f>VLOOKUP(B586,'Player Data'!$A1:$AE667,19,FALSE)*$Q586*_xlfn.IFERROR((VLOOKUP(P586,'Settings'!$E$28:$F$33,2,FALSE)+1),1)</f>
        <v>1.87213143351455</v>
      </c>
      <c r="AF586" s="79">
        <f>VLOOKUP(B586,'Player Data'!$A1:$AE667,20,FALSE)*$Q586</f>
        <v>5.11614200858188</v>
      </c>
      <c r="AG586" s="79">
        <f>VLOOKUP(B586,'Player Data'!$A1:$AE667,21,FALSE)*$Q586</f>
        <v>3.55616793263793</v>
      </c>
      <c r="AH586" s="81">
        <f>VLOOKUP(B586,'Player Data'!$A1:$AE667,22,FALSE)</f>
        <v>0.589939940253365</v>
      </c>
      <c r="AI586" s="77"/>
      <c r="AJ586" s="79"/>
      <c r="AK586" s="79"/>
      <c r="AL586" s="79"/>
      <c r="AM586" s="79"/>
      <c r="AN586" s="79"/>
      <c r="AO586" s="79"/>
      <c r="AP586" s="79"/>
      <c r="AQ586" s="82"/>
      <c r="AR586" s="83"/>
      <c r="AS586" s="84"/>
    </row>
    <row r="587" ht="21.25" customHeight="1">
      <c r="A587" s="85">
        <f>RANK(K587,K$1:K$665)</f>
        <v>589</v>
      </c>
      <c r="B587" t="s" s="16">
        <v>777</v>
      </c>
      <c r="C587" t="s" s="69">
        <v>127</v>
      </c>
      <c r="D587" t="s" s="70">
        <f>VLOOKUP(B587,'Player Data'!A1:D667,4,FALSE)</f>
        <v>178</v>
      </c>
      <c r="E587" s="102">
        <f>VLOOKUP(B587,'LW'!A1:C152,3,FALSE)</f>
        <v>133</v>
      </c>
      <c r="F587" t="s" s="78">
        <f>VLOOKUP(B587,'Player Data'!A1:B667,2,FALSE)</f>
        <v>194</v>
      </c>
      <c r="G587" s="91">
        <f>VLOOKUP(B587,'Player Data'!A1:D667,3,FALSE)</f>
        <v>33</v>
      </c>
      <c r="H587" s="94">
        <f>_xlfn.IFERROR(VLOOKUP(B587,'ADP'!A1:G665,7,FALSE)/1000000,VLOOKUP(B587,'ADP'!A1:G665,7,FALSE))</f>
        <v>1.8</v>
      </c>
      <c r="I587" s="74">
        <f>IF('Settings'!$E$15="POINTS",((R587*Q587)*'Settings'!$B$12)+(S587*'Settings'!$B$2)+(T587*'Settings'!$B$3)+(U587*'Settings'!$B$4)+(V587*'Settings'!$B$5)+(X587*'Settings'!$B$9)+(AA587*'Settings'!$B$6)+(W587*'Settings'!$B$8)+(AB587*'Settings'!$B$7)+(AC587*'Settings'!$B$14)+(AD587*'Settings'!$B$15)+(AE587*'Settings'!$B$16)+(AF587*'Settings'!$B$17)+(AG587*'Settings'!$B$18)+(Y587*'Settings'!$B$10)+(Z587*'Settings'!$B$11),VLOOKUP(B587,'Standard Deviations'!A1:C666,3,FALSE))</f>
        <v>149.582717430447</v>
      </c>
      <c r="J587" s="75">
        <f>IF(D587="G",I587/AJ587,I587/Q587)</f>
        <v>1.88628899660084</v>
      </c>
      <c r="K587" s="74">
        <f>IF('Settings'!$E$18="C/LW/RW",VLOOKUP(B587,'LW'!A1:F152,6,FALSE),VLOOKUP(B587,'F'!A1:F392,6,FALSE))</f>
        <v>-182.137394335765</v>
      </c>
      <c r="L587" s="76">
        <f>_xlfn.IFERROR(K587/H587,"N/A")</f>
        <v>-101.187441297647</v>
      </c>
      <c r="M587" s="109">
        <f>IF('Settings'!$E$9="YAHOO",VLOOKUP(B587,'ADP'!A1:E665,2,FALSE),IF('Settings'!$E$9="ESPN",VLOOKUP(B587,'ADP'!A1:E665,3,FALSE),IF('Settings'!$E$9="FANTRAX",VLOOKUP(B587,'ADP'!A1:E665,4,FALSE),VLOOKUP(B587,'ADP'!A1:E665,5,FALSE))))</f>
        <v>0</v>
      </c>
      <c r="N587" s="79">
        <f>_xlfn.IFERROR(M587-A587,"N/A")</f>
        <v>-589</v>
      </c>
      <c r="O587" s="77"/>
      <c r="P587" t="s" s="78">
        <f>IF('Settings'!$E$27="ON",VLOOKUP(B587,'ADP'!A1:H665,8,FALSE)," ")</f>
        <v>138</v>
      </c>
      <c r="Q587" s="79">
        <f>IF('Settings'!$E$12="YES",VLOOKUP(B587,'Player Data'!A1:E667,5,FALSE),82)</f>
        <v>79.3</v>
      </c>
      <c r="R587" s="77">
        <f>VLOOKUP(B587,'Player Data'!$A1:$AE667,6,FALSE)</f>
        <v>12.7176632003837</v>
      </c>
      <c r="S587" s="79">
        <f>VLOOKUP(B587,'Player Data'!$A1:$AE667,7,FALSE)*$Q587*_xlfn.IFERROR((VLOOKUP(P587,'Settings'!$E$28:$F$33,2,FALSE)+1),1)</f>
        <v>11.453630212599</v>
      </c>
      <c r="T587" s="79">
        <f>VLOOKUP(B587,'Player Data'!$A1:$AE667,8,FALSE)*$Q587*_xlfn.IFERROR((VLOOKUP(P587,'Settings'!$E$28:$F$33,2,FALSE)+1),1)</f>
        <v>16.4322003361122</v>
      </c>
      <c r="U587" s="79">
        <f>SUM(S587:T587)</f>
        <v>27.8858305487112</v>
      </c>
      <c r="V587" s="79">
        <f>VLOOKUP(B587,'Player Data'!$A1:$AE667,10,FALSE)*$Q587*_xlfn.IFERROR(((VLOOKUP(P587,'Settings'!$E$28:$F$33,2,FALSE)/2)+1),1)</f>
        <v>96.9493283005428</v>
      </c>
      <c r="W587" s="79">
        <f>VLOOKUP(B587,'Player Data'!$A1:$AE667,11,FALSE)*$Q587*_xlfn.IFERROR((VLOOKUP(P587,'Settings'!$E$28:$F$33,2,FALSE)+1),1)</f>
        <v>0.187841241408602</v>
      </c>
      <c r="X587" s="79">
        <f>VLOOKUP(B587,'Player Data'!$A1:$AE667,12,FALSE)*$Q587*_xlfn.IFERROR((VLOOKUP(P587,'Settings'!$E$28:$F$33,2,FALSE)+1),1)</f>
        <v>0.606327018873301</v>
      </c>
      <c r="Y587" s="79">
        <f>VLOOKUP(B587,'Player Data'!$A1:$AE667,13,FALSE)*$Q587</f>
        <v>0.0841249036585144</v>
      </c>
      <c r="Z587" s="79">
        <f>VLOOKUP(B587,'Player Data'!$A1:$AE667,14,FALSE)*$Q587</f>
        <v>0.145298922547433</v>
      </c>
      <c r="AA587" s="79">
        <f>VLOOKUP(B587,'Player Data'!$A1:$AE667,15,FALSE)*$Q587</f>
        <v>29.2917460087769</v>
      </c>
      <c r="AB587" s="79">
        <f>VLOOKUP(B587,'Player Data'!$A1:$AE667,16,FALSE)*$Q587</f>
        <v>58.7497671498732</v>
      </c>
      <c r="AC587" s="79">
        <f>VLOOKUP(B587,'Player Data'!$A1:$AE667,17,FALSE)*$Q587*_xlfn.IFERROR((VLOOKUP(P587,'Settings'!$E$28:$F$33,2,FALSE)+1),1)</f>
        <v>0.885924061202311</v>
      </c>
      <c r="AD587" s="79">
        <f>VLOOKUP(B587,'Player Data'!$A1:$AE667,18,FALSE)*$Q587</f>
        <v>23.5909780331515</v>
      </c>
      <c r="AE587" s="79">
        <f>VLOOKUP(B587,'Player Data'!$A1:$AE667,19,FALSE)*$Q587*_xlfn.IFERROR((VLOOKUP(P587,'Settings'!$E$28:$F$33,2,FALSE)+1),1)</f>
        <v>1.72808158938952</v>
      </c>
      <c r="AF587" s="79">
        <f>VLOOKUP(B587,'Player Data'!$A1:$AE667,20,FALSE)*$Q587</f>
        <v>9.934279614599321</v>
      </c>
      <c r="AG587" s="79">
        <f>VLOOKUP(B587,'Player Data'!$A1:$AE667,21,FALSE)*$Q587</f>
        <v>19.1181596996026</v>
      </c>
      <c r="AH587" s="81">
        <f>VLOOKUP(B587,'Player Data'!$A1:$AE667,22,FALSE)</f>
        <v>0.341943046749369</v>
      </c>
      <c r="AI587" s="77"/>
      <c r="AJ587" s="79"/>
      <c r="AK587" s="79"/>
      <c r="AL587" s="79"/>
      <c r="AM587" s="79"/>
      <c r="AN587" s="79"/>
      <c r="AO587" s="79"/>
      <c r="AP587" s="79"/>
      <c r="AQ587" s="82"/>
      <c r="AR587" s="83"/>
      <c r="AS587" s="84"/>
    </row>
    <row r="588" ht="21.25" customHeight="1">
      <c r="A588" s="85">
        <f>RANK(K588,K$1:K$665)</f>
        <v>568</v>
      </c>
      <c r="B588" t="s" s="16">
        <v>778</v>
      </c>
      <c r="C588" t="s" s="69">
        <v>127</v>
      </c>
      <c r="D588" t="s" s="70">
        <f>VLOOKUP(B588,'Player Data'!A1:D667,4,FALSE)</f>
        <v>153</v>
      </c>
      <c r="E588" s="95">
        <f>VLOOKUP(B588,'D'!A1:C213,3,FALSE)</f>
        <v>185</v>
      </c>
      <c r="F588" t="s" s="86">
        <f>VLOOKUP(B588,'Player Data'!A1:B667,2,FALSE)</f>
        <v>156</v>
      </c>
      <c r="G588" s="91">
        <f>VLOOKUP(B588,'Player Data'!A1:D667,3,FALSE)</f>
        <v>32</v>
      </c>
      <c r="H588" s="73">
        <f>_xlfn.IFERROR(VLOOKUP(B588,'ADP'!A1:G665,7,FALSE)/1000000,VLOOKUP(B588,'ADP'!A1:G665,7,FALSE))</f>
        <v>3.4</v>
      </c>
      <c r="I588" s="74">
        <f>IF('Settings'!$E$15="POINTS",((R588*Q588)*'Settings'!$B$12)+(S588*'Settings'!$B$2)+(T588*'Settings'!$B$3)+(U588*'Settings'!$B$4)+(V588*'Settings'!$B$5)+(X588*'Settings'!$B$9)+(AA588*'Settings'!$B$6)+(W588*'Settings'!$B$8)+(AB588*'Settings'!$B$7)+(AC588*'Settings'!$B$14)+(AD588*'Settings'!$B$15)+(AE588*'Settings'!$B$16)+(AF588*'Settings'!$B$17)+(AG588*'Settings'!$B$18)+(U588*'Settings'!$B$13)+(Y588*'Settings'!$B$10)+(Z588*'Settings'!$B$11),VLOOKUP(B588,'Standard Deviations'!A1:C666,3,FALSE))</f>
        <v>155.917407110340</v>
      </c>
      <c r="J588" s="75">
        <f>IF(D588="G",I588/AJ588,I588/Q588)</f>
        <v>2.14629234097791</v>
      </c>
      <c r="K588" s="74">
        <f>VLOOKUP(B588,'D'!A1:F213,6,FALSE)</f>
        <v>-175.622800809742</v>
      </c>
      <c r="L588" s="76">
        <f>_xlfn.IFERROR(K588/H588,"N/A")</f>
        <v>-51.6537649440418</v>
      </c>
      <c r="M588" s="109">
        <f>IF('Settings'!$E$9="YAHOO",VLOOKUP(B588,'ADP'!A1:E665,2,FALSE),IF('Settings'!$E$9="ESPN",VLOOKUP(B588,'ADP'!A1:E665,3,FALSE),IF('Settings'!$E$9="FANTRAX",VLOOKUP(B588,'ADP'!A1:E665,4,FALSE),VLOOKUP(B588,'ADP'!A1:E665,5,FALSE))))</f>
        <v>0</v>
      </c>
      <c r="N588" s="79">
        <f>_xlfn.IFERROR(M588-A588,"N/A")</f>
        <v>-568</v>
      </c>
      <c r="O588" s="77"/>
      <c r="P588" t="s" s="78">
        <f>IF('Settings'!$E$27="ON",VLOOKUP(B588,'ADP'!A1:H665,8,FALSE)," ")</f>
        <v>138</v>
      </c>
      <c r="Q588" s="79">
        <f>IF('Settings'!$E$12="YES",VLOOKUP(B588,'Player Data'!A1:E667,5,FALSE),82)</f>
        <v>72.645</v>
      </c>
      <c r="R588" s="77">
        <f>VLOOKUP(B588,'Player Data'!$A1:$AE667,6,FALSE)</f>
        <v>14.9923083178829</v>
      </c>
      <c r="S588" s="79">
        <f>VLOOKUP(B588,'Player Data'!$A1:$AE667,7,FALSE)*$Q588*_xlfn.IFERROR((VLOOKUP(P588,'Settings'!$E$28:$F$33,2,FALSE)+1),1)</f>
        <v>1.40653801922033</v>
      </c>
      <c r="T588" s="79">
        <f>VLOOKUP(B588,'Player Data'!$A1:$AE667,8,FALSE)*$Q588*_xlfn.IFERROR((VLOOKUP(P588,'Settings'!$E$28:$F$33,2,FALSE)+1),1)</f>
        <v>11.5374589079249</v>
      </c>
      <c r="U588" s="79">
        <f>SUM(S588:T588)</f>
        <v>12.9439969271452</v>
      </c>
      <c r="V588" s="79">
        <f>VLOOKUP(B588,'Player Data'!$A1:$AE667,10,FALSE)*$Q588*_xlfn.IFERROR(((VLOOKUP(P588,'Settings'!$E$28:$F$33,2,FALSE)/2)+1),1)</f>
        <v>40.3567829833021</v>
      </c>
      <c r="W588" s="79">
        <f>VLOOKUP(B588,'Player Data'!$A1:$AE667,11,FALSE)*$Q588*_xlfn.IFERROR((VLOOKUP(P588,'Settings'!$E$28:$F$33,2,FALSE)+1),1)</f>
        <v>0.0127474549208556</v>
      </c>
      <c r="X588" s="79">
        <f>VLOOKUP(B588,'Player Data'!$A1:$AE667,12,FALSE)*$Q588*_xlfn.IFERROR((VLOOKUP(P588,'Settings'!$E$28:$F$33,2,FALSE)+1),1)</f>
        <v>0.0948497592176412</v>
      </c>
      <c r="Y588" s="79">
        <f>VLOOKUP(B588,'Player Data'!$A1:$AE667,13,FALSE)*$Q588</f>
        <v>0.0718616684898971</v>
      </c>
      <c r="Z588" s="79">
        <f>VLOOKUP(B588,'Player Data'!$A1:$AE667,14,FALSE)*$Q588</f>
        <v>0.276066189522931</v>
      </c>
      <c r="AA588" s="79">
        <f>VLOOKUP(B588,'Player Data'!$A1:$AE667,15,FALSE)*$Q588</f>
        <v>82.14641610025279</v>
      </c>
      <c r="AB588" s="79">
        <f>VLOOKUP(B588,'Player Data'!$A1:$AE667,16,FALSE)*$Q588</f>
        <v>103.953206162573</v>
      </c>
      <c r="AC588" s="79">
        <f>VLOOKUP(B588,'Player Data'!$A1:$AE667,17,FALSE)*$Q588*_xlfn.IFERROR((VLOOKUP(P588,'Settings'!$E$28:$F$33,2,FALSE)+1),1)</f>
        <v>-1.89935682288876</v>
      </c>
      <c r="AD588" s="79">
        <f>VLOOKUP(B588,'Player Data'!$A1:$AE667,18,FALSE)*$Q588</f>
        <v>30.4139451732621</v>
      </c>
      <c r="AE588" s="79">
        <f>VLOOKUP(B588,'Player Data'!$A1:$AE667,19,FALSE)*$Q588*_xlfn.IFERROR((VLOOKUP(P588,'Settings'!$E$28:$F$33,2,FALSE)+1),1)</f>
        <v>0.193177680160501</v>
      </c>
      <c r="AF588" s="79">
        <f>VLOOKUP(B588,'Player Data'!$A1:$AE667,20,FALSE)*$Q588</f>
        <v>0</v>
      </c>
      <c r="AG588" s="79">
        <f>VLOOKUP(B588,'Player Data'!$A1:$AE667,21,FALSE)*$Q588</f>
        <v>0</v>
      </c>
      <c r="AH588" s="81">
        <f>VLOOKUP(B588,'Player Data'!$A1:$AE667,22,FALSE)</f>
        <v>0</v>
      </c>
      <c r="AI588" s="77"/>
      <c r="AJ588" s="79"/>
      <c r="AK588" s="79"/>
      <c r="AL588" s="79"/>
      <c r="AM588" s="79"/>
      <c r="AN588" s="79"/>
      <c r="AO588" s="79"/>
      <c r="AP588" s="79"/>
      <c r="AQ588" s="82"/>
      <c r="AR588" s="83"/>
      <c r="AS588" s="84"/>
    </row>
    <row r="589" ht="21.25" customHeight="1">
      <c r="A589" s="85">
        <f>RANK(K589,K$1:K$665)</f>
        <v>569</v>
      </c>
      <c r="B589" t="s" s="16">
        <v>779</v>
      </c>
      <c r="C589" t="s" s="69">
        <v>127</v>
      </c>
      <c r="D589" t="s" s="70">
        <f>VLOOKUP(B589,'Player Data'!A1:D667,4,FALSE)</f>
        <v>153</v>
      </c>
      <c r="E589" s="95">
        <f>VLOOKUP(B589,'D'!A1:C213,3,FALSE)</f>
        <v>186</v>
      </c>
      <c r="F589" t="s" s="88">
        <f>VLOOKUP(B589,'Player Data'!A1:B667,2,FALSE)</f>
        <v>304</v>
      </c>
      <c r="G589" s="96">
        <f>VLOOKUP(B589,'Player Data'!A1:D667,3,FALSE)</f>
        <v>22</v>
      </c>
      <c r="H589" s="94">
        <f>_xlfn.IFERROR(VLOOKUP(B589,'ADP'!A1:G665,7,FALSE)/1000000,VLOOKUP(B589,'ADP'!A1:G665,7,FALSE))</f>
        <v>0.8975</v>
      </c>
      <c r="I589" s="74">
        <f>IF('Settings'!$E$15="POINTS",((R589*Q589)*'Settings'!$B$12)+(S589*'Settings'!$B$2)+(T589*'Settings'!$B$3)+(U589*'Settings'!$B$4)+(V589*'Settings'!$B$5)+(X589*'Settings'!$B$9)+(AA589*'Settings'!$B$6)+(W589*'Settings'!$B$8)+(AB589*'Settings'!$B$7)+(AC589*'Settings'!$B$14)+(AD589*'Settings'!$B$15)+(AE589*'Settings'!$B$16)+(AF589*'Settings'!$B$17)+(AG589*'Settings'!$B$18)+(U589*'Settings'!$B$13)+(Y589*'Settings'!$B$10)+(Z589*'Settings'!$B$11),VLOOKUP(B589,'Standard Deviations'!A1:C666,3,FALSE))</f>
        <v>155.828630784039</v>
      </c>
      <c r="J589" s="75">
        <f>IF(D589="G",I589/AJ589,I589/Q589)</f>
        <v>2.47582826158308</v>
      </c>
      <c r="K589" s="74">
        <f>VLOOKUP(B589,'D'!A1:F213,6,FALSE)</f>
        <v>-175.711577136043</v>
      </c>
      <c r="L589" s="76">
        <f>_xlfn.IFERROR(K589/H589,"N/A")</f>
        <v>-195.778916029017</v>
      </c>
      <c r="M589" s="109">
        <f>IF('Settings'!$E$9="YAHOO",VLOOKUP(B589,'ADP'!A1:E665,2,FALSE),IF('Settings'!$E$9="ESPN",VLOOKUP(B589,'ADP'!A1:E665,3,FALSE),IF('Settings'!$E$9="FANTRAX",VLOOKUP(B589,'ADP'!A1:E665,4,FALSE),VLOOKUP(B589,'ADP'!A1:E665,5,FALSE))))</f>
        <v>0</v>
      </c>
      <c r="N589" s="79">
        <f>_xlfn.IFERROR(M589-A589,"N/A")</f>
        <v>-569</v>
      </c>
      <c r="O589" s="77"/>
      <c r="P589" t="s" s="78">
        <f>IF('Settings'!$E$27="ON",VLOOKUP(B589,'ADP'!A1:H665,8,FALSE)," ")</f>
        <v>138</v>
      </c>
      <c r="Q589" s="79">
        <f>IF('Settings'!$E$12="YES",VLOOKUP(B589,'Player Data'!A1:E667,5,FALSE),82)</f>
        <v>62.94</v>
      </c>
      <c r="R589" s="108">
        <f>VLOOKUP(B589,'Player Data'!$A1:$AE667,6,FALSE)</f>
        <v>17.4544795175825</v>
      </c>
      <c r="S589" s="79">
        <f>VLOOKUP(B589,'Player Data'!$A1:$AE667,7,FALSE)*$Q589*_xlfn.IFERROR((VLOOKUP(P589,'Settings'!$E$28:$F$33,2,FALSE)+1),1)</f>
        <v>2.60887814984924</v>
      </c>
      <c r="T589" s="79">
        <f>VLOOKUP(B589,'Player Data'!$A1:$AE667,8,FALSE)*$Q589*_xlfn.IFERROR((VLOOKUP(P589,'Settings'!$E$28:$F$33,2,FALSE)+1),1)</f>
        <v>11.2611972914837</v>
      </c>
      <c r="U589" s="79">
        <f>SUM(S589:T589)</f>
        <v>13.8700754413329</v>
      </c>
      <c r="V589" s="79">
        <f>VLOOKUP(B589,'Player Data'!$A1:$AE667,10,FALSE)*$Q589*_xlfn.IFERROR(((VLOOKUP(P589,'Settings'!$E$28:$F$33,2,FALSE)/2)+1),1)</f>
        <v>70.5946848351489</v>
      </c>
      <c r="W589" s="79">
        <f>VLOOKUP(B589,'Player Data'!$A1:$AE667,11,FALSE)*$Q589*_xlfn.IFERROR((VLOOKUP(P589,'Settings'!$E$28:$F$33,2,FALSE)+1),1)</f>
        <v>0.143638344354492</v>
      </c>
      <c r="X589" s="79">
        <f>VLOOKUP(B589,'Player Data'!$A1:$AE667,12,FALSE)*$Q589*_xlfn.IFERROR((VLOOKUP(P589,'Settings'!$E$28:$F$33,2,FALSE)+1),1)</f>
        <v>3.03241185618429</v>
      </c>
      <c r="Y589" s="79">
        <f>VLOOKUP(B589,'Player Data'!$A1:$AE667,13,FALSE)*$Q589</f>
        <v>0.0325412853393392</v>
      </c>
      <c r="Z589" s="79">
        <f>VLOOKUP(B589,'Player Data'!$A1:$AE667,14,FALSE)*$Q589</f>
        <v>0.158110926339287</v>
      </c>
      <c r="AA589" s="79">
        <f>VLOOKUP(B589,'Player Data'!$A1:$AE667,15,FALSE)*$Q589</f>
        <v>74.98819317869849</v>
      </c>
      <c r="AB589" s="79">
        <f>VLOOKUP(B589,'Player Data'!$A1:$AE667,16,FALSE)*$Q589</f>
        <v>92.5493607573638</v>
      </c>
      <c r="AC589" s="79">
        <f>VLOOKUP(B589,'Player Data'!$A1:$AE667,17,FALSE)*$Q589*_xlfn.IFERROR((VLOOKUP(P589,'Settings'!$E$28:$F$33,2,FALSE)+1),1)</f>
        <v>-0.508802758455136</v>
      </c>
      <c r="AD589" s="79">
        <f>VLOOKUP(B589,'Player Data'!$A1:$AE667,18,FALSE)*$Q589</f>
        <v>29.2228186519362</v>
      </c>
      <c r="AE589" s="79">
        <f>VLOOKUP(B589,'Player Data'!$A1:$AE667,19,FALSE)*$Q589*_xlfn.IFERROR((VLOOKUP(P589,'Settings'!$E$28:$F$33,2,FALSE)+1),1)</f>
        <v>0.396152070589912</v>
      </c>
      <c r="AF589" s="79">
        <f>VLOOKUP(B589,'Player Data'!$A1:$AE667,20,FALSE)*$Q589</f>
        <v>0</v>
      </c>
      <c r="AG589" s="79">
        <f>VLOOKUP(B589,'Player Data'!$A1:$AE667,21,FALSE)*$Q589</f>
        <v>0</v>
      </c>
      <c r="AH589" s="81">
        <f>VLOOKUP(B589,'Player Data'!$A1:$AE667,22,FALSE)</f>
        <v>0</v>
      </c>
      <c r="AI589" s="77"/>
      <c r="AJ589" s="79"/>
      <c r="AK589" s="79"/>
      <c r="AL589" s="79"/>
      <c r="AM589" s="79"/>
      <c r="AN589" s="79"/>
      <c r="AO589" s="79"/>
      <c r="AP589" s="79"/>
      <c r="AQ589" s="82"/>
      <c r="AR589" s="83"/>
      <c r="AS589" s="84"/>
    </row>
    <row r="590" ht="21.25" customHeight="1">
      <c r="A590" s="85">
        <f>RANK(K590,K$1:K$665)</f>
        <v>596</v>
      </c>
      <c r="B590" t="s" s="16">
        <v>780</v>
      </c>
      <c r="C590" t="s" s="69">
        <v>127</v>
      </c>
      <c r="D590" t="s" s="70">
        <f>VLOOKUP(B590,'Player Data'!A1:D667,4,FALSE)</f>
        <v>178</v>
      </c>
      <c r="E590" s="102">
        <f>VLOOKUP(B590,'LW'!A1:C152,3,FALSE)</f>
        <v>134</v>
      </c>
      <c r="F590" t="s" s="88">
        <f>VLOOKUP(B590,'Player Data'!A1:B667,2,FALSE)</f>
        <v>239</v>
      </c>
      <c r="G590" s="11">
        <f>VLOOKUP(B590,'Player Data'!A1:D667,3,FALSE)</f>
        <v>25</v>
      </c>
      <c r="H590" s="94">
        <f>_xlfn.IFERROR(VLOOKUP(B590,'ADP'!A1:G665,7,FALSE)/1000000,VLOOKUP(B590,'ADP'!A1:G665,7,FALSE))</f>
        <v>1.1</v>
      </c>
      <c r="I590" s="74">
        <f>IF('Settings'!$E$15="POINTS",((R590*Q590)*'Settings'!$B$12)+(S590*'Settings'!$B$2)+(T590*'Settings'!$B$3)+(U590*'Settings'!$B$4)+(V590*'Settings'!$B$5)+(X590*'Settings'!$B$9)+(AA590*'Settings'!$B$6)+(W590*'Settings'!$B$8)+(AB590*'Settings'!$B$7)+(AC590*'Settings'!$B$14)+(AD590*'Settings'!$B$15)+(AE590*'Settings'!$B$16)+(AF590*'Settings'!$B$17)+(AG590*'Settings'!$B$18)+(Y590*'Settings'!$B$10)+(Z590*'Settings'!$B$11),VLOOKUP(B590,'Standard Deviations'!A1:C666,3,FALSE))</f>
        <v>148.290871068309</v>
      </c>
      <c r="J590" s="75">
        <f>IF(D590="G",I590/AJ590,I590/Q590)</f>
        <v>2.35522527009425</v>
      </c>
      <c r="K590" s="74">
        <f>IF('Settings'!$E$18="C/LW/RW",VLOOKUP(B590,'LW'!A1:F152,6,FALSE),VLOOKUP(B590,'F'!A1:F392,6,FALSE))</f>
        <v>-183.429240697903</v>
      </c>
      <c r="L590" s="76">
        <f>_xlfn.IFERROR(K590/H590,"N/A")</f>
        <v>-166.753855179912</v>
      </c>
      <c r="M590" s="109">
        <f>IF('Settings'!$E$9="YAHOO",VLOOKUP(B590,'ADP'!A1:E665,2,FALSE),IF('Settings'!$E$9="ESPN",VLOOKUP(B590,'ADP'!A1:E665,3,FALSE),IF('Settings'!$E$9="FANTRAX",VLOOKUP(B590,'ADP'!A1:E665,4,FALSE),VLOOKUP(B590,'ADP'!A1:E665,5,FALSE))))</f>
        <v>0</v>
      </c>
      <c r="N590" s="79">
        <f>_xlfn.IFERROR(M590-A590,"N/A")</f>
        <v>-596</v>
      </c>
      <c r="O590" s="77"/>
      <c r="P590" t="s" s="78">
        <f>IF('Settings'!$E$27="ON",VLOOKUP(B590,'ADP'!A1:H665,8,FALSE)," ")</f>
        <v>138</v>
      </c>
      <c r="Q590" s="79">
        <f>IF('Settings'!$E$12="YES",VLOOKUP(B590,'Player Data'!A1:E667,5,FALSE),82)</f>
        <v>62.9625</v>
      </c>
      <c r="R590" s="77">
        <f>VLOOKUP(B590,'Player Data'!$A1:$AE667,6,FALSE)</f>
        <v>12.3295335967577</v>
      </c>
      <c r="S590" s="79">
        <f>VLOOKUP(B590,'Player Data'!$A1:$AE667,7,FALSE)*$Q590*_xlfn.IFERROR((VLOOKUP(P590,'Settings'!$E$28:$F$33,2,FALSE)+1),1)</f>
        <v>8.153256623745589</v>
      </c>
      <c r="T590" s="79">
        <f>VLOOKUP(B590,'Player Data'!$A1:$AE667,8,FALSE)*$Q590*_xlfn.IFERROR((VLOOKUP(P590,'Settings'!$E$28:$F$33,2,FALSE)+1),1)</f>
        <v>9.956942264569429</v>
      </c>
      <c r="U590" s="79">
        <f>SUM(S590:T590)</f>
        <v>18.110198888315</v>
      </c>
      <c r="V590" s="79">
        <f>VLOOKUP(B590,'Player Data'!$A1:$AE667,10,FALSE)*$Q590*_xlfn.IFERROR(((VLOOKUP(P590,'Settings'!$E$28:$F$33,2,FALSE)/2)+1),1)</f>
        <v>51.0318028620705</v>
      </c>
      <c r="W590" s="79">
        <f>VLOOKUP(B590,'Player Data'!$A1:$AE667,11,FALSE)*$Q590*_xlfn.IFERROR((VLOOKUP(P590,'Settings'!$E$28:$F$33,2,FALSE)+1),1)</f>
        <v>0.430037540146372</v>
      </c>
      <c r="X590" s="79">
        <f>VLOOKUP(B590,'Player Data'!$A1:$AE667,12,FALSE)*$Q590*_xlfn.IFERROR((VLOOKUP(P590,'Settings'!$E$28:$F$33,2,FALSE)+1),1)</f>
        <v>0.671947793391715</v>
      </c>
      <c r="Y590" s="79">
        <f>VLOOKUP(B590,'Player Data'!$A1:$AE667,13,FALSE)*$Q590</f>
        <v>0.584776330776839</v>
      </c>
      <c r="Z590" s="79">
        <f>VLOOKUP(B590,'Player Data'!$A1:$AE667,14,FALSE)*$Q590</f>
        <v>1.45083761139119</v>
      </c>
      <c r="AA590" s="79">
        <f>VLOOKUP(B590,'Player Data'!$A1:$AE667,15,FALSE)*$Q590</f>
        <v>60.6890980932129</v>
      </c>
      <c r="AB590" s="79">
        <f>VLOOKUP(B590,'Player Data'!$A1:$AE667,16,FALSE)*$Q590</f>
        <v>77.4538835193173</v>
      </c>
      <c r="AC590" s="79">
        <f>VLOOKUP(B590,'Player Data'!$A1:$AE667,17,FALSE)*$Q590*_xlfn.IFERROR((VLOOKUP(P590,'Settings'!$E$28:$F$33,2,FALSE)+1),1)</f>
        <v>-2.97939718561708</v>
      </c>
      <c r="AD590" s="79">
        <f>VLOOKUP(B590,'Player Data'!$A1:$AE667,18,FALSE)*$Q590</f>
        <v>14.2819898153869</v>
      </c>
      <c r="AE590" s="79">
        <f>VLOOKUP(B590,'Player Data'!$A1:$AE667,19,FALSE)*$Q590*_xlfn.IFERROR((VLOOKUP(P590,'Settings'!$E$28:$F$33,2,FALSE)+1),1)</f>
        <v>0.944972819054934</v>
      </c>
      <c r="AF590" s="79">
        <f>VLOOKUP(B590,'Player Data'!$A1:$AE667,20,FALSE)*$Q590</f>
        <v>7.62864874098563</v>
      </c>
      <c r="AG590" s="79">
        <f>VLOOKUP(B590,'Player Data'!$A1:$AE667,21,FALSE)*$Q590</f>
        <v>38.2897503054745</v>
      </c>
      <c r="AH590" s="81">
        <f>VLOOKUP(B590,'Player Data'!$A1:$AE667,22,FALSE)</f>
        <v>0.166134902335488</v>
      </c>
      <c r="AI590" s="77"/>
      <c r="AJ590" s="89"/>
      <c r="AK590" s="79"/>
      <c r="AL590" s="79"/>
      <c r="AM590" s="79"/>
      <c r="AN590" s="79"/>
      <c r="AO590" s="79"/>
      <c r="AP590" s="79"/>
      <c r="AQ590" s="82"/>
      <c r="AR590" s="83"/>
      <c r="AS590" s="84"/>
    </row>
    <row r="591" ht="21.25" customHeight="1">
      <c r="A591" s="85">
        <f>RANK(K591,K$1:K$665)</f>
        <v>571</v>
      </c>
      <c r="B591" t="s" s="16">
        <v>781</v>
      </c>
      <c r="C591" t="s" s="69">
        <v>127</v>
      </c>
      <c r="D591" t="s" s="70">
        <f>VLOOKUP(B591,'Player Data'!A1:D667,4,FALSE)</f>
        <v>153</v>
      </c>
      <c r="E591" s="95">
        <f>VLOOKUP(B591,'D'!A1:C213,3,FALSE)</f>
        <v>187</v>
      </c>
      <c r="F591" t="s" s="86">
        <f>VLOOKUP(B591,'Player Data'!A1:B667,2,FALSE)</f>
        <v>174</v>
      </c>
      <c r="G591" s="11">
        <f>VLOOKUP(B591,'Player Data'!A1:D667,3,FALSE)</f>
        <v>26</v>
      </c>
      <c r="H591" s="73">
        <f>_xlfn.IFERROR(VLOOKUP(B591,'ADP'!A1:G665,7,FALSE)/1000000,VLOOKUP(B591,'ADP'!A1:G665,7,FALSE))</f>
        <v>1.75</v>
      </c>
      <c r="I591" s="74">
        <f>IF('Settings'!$E$15="POINTS",((R591*Q591)*'Settings'!$B$12)+(S591*'Settings'!$B$2)+(T591*'Settings'!$B$3)+(U591*'Settings'!$B$4)+(V591*'Settings'!$B$5)+(X591*'Settings'!$B$9)+(AA591*'Settings'!$B$6)+(W591*'Settings'!$B$8)+(AB591*'Settings'!$B$7)+(AC591*'Settings'!$B$14)+(AD591*'Settings'!$B$15)+(AE591*'Settings'!$B$16)+(AF591*'Settings'!$B$17)+(AG591*'Settings'!$B$18)+(U591*'Settings'!$B$13)+(Y591*'Settings'!$B$10)+(Z591*'Settings'!$B$11),VLOOKUP(B591,'Standard Deviations'!A1:C666,3,FALSE))</f>
        <v>155.052732088342</v>
      </c>
      <c r="J591" s="75">
        <f>IF(D591="G",I591/AJ591,I591/Q591)</f>
        <v>2.23402827012956</v>
      </c>
      <c r="K591" s="74">
        <f>VLOOKUP(B591,'D'!A1:F213,6,FALSE)</f>
        <v>-176.487475831740</v>
      </c>
      <c r="L591" s="76">
        <f>_xlfn.IFERROR(K591/H591,"N/A")</f>
        <v>-100.849986189566</v>
      </c>
      <c r="M591" s="109">
        <f>IF('Settings'!$E$9="YAHOO",VLOOKUP(B591,'ADP'!A1:E665,2,FALSE),IF('Settings'!$E$9="ESPN",VLOOKUP(B591,'ADP'!A1:E665,3,FALSE),IF('Settings'!$E$9="FANTRAX",VLOOKUP(B591,'ADP'!A1:E665,4,FALSE),VLOOKUP(B591,'ADP'!A1:E665,5,FALSE))))</f>
        <v>0</v>
      </c>
      <c r="N591" s="79">
        <f>_xlfn.IFERROR(M591-A591,"N/A")</f>
        <v>-571</v>
      </c>
      <c r="O591" s="77"/>
      <c r="P591" t="s" s="78">
        <f>IF('Settings'!$E$27="ON",VLOOKUP(B591,'ADP'!A1:H665,8,FALSE)," ")</f>
        <v>138</v>
      </c>
      <c r="Q591" s="79">
        <f>IF('Settings'!$E$12="YES",VLOOKUP(B591,'Player Data'!A1:E667,5,FALSE),82)</f>
        <v>69.405</v>
      </c>
      <c r="R591" s="77">
        <f>VLOOKUP(B591,'Player Data'!$A1:$AE667,6,FALSE)</f>
        <v>16.3619496466748</v>
      </c>
      <c r="S591" s="79">
        <f>VLOOKUP(B591,'Player Data'!$A1:$AE667,7,FALSE)*$Q591*_xlfn.IFERROR((VLOOKUP(P591,'Settings'!$E$28:$F$33,2,FALSE)+1),1)</f>
        <v>4.14038639398148</v>
      </c>
      <c r="T591" s="79">
        <f>VLOOKUP(B591,'Player Data'!$A1:$AE667,8,FALSE)*$Q591*_xlfn.IFERROR((VLOOKUP(P591,'Settings'!$E$28:$F$33,2,FALSE)+1),1)</f>
        <v>11.6668693472879</v>
      </c>
      <c r="U591" s="79">
        <f>SUM(S591:T591)</f>
        <v>15.8072557412694</v>
      </c>
      <c r="V591" s="79">
        <f>VLOOKUP(B591,'Player Data'!$A1:$AE667,10,FALSE)*$Q591*_xlfn.IFERROR(((VLOOKUP(P591,'Settings'!$E$28:$F$33,2,FALSE)/2)+1),1)</f>
        <v>72.96275178931521</v>
      </c>
      <c r="W591" s="79">
        <f>VLOOKUP(B591,'Player Data'!$A1:$AE667,11,FALSE)*$Q591*_xlfn.IFERROR((VLOOKUP(P591,'Settings'!$E$28:$F$33,2,FALSE)+1),1)</f>
        <v>0.0356665543739819</v>
      </c>
      <c r="X591" s="79">
        <f>VLOOKUP(B591,'Player Data'!$A1:$AE667,12,FALSE)*$Q591*_xlfn.IFERROR((VLOOKUP(P591,'Settings'!$E$28:$F$33,2,FALSE)+1),1)</f>
        <v>0.196023873029088</v>
      </c>
      <c r="Y591" s="79">
        <f>VLOOKUP(B591,'Player Data'!$A1:$AE667,13,FALSE)*$Q591</f>
        <v>0.0245111518827701</v>
      </c>
      <c r="Z591" s="79">
        <f>VLOOKUP(B591,'Player Data'!$A1:$AE667,14,FALSE)*$Q591</f>
        <v>0.280039694334258</v>
      </c>
      <c r="AA591" s="79">
        <f>VLOOKUP(B591,'Player Data'!$A1:$AE667,15,FALSE)*$Q591</f>
        <v>99.8579624801439</v>
      </c>
      <c r="AB591" s="79">
        <f>VLOOKUP(B591,'Player Data'!$A1:$AE667,16,FALSE)*$Q591</f>
        <v>49.0545642894187</v>
      </c>
      <c r="AC591" s="79">
        <f>VLOOKUP(B591,'Player Data'!$A1:$AE667,17,FALSE)*$Q591*_xlfn.IFERROR((VLOOKUP(P591,'Settings'!$E$28:$F$33,2,FALSE)+1),1)</f>
        <v>-6.93367026122828</v>
      </c>
      <c r="AD591" s="79">
        <f>VLOOKUP(B591,'Player Data'!$A1:$AE667,18,FALSE)*$Q591</f>
        <v>27.5225787346317</v>
      </c>
      <c r="AE591" s="79">
        <f>VLOOKUP(B591,'Player Data'!$A1:$AE667,19,FALSE)*$Q591*_xlfn.IFERROR((VLOOKUP(P591,'Settings'!$E$28:$F$33,2,FALSE)+1),1)</f>
        <v>0.60153097913112</v>
      </c>
      <c r="AF591" s="79">
        <f>VLOOKUP(B591,'Player Data'!$A1:$AE667,20,FALSE)*$Q591</f>
        <v>0</v>
      </c>
      <c r="AG591" s="79">
        <f>VLOOKUP(B591,'Player Data'!$A1:$AE667,21,FALSE)*$Q591</f>
        <v>0</v>
      </c>
      <c r="AH591" s="81">
        <f>VLOOKUP(B591,'Player Data'!$A1:$AE667,22,FALSE)</f>
        <v>0</v>
      </c>
      <c r="AI591" s="77"/>
      <c r="AJ591" s="79"/>
      <c r="AK591" s="79"/>
      <c r="AL591" s="79"/>
      <c r="AM591" s="79"/>
      <c r="AN591" s="79"/>
      <c r="AO591" s="79"/>
      <c r="AP591" s="79"/>
      <c r="AQ591" s="82"/>
      <c r="AR591" s="83"/>
      <c r="AS591" s="84"/>
    </row>
    <row r="592" ht="21.25" customHeight="1">
      <c r="A592" s="85">
        <f>RANK(K592,K$1:K$665)</f>
        <v>587</v>
      </c>
      <c r="B592" t="s" s="16">
        <v>782</v>
      </c>
      <c r="C592" t="s" s="69">
        <v>127</v>
      </c>
      <c r="D592" t="s" s="70">
        <f>VLOOKUP(B592,'Player Data'!A1:D667,4,FALSE)</f>
        <v>140</v>
      </c>
      <c r="E592" s="90">
        <f>VLOOKUP(B592,'RW'!A1:F136,3,FALSE)</f>
        <v>118</v>
      </c>
      <c r="F592" t="s" s="103">
        <f>VLOOKUP(B592,'Player Data'!A1:B667,2,FALSE)</f>
        <v>225</v>
      </c>
      <c r="G592" s="96">
        <f>VLOOKUP(B592,'Player Data'!A1:D667,3,FALSE)</f>
        <v>23</v>
      </c>
      <c r="H592" t="s" s="86">
        <f>_xlfn.IFERROR(VLOOKUP(B592,'ADP'!A1:G665,7,FALSE)/1000000,VLOOKUP(B592,'ADP'!A1:G665,7,FALSE))</f>
        <v>157</v>
      </c>
      <c r="I592" s="74">
        <f>IF('Settings'!$E$15="POINTS",((R592*Q592)*'Settings'!$B$12)+(S592*'Settings'!$B$2)+(T592*'Settings'!$B$3)+(U592*'Settings'!$B$4)+(V592*'Settings'!$B$5)+(X592*'Settings'!$B$9)+(AA592*'Settings'!$B$6)+(W592*'Settings'!$B$8)+(AB592*'Settings'!$B$7)+(AC592*'Settings'!$B$14)+(AD592*'Settings'!$B$15)+(AE592*'Settings'!$B$16)+(AF592*'Settings'!$B$17)+(AG592*'Settings'!$B$18)+(Y592*'Settings'!$B$10)+(Z592*'Settings'!$B$11),VLOOKUP(B592,'Standard Deviations'!A1:C666,3,FALSE))</f>
        <v>147.897429177955</v>
      </c>
      <c r="J592" s="75">
        <f>IF(D592="G",I592/AJ592,I592/Q592)</f>
        <v>2.03288449438789</v>
      </c>
      <c r="K592" s="74">
        <f>IF('Settings'!$E$18="C/LW/RW",VLOOKUP(B592,'RW'!A1:F136,6,FALSE),VLOOKUP(B592,'F'!A1:F392,6,FALSE))</f>
        <v>-181.794464903223</v>
      </c>
      <c r="L592" t="s" s="97">
        <f>_xlfn.IFERROR(K592/H592,"N/A")</f>
        <v>158</v>
      </c>
      <c r="M592" s="109">
        <f>IF('Settings'!$E$9="YAHOO",VLOOKUP(B592,'ADP'!A1:E665,2,FALSE),IF('Settings'!$E$9="ESPN",VLOOKUP(B592,'ADP'!A1:E665,3,FALSE),IF('Settings'!$E$9="FANTRAX",VLOOKUP(B592,'ADP'!A1:E665,4,FALSE),VLOOKUP(B592,'ADP'!A1:E665,5,FALSE))))</f>
        <v>0</v>
      </c>
      <c r="N592" s="79">
        <f>_xlfn.IFERROR(M592-A592,"N/A")</f>
        <v>-587</v>
      </c>
      <c r="O592" s="77"/>
      <c r="P592" t="s" s="78">
        <f>IF('Settings'!$E$27="ON",VLOOKUP(B592,'ADP'!A1:H665,8,FALSE)," ")</f>
        <v>138</v>
      </c>
      <c r="Q592" s="79">
        <f>IF('Settings'!$E$12="YES",VLOOKUP(B592,'Player Data'!A1:E667,5,FALSE),82)</f>
        <v>72.7525</v>
      </c>
      <c r="R592" s="77">
        <f>VLOOKUP(B592,'Player Data'!$A1:$AE667,6,FALSE)</f>
        <v>11.4975744491935</v>
      </c>
      <c r="S592" s="79">
        <f>VLOOKUP(B592,'Player Data'!$A1:$AE667,7,FALSE)*$Q592*_xlfn.IFERROR((VLOOKUP(P592,'Settings'!$E$28:$F$33,2,FALSE)+1),1)</f>
        <v>10.6396809750237</v>
      </c>
      <c r="T592" s="79">
        <f>VLOOKUP(B592,'Player Data'!$A1:$AE667,8,FALSE)*$Q592*_xlfn.IFERROR((VLOOKUP(P592,'Settings'!$E$28:$F$33,2,FALSE)+1),1)</f>
        <v>13.752881616469</v>
      </c>
      <c r="U592" s="79">
        <f>SUM(S592:T592)</f>
        <v>24.3925625914927</v>
      </c>
      <c r="V592" s="79">
        <f>VLOOKUP(B592,'Player Data'!$A1:$AE667,10,FALSE)*$Q592*_xlfn.IFERROR(((VLOOKUP(P592,'Settings'!$E$28:$F$33,2,FALSE)/2)+1),1)</f>
        <v>136.094106698552</v>
      </c>
      <c r="W592" s="79">
        <f>VLOOKUP(B592,'Player Data'!$A1:$AE667,11,FALSE)*$Q592*_xlfn.IFERROR((VLOOKUP(P592,'Settings'!$E$28:$F$33,2,FALSE)+1),1)</f>
        <v>3.738611747180</v>
      </c>
      <c r="X592" s="79">
        <f>VLOOKUP(B592,'Player Data'!$A1:$AE667,12,FALSE)*$Q592*_xlfn.IFERROR((VLOOKUP(P592,'Settings'!$E$28:$F$33,2,FALSE)+1),1)</f>
        <v>5.80796244306218</v>
      </c>
      <c r="Y592" s="79">
        <f>VLOOKUP(B592,'Player Data'!$A1:$AE667,13,FALSE)*$Q592</f>
        <v>0</v>
      </c>
      <c r="Z592" s="79">
        <f>VLOOKUP(B592,'Player Data'!$A1:$AE667,14,FALSE)*$Q592</f>
        <v>0</v>
      </c>
      <c r="AA592" s="79">
        <f>VLOOKUP(B592,'Player Data'!$A1:$AE667,15,FALSE)*$Q592</f>
        <v>20.5669632490973</v>
      </c>
      <c r="AB592" s="79">
        <f>VLOOKUP(B592,'Player Data'!$A1:$AE667,16,FALSE)*$Q592</f>
        <v>61.4149166712775</v>
      </c>
      <c r="AC592" s="79">
        <f>VLOOKUP(B592,'Player Data'!$A1:$AE667,17,FALSE)*$Q592*_xlfn.IFERROR((VLOOKUP(P592,'Settings'!$E$28:$F$33,2,FALSE)+1),1)</f>
        <v>2.13388225615819</v>
      </c>
      <c r="AD592" s="79">
        <f>VLOOKUP(B592,'Player Data'!$A1:$AE667,18,FALSE)*$Q592</f>
        <v>20.1784464200334</v>
      </c>
      <c r="AE592" s="79">
        <f>VLOOKUP(B592,'Player Data'!$A1:$AE667,19,FALSE)*$Q592*_xlfn.IFERROR((VLOOKUP(P592,'Settings'!$E$28:$F$33,2,FALSE)+1),1)</f>
        <v>1.89611531865093</v>
      </c>
      <c r="AF592" s="79">
        <f>VLOOKUP(B592,'Player Data'!$A1:$AE667,20,FALSE)*$Q592</f>
        <v>0</v>
      </c>
      <c r="AG592" s="79">
        <f>VLOOKUP(B592,'Player Data'!$A1:$AE667,21,FALSE)*$Q592</f>
        <v>0.885208529793329</v>
      </c>
      <c r="AH592" s="81">
        <f>VLOOKUP(B592,'Player Data'!$A1:$AE667,22,FALSE)</f>
        <v>0</v>
      </c>
      <c r="AI592" s="77"/>
      <c r="AJ592" s="79"/>
      <c r="AK592" s="79"/>
      <c r="AL592" s="79"/>
      <c r="AM592" s="79"/>
      <c r="AN592" s="79"/>
      <c r="AO592" s="79"/>
      <c r="AP592" s="79"/>
      <c r="AQ592" s="82"/>
      <c r="AR592" s="83"/>
      <c r="AS592" s="84"/>
    </row>
    <row r="593" ht="21.25" customHeight="1">
      <c r="A593" s="85">
        <f>RANK(K593,K$1:K$665)</f>
        <v>588</v>
      </c>
      <c r="B593" t="s" s="16">
        <v>783</v>
      </c>
      <c r="C593" t="s" s="69">
        <v>127</v>
      </c>
      <c r="D593" t="s" s="70">
        <f>VLOOKUP(B593,'Player Data'!A1:D667,4,FALSE)</f>
        <v>148</v>
      </c>
      <c r="E593" s="87">
        <f>VLOOKUP(B593,'RW'!A1:C136,3,FALSE)</f>
        <v>119</v>
      </c>
      <c r="F593" t="s" s="104">
        <f>VLOOKUP(B593,'Player Data'!A1:B667,2,FALSE)</f>
        <v>271</v>
      </c>
      <c r="G593" s="11">
        <f>VLOOKUP(B593,'Player Data'!A1:D667,3,FALSE)</f>
        <v>24</v>
      </c>
      <c r="H593" s="73">
        <f>_xlfn.IFERROR(VLOOKUP(B593,'ADP'!A1:G665,7,FALSE)/1000000,VLOOKUP(B593,'ADP'!A1:G665,7,FALSE))</f>
        <v>2.1</v>
      </c>
      <c r="I593" s="74">
        <f>IF('Settings'!$E$15="POINTS",((R593*Q593)*'Settings'!$B$12)+(S593*'Settings'!$B$2)+(T593*'Settings'!$B$3)+(U593*'Settings'!$B$4)+(V593*'Settings'!$B$5)+(X593*'Settings'!$B$9)+(AA593*'Settings'!$B$6)+(W593*'Settings'!$B$8)+(AB593*'Settings'!$B$7)+(AC593*'Settings'!$B$14)+(AD593*'Settings'!$B$15)+(AE593*'Settings'!$B$16)+(AF593*'Settings'!$B$17)+(AG593*'Settings'!$B$18)+(Y593*'Settings'!$B$10)+(Z593*'Settings'!$B$11),VLOOKUP(B593,'Standard Deviations'!A1:C666,3,FALSE))</f>
        <v>147.664385742247</v>
      </c>
      <c r="J593" s="75">
        <f>IF(D593="G",I593/AJ593,I593/Q593)</f>
        <v>2.01500202288742</v>
      </c>
      <c r="K593" s="74">
        <f>IF('Settings'!$E$18="C/LW/RW",VLOOKUP(B593,'RW'!A1:F136,6,FALSE),VLOOKUP(B593,'F'!A1:F392,6,FALSE))</f>
        <v>-182.027508338931</v>
      </c>
      <c r="L593" s="76">
        <f>_xlfn.IFERROR(K593/H593,"N/A")</f>
        <v>-86.6797658756814</v>
      </c>
      <c r="M593" s="109">
        <f>IF('Settings'!$E$9="YAHOO",VLOOKUP(B593,'ADP'!A1:E665,2,FALSE),IF('Settings'!$E$9="ESPN",VLOOKUP(B593,'ADP'!A1:E665,3,FALSE),IF('Settings'!$E$9="FANTRAX",VLOOKUP(B593,'ADP'!A1:E665,4,FALSE),VLOOKUP(B593,'ADP'!A1:E665,5,FALSE))))</f>
        <v>0</v>
      </c>
      <c r="N593" s="79">
        <f>_xlfn.IFERROR(M593-A593,"N/A")</f>
        <v>-588</v>
      </c>
      <c r="O593" s="77"/>
      <c r="P593" t="s" s="78">
        <f>IF('Settings'!$E$27="ON",VLOOKUP(B593,'ADP'!A1:H665,8,FALSE)," ")</f>
        <v>138</v>
      </c>
      <c r="Q593" s="79">
        <f>IF('Settings'!$E$12="YES",VLOOKUP(B593,'Player Data'!A1:E667,5,FALSE),82)</f>
        <v>73.2825</v>
      </c>
      <c r="R593" s="108">
        <f>VLOOKUP(B593,'Player Data'!$A1:$AE667,6,FALSE)</f>
        <v>13.8899632674241</v>
      </c>
      <c r="S593" s="79">
        <f>VLOOKUP(B593,'Player Data'!$A1:$AE667,7,FALSE)*$Q593*_xlfn.IFERROR((VLOOKUP(P593,'Settings'!$E$28:$F$33,2,FALSE)+1),1)</f>
        <v>11.1630258806488</v>
      </c>
      <c r="T593" s="79">
        <f>VLOOKUP(B593,'Player Data'!$A1:$AE667,8,FALSE)*$Q593*_xlfn.IFERROR((VLOOKUP(P593,'Settings'!$E$28:$F$33,2,FALSE)+1),1)</f>
        <v>15.1012896304576</v>
      </c>
      <c r="U593" s="79">
        <f>SUM(S593:T593)</f>
        <v>26.2643155111064</v>
      </c>
      <c r="V593" s="79">
        <f>VLOOKUP(B593,'Player Data'!$A1:$AE667,10,FALSE)*$Q593*_xlfn.IFERROR(((VLOOKUP(P593,'Settings'!$E$28:$F$33,2,FALSE)/2)+1),1)</f>
        <v>101.118570943710</v>
      </c>
      <c r="W593" s="79">
        <f>VLOOKUP(B593,'Player Data'!$A1:$AE667,11,FALSE)*$Q593*_xlfn.IFERROR((VLOOKUP(P593,'Settings'!$E$28:$F$33,2,FALSE)+1),1)</f>
        <v>0.245925188267332</v>
      </c>
      <c r="X593" s="79">
        <f>VLOOKUP(B593,'Player Data'!$A1:$AE667,12,FALSE)*$Q593*_xlfn.IFERROR((VLOOKUP(P593,'Settings'!$E$28:$F$33,2,FALSE)+1),1)</f>
        <v>0.965848636663749</v>
      </c>
      <c r="Y593" s="79">
        <f>VLOOKUP(B593,'Player Data'!$A1:$AE667,13,FALSE)*$Q593</f>
        <v>0.934391962579439</v>
      </c>
      <c r="Z593" s="79">
        <f>VLOOKUP(B593,'Player Data'!$A1:$AE667,14,FALSE)*$Q593</f>
        <v>1.12671258092714</v>
      </c>
      <c r="AA593" s="79">
        <f>VLOOKUP(B593,'Player Data'!$A1:$AE667,15,FALSE)*$Q593</f>
        <v>31.5485885930981</v>
      </c>
      <c r="AB593" s="79">
        <f>VLOOKUP(B593,'Player Data'!$A1:$AE667,16,FALSE)*$Q593</f>
        <v>52.3381797439723</v>
      </c>
      <c r="AC593" s="79">
        <f>VLOOKUP(B593,'Player Data'!$A1:$AE667,17,FALSE)*$Q593*_xlfn.IFERROR((VLOOKUP(P593,'Settings'!$E$28:$F$33,2,FALSE)+1),1)</f>
        <v>-7.93532179173767</v>
      </c>
      <c r="AD593" s="79">
        <f>VLOOKUP(B593,'Player Data'!$A1:$AE667,18,FALSE)*$Q593</f>
        <v>29.5015202206377</v>
      </c>
      <c r="AE593" s="79">
        <f>VLOOKUP(B593,'Player Data'!$A1:$AE667,19,FALSE)*$Q593*_xlfn.IFERROR((VLOOKUP(P593,'Settings'!$E$28:$F$33,2,FALSE)+1),1)</f>
        <v>1.343962379880</v>
      </c>
      <c r="AF593" s="79">
        <f>VLOOKUP(B593,'Player Data'!$A1:$AE667,20,FALSE)*$Q593</f>
        <v>7.82374180553416</v>
      </c>
      <c r="AG593" s="79">
        <f>VLOOKUP(B593,'Player Data'!$A1:$AE667,21,FALSE)*$Q593</f>
        <v>16.3940806099001</v>
      </c>
      <c r="AH593" s="81">
        <f>VLOOKUP(B593,'Player Data'!$A1:$AE667,22,FALSE)</f>
        <v>0.323057196114709</v>
      </c>
      <c r="AI593" s="77"/>
      <c r="AJ593" s="89"/>
      <c r="AK593" s="79"/>
      <c r="AL593" s="79"/>
      <c r="AM593" s="79"/>
      <c r="AN593" s="79"/>
      <c r="AO593" s="79"/>
      <c r="AP593" s="79"/>
      <c r="AQ593" s="82"/>
      <c r="AR593" s="83"/>
      <c r="AS593" s="84"/>
    </row>
    <row r="594" ht="21.25" customHeight="1">
      <c r="A594" s="85">
        <f>RANK(K594,K$1:K$665)</f>
        <v>590</v>
      </c>
      <c r="B594" t="s" s="16">
        <v>784</v>
      </c>
      <c r="C594" t="s" s="69">
        <v>127</v>
      </c>
      <c r="D594" t="s" s="70">
        <f>VLOOKUP(B594,'Player Data'!A1:D667,4,FALSE)</f>
        <v>140</v>
      </c>
      <c r="E594" s="90">
        <f>VLOOKUP(B594,'RW'!A1:F136,3,FALSE)</f>
        <v>120</v>
      </c>
      <c r="F594" t="s" s="104">
        <f>VLOOKUP(B594,'Player Data'!A1:B667,2,FALSE)</f>
        <v>271</v>
      </c>
      <c r="G594" s="11">
        <f>VLOOKUP(B594,'Player Data'!A1:D667,3,FALSE)</f>
        <v>28</v>
      </c>
      <c r="H594" s="94">
        <f>_xlfn.IFERROR(VLOOKUP(B594,'ADP'!A1:G665,7,FALSE)/1000000,VLOOKUP(B594,'ADP'!A1:G665,7,FALSE))</f>
        <v>1</v>
      </c>
      <c r="I594" s="74">
        <f>IF('Settings'!$E$15="POINTS",((R594*Q594)*'Settings'!$B$12)+(S594*'Settings'!$B$2)+(T594*'Settings'!$B$3)+(U594*'Settings'!$B$4)+(V594*'Settings'!$B$5)+(X594*'Settings'!$B$9)+(AA594*'Settings'!$B$6)+(W594*'Settings'!$B$8)+(AB594*'Settings'!$B$7)+(AC594*'Settings'!$B$14)+(AD594*'Settings'!$B$15)+(AE594*'Settings'!$B$16)+(AF594*'Settings'!$B$17)+(AG594*'Settings'!$B$18)+(Y594*'Settings'!$B$10)+(Z594*'Settings'!$B$11),VLOOKUP(B594,'Standard Deviations'!A1:C666,3,FALSE))</f>
        <v>147.542223528764</v>
      </c>
      <c r="J594" s="75">
        <f>IF(D594="G",I594/AJ594,I594/Q594)</f>
        <v>1.89320531907438</v>
      </c>
      <c r="K594" s="74">
        <f>IF('Settings'!$E$18="C/LW/RW",VLOOKUP(B594,'RW'!A1:F136,6,FALSE),VLOOKUP(B594,'F'!A1:F392,6,FALSE))</f>
        <v>-182.149670552414</v>
      </c>
      <c r="L594" s="76">
        <f>_xlfn.IFERROR(K594/H594,"N/A")</f>
        <v>-182.149670552414</v>
      </c>
      <c r="M594" s="109">
        <f>IF('Settings'!$E$9="YAHOO",VLOOKUP(B594,'ADP'!A1:E665,2,FALSE),IF('Settings'!$E$9="ESPN",VLOOKUP(B594,'ADP'!A1:E665,3,FALSE),IF('Settings'!$E$9="FANTRAX",VLOOKUP(B594,'ADP'!A1:E665,4,FALSE),VLOOKUP(B594,'ADP'!A1:E665,5,FALSE))))</f>
        <v>0</v>
      </c>
      <c r="N594" s="79">
        <f>_xlfn.IFERROR(M594-A594,"N/A")</f>
        <v>-590</v>
      </c>
      <c r="O594" s="77"/>
      <c r="P594" t="s" s="78">
        <f>IF('Settings'!$E$27="ON",VLOOKUP(B594,'ADP'!A1:H665,8,FALSE)," ")</f>
        <v>138</v>
      </c>
      <c r="Q594" s="79">
        <f>IF('Settings'!$E$12="YES",VLOOKUP(B594,'Player Data'!A1:E667,5,FALSE),82)</f>
        <v>77.9325</v>
      </c>
      <c r="R594" s="108">
        <f>VLOOKUP(B594,'Player Data'!$A1:$AE667,6,FALSE)</f>
        <v>12.5745320463672</v>
      </c>
      <c r="S594" s="79">
        <f>VLOOKUP(B594,'Player Data'!$A1:$AE667,7,FALSE)*$Q594*_xlfn.IFERROR((VLOOKUP(P594,'Settings'!$E$28:$F$33,2,FALSE)+1),1)</f>
        <v>8.070182830871969</v>
      </c>
      <c r="T594" s="79">
        <f>VLOOKUP(B594,'Player Data'!$A1:$AE667,8,FALSE)*$Q594*_xlfn.IFERROR((VLOOKUP(P594,'Settings'!$E$28:$F$33,2,FALSE)+1),1)</f>
        <v>14.6932899765484</v>
      </c>
      <c r="U594" s="79">
        <f>SUM(S594:T594)</f>
        <v>22.7634728074204</v>
      </c>
      <c r="V594" s="79">
        <f>VLOOKUP(B594,'Player Data'!$A1:$AE667,10,FALSE)*$Q594*_xlfn.IFERROR(((VLOOKUP(P594,'Settings'!$E$28:$F$33,2,FALSE)/2)+1),1)</f>
        <v>102.176339399113</v>
      </c>
      <c r="W594" s="79">
        <f>VLOOKUP(B594,'Player Data'!$A1:$AE667,11,FALSE)*$Q594*_xlfn.IFERROR((VLOOKUP(P594,'Settings'!$E$28:$F$33,2,FALSE)+1),1)</f>
        <v>0.52690182824901</v>
      </c>
      <c r="X594" s="79">
        <f>VLOOKUP(B594,'Player Data'!$A1:$AE667,12,FALSE)*$Q594*_xlfn.IFERROR((VLOOKUP(P594,'Settings'!$E$28:$F$33,2,FALSE)+1),1)</f>
        <v>1.46544800365433</v>
      </c>
      <c r="Y594" s="79">
        <f>VLOOKUP(B594,'Player Data'!$A1:$AE667,13,FALSE)*$Q594</f>
        <v>0.41007886269721</v>
      </c>
      <c r="Z594" s="79">
        <f>VLOOKUP(B594,'Player Data'!$A1:$AE667,14,FALSE)*$Q594</f>
        <v>0.69149546573992</v>
      </c>
      <c r="AA594" s="79">
        <f>VLOOKUP(B594,'Player Data'!$A1:$AE667,15,FALSE)*$Q594</f>
        <v>26.6877274052156</v>
      </c>
      <c r="AB594" s="79">
        <f>VLOOKUP(B594,'Player Data'!$A1:$AE667,16,FALSE)*$Q594</f>
        <v>78.9555822800463</v>
      </c>
      <c r="AC594" s="79">
        <f>VLOOKUP(B594,'Player Data'!$A1:$AE667,17,FALSE)*$Q594*_xlfn.IFERROR((VLOOKUP(P594,'Settings'!$E$28:$F$33,2,FALSE)+1),1)</f>
        <v>-4.83076340968979</v>
      </c>
      <c r="AD594" s="79">
        <f>VLOOKUP(B594,'Player Data'!$A1:$AE667,18,FALSE)*$Q594</f>
        <v>18.7199509420937</v>
      </c>
      <c r="AE594" s="79">
        <f>VLOOKUP(B594,'Player Data'!$A1:$AE667,19,FALSE)*$Q594*_xlfn.IFERROR((VLOOKUP(P594,'Settings'!$E$28:$F$33,2,FALSE)+1),1)</f>
        <v>0.971602345045808</v>
      </c>
      <c r="AF594" s="79">
        <f>VLOOKUP(B594,'Player Data'!$A1:$AE667,20,FALSE)*$Q594</f>
        <v>14.1174426380304</v>
      </c>
      <c r="AG594" s="79">
        <f>VLOOKUP(B594,'Player Data'!$A1:$AE667,21,FALSE)*$Q594</f>
        <v>23.6449207157015</v>
      </c>
      <c r="AH594" s="81">
        <f>VLOOKUP(B594,'Player Data'!$A1:$AE667,22,FALSE)</f>
        <v>0.373849552417783</v>
      </c>
      <c r="AI594" s="77"/>
      <c r="AJ594" s="79"/>
      <c r="AK594" s="79"/>
      <c r="AL594" s="79"/>
      <c r="AM594" s="79"/>
      <c r="AN594" s="79"/>
      <c r="AO594" s="79"/>
      <c r="AP594" s="79"/>
      <c r="AQ594" s="82"/>
      <c r="AR594" s="83"/>
      <c r="AS594" s="84"/>
    </row>
    <row r="595" ht="21.25" customHeight="1">
      <c r="A595" s="85">
        <f>RANK(K595,K$1:K$665)</f>
        <v>575</v>
      </c>
      <c r="B595" t="s" s="16">
        <v>785</v>
      </c>
      <c r="C595" t="s" s="69">
        <v>127</v>
      </c>
      <c r="D595" t="s" s="70">
        <f>VLOOKUP(B595,'Player Data'!A1:D667,4,FALSE)</f>
        <v>153</v>
      </c>
      <c r="E595" s="95">
        <f>VLOOKUP(B595,'D'!A1:C213,3,FALSE)</f>
        <v>188</v>
      </c>
      <c r="F595" t="s" s="104">
        <f>VLOOKUP(B595,'Player Data'!A1:B667,2,FALSE)</f>
        <v>271</v>
      </c>
      <c r="G595" s="96">
        <f>VLOOKUP(B595,'Player Data'!A1:D667,3,FALSE)</f>
        <v>24</v>
      </c>
      <c r="H595" s="73">
        <f>_xlfn.IFERROR(VLOOKUP(B595,'ADP'!A1:G665,7,FALSE)/1000000,VLOOKUP(B595,'ADP'!A1:G665,7,FALSE))</f>
        <v>0.8</v>
      </c>
      <c r="I595" s="74">
        <f>IF('Settings'!$E$15="POINTS",((R595*Q595)*'Settings'!$B$12)+(S595*'Settings'!$B$2)+(T595*'Settings'!$B$3)+(U595*'Settings'!$B$4)+(V595*'Settings'!$B$5)+(X595*'Settings'!$B$9)+(AA595*'Settings'!$B$6)+(W595*'Settings'!$B$8)+(AB595*'Settings'!$B$7)+(AC595*'Settings'!$B$14)+(AD595*'Settings'!$B$15)+(AE595*'Settings'!$B$16)+(AF595*'Settings'!$B$17)+(AG595*'Settings'!$B$18)+(U595*'Settings'!$B$13)+(Y595*'Settings'!$B$10)+(Z595*'Settings'!$B$11),VLOOKUP(B595,'Standard Deviations'!A1:C666,3,FALSE))</f>
        <v>153.953932629296</v>
      </c>
      <c r="J595" s="75">
        <f>IF(D595="G",I595/AJ595,I595/Q595)</f>
        <v>2.3985967535919</v>
      </c>
      <c r="K595" s="74">
        <f>VLOOKUP(B595,'D'!A1:F213,6,FALSE)</f>
        <v>-177.586275290786</v>
      </c>
      <c r="L595" s="76">
        <f>_xlfn.IFERROR(K595/H595,"N/A")</f>
        <v>-221.982844113483</v>
      </c>
      <c r="M595" s="109">
        <f>IF('Settings'!$E$9="YAHOO",VLOOKUP(B595,'ADP'!A1:E665,2,FALSE),IF('Settings'!$E$9="ESPN",VLOOKUP(B595,'ADP'!A1:E665,3,FALSE),IF('Settings'!$E$9="FANTRAX",VLOOKUP(B595,'ADP'!A1:E665,4,FALSE),VLOOKUP(B595,'ADP'!A1:E665,5,FALSE))))</f>
        <v>0</v>
      </c>
      <c r="N595" s="79">
        <f>_xlfn.IFERROR(M595-A595,"N/A")</f>
        <v>-575</v>
      </c>
      <c r="O595" s="77"/>
      <c r="P595" t="s" s="78">
        <f>IF('Settings'!$E$27="ON",VLOOKUP(B595,'ADP'!A1:H665,8,FALSE)," ")</f>
        <v>138</v>
      </c>
      <c r="Q595" s="79">
        <f>IF('Settings'!$E$12="YES",VLOOKUP(B595,'Player Data'!A1:E667,5,FALSE),82)</f>
        <v>64.185</v>
      </c>
      <c r="R595" s="77">
        <f>VLOOKUP(B595,'Player Data'!$A1:$AE667,6,FALSE)</f>
        <v>16.4893215651033</v>
      </c>
      <c r="S595" s="79">
        <f>VLOOKUP(B595,'Player Data'!$A1:$AE667,7,FALSE)*$Q595*_xlfn.IFERROR((VLOOKUP(P595,'Settings'!$E$28:$F$33,2,FALSE)+1),1)</f>
        <v>2.40355889999202</v>
      </c>
      <c r="T595" s="79">
        <f>VLOOKUP(B595,'Player Data'!$A1:$AE667,8,FALSE)*$Q595*_xlfn.IFERROR((VLOOKUP(P595,'Settings'!$E$28:$F$33,2,FALSE)+1),1)</f>
        <v>10.9868133297214</v>
      </c>
      <c r="U595" s="79">
        <f>SUM(S595:T595)</f>
        <v>13.3903722297134</v>
      </c>
      <c r="V595" s="79">
        <f>VLOOKUP(B595,'Player Data'!$A1:$AE667,10,FALSE)*$Q595*_xlfn.IFERROR(((VLOOKUP(P595,'Settings'!$E$28:$F$33,2,FALSE)/2)+1),1)</f>
        <v>54.9565920075883</v>
      </c>
      <c r="W595" s="79">
        <f>VLOOKUP(B595,'Player Data'!$A1:$AE667,11,FALSE)*$Q595*_xlfn.IFERROR((VLOOKUP(P595,'Settings'!$E$28:$F$33,2,FALSE)+1),1)</f>
        <v>0.0157382267202211</v>
      </c>
      <c r="X595" s="79">
        <f>VLOOKUP(B595,'Player Data'!$A1:$AE667,12,FALSE)*$Q595*_xlfn.IFERROR((VLOOKUP(P595,'Settings'!$E$28:$F$33,2,FALSE)+1),1)</f>
        <v>0.0992684647234091</v>
      </c>
      <c r="Y595" s="79">
        <f>VLOOKUP(B595,'Player Data'!$A1:$AE667,13,FALSE)*$Q595</f>
        <v>0.01042017616089</v>
      </c>
      <c r="Z595" s="79">
        <f>VLOOKUP(B595,'Player Data'!$A1:$AE667,14,FALSE)*$Q595</f>
        <v>0.0507992154956438</v>
      </c>
      <c r="AA595" s="79">
        <f>VLOOKUP(B595,'Player Data'!$A1:$AE667,15,FALSE)*$Q595</f>
        <v>93.33914988182821</v>
      </c>
      <c r="AB595" s="79">
        <f>VLOOKUP(B595,'Player Data'!$A1:$AE667,16,FALSE)*$Q595</f>
        <v>77.4374004647777</v>
      </c>
      <c r="AC595" s="79">
        <f>VLOOKUP(B595,'Player Data'!$A1:$AE667,17,FALSE)*$Q595*_xlfn.IFERROR((VLOOKUP(P595,'Settings'!$E$28:$F$33,2,FALSE)+1),1)</f>
        <v>-3.27809514980544</v>
      </c>
      <c r="AD595" s="79">
        <f>VLOOKUP(B595,'Player Data'!$A1:$AE667,18,FALSE)*$Q595</f>
        <v>22.7478862502062</v>
      </c>
      <c r="AE595" s="79">
        <f>VLOOKUP(B595,'Player Data'!$A1:$AE667,19,FALSE)*$Q595*_xlfn.IFERROR((VLOOKUP(P595,'Settings'!$E$28:$F$33,2,FALSE)+1),1)</f>
        <v>0.289374294564235</v>
      </c>
      <c r="AF595" s="79">
        <f>VLOOKUP(B595,'Player Data'!$A1:$AE667,20,FALSE)*$Q595</f>
        <v>0</v>
      </c>
      <c r="AG595" s="79">
        <f>VLOOKUP(B595,'Player Data'!$A1:$AE667,21,FALSE)*$Q595</f>
        <v>0</v>
      </c>
      <c r="AH595" s="81">
        <f>VLOOKUP(B595,'Player Data'!$A1:$AE667,22,FALSE)</f>
        <v>0</v>
      </c>
      <c r="AI595" s="77"/>
      <c r="AJ595" s="89"/>
      <c r="AK595" s="79"/>
      <c r="AL595" s="79"/>
      <c r="AM595" s="79"/>
      <c r="AN595" s="79"/>
      <c r="AO595" s="79"/>
      <c r="AP595" s="79"/>
      <c r="AQ595" s="82"/>
      <c r="AR595" s="83"/>
      <c r="AS595" s="84"/>
    </row>
    <row r="596" ht="21.25" customHeight="1">
      <c r="A596" s="85">
        <f>RANK(K596,K$1:K$665)</f>
        <v>608</v>
      </c>
      <c r="B596" t="s" s="16">
        <v>786</v>
      </c>
      <c r="C596" t="s" s="69">
        <v>127</v>
      </c>
      <c r="D596" t="s" s="70">
        <f>VLOOKUP(B596,'Player Data'!A1:D667,4,FALSE)</f>
        <v>128</v>
      </c>
      <c r="E596" s="71">
        <f>VLOOKUP(B596,'C'!A1:C206,3,FALSE)</f>
        <v>186</v>
      </c>
      <c r="F596" t="s" s="78">
        <f>VLOOKUP(B596,'Player Data'!A1:B667,2,FALSE)</f>
        <v>204</v>
      </c>
      <c r="G596" s="11">
        <f>VLOOKUP(B596,'Player Data'!A1:D667,3,FALSE)</f>
        <v>26</v>
      </c>
      <c r="H596" s="94">
        <f>_xlfn.IFERROR(VLOOKUP(B596,'ADP'!A1:G665,7,FALSE)/1000000,VLOOKUP(B596,'ADP'!A1:G665,7,FALSE))</f>
        <v>1.2</v>
      </c>
      <c r="I596" s="74">
        <f>IF('Settings'!$E$15="POINTS",((R596*Q596)*'Settings'!$B$12)+(S596*'Settings'!$B$2)+(T596*'Settings'!$B$3)+(U596*'Settings'!$B$4)+(V596*'Settings'!$B$5)+(X596*'Settings'!$B$9)+(AA596*'Settings'!$B$6)+(W596*'Settings'!$B$8)+(AB596*'Settings'!$B$7)+(AC596*'Settings'!$B$14)+(AD596*'Settings'!$B$15)+(AE596*'Settings'!$B$16)+(AF596*'Settings'!$B$17)+(AG596*'Settings'!$B$18)+(Y596*'Settings'!$B$10)+(Z596*'Settings'!$B$11),VLOOKUP(B596,'Standard Deviations'!A1:C666,3,FALSE))</f>
        <v>141.892895643532</v>
      </c>
      <c r="J596" s="75">
        <f>IF(D596="G",I596/AJ596,I596/Q596)</f>
        <v>1.83312312697542</v>
      </c>
      <c r="K596" s="74">
        <f>IF('Settings'!$E$18="C/LW/RW",VLOOKUP(B596,'C'!A1:F206,6,FALSE),VLOOKUP(B596,'F'!A1:F392,6,FALSE))</f>
        <v>-187.798998437646</v>
      </c>
      <c r="L596" s="76">
        <f>_xlfn.IFERROR(K596/H596,"N/A")</f>
        <v>-156.499165364705</v>
      </c>
      <c r="M596" s="109">
        <f>IF('Settings'!$E$9="YAHOO",VLOOKUP(B596,'ADP'!A1:E665,2,FALSE),IF('Settings'!$E$9="ESPN",VLOOKUP(B596,'ADP'!A1:E665,3,FALSE),IF('Settings'!$E$9="FANTRAX",VLOOKUP(B596,'ADP'!A1:E665,4,FALSE),VLOOKUP(B596,'ADP'!A1:E665,5,FALSE))))</f>
        <v>0</v>
      </c>
      <c r="N596" s="79">
        <f>_xlfn.IFERROR(M596-A596,"N/A")</f>
        <v>-608</v>
      </c>
      <c r="O596" s="77"/>
      <c r="P596" t="s" s="78">
        <f>IF('Settings'!$E$27="ON",VLOOKUP(B596,'ADP'!A1:H665,8,FALSE)," ")</f>
        <v>138</v>
      </c>
      <c r="Q596" s="79">
        <f>IF('Settings'!$E$12="YES",VLOOKUP(B596,'Player Data'!A1:E667,5,FALSE),82)</f>
        <v>77.405</v>
      </c>
      <c r="R596" s="77">
        <f>VLOOKUP(B596,'Player Data'!$A1:$AE667,6,FALSE)</f>
        <v>12.6733370376804</v>
      </c>
      <c r="S596" s="79">
        <f>VLOOKUP(B596,'Player Data'!$A1:$AE667,7,FALSE)*$Q596*_xlfn.IFERROR((VLOOKUP(P596,'Settings'!$E$28:$F$33,2,FALSE)+1),1)</f>
        <v>8.978282305571881</v>
      </c>
      <c r="T596" s="79">
        <f>VLOOKUP(B596,'Player Data'!$A1:$AE667,8,FALSE)*$Q596*_xlfn.IFERROR((VLOOKUP(P596,'Settings'!$E$28:$F$33,2,FALSE)+1),1)</f>
        <v>13.9932069205055</v>
      </c>
      <c r="U596" s="79">
        <f>SUM(S596:T596)</f>
        <v>22.9714892260774</v>
      </c>
      <c r="V596" s="79">
        <f>VLOOKUP(B596,'Player Data'!$A1:$AE667,10,FALSE)*$Q596*_xlfn.IFERROR(((VLOOKUP(P596,'Settings'!$E$28:$F$33,2,FALSE)/2)+1),1)</f>
        <v>83.5835360678666</v>
      </c>
      <c r="W596" s="79">
        <f>VLOOKUP(B596,'Player Data'!$A1:$AE667,11,FALSE)*$Q596*_xlfn.IFERROR((VLOOKUP(P596,'Settings'!$E$28:$F$33,2,FALSE)+1),1)</f>
        <v>0.0419660702196277</v>
      </c>
      <c r="X596" s="79">
        <f>VLOOKUP(B596,'Player Data'!$A1:$AE667,12,FALSE)*$Q596*_xlfn.IFERROR((VLOOKUP(P596,'Settings'!$E$28:$F$33,2,FALSE)+1),1)</f>
        <v>0.191622835562131</v>
      </c>
      <c r="Y596" s="79">
        <f>VLOOKUP(B596,'Player Data'!$A1:$AE667,13,FALSE)*$Q596</f>
        <v>1.28259416781194</v>
      </c>
      <c r="Z596" s="79">
        <f>VLOOKUP(B596,'Player Data'!$A1:$AE667,14,FALSE)*$Q596</f>
        <v>2.16910223613051</v>
      </c>
      <c r="AA596" s="79">
        <f>VLOOKUP(B596,'Player Data'!$A1:$AE667,15,FALSE)*$Q596</f>
        <v>30.1873065064867</v>
      </c>
      <c r="AB596" s="79">
        <f>VLOOKUP(B596,'Player Data'!$A1:$AE667,16,FALSE)*$Q596</f>
        <v>63.3931279653316</v>
      </c>
      <c r="AC596" s="79">
        <f>VLOOKUP(B596,'Player Data'!$A1:$AE667,17,FALSE)*$Q596*_xlfn.IFERROR((VLOOKUP(P596,'Settings'!$E$28:$F$33,2,FALSE)+1),1)</f>
        <v>3.7210787812926</v>
      </c>
      <c r="AD596" s="79">
        <f>VLOOKUP(B596,'Player Data'!$A1:$AE667,18,FALSE)*$Q596</f>
        <v>23.581170381169</v>
      </c>
      <c r="AE596" s="79">
        <f>VLOOKUP(B596,'Player Data'!$A1:$AE667,19,FALSE)*$Q596*_xlfn.IFERROR((VLOOKUP(P596,'Settings'!$E$28:$F$33,2,FALSE)+1),1)</f>
        <v>1.4357953582396</v>
      </c>
      <c r="AF596" s="79">
        <f>VLOOKUP(B596,'Player Data'!$A1:$AE667,20,FALSE)*$Q596</f>
        <v>140.981498515329</v>
      </c>
      <c r="AG596" s="79">
        <f>VLOOKUP(B596,'Player Data'!$A1:$AE667,21,FALSE)*$Q596</f>
        <v>157.904629930618</v>
      </c>
      <c r="AH596" s="81">
        <f>VLOOKUP(B596,'Player Data'!$A1:$AE667,22,FALSE)</f>
        <v>0.471689667393934</v>
      </c>
      <c r="AI596" s="77"/>
      <c r="AJ596" s="79"/>
      <c r="AK596" s="79"/>
      <c r="AL596" s="79"/>
      <c r="AM596" s="79"/>
      <c r="AN596" s="79"/>
      <c r="AO596" s="79"/>
      <c r="AP596" s="79"/>
      <c r="AQ596" s="82"/>
      <c r="AR596" s="83"/>
      <c r="AS596" s="84"/>
    </row>
    <row r="597" ht="21.25" customHeight="1">
      <c r="A597" s="85">
        <f>RANK(K597,K$1:K$665)</f>
        <v>592</v>
      </c>
      <c r="B597" t="s" s="16">
        <v>787</v>
      </c>
      <c r="C597" t="s" s="69">
        <v>127</v>
      </c>
      <c r="D597" t="s" s="70">
        <f>VLOOKUP(B597,'Player Data'!A1:D667,4,FALSE)</f>
        <v>140</v>
      </c>
      <c r="E597" s="90">
        <f>VLOOKUP(B597,'RW'!A1:F136,3,FALSE)</f>
        <v>121</v>
      </c>
      <c r="F597" t="s" s="78">
        <f>VLOOKUP(B597,'Player Data'!A1:B667,2,FALSE)</f>
        <v>204</v>
      </c>
      <c r="G597" s="91">
        <f>VLOOKUP(B597,'Player Data'!A1:D667,3,FALSE)</f>
        <v>35</v>
      </c>
      <c r="H597" s="94">
        <f>_xlfn.IFERROR(VLOOKUP(B597,'ADP'!A1:G665,7,FALSE)/1000000,VLOOKUP(B597,'ADP'!A1:G665,7,FALSE))</f>
        <v>2.25</v>
      </c>
      <c r="I597" s="74">
        <f>IF('Settings'!$E$15="POINTS",((R597*Q597)*'Settings'!$B$12)+(S597*'Settings'!$B$2)+(T597*'Settings'!$B$3)+(U597*'Settings'!$B$4)+(V597*'Settings'!$B$5)+(X597*'Settings'!$B$9)+(AA597*'Settings'!$B$6)+(W597*'Settings'!$B$8)+(AB597*'Settings'!$B$7)+(AC597*'Settings'!$B$14)+(AD597*'Settings'!$B$15)+(AE597*'Settings'!$B$16)+(AF597*'Settings'!$B$17)+(AG597*'Settings'!$B$18)+(Y597*'Settings'!$B$10)+(Z597*'Settings'!$B$11),VLOOKUP(B597,'Standard Deviations'!A1:C666,3,FALSE))</f>
        <v>146.949916852469</v>
      </c>
      <c r="J597" s="75">
        <f>IF(D597="G",I597/AJ597,I597/Q597)</f>
        <v>1.9622101328945</v>
      </c>
      <c r="K597" s="74">
        <f>IF('Settings'!$E$18="C/LW/RW",VLOOKUP(B597,'RW'!A1:F136,6,FALSE),VLOOKUP(B597,'F'!A1:F392,6,FALSE))</f>
        <v>-182.741977228709</v>
      </c>
      <c r="L597" s="76">
        <f>_xlfn.IFERROR(K597/H597,"N/A")</f>
        <v>-81.2186565460929</v>
      </c>
      <c r="M597" s="109">
        <f>IF('Settings'!$E$9="YAHOO",VLOOKUP(B597,'ADP'!A1:E665,2,FALSE),IF('Settings'!$E$9="ESPN",VLOOKUP(B597,'ADP'!A1:E665,3,FALSE),IF('Settings'!$E$9="FANTRAX",VLOOKUP(B597,'ADP'!A1:E665,4,FALSE),VLOOKUP(B597,'ADP'!A1:E665,5,FALSE))))</f>
        <v>0</v>
      </c>
      <c r="N597" s="79">
        <f>_xlfn.IFERROR(M597-A597,"N/A")</f>
        <v>-592</v>
      </c>
      <c r="O597" s="77"/>
      <c r="P597" t="s" s="78">
        <f>IF('Settings'!$E$27="ON",VLOOKUP(B597,'ADP'!A1:H665,8,FALSE)," ")</f>
        <v>138</v>
      </c>
      <c r="Q597" s="79">
        <f>IF('Settings'!$E$12="YES",VLOOKUP(B597,'Player Data'!A1:E667,5,FALSE),82)</f>
        <v>74.89</v>
      </c>
      <c r="R597" s="77">
        <f>VLOOKUP(B597,'Player Data'!$A1:$AE667,6,FALSE)</f>
        <v>12.3980371184936</v>
      </c>
      <c r="S597" s="79">
        <f>VLOOKUP(B597,'Player Data'!$A1:$AE667,7,FALSE)*$Q597*_xlfn.IFERROR((VLOOKUP(P597,'Settings'!$E$28:$F$33,2,FALSE)+1),1)</f>
        <v>10.9435161113819</v>
      </c>
      <c r="T597" s="79">
        <f>VLOOKUP(B597,'Player Data'!$A1:$AE667,8,FALSE)*$Q597*_xlfn.IFERROR((VLOOKUP(P597,'Settings'!$E$28:$F$33,2,FALSE)+1),1)</f>
        <v>16.6923343138833</v>
      </c>
      <c r="U597" s="79">
        <f>SUM(S597:T597)</f>
        <v>27.6358504252652</v>
      </c>
      <c r="V597" s="79">
        <f>VLOOKUP(B597,'Player Data'!$A1:$AE667,10,FALSE)*$Q597*_xlfn.IFERROR(((VLOOKUP(P597,'Settings'!$E$28:$F$33,2,FALSE)/2)+1),1)</f>
        <v>101.722921353732</v>
      </c>
      <c r="W597" s="79">
        <f>VLOOKUP(B597,'Player Data'!$A1:$AE667,11,FALSE)*$Q597*_xlfn.IFERROR((VLOOKUP(P597,'Settings'!$E$28:$F$33,2,FALSE)+1),1)</f>
        <v>0.922467216193538</v>
      </c>
      <c r="X597" s="79">
        <f>VLOOKUP(B597,'Player Data'!$A1:$AE667,12,FALSE)*$Q597*_xlfn.IFERROR((VLOOKUP(P597,'Settings'!$E$28:$F$33,2,FALSE)+1),1)</f>
        <v>2.76238714094416</v>
      </c>
      <c r="Y597" s="79">
        <f>VLOOKUP(B597,'Player Data'!$A1:$AE667,13,FALSE)*$Q597</f>
        <v>0.00186951016170061</v>
      </c>
      <c r="Z597" s="79">
        <f>VLOOKUP(B597,'Player Data'!$A1:$AE667,14,FALSE)*$Q597</f>
        <v>0.00323903152375313</v>
      </c>
      <c r="AA597" s="79">
        <f>VLOOKUP(B597,'Player Data'!$A1:$AE667,15,FALSE)*$Q597</f>
        <v>30.7182072948869</v>
      </c>
      <c r="AB597" s="79">
        <f>VLOOKUP(B597,'Player Data'!$A1:$AE667,16,FALSE)*$Q597</f>
        <v>50.7689919707022</v>
      </c>
      <c r="AC597" s="79">
        <f>VLOOKUP(B597,'Player Data'!$A1:$AE667,17,FALSE)*$Q597*_xlfn.IFERROR((VLOOKUP(P597,'Settings'!$E$28:$F$33,2,FALSE)+1),1)</f>
        <v>3.50201418917429</v>
      </c>
      <c r="AD597" s="79">
        <f>VLOOKUP(B597,'Player Data'!$A1:$AE667,18,FALSE)*$Q597</f>
        <v>17.0553789480531</v>
      </c>
      <c r="AE597" s="79">
        <f>VLOOKUP(B597,'Player Data'!$A1:$AE667,19,FALSE)*$Q597*_xlfn.IFERROR((VLOOKUP(P597,'Settings'!$E$28:$F$33,2,FALSE)+1),1)</f>
        <v>1.75007302073708</v>
      </c>
      <c r="AF597" s="79">
        <f>VLOOKUP(B597,'Player Data'!$A1:$AE667,20,FALSE)*$Q597</f>
        <v>0.868611298374118</v>
      </c>
      <c r="AG597" s="79">
        <f>VLOOKUP(B597,'Player Data'!$A1:$AE667,21,FALSE)*$Q597</f>
        <v>4.53424661738467</v>
      </c>
      <c r="AH597" s="81">
        <f>VLOOKUP(B597,'Player Data'!$A1:$AE667,22,FALSE)</f>
        <v>0.160768858244559</v>
      </c>
      <c r="AI597" s="77"/>
      <c r="AJ597" s="89"/>
      <c r="AK597" s="79"/>
      <c r="AL597" s="79"/>
      <c r="AM597" s="79"/>
      <c r="AN597" s="79"/>
      <c r="AO597" s="79"/>
      <c r="AP597" s="79"/>
      <c r="AQ597" s="82"/>
      <c r="AR597" s="83"/>
      <c r="AS597" s="93"/>
    </row>
    <row r="598" ht="21.25" customHeight="1">
      <c r="A598" s="85">
        <f>RANK(K598,K$1:K$665)</f>
        <v>576</v>
      </c>
      <c r="B598" t="s" s="16">
        <v>788</v>
      </c>
      <c r="C598" t="s" s="69">
        <v>127</v>
      </c>
      <c r="D598" t="s" s="70">
        <f>VLOOKUP(B598,'Player Data'!A1:D667,4,FALSE)</f>
        <v>153</v>
      </c>
      <c r="E598" s="95">
        <f>VLOOKUP(B598,'D'!A1:C213,3,FALSE)</f>
        <v>189</v>
      </c>
      <c r="F598" t="s" s="104">
        <f>VLOOKUP(B598,'Player Data'!A1:B667,2,FALSE)</f>
        <v>281</v>
      </c>
      <c r="G598" s="96">
        <f>VLOOKUP(B598,'Player Data'!A1:D667,3,FALSE)</f>
        <v>20</v>
      </c>
      <c r="H598" s="73">
        <f>_xlfn.IFERROR(VLOOKUP(B598,'ADP'!A1:G665,7,FALSE)/1000000,VLOOKUP(B598,'ADP'!A1:G665,7,FALSE))</f>
        <v>0.9183</v>
      </c>
      <c r="I598" s="74">
        <f>IF('Settings'!$E$15="POINTS",((R598*Q598)*'Settings'!$B$12)+(S598*'Settings'!$B$2)+(T598*'Settings'!$B$3)+(U598*'Settings'!$B$4)+(V598*'Settings'!$B$5)+(X598*'Settings'!$B$9)+(AA598*'Settings'!$B$6)+(W598*'Settings'!$B$8)+(AB598*'Settings'!$B$7)+(AC598*'Settings'!$B$14)+(AD598*'Settings'!$B$15)+(AE598*'Settings'!$B$16)+(AF598*'Settings'!$B$17)+(AG598*'Settings'!$B$18)+(U598*'Settings'!$B$13)+(Y598*'Settings'!$B$10)+(Z598*'Settings'!$B$11),VLOOKUP(B598,'Standard Deviations'!A1:C666,3,FALSE))</f>
        <v>153.223315641723</v>
      </c>
      <c r="J598" s="75">
        <f>IF(D598="G",I598/AJ598,I598/Q598)</f>
        <v>2.327030384110</v>
      </c>
      <c r="K598" s="74">
        <f>VLOOKUP(B598,'D'!A1:F213,6,FALSE)</f>
        <v>-178.316892278359</v>
      </c>
      <c r="L598" s="76">
        <f>_xlfn.IFERROR(K598/H598,"N/A")</f>
        <v>-194.181522681432</v>
      </c>
      <c r="M598" s="109">
        <f>IF('Settings'!$E$9="YAHOO",VLOOKUP(B598,'ADP'!A1:E665,2,FALSE),IF('Settings'!$E$9="ESPN",VLOOKUP(B598,'ADP'!A1:E665,3,FALSE),IF('Settings'!$E$9="FANTRAX",VLOOKUP(B598,'ADP'!A1:E665,4,FALSE),VLOOKUP(B598,'ADP'!A1:E665,5,FALSE))))</f>
        <v>0</v>
      </c>
      <c r="N598" s="79">
        <f>_xlfn.IFERROR(M598-A598,"N/A")</f>
        <v>-576</v>
      </c>
      <c r="O598" s="77"/>
      <c r="P598" t="s" s="78">
        <f>IF('Settings'!$E$27="ON",VLOOKUP(B598,'ADP'!A1:H665,8,FALSE)," ")</f>
        <v>138</v>
      </c>
      <c r="Q598" s="79">
        <f>IF('Settings'!$E$12="YES",VLOOKUP(B598,'Player Data'!A1:E667,5,FALSE),82)</f>
        <v>65.845</v>
      </c>
      <c r="R598" s="98">
        <f>VLOOKUP(B598,'Player Data'!$A1:$AE667,6,FALSE)</f>
        <v>16.6571348363482</v>
      </c>
      <c r="S598" s="79">
        <f>VLOOKUP(B598,'Player Data'!$A1:$AE667,7,FALSE)*$Q598*_xlfn.IFERROR((VLOOKUP(P598,'Settings'!$E$28:$F$33,2,FALSE)+1),1)</f>
        <v>2.54753553683151</v>
      </c>
      <c r="T598" s="79">
        <f>VLOOKUP(B598,'Player Data'!$A1:$AE667,8,FALSE)*$Q598*_xlfn.IFERROR((VLOOKUP(P598,'Settings'!$E$28:$F$33,2,FALSE)+1),1)</f>
        <v>14.2111318051543</v>
      </c>
      <c r="U598" s="79">
        <f>SUM(S598:T598)</f>
        <v>16.7586673419858</v>
      </c>
      <c r="V598" s="79">
        <f>VLOOKUP(B598,'Player Data'!$A1:$AE667,10,FALSE)*$Q598*_xlfn.IFERROR(((VLOOKUP(P598,'Settings'!$E$28:$F$33,2,FALSE)/2)+1),1)</f>
        <v>69.89326252489479</v>
      </c>
      <c r="W598" s="79">
        <f>VLOOKUP(B598,'Player Data'!$A1:$AE667,11,FALSE)*$Q598*_xlfn.IFERROR((VLOOKUP(P598,'Settings'!$E$28:$F$33,2,FALSE)+1),1)</f>
        <v>0.00531088017057783</v>
      </c>
      <c r="X598" s="79">
        <f>VLOOKUP(B598,'Player Data'!$A1:$AE667,12,FALSE)*$Q598*_xlfn.IFERROR((VLOOKUP(P598,'Settings'!$E$28:$F$33,2,FALSE)+1),1)</f>
        <v>0.0327596252286185</v>
      </c>
      <c r="Y598" s="79">
        <f>VLOOKUP(B598,'Player Data'!$A1:$AE667,13,FALSE)*$Q598</f>
        <v>0.00842532395452791</v>
      </c>
      <c r="Z598" s="79">
        <f>VLOOKUP(B598,'Player Data'!$A1:$AE667,14,FALSE)*$Q598</f>
        <v>0.0401684863979338</v>
      </c>
      <c r="AA598" s="79">
        <f>VLOOKUP(B598,'Player Data'!$A1:$AE667,15,FALSE)*$Q598</f>
        <v>84.22185031691841</v>
      </c>
      <c r="AB598" s="79">
        <f>VLOOKUP(B598,'Player Data'!$A1:$AE667,16,FALSE)*$Q598</f>
        <v>67.05034133502519</v>
      </c>
      <c r="AC598" s="79">
        <f>VLOOKUP(B598,'Player Data'!$A1:$AE667,17,FALSE)*$Q598*_xlfn.IFERROR((VLOOKUP(P598,'Settings'!$E$28:$F$33,2,FALSE)+1),1)</f>
        <v>-6.47018795927444</v>
      </c>
      <c r="AD598" s="79">
        <f>VLOOKUP(B598,'Player Data'!$A1:$AE667,18,FALSE)*$Q598</f>
        <v>31.8970842158745</v>
      </c>
      <c r="AE598" s="79">
        <f>VLOOKUP(B598,'Player Data'!$A1:$AE667,19,FALSE)*$Q598*_xlfn.IFERROR((VLOOKUP(P598,'Settings'!$E$28:$F$33,2,FALSE)+1),1)</f>
        <v>0.28171755923065</v>
      </c>
      <c r="AF598" s="79">
        <f>VLOOKUP(B598,'Player Data'!$A1:$AE667,20,FALSE)*$Q598</f>
        <v>0</v>
      </c>
      <c r="AG598" s="79">
        <f>VLOOKUP(B598,'Player Data'!$A1:$AE667,21,FALSE)*$Q598</f>
        <v>0</v>
      </c>
      <c r="AH598" s="81">
        <f>VLOOKUP(B598,'Player Data'!$A1:$AE667,22,FALSE)</f>
        <v>0</v>
      </c>
      <c r="AI598" s="77"/>
      <c r="AJ598" s="79"/>
      <c r="AK598" s="79"/>
      <c r="AL598" s="79"/>
      <c r="AM598" s="79"/>
      <c r="AN598" s="79"/>
      <c r="AO598" s="79"/>
      <c r="AP598" s="79"/>
      <c r="AQ598" s="82"/>
      <c r="AR598" s="83"/>
      <c r="AS598" s="84"/>
    </row>
    <row r="599" ht="21.25" customHeight="1">
      <c r="A599" s="85">
        <f>RANK(K599,K$1:K$665)</f>
        <v>600</v>
      </c>
      <c r="B599" t="s" s="16">
        <v>789</v>
      </c>
      <c r="C599" t="s" s="69">
        <v>127</v>
      </c>
      <c r="D599" t="s" s="70">
        <f>VLOOKUP(B599,'Player Data'!A1:D667,4,FALSE)</f>
        <v>140</v>
      </c>
      <c r="E599" s="90">
        <f>VLOOKUP(B599,'RW'!A1:F136,3,FALSE)</f>
        <v>122</v>
      </c>
      <c r="F599" t="s" s="103">
        <f>VLOOKUP(B599,'Player Data'!A1:B667,2,FALSE)</f>
        <v>227</v>
      </c>
      <c r="G599" s="91">
        <f>VLOOKUP(B599,'Player Data'!A1:D667,3,FALSE)</f>
        <v>32</v>
      </c>
      <c r="H599" s="94">
        <f>_xlfn.IFERROR(VLOOKUP(B599,'ADP'!A1:G665,7,FALSE)/1000000,VLOOKUP(B599,'ADP'!A1:G665,7,FALSE))</f>
        <v>2.4</v>
      </c>
      <c r="I599" s="74">
        <f>IF('Settings'!$E$15="POINTS",((R599*Q599)*'Settings'!$B$12)+(S599*'Settings'!$B$2)+(T599*'Settings'!$B$3)+(U599*'Settings'!$B$4)+(V599*'Settings'!$B$5)+(X599*'Settings'!$B$9)+(AA599*'Settings'!$B$6)+(W599*'Settings'!$B$8)+(AB599*'Settings'!$B$7)+(AC599*'Settings'!$B$14)+(AD599*'Settings'!$B$15)+(AE599*'Settings'!$B$16)+(AF599*'Settings'!$B$17)+(AG599*'Settings'!$B$18)+(Y599*'Settings'!$B$10)+(Z599*'Settings'!$B$11),VLOOKUP(B599,'Standard Deviations'!A1:C666,3,FALSE))</f>
        <v>145.771430783881</v>
      </c>
      <c r="J599" s="75">
        <f>IF(D599="G",I599/AJ599,I599/Q599)</f>
        <v>1.81856258970004</v>
      </c>
      <c r="K599" s="74">
        <f>IF('Settings'!$E$18="C/LW/RW",VLOOKUP(B599,'RW'!A1:F136,6,FALSE),VLOOKUP(B599,'F'!A1:F392,6,FALSE))</f>
        <v>-183.920463297297</v>
      </c>
      <c r="L599" s="76">
        <f>_xlfn.IFERROR(K599/H599,"N/A")</f>
        <v>-76.63352637387381</v>
      </c>
      <c r="M599" s="109">
        <f>IF('Settings'!$E$9="YAHOO",VLOOKUP(B599,'ADP'!A1:E665,2,FALSE),IF('Settings'!$E$9="ESPN",VLOOKUP(B599,'ADP'!A1:E665,3,FALSE),IF('Settings'!$E$9="FANTRAX",VLOOKUP(B599,'ADP'!A1:E665,4,FALSE),VLOOKUP(B599,'ADP'!A1:E665,5,FALSE))))</f>
        <v>0</v>
      </c>
      <c r="N599" s="79">
        <f>_xlfn.IFERROR(M599-A599,"N/A")</f>
        <v>-600</v>
      </c>
      <c r="O599" s="77"/>
      <c r="P599" t="s" s="78">
        <f>IF('Settings'!$E$27="ON",VLOOKUP(B599,'ADP'!A1:H665,8,FALSE)," ")</f>
        <v>138</v>
      </c>
      <c r="Q599" s="79">
        <f>IF('Settings'!$E$12="YES",VLOOKUP(B599,'Player Data'!A1:E667,5,FALSE),82)</f>
        <v>80.1575</v>
      </c>
      <c r="R599" s="77">
        <f>VLOOKUP(B599,'Player Data'!$A1:$AE667,6,FALSE)</f>
        <v>12.7040518410832</v>
      </c>
      <c r="S599" s="79">
        <f>VLOOKUP(B599,'Player Data'!$A1:$AE667,7,FALSE)*$Q599*_xlfn.IFERROR((VLOOKUP(P599,'Settings'!$E$28:$F$33,2,FALSE)+1),1)</f>
        <v>6.86728894548387</v>
      </c>
      <c r="T599" s="79">
        <f>VLOOKUP(B599,'Player Data'!$A1:$AE667,8,FALSE)*$Q599*_xlfn.IFERROR((VLOOKUP(P599,'Settings'!$E$28:$F$33,2,FALSE)+1),1)</f>
        <v>13.5866763292611</v>
      </c>
      <c r="U599" s="79">
        <f>SUM(S599:T599)</f>
        <v>20.453965274745</v>
      </c>
      <c r="V599" s="79">
        <f>VLOOKUP(B599,'Player Data'!$A1:$AE667,10,FALSE)*$Q599*_xlfn.IFERROR(((VLOOKUP(P599,'Settings'!$E$28:$F$33,2,FALSE)/2)+1),1)</f>
        <v>80.4691412577582</v>
      </c>
      <c r="W599" s="79">
        <f>VLOOKUP(B599,'Player Data'!$A1:$AE667,11,FALSE)*$Q599*_xlfn.IFERROR((VLOOKUP(P599,'Settings'!$E$28:$F$33,2,FALSE)+1),1)</f>
        <v>0.0544924390831659</v>
      </c>
      <c r="X599" s="79">
        <f>VLOOKUP(B599,'Player Data'!$A1:$AE667,12,FALSE)*$Q599*_xlfn.IFERROR((VLOOKUP(P599,'Settings'!$E$28:$F$33,2,FALSE)+1),1)</f>
        <v>0.129866346452716</v>
      </c>
      <c r="Y599" s="79">
        <f>VLOOKUP(B599,'Player Data'!$A1:$AE667,13,FALSE)*$Q599</f>
        <v>0.08121765642790391</v>
      </c>
      <c r="Z599" s="79">
        <f>VLOOKUP(B599,'Player Data'!$A1:$AE667,14,FALSE)*$Q599</f>
        <v>0.923629017778997</v>
      </c>
      <c r="AA599" s="79">
        <f>VLOOKUP(B599,'Player Data'!$A1:$AE667,15,FALSE)*$Q599</f>
        <v>30.8214434924422</v>
      </c>
      <c r="AB599" s="79">
        <f>VLOOKUP(B599,'Player Data'!$A1:$AE667,16,FALSE)*$Q599</f>
        <v>90.0830365168419</v>
      </c>
      <c r="AC599" s="79">
        <f>VLOOKUP(B599,'Player Data'!$A1:$AE667,17,FALSE)*$Q599*_xlfn.IFERROR((VLOOKUP(P599,'Settings'!$E$28:$F$33,2,FALSE)+1),1)</f>
        <v>5.88323311231315</v>
      </c>
      <c r="AD599" s="79">
        <f>VLOOKUP(B599,'Player Data'!$A1:$AE667,18,FALSE)*$Q599</f>
        <v>15.4686451932943</v>
      </c>
      <c r="AE599" s="79">
        <f>VLOOKUP(B599,'Player Data'!$A1:$AE667,19,FALSE)*$Q599*_xlfn.IFERROR((VLOOKUP(P599,'Settings'!$E$28:$F$33,2,FALSE)+1),1)</f>
        <v>1.19000219027798</v>
      </c>
      <c r="AF599" s="79">
        <f>VLOOKUP(B599,'Player Data'!$A1:$AE667,20,FALSE)*$Q599</f>
        <v>8.15062222403794</v>
      </c>
      <c r="AG599" s="79">
        <f>VLOOKUP(B599,'Player Data'!$A1:$AE667,21,FALSE)*$Q599</f>
        <v>11.3960603892292</v>
      </c>
      <c r="AH599" s="81">
        <f>VLOOKUP(B599,'Player Data'!$A1:$AE667,22,FALSE)</f>
        <v>0.416982379327413</v>
      </c>
      <c r="AI599" s="77"/>
      <c r="AJ599" s="79"/>
      <c r="AK599" s="79"/>
      <c r="AL599" s="79"/>
      <c r="AM599" s="79"/>
      <c r="AN599" s="79"/>
      <c r="AO599" s="79"/>
      <c r="AP599" s="79"/>
      <c r="AQ599" s="82"/>
      <c r="AR599" s="83"/>
      <c r="AS599" s="93"/>
    </row>
    <row r="600" ht="21.25" customHeight="1">
      <c r="A600" s="85">
        <f>RANK(K600,K$1:K$665)</f>
        <v>604</v>
      </c>
      <c r="B600" t="s" s="16">
        <v>790</v>
      </c>
      <c r="C600" t="s" s="69">
        <v>127</v>
      </c>
      <c r="D600" t="s" s="70">
        <f>VLOOKUP(B600,'Player Data'!A1:D667,4,FALSE)</f>
        <v>140</v>
      </c>
      <c r="E600" s="90">
        <f>VLOOKUP(B600,'RW'!A1:F136,3,FALSE)</f>
        <v>123</v>
      </c>
      <c r="F600" t="s" s="88">
        <f>VLOOKUP(B600,'Player Data'!A1:B667,2,FALSE)</f>
        <v>141</v>
      </c>
      <c r="G600" s="11">
        <f>VLOOKUP(B600,'Player Data'!A1:D667,3,FALSE)</f>
        <v>26</v>
      </c>
      <c r="H600" s="73">
        <f>_xlfn.IFERROR(VLOOKUP(B600,'ADP'!A1:G665,7,FALSE)/1000000,VLOOKUP(B600,'ADP'!A1:G665,7,FALSE))</f>
        <v>0.8</v>
      </c>
      <c r="I600" s="74">
        <f>IF('Settings'!$E$15="POINTS",((R600*Q600)*'Settings'!$B$12)+(S600*'Settings'!$B$2)+(T600*'Settings'!$B$3)+(U600*'Settings'!$B$4)+(V600*'Settings'!$B$5)+(X600*'Settings'!$B$9)+(AA600*'Settings'!$B$6)+(W600*'Settings'!$B$8)+(AB600*'Settings'!$B$7)+(AC600*'Settings'!$B$14)+(AD600*'Settings'!$B$15)+(AE600*'Settings'!$B$16)+(AF600*'Settings'!$B$17)+(AG600*'Settings'!$B$18)+(Y600*'Settings'!$B$10)+(Z600*'Settings'!$B$11),VLOOKUP(B600,'Standard Deviations'!A1:C666,3,FALSE))</f>
        <v>145.313318743979</v>
      </c>
      <c r="J600" s="75">
        <f>IF(D600="G",I600/AJ600,I600/Q600)</f>
        <v>2.403859697998</v>
      </c>
      <c r="K600" s="74">
        <f>IF('Settings'!$E$18="C/LW/RW",VLOOKUP(B600,'RW'!A1:F136,6,FALSE),VLOOKUP(B600,'F'!A1:F392,6,FALSE))</f>
        <v>-184.378575337199</v>
      </c>
      <c r="L600" s="76">
        <f>_xlfn.IFERROR(K600/H600,"N/A")</f>
        <v>-230.473219171499</v>
      </c>
      <c r="M600" s="109">
        <f>IF('Settings'!$E$9="YAHOO",VLOOKUP(B600,'ADP'!A1:E665,2,FALSE),IF('Settings'!$E$9="ESPN",VLOOKUP(B600,'ADP'!A1:E665,3,FALSE),IF('Settings'!$E$9="FANTRAX",VLOOKUP(B600,'ADP'!A1:E665,4,FALSE),VLOOKUP(B600,'ADP'!A1:E665,5,FALSE))))</f>
        <v>0</v>
      </c>
      <c r="N600" s="79">
        <f>_xlfn.IFERROR(M600-A600,"N/A")</f>
        <v>-604</v>
      </c>
      <c r="O600" s="77"/>
      <c r="P600" t="s" s="78">
        <f>IF('Settings'!$E$27="ON",VLOOKUP(B600,'ADP'!A1:H665,8,FALSE)," ")</f>
        <v>138</v>
      </c>
      <c r="Q600" s="79">
        <f>IF('Settings'!$E$12="YES",VLOOKUP(B600,'Player Data'!A1:E667,5,FALSE),82)</f>
        <v>60.45</v>
      </c>
      <c r="R600" s="108">
        <f>VLOOKUP(B600,'Player Data'!$A1:$AE667,6,FALSE)</f>
        <v>10.1667019581606</v>
      </c>
      <c r="S600" s="79">
        <f>VLOOKUP(B600,'Player Data'!$A1:$AE667,7,FALSE)*$Q600*_xlfn.IFERROR((VLOOKUP(P600,'Settings'!$E$28:$F$33,2,FALSE)+1),1)</f>
        <v>6.42759764948926</v>
      </c>
      <c r="T600" s="79">
        <f>VLOOKUP(B600,'Player Data'!$A1:$AE667,8,FALSE)*$Q600*_xlfn.IFERROR((VLOOKUP(P600,'Settings'!$E$28:$F$33,2,FALSE)+1),1)</f>
        <v>6.60773166384422</v>
      </c>
      <c r="U600" s="79">
        <f>SUM(S600:T600)</f>
        <v>13.0353293133335</v>
      </c>
      <c r="V600" s="79">
        <f>VLOOKUP(B600,'Player Data'!$A1:$AE667,10,FALSE)*$Q600*_xlfn.IFERROR(((VLOOKUP(P600,'Settings'!$E$28:$F$33,2,FALSE)/2)+1),1)</f>
        <v>52.0600319644612</v>
      </c>
      <c r="W600" s="79">
        <f>VLOOKUP(B600,'Player Data'!$A1:$AE667,11,FALSE)*$Q600*_xlfn.IFERROR((VLOOKUP(P600,'Settings'!$E$28:$F$33,2,FALSE)+1),1)</f>
        <v>0.0530868206287864</v>
      </c>
      <c r="X600" s="79">
        <f>VLOOKUP(B600,'Player Data'!$A1:$AE667,12,FALSE)*$Q600*_xlfn.IFERROR((VLOOKUP(P600,'Settings'!$E$28:$F$33,2,FALSE)+1),1)</f>
        <v>0.123343085367205</v>
      </c>
      <c r="Y600" s="79">
        <f>VLOOKUP(B600,'Player Data'!$A1:$AE667,13,FALSE)*$Q600</f>
        <v>0.031852785165575</v>
      </c>
      <c r="Z600" s="79">
        <f>VLOOKUP(B600,'Player Data'!$A1:$AE667,14,FALSE)*$Q600</f>
        <v>0.054218368008692</v>
      </c>
      <c r="AA600" s="79">
        <f>VLOOKUP(B600,'Player Data'!$A1:$AE667,15,FALSE)*$Q600</f>
        <v>32.4691810965146</v>
      </c>
      <c r="AB600" s="79">
        <f>VLOOKUP(B600,'Player Data'!$A1:$AE667,16,FALSE)*$Q600</f>
        <v>136.315426873762</v>
      </c>
      <c r="AC600" s="79">
        <f>VLOOKUP(B600,'Player Data'!$A1:$AE667,17,FALSE)*$Q600*_xlfn.IFERROR((VLOOKUP(P600,'Settings'!$E$28:$F$33,2,FALSE)+1),1)</f>
        <v>0.708498962945486</v>
      </c>
      <c r="AD600" s="79">
        <f>VLOOKUP(B600,'Player Data'!$A1:$AE667,18,FALSE)*$Q600</f>
        <v>14.4957813982137</v>
      </c>
      <c r="AE600" s="79">
        <f>VLOOKUP(B600,'Player Data'!$A1:$AE667,19,FALSE)*$Q600*_xlfn.IFERROR((VLOOKUP(P600,'Settings'!$E$28:$F$33,2,FALSE)+1),1)</f>
        <v>1.01274271108912</v>
      </c>
      <c r="AF600" s="79">
        <f>VLOOKUP(B600,'Player Data'!$A1:$AE667,20,FALSE)*$Q600</f>
        <v>0</v>
      </c>
      <c r="AG600" s="79">
        <f>VLOOKUP(B600,'Player Data'!$A1:$AE667,21,FALSE)*$Q600</f>
        <v>7.22187287345851</v>
      </c>
      <c r="AH600" s="81">
        <f>VLOOKUP(B600,'Player Data'!$A1:$AE667,22,FALSE)</f>
        <v>0</v>
      </c>
      <c r="AI600" s="77"/>
      <c r="AJ600" s="79"/>
      <c r="AK600" s="79"/>
      <c r="AL600" s="79"/>
      <c r="AM600" s="79"/>
      <c r="AN600" s="79"/>
      <c r="AO600" s="79"/>
      <c r="AP600" s="79"/>
      <c r="AQ600" s="82"/>
      <c r="AR600" s="83"/>
      <c r="AS600" s="84"/>
    </row>
    <row r="601" ht="21.25" customHeight="1">
      <c r="A601" s="85">
        <f>RANK(K601,K$1:K$665)</f>
        <v>582</v>
      </c>
      <c r="B601" t="s" s="16">
        <v>791</v>
      </c>
      <c r="C601" t="s" s="69">
        <v>127</v>
      </c>
      <c r="D601" t="s" s="70">
        <f>VLOOKUP(B601,'Player Data'!A1:D667,4,FALSE)</f>
        <v>153</v>
      </c>
      <c r="E601" s="95">
        <f>VLOOKUP(B601,'D'!A1:C213,3,FALSE)</f>
        <v>190</v>
      </c>
      <c r="F601" t="s" s="78">
        <f>VLOOKUP(B601,'Player Data'!A1:B667,2,FALSE)</f>
        <v>194</v>
      </c>
      <c r="G601" s="11">
        <f>VLOOKUP(B601,'Player Data'!A1:D667,3,FALSE)</f>
        <v>27</v>
      </c>
      <c r="H601" s="94">
        <f>_xlfn.IFERROR(VLOOKUP(B601,'ADP'!A1:G665,7,FALSE)/1000000,VLOOKUP(B601,'ADP'!A1:G665,7,FALSE))</f>
        <v>0.766667</v>
      </c>
      <c r="I601" s="74">
        <f>IF('Settings'!$E$15="POINTS",((R601*Q601)*'Settings'!$B$12)+(S601*'Settings'!$B$2)+(T601*'Settings'!$B$3)+(U601*'Settings'!$B$4)+(V601*'Settings'!$B$5)+(X601*'Settings'!$B$9)+(AA601*'Settings'!$B$6)+(W601*'Settings'!$B$8)+(AB601*'Settings'!$B$7)+(AC601*'Settings'!$B$14)+(AD601*'Settings'!$B$15)+(AE601*'Settings'!$B$16)+(AF601*'Settings'!$B$17)+(AG601*'Settings'!$B$18)+(U601*'Settings'!$B$13)+(Y601*'Settings'!$B$10)+(Z601*'Settings'!$B$11),VLOOKUP(B601,'Standard Deviations'!A1:C666,3,FALSE))</f>
        <v>151.413865302185</v>
      </c>
      <c r="J601" s="75">
        <f>IF(D601="G",I601/AJ601,I601/Q601)</f>
        <v>2.16328699935257</v>
      </c>
      <c r="K601" s="74">
        <f>VLOOKUP(B601,'D'!A1:F213,6,FALSE)</f>
        <v>-180.126342617897</v>
      </c>
      <c r="L601" s="76">
        <f>_xlfn.IFERROR(K601/H601,"N/A")</f>
        <v>-234.947301263648</v>
      </c>
      <c r="M601" s="109">
        <f>IF('Settings'!$E$9="YAHOO",VLOOKUP(B601,'ADP'!A1:E665,2,FALSE),IF('Settings'!$E$9="ESPN",VLOOKUP(B601,'ADP'!A1:E665,3,FALSE),IF('Settings'!$E$9="FANTRAX",VLOOKUP(B601,'ADP'!A1:E665,4,FALSE),VLOOKUP(B601,'ADP'!A1:E665,5,FALSE))))</f>
        <v>0</v>
      </c>
      <c r="N601" s="79">
        <f>_xlfn.IFERROR(M601-A601,"N/A")</f>
        <v>-582</v>
      </c>
      <c r="O601" s="77"/>
      <c r="P601" t="s" s="78">
        <f>IF('Settings'!$E$27="ON",VLOOKUP(B601,'ADP'!A1:H665,8,FALSE)," ")</f>
        <v>138</v>
      </c>
      <c r="Q601" s="79">
        <f>IF('Settings'!$E$12="YES",VLOOKUP(B601,'Player Data'!A1:E667,5,FALSE),82)</f>
        <v>69.99250000000001</v>
      </c>
      <c r="R601" s="108">
        <f>VLOOKUP(B601,'Player Data'!$A1:$AE667,6,FALSE)</f>
        <v>15.3083897912369</v>
      </c>
      <c r="S601" s="79">
        <f>VLOOKUP(B601,'Player Data'!$A1:$AE667,7,FALSE)*$Q601*_xlfn.IFERROR((VLOOKUP(P601,'Settings'!$E$28:$F$33,2,FALSE)+1),1)</f>
        <v>4.05844013114618</v>
      </c>
      <c r="T601" s="79">
        <f>VLOOKUP(B601,'Player Data'!$A1:$AE667,8,FALSE)*$Q601*_xlfn.IFERROR((VLOOKUP(P601,'Settings'!$E$28:$F$33,2,FALSE)+1),1)</f>
        <v>9.624180128757059</v>
      </c>
      <c r="U601" s="79">
        <f>SUM(S601:T601)</f>
        <v>13.6826202599032</v>
      </c>
      <c r="V601" s="79">
        <f>VLOOKUP(B601,'Player Data'!$A1:$AE667,10,FALSE)*$Q601*_xlfn.IFERROR(((VLOOKUP(P601,'Settings'!$E$28:$F$33,2,FALSE)/2)+1),1)</f>
        <v>62.6497630437556</v>
      </c>
      <c r="W601" s="79">
        <f>VLOOKUP(B601,'Player Data'!$A1:$AE667,11,FALSE)*$Q601*_xlfn.IFERROR((VLOOKUP(P601,'Settings'!$E$28:$F$33,2,FALSE)+1),1)</f>
        <v>0.0159089601856354</v>
      </c>
      <c r="X601" s="79">
        <f>VLOOKUP(B601,'Player Data'!$A1:$AE667,12,FALSE)*$Q601*_xlfn.IFERROR((VLOOKUP(P601,'Settings'!$E$28:$F$33,2,FALSE)+1),1)</f>
        <v>0.102125622024475</v>
      </c>
      <c r="Y601" s="79">
        <f>VLOOKUP(B601,'Player Data'!$A1:$AE667,13,FALSE)*$Q601</f>
        <v>0.0133905002284101</v>
      </c>
      <c r="Z601" s="79">
        <f>VLOOKUP(B601,'Player Data'!$A1:$AE667,14,FALSE)*$Q601</f>
        <v>0.06643793991072031</v>
      </c>
      <c r="AA601" s="79">
        <f>VLOOKUP(B601,'Player Data'!$A1:$AE667,15,FALSE)*$Q601</f>
        <v>79.9373298753041</v>
      </c>
      <c r="AB601" s="79">
        <f>VLOOKUP(B601,'Player Data'!$A1:$AE667,16,FALSE)*$Q601</f>
        <v>82.48767805324771</v>
      </c>
      <c r="AC601" s="79">
        <f>VLOOKUP(B601,'Player Data'!$A1:$AE667,17,FALSE)*$Q601*_xlfn.IFERROR((VLOOKUP(P601,'Settings'!$E$28:$F$33,2,FALSE)+1),1)</f>
        <v>-2.92694195277958</v>
      </c>
      <c r="AD601" s="79">
        <f>VLOOKUP(B601,'Player Data'!$A1:$AE667,18,FALSE)*$Q601</f>
        <v>31.8248675779978</v>
      </c>
      <c r="AE601" s="79">
        <f>VLOOKUP(B601,'Player Data'!$A1:$AE667,19,FALSE)*$Q601*_xlfn.IFERROR((VLOOKUP(P601,'Settings'!$E$28:$F$33,2,FALSE)+1),1)</f>
        <v>0.612322516275989</v>
      </c>
      <c r="AF601" s="79">
        <f>VLOOKUP(B601,'Player Data'!$A1:$AE667,20,FALSE)*$Q601</f>
        <v>0</v>
      </c>
      <c r="AG601" s="79">
        <f>VLOOKUP(B601,'Player Data'!$A1:$AE667,21,FALSE)*$Q601</f>
        <v>0</v>
      </c>
      <c r="AH601" s="81">
        <f>VLOOKUP(B601,'Player Data'!$A1:$AE667,22,FALSE)</f>
        <v>0</v>
      </c>
      <c r="AI601" s="77"/>
      <c r="AJ601" s="79"/>
      <c r="AK601" s="79"/>
      <c r="AL601" s="79"/>
      <c r="AM601" s="79"/>
      <c r="AN601" s="79"/>
      <c r="AO601" s="79"/>
      <c r="AP601" s="79"/>
      <c r="AQ601" s="82"/>
      <c r="AR601" s="83"/>
      <c r="AS601" s="84"/>
    </row>
    <row r="602" ht="21.25" customHeight="1">
      <c r="A602" s="85">
        <f>RANK(K602,K$1:K$665)</f>
        <v>615</v>
      </c>
      <c r="B602" t="s" s="16">
        <v>792</v>
      </c>
      <c r="C602" t="s" s="69">
        <v>127</v>
      </c>
      <c r="D602" t="s" s="70">
        <f>VLOOKUP(B602,'Player Data'!A1:D667,4,FALSE)</f>
        <v>128</v>
      </c>
      <c r="E602" s="71">
        <f>VLOOKUP(B602,'C'!A1:C206,3,FALSE)</f>
        <v>187</v>
      </c>
      <c r="F602" t="s" s="103">
        <f>VLOOKUP(B602,'Player Data'!A1:B667,2,FALSE)</f>
        <v>190</v>
      </c>
      <c r="G602" s="11">
        <f>VLOOKUP(B602,'Player Data'!A1:D667,3,FALSE)</f>
        <v>25</v>
      </c>
      <c r="H602" s="73">
        <f>_xlfn.IFERROR(VLOOKUP(B602,'ADP'!A1:G665,7,FALSE)/1000000,VLOOKUP(B602,'ADP'!A1:G665,7,FALSE))</f>
        <v>0.775</v>
      </c>
      <c r="I602" s="74">
        <f>IF('Settings'!$E$15="POINTS",((R602*Q602)*'Settings'!$B$12)+(S602*'Settings'!$B$2)+(T602*'Settings'!$B$3)+(U602*'Settings'!$B$4)+(V602*'Settings'!$B$5)+(X602*'Settings'!$B$9)+(AA602*'Settings'!$B$6)+(W602*'Settings'!$B$8)+(AB602*'Settings'!$B$7)+(AC602*'Settings'!$B$14)+(AD602*'Settings'!$B$15)+(AE602*'Settings'!$B$16)+(AF602*'Settings'!$B$17)+(AG602*'Settings'!$B$18)+(Y602*'Settings'!$B$10)+(Z602*'Settings'!$B$11),VLOOKUP(B602,'Standard Deviations'!A1:C666,3,FALSE))</f>
        <v>138.734519337153</v>
      </c>
      <c r="J602" s="75">
        <f>IF(D602="G",I602/AJ602,I602/Q602)</f>
        <v>2.1457662877914</v>
      </c>
      <c r="K602" s="74">
        <f>IF('Settings'!$E$18="C/LW/RW",VLOOKUP(B602,'C'!A1:F206,6,FALSE),VLOOKUP(B602,'F'!A1:F392,6,FALSE))</f>
        <v>-190.957374744025</v>
      </c>
      <c r="L602" s="76">
        <f>_xlfn.IFERROR(K602/H602,"N/A")</f>
        <v>-246.396612572935</v>
      </c>
      <c r="M602" s="109">
        <f>IF('Settings'!$E$9="YAHOO",VLOOKUP(B602,'ADP'!A1:E665,2,FALSE),IF('Settings'!$E$9="ESPN",VLOOKUP(B602,'ADP'!A1:E665,3,FALSE),IF('Settings'!$E$9="FANTRAX",VLOOKUP(B602,'ADP'!A1:E665,4,FALSE),VLOOKUP(B602,'ADP'!A1:E665,5,FALSE))))</f>
        <v>0</v>
      </c>
      <c r="N602" s="79">
        <f>_xlfn.IFERROR(M602-A602,"N/A")</f>
        <v>-615</v>
      </c>
      <c r="O602" s="77"/>
      <c r="P602" t="s" s="78">
        <f>IF('Settings'!$E$27="ON",VLOOKUP(B602,'ADP'!A1:H665,8,FALSE)," ")</f>
        <v>138</v>
      </c>
      <c r="Q602" s="79">
        <f>IF('Settings'!$E$12="YES",VLOOKUP(B602,'Player Data'!A1:E667,5,FALSE),82)</f>
        <v>64.655</v>
      </c>
      <c r="R602" s="77">
        <f>VLOOKUP(B602,'Player Data'!$A1:$AE667,6,FALSE)</f>
        <v>11.0508942738201</v>
      </c>
      <c r="S602" s="79">
        <f>VLOOKUP(B602,'Player Data'!$A1:$AE667,7,FALSE)*$Q602*_xlfn.IFERROR((VLOOKUP(P602,'Settings'!$E$28:$F$33,2,FALSE)+1),1)</f>
        <v>7.78898884012059</v>
      </c>
      <c r="T602" s="79">
        <f>VLOOKUP(B602,'Player Data'!$A1:$AE667,8,FALSE)*$Q602*_xlfn.IFERROR((VLOOKUP(P602,'Settings'!$E$28:$F$33,2,FALSE)+1),1)</f>
        <v>10.0320989925451</v>
      </c>
      <c r="U602" s="79">
        <f>SUM(S602:T602)</f>
        <v>17.8210878326657</v>
      </c>
      <c r="V602" s="79">
        <f>VLOOKUP(B602,'Player Data'!$A1:$AE667,10,FALSE)*$Q602*_xlfn.IFERROR(((VLOOKUP(P602,'Settings'!$E$28:$F$33,2,FALSE)/2)+1),1)</f>
        <v>63.644088165170</v>
      </c>
      <c r="W602" s="79">
        <f>VLOOKUP(B602,'Player Data'!$A1:$AE667,11,FALSE)*$Q602*_xlfn.IFERROR((VLOOKUP(P602,'Settings'!$E$28:$F$33,2,FALSE)+1),1)</f>
        <v>0.0622809015501014</v>
      </c>
      <c r="X602" s="79">
        <f>VLOOKUP(B602,'Player Data'!$A1:$AE667,12,FALSE)*$Q602*_xlfn.IFERROR((VLOOKUP(P602,'Settings'!$E$28:$F$33,2,FALSE)+1),1)</f>
        <v>0.144120947979333</v>
      </c>
      <c r="Y602" s="79">
        <f>VLOOKUP(B602,'Player Data'!$A1:$AE667,13,FALSE)*$Q602</f>
        <v>0.0263280869181941</v>
      </c>
      <c r="Z602" s="79">
        <f>VLOOKUP(B602,'Player Data'!$A1:$AE667,14,FALSE)*$Q602</f>
        <v>0.0446336557454435</v>
      </c>
      <c r="AA602" s="79">
        <f>VLOOKUP(B602,'Player Data'!$A1:$AE667,15,FALSE)*$Q602</f>
        <v>20.3260376484739</v>
      </c>
      <c r="AB602" s="79">
        <f>VLOOKUP(B602,'Player Data'!$A1:$AE667,16,FALSE)*$Q602</f>
        <v>119.696811906426</v>
      </c>
      <c r="AC602" s="79">
        <f>VLOOKUP(B602,'Player Data'!$A1:$AE667,17,FALSE)*$Q602*_xlfn.IFERROR((VLOOKUP(P602,'Settings'!$E$28:$F$33,2,FALSE)+1),1)</f>
        <v>2.03506523281366</v>
      </c>
      <c r="AD602" s="79">
        <f>VLOOKUP(B602,'Player Data'!$A1:$AE667,18,FALSE)*$Q602</f>
        <v>20.7436411246895</v>
      </c>
      <c r="AE602" s="79">
        <f>VLOOKUP(B602,'Player Data'!$A1:$AE667,19,FALSE)*$Q602*_xlfn.IFERROR((VLOOKUP(P602,'Settings'!$E$28:$F$33,2,FALSE)+1),1)</f>
        <v>1.2241092161911</v>
      </c>
      <c r="AF602" s="79">
        <f>VLOOKUP(B602,'Player Data'!$A1:$AE667,20,FALSE)*$Q602</f>
        <v>232.065190465705</v>
      </c>
      <c r="AG602" s="79">
        <f>VLOOKUP(B602,'Player Data'!$A1:$AE667,21,FALSE)*$Q602</f>
        <v>313.840543296477</v>
      </c>
      <c r="AH602" s="81">
        <f>VLOOKUP(B602,'Player Data'!$A1:$AE667,22,FALSE)</f>
        <v>0.425101214574899</v>
      </c>
      <c r="AI602" s="77"/>
      <c r="AJ602" s="79"/>
      <c r="AK602" s="79"/>
      <c r="AL602" s="79"/>
      <c r="AM602" s="79"/>
      <c r="AN602" s="79"/>
      <c r="AO602" s="79"/>
      <c r="AP602" s="79"/>
      <c r="AQ602" s="82"/>
      <c r="AR602" s="83"/>
      <c r="AS602" s="84"/>
    </row>
    <row r="603" ht="21.25" customHeight="1">
      <c r="A603" s="85">
        <f>RANK(K603,K$1:K$665)</f>
        <v>585</v>
      </c>
      <c r="B603" t="s" s="16">
        <v>793</v>
      </c>
      <c r="C603" t="s" s="69">
        <v>127</v>
      </c>
      <c r="D603" t="s" s="70">
        <f>VLOOKUP(B603,'Player Data'!A1:D667,4,FALSE)</f>
        <v>153</v>
      </c>
      <c r="E603" s="95">
        <f>VLOOKUP(B603,'D'!A1:C213,3,FALSE)</f>
        <v>191</v>
      </c>
      <c r="F603" t="s" s="103">
        <f>VLOOKUP(B603,'Player Data'!A1:B667,2,FALSE)</f>
        <v>190</v>
      </c>
      <c r="G603" s="91">
        <f>VLOOKUP(B603,'Player Data'!A1:D667,3,FALSE)</f>
        <v>31</v>
      </c>
      <c r="H603" s="94">
        <f>_xlfn.IFERROR(VLOOKUP(B603,'ADP'!A1:G665,7,FALSE)/1000000,VLOOKUP(B603,'ADP'!A1:G665,7,FALSE))</f>
        <v>1.25</v>
      </c>
      <c r="I603" s="74">
        <f>IF('Settings'!$E$15="POINTS",((R603*Q603)*'Settings'!$B$12)+(S603*'Settings'!$B$2)+(T603*'Settings'!$B$3)+(U603*'Settings'!$B$4)+(V603*'Settings'!$B$5)+(X603*'Settings'!$B$9)+(AA603*'Settings'!$B$6)+(W603*'Settings'!$B$8)+(AB603*'Settings'!$B$7)+(AC603*'Settings'!$B$14)+(AD603*'Settings'!$B$15)+(AE603*'Settings'!$B$16)+(AF603*'Settings'!$B$17)+(AG603*'Settings'!$B$18)+(U603*'Settings'!$B$13)+(Y603*'Settings'!$B$10)+(Z603*'Settings'!$B$11),VLOOKUP(B603,'Standard Deviations'!A1:C666,3,FALSE))</f>
        <v>149.952253265160</v>
      </c>
      <c r="J603" s="75">
        <f>IF(D603="G",I603/AJ603,I603/Q603)</f>
        <v>2.23134932874759</v>
      </c>
      <c r="K603" s="74">
        <f>VLOOKUP(B603,'D'!A1:F213,6,FALSE)</f>
        <v>-181.587954654922</v>
      </c>
      <c r="L603" s="76">
        <f>_xlfn.IFERROR(K603/H603,"N/A")</f>
        <v>-145.270363723938</v>
      </c>
      <c r="M603" s="109">
        <f>IF('Settings'!$E$9="YAHOO",VLOOKUP(B603,'ADP'!A1:E665,2,FALSE),IF('Settings'!$E$9="ESPN",VLOOKUP(B603,'ADP'!A1:E665,3,FALSE),IF('Settings'!$E$9="FANTRAX",VLOOKUP(B603,'ADP'!A1:E665,4,FALSE),VLOOKUP(B603,'ADP'!A1:E665,5,FALSE))))</f>
        <v>0</v>
      </c>
      <c r="N603" s="79">
        <f>_xlfn.IFERROR(M603-A603,"N/A")</f>
        <v>-585</v>
      </c>
      <c r="O603" s="77"/>
      <c r="P603" t="s" s="78">
        <f>IF('Settings'!$E$27="ON",VLOOKUP(B603,'ADP'!A1:H665,8,FALSE)," ")</f>
        <v>138</v>
      </c>
      <c r="Q603" s="79">
        <f>IF('Settings'!$E$12="YES",VLOOKUP(B603,'Player Data'!A1:E667,5,FALSE),82)</f>
        <v>67.2025</v>
      </c>
      <c r="R603" s="108">
        <f>VLOOKUP(B603,'Player Data'!$A1:$AE667,6,FALSE)</f>
        <v>15.5142129659138</v>
      </c>
      <c r="S603" s="79">
        <f>VLOOKUP(B603,'Player Data'!$A1:$AE667,7,FALSE)*$Q603*_xlfn.IFERROR((VLOOKUP(P603,'Settings'!$E$28:$F$33,2,FALSE)+1),1)</f>
        <v>3.36082301847016</v>
      </c>
      <c r="T603" s="79">
        <f>VLOOKUP(B603,'Player Data'!$A1:$AE667,8,FALSE)*$Q603*_xlfn.IFERROR((VLOOKUP(P603,'Settings'!$E$28:$F$33,2,FALSE)+1),1)</f>
        <v>13.503978953994</v>
      </c>
      <c r="U603" s="79">
        <f>SUM(S603:T603)</f>
        <v>16.8648019724642</v>
      </c>
      <c r="V603" s="79">
        <f>VLOOKUP(B603,'Player Data'!$A1:$AE667,10,FALSE)*$Q603*_xlfn.IFERROR(((VLOOKUP(P603,'Settings'!$E$28:$F$33,2,FALSE)/2)+1),1)</f>
        <v>108.252577869027</v>
      </c>
      <c r="W603" s="79">
        <f>VLOOKUP(B603,'Player Data'!$A1:$AE667,11,FALSE)*$Q603*_xlfn.IFERROR((VLOOKUP(P603,'Settings'!$E$28:$F$33,2,FALSE)+1),1)</f>
        <v>0.137655689226395</v>
      </c>
      <c r="X603" s="79">
        <f>VLOOKUP(B603,'Player Data'!$A1:$AE667,12,FALSE)*$Q603*_xlfn.IFERROR((VLOOKUP(P603,'Settings'!$E$28:$F$33,2,FALSE)+1),1)</f>
        <v>3.68023474692759</v>
      </c>
      <c r="Y603" s="79">
        <f>VLOOKUP(B603,'Player Data'!$A1:$AE667,13,FALSE)*$Q603</f>
        <v>0.0665187104287488</v>
      </c>
      <c r="Z603" s="79">
        <f>VLOOKUP(B603,'Player Data'!$A1:$AE667,14,FALSE)*$Q603</f>
        <v>0.0795408641541889</v>
      </c>
      <c r="AA603" s="79">
        <f>VLOOKUP(B603,'Player Data'!$A1:$AE667,15,FALSE)*$Q603</f>
        <v>63.7601841732402</v>
      </c>
      <c r="AB603" s="79">
        <f>VLOOKUP(B603,'Player Data'!$A1:$AE667,16,FALSE)*$Q603</f>
        <v>65.6926456942733</v>
      </c>
      <c r="AC603" s="79">
        <f>VLOOKUP(B603,'Player Data'!$A1:$AE667,17,FALSE)*$Q603*_xlfn.IFERROR((VLOOKUP(P603,'Settings'!$E$28:$F$33,2,FALSE)+1),1)</f>
        <v>0.349512859568575</v>
      </c>
      <c r="AD603" s="79">
        <f>VLOOKUP(B603,'Player Data'!$A1:$AE667,18,FALSE)*$Q603</f>
        <v>28.9883539685116</v>
      </c>
      <c r="AE603" s="79">
        <f>VLOOKUP(B603,'Player Data'!$A1:$AE667,19,FALSE)*$Q603*_xlfn.IFERROR((VLOOKUP(P603,'Settings'!$E$28:$F$33,2,FALSE)+1),1)</f>
        <v>0.528183377244742</v>
      </c>
      <c r="AF603" s="79">
        <f>VLOOKUP(B603,'Player Data'!$A1:$AE667,20,FALSE)*$Q603</f>
        <v>0</v>
      </c>
      <c r="AG603" s="79">
        <f>VLOOKUP(B603,'Player Data'!$A1:$AE667,21,FALSE)*$Q603</f>
        <v>0</v>
      </c>
      <c r="AH603" s="81">
        <f>VLOOKUP(B603,'Player Data'!$A1:$AE667,22,FALSE)</f>
        <v>0</v>
      </c>
      <c r="AI603" s="77"/>
      <c r="AJ603" s="89"/>
      <c r="AK603" s="79"/>
      <c r="AL603" s="79"/>
      <c r="AM603" s="79"/>
      <c r="AN603" s="79"/>
      <c r="AO603" s="79"/>
      <c r="AP603" s="79"/>
      <c r="AQ603" s="82"/>
      <c r="AR603" s="83"/>
      <c r="AS603" s="84"/>
    </row>
    <row r="604" ht="21.25" customHeight="1">
      <c r="A604" s="85">
        <f>RANK(K604,K$1:K$665)</f>
        <v>619</v>
      </c>
      <c r="B604" t="s" s="16">
        <v>794</v>
      </c>
      <c r="C604" t="s" s="69">
        <v>127</v>
      </c>
      <c r="D604" t="s" s="70">
        <f>VLOOKUP(B604,'Player Data'!A1:D667,4,FALSE)</f>
        <v>128</v>
      </c>
      <c r="E604" s="71">
        <f>VLOOKUP(B604,'C'!A1:C206,3,FALSE)</f>
        <v>188</v>
      </c>
      <c r="F604" t="s" s="86">
        <f>VLOOKUP(B604,'Player Data'!A1:B667,2,FALSE)</f>
        <v>192</v>
      </c>
      <c r="G604" s="96">
        <f>VLOOKUP(B604,'Player Data'!A1:D667,3,FALSE)</f>
        <v>22</v>
      </c>
      <c r="H604" s="94">
        <f>_xlfn.IFERROR(VLOOKUP(B604,'ADP'!A1:G665,7,FALSE)/1000000,VLOOKUP(B604,'ADP'!A1:G665,7,FALSE))</f>
        <v>0.863</v>
      </c>
      <c r="I604" s="74">
        <f>IF('Settings'!$E$15="POINTS",((R604*Q604)*'Settings'!$B$12)+(S604*'Settings'!$B$2)+(T604*'Settings'!$B$3)+(U604*'Settings'!$B$4)+(V604*'Settings'!$B$5)+(X604*'Settings'!$B$9)+(AA604*'Settings'!$B$6)+(W604*'Settings'!$B$8)+(AB604*'Settings'!$B$7)+(AC604*'Settings'!$B$14)+(AD604*'Settings'!$B$15)+(AE604*'Settings'!$B$16)+(AF604*'Settings'!$B$17)+(AG604*'Settings'!$B$18)+(Y604*'Settings'!$B$10)+(Z604*'Settings'!$B$11),VLOOKUP(B604,'Standard Deviations'!A1:C666,3,FALSE))</f>
        <v>137.252865699537</v>
      </c>
      <c r="J604" s="75">
        <f>IF(D604="G",I604/AJ604,I604/Q604)</f>
        <v>1.98442659870653</v>
      </c>
      <c r="K604" s="74">
        <f>IF('Settings'!$E$18="C/LW/RW",VLOOKUP(B604,'C'!A1:F206,6,FALSE),VLOOKUP(B604,'F'!A1:F392,6,FALSE))</f>
        <v>-192.439028381641</v>
      </c>
      <c r="L604" s="76">
        <f>_xlfn.IFERROR(K604/H604,"N/A")</f>
        <v>-222.988445401670</v>
      </c>
      <c r="M604" s="109">
        <f>IF('Settings'!$E$9="YAHOO",VLOOKUP(B604,'ADP'!A1:E665,2,FALSE),IF('Settings'!$E$9="ESPN",VLOOKUP(B604,'ADP'!A1:E665,3,FALSE),IF('Settings'!$E$9="FANTRAX",VLOOKUP(B604,'ADP'!A1:E665,4,FALSE),VLOOKUP(B604,'ADP'!A1:E665,5,FALSE))))</f>
        <v>0</v>
      </c>
      <c r="N604" s="79">
        <f>_xlfn.IFERROR(M604-A604,"N/A")</f>
        <v>-619</v>
      </c>
      <c r="O604" s="77"/>
      <c r="P604" t="s" s="78">
        <f>IF('Settings'!$E$27="ON",VLOOKUP(B604,'ADP'!A1:H665,8,FALSE)," ")</f>
        <v>138</v>
      </c>
      <c r="Q604" s="79">
        <f>IF('Settings'!$E$12="YES",VLOOKUP(B604,'Player Data'!A1:E667,5,FALSE),82)</f>
        <v>69.16500000000001</v>
      </c>
      <c r="R604" s="77">
        <f>VLOOKUP(B604,'Player Data'!$A1:$AE667,6,FALSE)</f>
        <v>10.9797880835443</v>
      </c>
      <c r="S604" s="79">
        <f>VLOOKUP(B604,'Player Data'!$A1:$AE667,7,FALSE)*$Q604*_xlfn.IFERROR((VLOOKUP(P604,'Settings'!$E$28:$F$33,2,FALSE)+1),1)</f>
        <v>10.2495679559684</v>
      </c>
      <c r="T604" s="79">
        <f>VLOOKUP(B604,'Player Data'!$A1:$AE667,8,FALSE)*$Q604*_xlfn.IFERROR((VLOOKUP(P604,'Settings'!$E$28:$F$33,2,FALSE)+1),1)</f>
        <v>15.0715463318995</v>
      </c>
      <c r="U604" s="79">
        <f>SUM(S604:T604)</f>
        <v>25.3211142878679</v>
      </c>
      <c r="V604" s="79">
        <f>VLOOKUP(B604,'Player Data'!$A1:$AE667,10,FALSE)*$Q604*_xlfn.IFERROR(((VLOOKUP(P604,'Settings'!$E$28:$F$33,2,FALSE)/2)+1),1)</f>
        <v>70.7945504605164</v>
      </c>
      <c r="W604" s="79">
        <f>VLOOKUP(B604,'Player Data'!$A1:$AE667,11,FALSE)*$Q604*_xlfn.IFERROR((VLOOKUP(P604,'Settings'!$E$28:$F$33,2,FALSE)+1),1)</f>
        <v>0.458513039164817</v>
      </c>
      <c r="X604" s="79">
        <f>VLOOKUP(B604,'Player Data'!$A1:$AE667,12,FALSE)*$Q604*_xlfn.IFERROR((VLOOKUP(P604,'Settings'!$E$28:$F$33,2,FALSE)+1),1)</f>
        <v>1.78521890842177</v>
      </c>
      <c r="Y604" s="79">
        <f>VLOOKUP(B604,'Player Data'!$A1:$AE667,13,FALSE)*$Q604</f>
        <v>0.00712939593322073</v>
      </c>
      <c r="Z604" s="79">
        <f>VLOOKUP(B604,'Player Data'!$A1:$AE667,14,FALSE)*$Q604</f>
        <v>0.0119603080103614</v>
      </c>
      <c r="AA604" s="79">
        <f>VLOOKUP(B604,'Player Data'!$A1:$AE667,15,FALSE)*$Q604</f>
        <v>38.0903691735281</v>
      </c>
      <c r="AB604" s="79">
        <f>VLOOKUP(B604,'Player Data'!$A1:$AE667,16,FALSE)*$Q604</f>
        <v>57.3747344102829</v>
      </c>
      <c r="AC604" s="79">
        <f>VLOOKUP(B604,'Player Data'!$A1:$AE667,17,FALSE)*$Q604*_xlfn.IFERROR((VLOOKUP(P604,'Settings'!$E$28:$F$33,2,FALSE)+1),1)</f>
        <v>-1.90534462719434</v>
      </c>
      <c r="AD604" s="79">
        <f>VLOOKUP(B604,'Player Data'!$A1:$AE667,18,FALSE)*$Q604</f>
        <v>13.6233780185549</v>
      </c>
      <c r="AE604" s="79">
        <f>VLOOKUP(B604,'Player Data'!$A1:$AE667,19,FALSE)*$Q604*_xlfn.IFERROR((VLOOKUP(P604,'Settings'!$E$28:$F$33,2,FALSE)+1),1)</f>
        <v>1.45454217163622</v>
      </c>
      <c r="AF604" s="79">
        <f>VLOOKUP(B604,'Player Data'!$A1:$AE667,20,FALSE)*$Q604</f>
        <v>133.974280467165</v>
      </c>
      <c r="AG604" s="79">
        <f>VLOOKUP(B604,'Player Data'!$A1:$AE667,21,FALSE)*$Q604</f>
        <v>229.354066005873</v>
      </c>
      <c r="AH604" s="81">
        <f>VLOOKUP(B604,'Player Data'!$A1:$AE667,22,FALSE)</f>
        <v>0.368741612835065</v>
      </c>
      <c r="AI604" s="77"/>
      <c r="AJ604" s="89"/>
      <c r="AK604" s="79"/>
      <c r="AL604" s="79"/>
      <c r="AM604" s="79"/>
      <c r="AN604" s="79"/>
      <c r="AO604" s="79"/>
      <c r="AP604" s="79"/>
      <c r="AQ604" s="82"/>
      <c r="AR604" s="83"/>
      <c r="AS604" s="84"/>
    </row>
    <row r="605" ht="21.25" customHeight="1">
      <c r="A605" s="85">
        <f>RANK(K605,K$1:K$665)</f>
        <v>593</v>
      </c>
      <c r="B605" t="s" s="16">
        <v>795</v>
      </c>
      <c r="C605" t="s" s="69">
        <v>127</v>
      </c>
      <c r="D605" t="s" s="70">
        <f>VLOOKUP(B605,'Player Data'!A1:D667,4,FALSE)</f>
        <v>153</v>
      </c>
      <c r="E605" s="95">
        <f>VLOOKUP(B605,'D'!A1:C213,3,FALSE)</f>
        <v>192</v>
      </c>
      <c r="F605" t="s" s="100">
        <f>VLOOKUP(B605,'Player Data'!A1:B667,2,FALSE)</f>
        <v>172</v>
      </c>
      <c r="G605" s="11">
        <f>VLOOKUP(B605,'Player Data'!A1:D667,3,FALSE)</f>
        <v>25</v>
      </c>
      <c r="H605" s="73">
        <f>_xlfn.IFERROR(VLOOKUP(B605,'ADP'!A1:G665,7,FALSE)/1000000,VLOOKUP(B605,'ADP'!A1:G665,7,FALSE))</f>
        <v>0.775</v>
      </c>
      <c r="I605" s="74">
        <f>IF('Settings'!$E$15="POINTS",((R605*Q605)*'Settings'!$B$12)+(S605*'Settings'!$B$2)+(T605*'Settings'!$B$3)+(U605*'Settings'!$B$4)+(V605*'Settings'!$B$5)+(X605*'Settings'!$B$9)+(AA605*'Settings'!$B$6)+(W605*'Settings'!$B$8)+(AB605*'Settings'!$B$7)+(AC605*'Settings'!$B$14)+(AD605*'Settings'!$B$15)+(AE605*'Settings'!$B$16)+(AF605*'Settings'!$B$17)+(AG605*'Settings'!$B$18)+(U605*'Settings'!$B$13)+(Y605*'Settings'!$B$10)+(Z605*'Settings'!$B$11),VLOOKUP(B605,'Standard Deviations'!A1:C666,3,FALSE))</f>
        <v>148.551636432333</v>
      </c>
      <c r="J605" s="75">
        <f>IF(D605="G",I605/AJ605,I605/Q605)</f>
        <v>2.47586060720555</v>
      </c>
      <c r="K605" s="74">
        <f>VLOOKUP(B605,'D'!A1:F213,6,FALSE)</f>
        <v>-182.988571487749</v>
      </c>
      <c r="L605" s="76">
        <f>_xlfn.IFERROR(K605/H605,"N/A")</f>
        <v>-236.114285790644</v>
      </c>
      <c r="M605" s="109">
        <f>IF('Settings'!$E$9="YAHOO",VLOOKUP(B605,'ADP'!A1:E665,2,FALSE),IF('Settings'!$E$9="ESPN",VLOOKUP(B605,'ADP'!A1:E665,3,FALSE),IF('Settings'!$E$9="FANTRAX",VLOOKUP(B605,'ADP'!A1:E665,4,FALSE),VLOOKUP(B605,'ADP'!A1:E665,5,FALSE))))</f>
        <v>0</v>
      </c>
      <c r="N605" s="79">
        <f>_xlfn.IFERROR(M605-A605,"N/A")</f>
        <v>-593</v>
      </c>
      <c r="O605" s="77"/>
      <c r="P605" t="s" s="78">
        <f>IF('Settings'!$E$27="ON",VLOOKUP(B605,'ADP'!A1:H665,8,FALSE)," ")</f>
        <v>138</v>
      </c>
      <c r="Q605" s="79">
        <f>IF('Settings'!$E$12="YES",VLOOKUP(B605,'Player Data'!A1:E667,5,FALSE),82)</f>
        <v>60</v>
      </c>
      <c r="R605" s="98">
        <f>VLOOKUP(B605,'Player Data'!$A1:$AE667,6,FALSE)</f>
        <v>15.5349783590035</v>
      </c>
      <c r="S605" s="79">
        <f>VLOOKUP(B605,'Player Data'!$A1:$AE667,7,FALSE)*$Q605*_xlfn.IFERROR((VLOOKUP(P605,'Settings'!$E$28:$F$33,2,FALSE)+1),1)</f>
        <v>2.17625499805417</v>
      </c>
      <c r="T605" s="79">
        <f>VLOOKUP(B605,'Player Data'!$A1:$AE667,8,FALSE)*$Q605*_xlfn.IFERROR((VLOOKUP(P605,'Settings'!$E$28:$F$33,2,FALSE)+1),1)</f>
        <v>8.21798041503804</v>
      </c>
      <c r="U605" s="79">
        <f>SUM(S605:T605)</f>
        <v>10.3942354130922</v>
      </c>
      <c r="V605" s="79">
        <f>VLOOKUP(B605,'Player Data'!$A1:$AE667,10,FALSE)*$Q605*_xlfn.IFERROR(((VLOOKUP(P605,'Settings'!$E$28:$F$33,2,FALSE)/2)+1),1)</f>
        <v>56.5667389011532</v>
      </c>
      <c r="W605" s="79">
        <f>VLOOKUP(B605,'Player Data'!$A1:$AE667,11,FALSE)*$Q605*_xlfn.IFERROR((VLOOKUP(P605,'Settings'!$E$28:$F$33,2,FALSE)+1),1)</f>
        <v>0.0137001169748458</v>
      </c>
      <c r="X605" s="79">
        <f>VLOOKUP(B605,'Player Data'!$A1:$AE667,12,FALSE)*$Q605*_xlfn.IFERROR((VLOOKUP(P605,'Settings'!$E$28:$F$33,2,FALSE)+1),1)</f>
        <v>0.0874791970157766</v>
      </c>
      <c r="Y605" s="79">
        <f>VLOOKUP(B605,'Player Data'!$A1:$AE667,13,FALSE)*$Q605</f>
        <v>0.0996377525795322</v>
      </c>
      <c r="Z605" s="79">
        <f>VLOOKUP(B605,'Player Data'!$A1:$AE667,14,FALSE)*$Q605</f>
        <v>0.433182030908334</v>
      </c>
      <c r="AA605" s="79">
        <f>VLOOKUP(B605,'Player Data'!$A1:$AE667,15,FALSE)*$Q605</f>
        <v>76.2276034945134</v>
      </c>
      <c r="AB605" s="79">
        <f>VLOOKUP(B605,'Player Data'!$A1:$AE667,16,FALSE)*$Q605</f>
        <v>99.1128179398932</v>
      </c>
      <c r="AC605" s="79">
        <f>VLOOKUP(B605,'Player Data'!$A1:$AE667,17,FALSE)*$Q605*_xlfn.IFERROR((VLOOKUP(P605,'Settings'!$E$28:$F$33,2,FALSE)+1),1)</f>
        <v>-0.209287350204801</v>
      </c>
      <c r="AD605" s="79">
        <f>VLOOKUP(B605,'Player Data'!$A1:$AE667,18,FALSE)*$Q605</f>
        <v>20.3868151419683</v>
      </c>
      <c r="AE605" s="79">
        <f>VLOOKUP(B605,'Player Data'!$A1:$AE667,19,FALSE)*$Q605*_xlfn.IFERROR((VLOOKUP(P605,'Settings'!$E$28:$F$33,2,FALSE)+1),1)</f>
        <v>0.322614356860147</v>
      </c>
      <c r="AF605" s="79">
        <f>VLOOKUP(B605,'Player Data'!$A1:$AE667,20,FALSE)*$Q605</f>
        <v>0</v>
      </c>
      <c r="AG605" s="79">
        <f>VLOOKUP(B605,'Player Data'!$A1:$AE667,21,FALSE)*$Q605</f>
        <v>0</v>
      </c>
      <c r="AH605" s="81">
        <f>VLOOKUP(B605,'Player Data'!$A1:$AE667,22,FALSE)</f>
        <v>0</v>
      </c>
      <c r="AI605" s="77"/>
      <c r="AJ605" s="89"/>
      <c r="AK605" s="79"/>
      <c r="AL605" s="79"/>
      <c r="AM605" s="79"/>
      <c r="AN605" s="79"/>
      <c r="AO605" s="79"/>
      <c r="AP605" s="79"/>
      <c r="AQ605" s="82"/>
      <c r="AR605" s="83"/>
      <c r="AS605" s="84"/>
    </row>
    <row r="606" ht="21.25" customHeight="1">
      <c r="A606" s="85">
        <f>RANK(K606,K$1:K$665)</f>
        <v>595</v>
      </c>
      <c r="B606" t="s" s="16">
        <v>796</v>
      </c>
      <c r="C606" t="s" s="69">
        <v>127</v>
      </c>
      <c r="D606" t="s" s="70">
        <f>VLOOKUP(B606,'Player Data'!A1:D667,4,FALSE)</f>
        <v>153</v>
      </c>
      <c r="E606" s="95">
        <f>VLOOKUP(B606,'D'!A1:C213,3,FALSE)</f>
        <v>193</v>
      </c>
      <c r="F606" t="s" s="104">
        <f>VLOOKUP(B606,'Player Data'!A1:B667,2,FALSE)</f>
        <v>271</v>
      </c>
      <c r="G606" s="11">
        <f>VLOOKUP(B606,'Player Data'!A1:D667,3,FALSE)</f>
        <v>26</v>
      </c>
      <c r="H606" s="94">
        <f>_xlfn.IFERROR(VLOOKUP(B606,'ADP'!A1:G665,7,FALSE)/1000000,VLOOKUP(B606,'ADP'!A1:G665,7,FALSE))</f>
        <v>1.15</v>
      </c>
      <c r="I606" s="74">
        <f>IF('Settings'!$E$15="POINTS",((R606*Q606)*'Settings'!$B$12)+(S606*'Settings'!$B$2)+(T606*'Settings'!$B$3)+(U606*'Settings'!$B$4)+(V606*'Settings'!$B$5)+(X606*'Settings'!$B$9)+(AA606*'Settings'!$B$6)+(W606*'Settings'!$B$8)+(AB606*'Settings'!$B$7)+(AC606*'Settings'!$B$14)+(AD606*'Settings'!$B$15)+(AE606*'Settings'!$B$16)+(AF606*'Settings'!$B$17)+(AG606*'Settings'!$B$18)+(U606*'Settings'!$B$13)+(Y606*'Settings'!$B$10)+(Z606*'Settings'!$B$11),VLOOKUP(B606,'Standard Deviations'!A1:C666,3,FALSE))</f>
        <v>148.149661105021</v>
      </c>
      <c r="J606" s="75">
        <f>IF(D606="G",I606/AJ606,I606/Q606)</f>
        <v>2.21416322081932</v>
      </c>
      <c r="K606" s="74">
        <f>VLOOKUP(B606,'D'!A1:F213,6,FALSE)</f>
        <v>-183.390546815061</v>
      </c>
      <c r="L606" s="76">
        <f>_xlfn.IFERROR(K606/H606,"N/A")</f>
        <v>-159.470040708749</v>
      </c>
      <c r="M606" s="109">
        <f>IF('Settings'!$E$9="YAHOO",VLOOKUP(B606,'ADP'!A1:E665,2,FALSE),IF('Settings'!$E$9="ESPN",VLOOKUP(B606,'ADP'!A1:E665,3,FALSE),IF('Settings'!$E$9="FANTRAX",VLOOKUP(B606,'ADP'!A1:E665,4,FALSE),VLOOKUP(B606,'ADP'!A1:E665,5,FALSE))))</f>
        <v>0</v>
      </c>
      <c r="N606" s="79">
        <f>_xlfn.IFERROR(M606-A606,"N/A")</f>
        <v>-595</v>
      </c>
      <c r="O606" s="77"/>
      <c r="P606" t="s" s="78">
        <f>IF('Settings'!$E$27="ON",VLOOKUP(B606,'ADP'!A1:H665,8,FALSE)," ")</f>
        <v>138</v>
      </c>
      <c r="Q606" s="79">
        <f>IF('Settings'!$E$12="YES",VLOOKUP(B606,'Player Data'!A1:E667,5,FALSE),82)</f>
        <v>66.91</v>
      </c>
      <c r="R606" s="77">
        <f>VLOOKUP(B606,'Player Data'!$A1:$AE667,6,FALSE)</f>
        <v>16.206656884939</v>
      </c>
      <c r="S606" s="79">
        <f>VLOOKUP(B606,'Player Data'!$A1:$AE667,7,FALSE)*$Q606*_xlfn.IFERROR((VLOOKUP(P606,'Settings'!$E$28:$F$33,2,FALSE)+1),1)</f>
        <v>1.5876825776206</v>
      </c>
      <c r="T606" s="79">
        <f>VLOOKUP(B606,'Player Data'!$A1:$AE667,8,FALSE)*$Q606*_xlfn.IFERROR((VLOOKUP(P606,'Settings'!$E$28:$F$33,2,FALSE)+1),1)</f>
        <v>19.111185878494</v>
      </c>
      <c r="U606" s="79">
        <f>SUM(S606:T606)</f>
        <v>20.6988684561146</v>
      </c>
      <c r="V606" s="79">
        <f>VLOOKUP(B606,'Player Data'!$A1:$AE667,10,FALSE)*$Q606*_xlfn.IFERROR(((VLOOKUP(P606,'Settings'!$E$28:$F$33,2,FALSE)/2)+1),1)</f>
        <v>54.986069893335</v>
      </c>
      <c r="W606" s="79">
        <f>VLOOKUP(B606,'Player Data'!$A1:$AE667,11,FALSE)*$Q606*_xlfn.IFERROR((VLOOKUP(P606,'Settings'!$E$28:$F$33,2,FALSE)+1),1)</f>
        <v>0.281851091093714</v>
      </c>
      <c r="X606" s="79">
        <f>VLOOKUP(B606,'Player Data'!$A1:$AE667,12,FALSE)*$Q606*_xlfn.IFERROR((VLOOKUP(P606,'Settings'!$E$28:$F$33,2,FALSE)+1),1)</f>
        <v>6.41070434274513</v>
      </c>
      <c r="Y606" s="79">
        <f>VLOOKUP(B606,'Player Data'!$A1:$AE667,13,FALSE)*$Q606</f>
        <v>0.000309234814130776</v>
      </c>
      <c r="Z606" s="79">
        <f>VLOOKUP(B606,'Player Data'!$A1:$AE667,14,FALSE)*$Q606</f>
        <v>0.00149610816839991</v>
      </c>
      <c r="AA606" s="79">
        <f>VLOOKUP(B606,'Player Data'!$A1:$AE667,15,FALSE)*$Q606</f>
        <v>74.89312776591341</v>
      </c>
      <c r="AB606" s="79">
        <f>VLOOKUP(B606,'Player Data'!$A1:$AE667,16,FALSE)*$Q606</f>
        <v>58.4951819019542</v>
      </c>
      <c r="AC606" s="79">
        <f>VLOOKUP(B606,'Player Data'!$A1:$AE667,17,FALSE)*$Q606*_xlfn.IFERROR((VLOOKUP(P606,'Settings'!$E$28:$F$33,2,FALSE)+1),1)</f>
        <v>-2.78000984696493</v>
      </c>
      <c r="AD606" s="79">
        <f>VLOOKUP(B606,'Player Data'!$A1:$AE667,18,FALSE)*$Q606</f>
        <v>23.3371758120785</v>
      </c>
      <c r="AE606" s="79">
        <f>VLOOKUP(B606,'Player Data'!$A1:$AE667,19,FALSE)*$Q606*_xlfn.IFERROR((VLOOKUP(P606,'Settings'!$E$28:$F$33,2,FALSE)+1),1)</f>
        <v>0.191147604451221</v>
      </c>
      <c r="AF606" s="79">
        <f>VLOOKUP(B606,'Player Data'!$A1:$AE667,20,FALSE)*$Q606</f>
        <v>0</v>
      </c>
      <c r="AG606" s="79">
        <f>VLOOKUP(B606,'Player Data'!$A1:$AE667,21,FALSE)*$Q606</f>
        <v>0</v>
      </c>
      <c r="AH606" s="81">
        <f>VLOOKUP(B606,'Player Data'!$A1:$AE667,22,FALSE)</f>
        <v>0</v>
      </c>
      <c r="AI606" s="77"/>
      <c r="AJ606" s="79"/>
      <c r="AK606" s="79"/>
      <c r="AL606" s="79"/>
      <c r="AM606" s="79"/>
      <c r="AN606" s="79"/>
      <c r="AO606" s="79"/>
      <c r="AP606" s="79"/>
      <c r="AQ606" s="82"/>
      <c r="AR606" s="83"/>
      <c r="AS606" s="84"/>
    </row>
    <row r="607" ht="21.25" customHeight="1">
      <c r="A607" s="85">
        <f>RANK(K607,K$1:K$665)</f>
        <v>598</v>
      </c>
      <c r="B607" t="s" s="16">
        <v>797</v>
      </c>
      <c r="C607" t="s" s="69">
        <v>127</v>
      </c>
      <c r="D607" t="s" s="70">
        <f>VLOOKUP(B607,'Player Data'!A1:D667,4,FALSE)</f>
        <v>153</v>
      </c>
      <c r="E607" s="95">
        <f>VLOOKUP(B607,'D'!A1:C213,3,FALSE)</f>
        <v>194</v>
      </c>
      <c r="F607" t="s" s="78">
        <f>VLOOKUP(B607,'Player Data'!A1:B667,2,FALSE)</f>
        <v>168</v>
      </c>
      <c r="G607" s="11">
        <f>VLOOKUP(B607,'Player Data'!A1:D667,3,FALSE)</f>
        <v>28</v>
      </c>
      <c r="H607" s="94">
        <f>_xlfn.IFERROR(VLOOKUP(B607,'ADP'!A1:G665,7,FALSE)/1000000,VLOOKUP(B607,'ADP'!A1:G665,7,FALSE))</f>
        <v>0.775</v>
      </c>
      <c r="I607" s="74">
        <f>IF('Settings'!$E$15="POINTS",((R607*Q607)*'Settings'!$B$12)+(S607*'Settings'!$B$2)+(T607*'Settings'!$B$3)+(U607*'Settings'!$B$4)+(V607*'Settings'!$B$5)+(X607*'Settings'!$B$9)+(AA607*'Settings'!$B$6)+(W607*'Settings'!$B$8)+(AB607*'Settings'!$B$7)+(AC607*'Settings'!$B$14)+(AD607*'Settings'!$B$15)+(AE607*'Settings'!$B$16)+(AF607*'Settings'!$B$17)+(AG607*'Settings'!$B$18)+(U607*'Settings'!$B$13)+(Y607*'Settings'!$B$10)+(Z607*'Settings'!$B$11),VLOOKUP(B607,'Standard Deviations'!A1:C666,3,FALSE))</f>
        <v>148.012451846044</v>
      </c>
      <c r="J607" s="75">
        <f>IF(D607="G",I607/AJ607,I607/Q607)</f>
        <v>2.47316014613884</v>
      </c>
      <c r="K607" s="74">
        <f>VLOOKUP(B607,'D'!A1:F213,6,FALSE)</f>
        <v>-183.527756074038</v>
      </c>
      <c r="L607" s="76">
        <f>_xlfn.IFERROR(K607/H607,"N/A")</f>
        <v>-236.810007837468</v>
      </c>
      <c r="M607" s="109">
        <f>IF('Settings'!$E$9="YAHOO",VLOOKUP(B607,'ADP'!A1:E665,2,FALSE),IF('Settings'!$E$9="ESPN",VLOOKUP(B607,'ADP'!A1:E665,3,FALSE),IF('Settings'!$E$9="FANTRAX",VLOOKUP(B607,'ADP'!A1:E665,4,FALSE),VLOOKUP(B607,'ADP'!A1:E665,5,FALSE))))</f>
        <v>0</v>
      </c>
      <c r="N607" s="79">
        <f>_xlfn.IFERROR(M607-A607,"N/A")</f>
        <v>-598</v>
      </c>
      <c r="O607" s="77"/>
      <c r="P607" t="s" s="78">
        <f>IF('Settings'!$E$27="ON",VLOOKUP(B607,'ADP'!A1:H665,8,FALSE)," ")</f>
        <v>138</v>
      </c>
      <c r="Q607" s="79">
        <f>IF('Settings'!$E$12="YES",VLOOKUP(B607,'Player Data'!A1:E667,5,FALSE),82)</f>
        <v>59.8475</v>
      </c>
      <c r="R607" s="77">
        <f>VLOOKUP(B607,'Player Data'!$A1:$AE667,6,FALSE)</f>
        <v>16.216651321232</v>
      </c>
      <c r="S607" s="79">
        <f>VLOOKUP(B607,'Player Data'!$A1:$AE667,7,FALSE)*$Q607*_xlfn.IFERROR((VLOOKUP(P607,'Settings'!$E$28:$F$33,2,FALSE)+1),1)</f>
        <v>2.24648358481308</v>
      </c>
      <c r="T607" s="79">
        <f>VLOOKUP(B607,'Player Data'!$A1:$AE667,8,FALSE)*$Q607*_xlfn.IFERROR((VLOOKUP(P607,'Settings'!$E$28:$F$33,2,FALSE)+1),1)</f>
        <v>7.36735075348358</v>
      </c>
      <c r="U607" s="79">
        <f>SUM(S607:T607)</f>
        <v>9.613834338296661</v>
      </c>
      <c r="V607" s="79">
        <f>VLOOKUP(B607,'Player Data'!$A1:$AE667,10,FALSE)*$Q607*_xlfn.IFERROR(((VLOOKUP(P607,'Settings'!$E$28:$F$33,2,FALSE)/2)+1),1)</f>
        <v>68.2845692713914</v>
      </c>
      <c r="W607" s="79">
        <f>VLOOKUP(B607,'Player Data'!$A1:$AE667,11,FALSE)*$Q607*_xlfn.IFERROR((VLOOKUP(P607,'Settings'!$E$28:$F$33,2,FALSE)+1),1)</f>
        <v>0.0140236569481819</v>
      </c>
      <c r="X607" s="79">
        <f>VLOOKUP(B607,'Player Data'!$A1:$AE667,12,FALSE)*$Q607*_xlfn.IFERROR((VLOOKUP(P607,'Settings'!$E$28:$F$33,2,FALSE)+1),1)</f>
        <v>0.0910118400788875</v>
      </c>
      <c r="Y607" s="79">
        <f>VLOOKUP(B607,'Player Data'!$A1:$AE667,13,FALSE)*$Q607</f>
        <v>0.0284528037050213</v>
      </c>
      <c r="Z607" s="79">
        <f>VLOOKUP(B607,'Player Data'!$A1:$AE667,14,FALSE)*$Q607</f>
        <v>0.142721078824604</v>
      </c>
      <c r="AA607" s="79">
        <f>VLOOKUP(B607,'Player Data'!$A1:$AE667,15,FALSE)*$Q607</f>
        <v>87.89371920335179</v>
      </c>
      <c r="AB607" s="79">
        <f>VLOOKUP(B607,'Player Data'!$A1:$AE667,16,FALSE)*$Q607</f>
        <v>82.58217128620861</v>
      </c>
      <c r="AC607" s="79">
        <f>VLOOKUP(B607,'Player Data'!$A1:$AE667,17,FALSE)*$Q607*_xlfn.IFERROR((VLOOKUP(P607,'Settings'!$E$28:$F$33,2,FALSE)+1),1)</f>
        <v>0.823886022038767</v>
      </c>
      <c r="AD607" s="79">
        <f>VLOOKUP(B607,'Player Data'!$A1:$AE667,18,FALSE)*$Q607</f>
        <v>21.7253332818775</v>
      </c>
      <c r="AE607" s="79">
        <f>VLOOKUP(B607,'Player Data'!$A1:$AE667,19,FALSE)*$Q607*_xlfn.IFERROR((VLOOKUP(P607,'Settings'!$E$28:$F$33,2,FALSE)+1),1)</f>
        <v>0.373425233601161</v>
      </c>
      <c r="AF607" s="79">
        <f>VLOOKUP(B607,'Player Data'!$A1:$AE667,20,FALSE)*$Q607</f>
        <v>0</v>
      </c>
      <c r="AG607" s="79">
        <f>VLOOKUP(B607,'Player Data'!$A1:$AE667,21,FALSE)*$Q607</f>
        <v>0</v>
      </c>
      <c r="AH607" s="81">
        <f>VLOOKUP(B607,'Player Data'!$A1:$AE667,22,FALSE)</f>
        <v>0</v>
      </c>
      <c r="AI607" s="77"/>
      <c r="AJ607" s="89"/>
      <c r="AK607" s="79"/>
      <c r="AL607" s="79"/>
      <c r="AM607" s="79"/>
      <c r="AN607" s="79"/>
      <c r="AO607" s="79"/>
      <c r="AP607" s="79"/>
      <c r="AQ607" s="82"/>
      <c r="AR607" s="83"/>
      <c r="AS607" s="84"/>
    </row>
    <row r="608" ht="21.25" customHeight="1">
      <c r="A608" s="85">
        <f>RANK(K608,K$1:K$665)</f>
        <v>613</v>
      </c>
      <c r="B608" t="s" s="16">
        <v>798</v>
      </c>
      <c r="C608" t="s" s="69">
        <v>127</v>
      </c>
      <c r="D608" t="s" s="70">
        <f>VLOOKUP(B608,'Player Data'!A1:D667,4,FALSE)</f>
        <v>178</v>
      </c>
      <c r="E608" s="102">
        <f>VLOOKUP(B608,'LW'!A1:C152,3,FALSE)</f>
        <v>136</v>
      </c>
      <c r="F608" t="s" s="86">
        <f>VLOOKUP(B608,'Player Data'!A1:B667,2,FALSE)</f>
        <v>156</v>
      </c>
      <c r="G608" s="11">
        <f>VLOOKUP(B608,'Player Data'!A1:D667,3,FALSE)</f>
        <v>24</v>
      </c>
      <c r="H608" t="s" s="86">
        <f>_xlfn.IFERROR(VLOOKUP(B608,'ADP'!A1:G665,7,FALSE)/1000000,VLOOKUP(B608,'ADP'!A1:G665,7,FALSE))</f>
        <v>157</v>
      </c>
      <c r="I608" s="74">
        <f>IF('Settings'!$E$15="POINTS",((R608*Q608)*'Settings'!$B$12)+(S608*'Settings'!$B$2)+(T608*'Settings'!$B$3)+(U608*'Settings'!$B$4)+(V608*'Settings'!$B$5)+(X608*'Settings'!$B$9)+(AA608*'Settings'!$B$6)+(W608*'Settings'!$B$8)+(AB608*'Settings'!$B$7)+(AC608*'Settings'!$B$14)+(AD608*'Settings'!$B$15)+(AE608*'Settings'!$B$16)+(AF608*'Settings'!$B$17)+(AG608*'Settings'!$B$18)+(Y608*'Settings'!$B$10)+(Z608*'Settings'!$B$11),VLOOKUP(B608,'Standard Deviations'!A1:C666,3,FALSE))</f>
        <v>140.888482831201</v>
      </c>
      <c r="J608" s="75">
        <f>IF(D608="G",I608/AJ608,I608/Q608)</f>
        <v>2.22423306360186</v>
      </c>
      <c r="K608" s="74">
        <f>IF('Settings'!$E$18="C/LW/RW",VLOOKUP(B608,'LW'!A1:F152,6,FALSE),VLOOKUP(B608,'F'!A1:F392,6,FALSE))</f>
        <v>-190.831628935011</v>
      </c>
      <c r="L608" t="s" s="97">
        <f>_xlfn.IFERROR(K608/H608,"N/A")</f>
        <v>158</v>
      </c>
      <c r="M608" s="109">
        <f>IF('Settings'!$E$9="YAHOO",VLOOKUP(B608,'ADP'!A1:E665,2,FALSE),IF('Settings'!$E$9="ESPN",VLOOKUP(B608,'ADP'!A1:E665,3,FALSE),IF('Settings'!$E$9="FANTRAX",VLOOKUP(B608,'ADP'!A1:E665,4,FALSE),VLOOKUP(B608,'ADP'!A1:E665,5,FALSE))))</f>
        <v>0</v>
      </c>
      <c r="N608" s="79">
        <f>_xlfn.IFERROR(M608-A608,"N/A")</f>
        <v>-613</v>
      </c>
      <c r="O608" s="77"/>
      <c r="P608" t="s" s="78">
        <f>IF('Settings'!$E$27="ON",VLOOKUP(B608,'ADP'!A1:H665,8,FALSE)," ")</f>
        <v>138</v>
      </c>
      <c r="Q608" s="79">
        <f>IF('Settings'!$E$12="YES",VLOOKUP(B608,'Player Data'!A1:E667,5,FALSE),82)</f>
        <v>63.3425</v>
      </c>
      <c r="R608" s="98">
        <f>VLOOKUP(B608,'Player Data'!$A1:$AE667,6,FALSE)</f>
        <v>13.2517733601777</v>
      </c>
      <c r="S608" s="79">
        <f>VLOOKUP(B608,'Player Data'!$A1:$AE667,7,FALSE)*$Q608*_xlfn.IFERROR((VLOOKUP(P608,'Settings'!$E$28:$F$33,2,FALSE)+1),1)</f>
        <v>12.8554475666569</v>
      </c>
      <c r="T608" s="79">
        <f>VLOOKUP(B608,'Player Data'!$A1:$AE667,8,FALSE)*$Q608*_xlfn.IFERROR((VLOOKUP(P608,'Settings'!$E$28:$F$33,2,FALSE)+1),1)</f>
        <v>15.1400304726272</v>
      </c>
      <c r="U608" s="79">
        <f>SUM(S608:T608)</f>
        <v>27.9954780392841</v>
      </c>
      <c r="V608" s="79">
        <f>VLOOKUP(B608,'Player Data'!$A1:$AE667,10,FALSE)*$Q608*_xlfn.IFERROR(((VLOOKUP(P608,'Settings'!$E$28:$F$33,2,FALSE)/2)+1),1)</f>
        <v>93.7535278806552</v>
      </c>
      <c r="W608" s="79">
        <f>VLOOKUP(B608,'Player Data'!$A1:$AE667,11,FALSE)*$Q608*_xlfn.IFERROR((VLOOKUP(P608,'Settings'!$E$28:$F$33,2,FALSE)+1),1)</f>
        <v>3.22179468843604</v>
      </c>
      <c r="X608" s="79">
        <f>VLOOKUP(B608,'Player Data'!$A1:$AE667,12,FALSE)*$Q608*_xlfn.IFERROR((VLOOKUP(P608,'Settings'!$E$28:$F$33,2,FALSE)+1),1)</f>
        <v>6.64093704945469</v>
      </c>
      <c r="Y608" s="79">
        <f>VLOOKUP(B608,'Player Data'!$A1:$AE667,13,FALSE)*$Q608</f>
        <v>0</v>
      </c>
      <c r="Z608" s="79">
        <f>VLOOKUP(B608,'Player Data'!$A1:$AE667,14,FALSE)*$Q608</f>
        <v>0</v>
      </c>
      <c r="AA608" s="79">
        <f>VLOOKUP(B608,'Player Data'!$A1:$AE667,15,FALSE)*$Q608</f>
        <v>30.2223204229988</v>
      </c>
      <c r="AB608" s="79">
        <f>VLOOKUP(B608,'Player Data'!$A1:$AE667,16,FALSE)*$Q608</f>
        <v>37.5195825126262</v>
      </c>
      <c r="AC608" s="79">
        <f>VLOOKUP(B608,'Player Data'!$A1:$AE667,17,FALSE)*$Q608*_xlfn.IFERROR((VLOOKUP(P608,'Settings'!$E$28:$F$33,2,FALSE)+1),1)</f>
        <v>-2.42448910850799</v>
      </c>
      <c r="AD608" s="79">
        <f>VLOOKUP(B608,'Player Data'!$A1:$AE667,18,FALSE)*$Q608</f>
        <v>16.6259699302619</v>
      </c>
      <c r="AE608" s="79">
        <f>VLOOKUP(B608,'Player Data'!$A1:$AE667,19,FALSE)*$Q608*_xlfn.IFERROR((VLOOKUP(P608,'Settings'!$E$28:$F$33,2,FALSE)+1),1)</f>
        <v>1.76560143018981</v>
      </c>
      <c r="AF608" s="79">
        <f>VLOOKUP(B608,'Player Data'!$A1:$AE667,20,FALSE)*$Q608</f>
        <v>1.39735531137902</v>
      </c>
      <c r="AG608" s="79">
        <f>VLOOKUP(B608,'Player Data'!$A1:$AE667,21,FALSE)*$Q608</f>
        <v>1.88429637814821</v>
      </c>
      <c r="AH608" s="81">
        <f>VLOOKUP(B608,'Player Data'!$A1:$AE667,22,FALSE)</f>
        <v>0.425808538986151</v>
      </c>
      <c r="AI608" s="77"/>
      <c r="AJ608" s="79"/>
      <c r="AK608" s="79"/>
      <c r="AL608" s="79"/>
      <c r="AM608" s="79"/>
      <c r="AN608" s="79"/>
      <c r="AO608" s="79"/>
      <c r="AP608" s="79"/>
      <c r="AQ608" s="82"/>
      <c r="AR608" s="83"/>
      <c r="AS608" s="84"/>
    </row>
    <row r="609" ht="21.25" customHeight="1">
      <c r="A609" s="85">
        <f>RANK(K609,K$1:K$665)</f>
        <v>609</v>
      </c>
      <c r="B609" t="s" s="16">
        <v>799</v>
      </c>
      <c r="C609" t="s" s="69">
        <v>127</v>
      </c>
      <c r="D609" t="s" s="70">
        <f>VLOOKUP(B609,'Player Data'!A1:D667,4,FALSE)</f>
        <v>140</v>
      </c>
      <c r="E609" s="90">
        <f>VLOOKUP(B609,'RW'!A1:F136,3,FALSE)</f>
        <v>124</v>
      </c>
      <c r="F609" t="s" s="103">
        <f>VLOOKUP(B609,'Player Data'!A1:B667,2,FALSE)</f>
        <v>190</v>
      </c>
      <c r="G609" s="11">
        <f>VLOOKUP(B609,'Player Data'!A1:D667,3,FALSE)</f>
        <v>26</v>
      </c>
      <c r="H609" s="73">
        <f>_xlfn.IFERROR(VLOOKUP(B609,'ADP'!A1:G665,7,FALSE)/1000000,VLOOKUP(B609,'ADP'!A1:G665,7,FALSE))</f>
        <v>0.95</v>
      </c>
      <c r="I609" s="74">
        <f>IF('Settings'!$E$15="POINTS",((R609*Q609)*'Settings'!$B$12)+(S609*'Settings'!$B$2)+(T609*'Settings'!$B$3)+(U609*'Settings'!$B$4)+(V609*'Settings'!$B$5)+(X609*'Settings'!$B$9)+(AA609*'Settings'!$B$6)+(W609*'Settings'!$B$8)+(AB609*'Settings'!$B$7)+(AC609*'Settings'!$B$14)+(AD609*'Settings'!$B$15)+(AE609*'Settings'!$B$16)+(AF609*'Settings'!$B$17)+(AG609*'Settings'!$B$18)+(Y609*'Settings'!$B$10)+(Z609*'Settings'!$B$11),VLOOKUP(B609,'Standard Deviations'!A1:C666,3,FALSE))</f>
        <v>140.488429883710</v>
      </c>
      <c r="J609" s="75">
        <f>IF(D609="G",I609/AJ609,I609/Q609)</f>
        <v>2.34147383139517</v>
      </c>
      <c r="K609" s="74">
        <f>IF('Settings'!$E$18="C/LW/RW",VLOOKUP(B609,'RW'!A1:F136,6,FALSE),VLOOKUP(B609,'F'!A1:F392,6,FALSE))</f>
        <v>-189.203464197468</v>
      </c>
      <c r="L609" s="76">
        <f>_xlfn.IFERROR(K609/H609,"N/A")</f>
        <v>-199.161541260493</v>
      </c>
      <c r="M609" s="77">
        <f>IF('Settings'!$E$9="YAHOO",VLOOKUP(B609,'ADP'!A1:E665,2,FALSE),IF('Settings'!$E$9="ESPN",VLOOKUP(B609,'ADP'!A1:E665,3,FALSE),IF('Settings'!$E$9="FANTRAX",VLOOKUP(B609,'ADP'!A1:E665,4,FALSE),VLOOKUP(B609,'ADP'!A1:E665,5,FALSE))))</f>
        <v>0</v>
      </c>
      <c r="N609" s="77">
        <f>_xlfn.IFERROR(M609-A609,"N/A")</f>
        <v>-609</v>
      </c>
      <c r="O609" s="77"/>
      <c r="P609" s="111">
        <f>IF('Settings'!$E$27="ON",VLOOKUP(B609,'ADP'!A1:H665,8,FALSE)," ")</f>
        <v>0</v>
      </c>
      <c r="Q609" s="79">
        <f>IF('Settings'!$E$12="YES",VLOOKUP(B609,'Player Data'!A1:E667,5,FALSE),82)</f>
        <v>60</v>
      </c>
      <c r="R609" s="77">
        <f>VLOOKUP(B609,'Player Data'!$A1:$AE667,6,FALSE)</f>
        <v>14</v>
      </c>
      <c r="S609" s="79">
        <f>VLOOKUP(B609,'Player Data'!$A1:$AE667,7,FALSE)*$Q609*_xlfn.IFERROR((VLOOKUP(P609,'Settings'!$E$28:$F$33,2,FALSE)+1),1)</f>
        <v>11.7383311925081</v>
      </c>
      <c r="T609" s="79">
        <f>VLOOKUP(B609,'Player Data'!$A1:$AE667,8,FALSE)*$Q609*_xlfn.IFERROR((VLOOKUP(P609,'Settings'!$E$28:$F$33,2,FALSE)+1),1)</f>
        <v>9.4160594222109</v>
      </c>
      <c r="U609" s="79">
        <f>SUM(S609:T609)</f>
        <v>21.154390614719</v>
      </c>
      <c r="V609" s="79">
        <f>VLOOKUP(B609,'Player Data'!$A1:$AE667,10,FALSE)*$Q609*_xlfn.IFERROR(((VLOOKUP(P609,'Settings'!$E$28:$F$33,2,FALSE)/2)+1),1)</f>
        <v>101.267717580398</v>
      </c>
      <c r="W609" s="79">
        <f>VLOOKUP(B609,'Player Data'!$A1:$AE667,11,FALSE)*$Q609*_xlfn.IFERROR((VLOOKUP(P609,'Settings'!$E$28:$F$33,2,FALSE)+1),1)</f>
        <v>1.85321989330764</v>
      </c>
      <c r="X609" s="79">
        <f>VLOOKUP(B609,'Player Data'!$A1:$AE667,12,FALSE)*$Q609*_xlfn.IFERROR((VLOOKUP(P609,'Settings'!$E$28:$F$33,2,FALSE)+1),1)</f>
        <v>3.3398050263754</v>
      </c>
      <c r="Y609" s="79">
        <f>VLOOKUP(B609,'Player Data'!$A1:$AE667,13,FALSE)*$Q609</f>
        <v>0</v>
      </c>
      <c r="Z609" s="79">
        <f>VLOOKUP(B609,'Player Data'!$A1:$AE667,14,FALSE)*$Q609</f>
        <v>0</v>
      </c>
      <c r="AA609" s="79">
        <f>VLOOKUP(B609,'Player Data'!$A1:$AE667,15,FALSE)*$Q609</f>
        <v>25.1707317073171</v>
      </c>
      <c r="AB609" s="79">
        <f>VLOOKUP(B609,'Player Data'!$A1:$AE667,16,FALSE)*$Q609</f>
        <v>70.9855441960356</v>
      </c>
      <c r="AC609" s="79">
        <f>VLOOKUP(B609,'Player Data'!$A1:$AE667,17,FALSE)*$Q609*_xlfn.IFERROR((VLOOKUP(P609,'Settings'!$E$28:$F$33,2,FALSE)+1),1)</f>
        <v>1.69181287267534</v>
      </c>
      <c r="AD609" s="79">
        <f>VLOOKUP(B609,'Player Data'!$A1:$AE667,18,FALSE)*$Q609</f>
        <v>24.2440139030102</v>
      </c>
      <c r="AE609" s="79">
        <f>VLOOKUP(B609,'Player Data'!$A1:$AE667,19,FALSE)*$Q609*_xlfn.IFERROR((VLOOKUP(P609,'Settings'!$E$28:$F$33,2,FALSE)+1),1)</f>
        <v>1.84478366709665</v>
      </c>
      <c r="AF609" s="79">
        <f>VLOOKUP(B609,'Player Data'!$A1:$AE667,20,FALSE)*$Q609</f>
        <v>0</v>
      </c>
      <c r="AG609" s="79">
        <f>VLOOKUP(B609,'Player Data'!$A1:$AE667,21,FALSE)*$Q609</f>
        <v>0</v>
      </c>
      <c r="AH609" s="81">
        <f>VLOOKUP(B609,'Player Data'!$A1:$AE667,22,FALSE)</f>
        <v>0</v>
      </c>
      <c r="AI609" s="77"/>
      <c r="AJ609" s="89"/>
      <c r="AK609" s="79"/>
      <c r="AL609" s="79"/>
      <c r="AM609" s="79"/>
      <c r="AN609" s="79"/>
      <c r="AO609" s="79"/>
      <c r="AP609" s="79"/>
      <c r="AQ609" s="82"/>
      <c r="AR609" s="83"/>
      <c r="AS609" s="84"/>
    </row>
    <row r="610" ht="21.25" customHeight="1">
      <c r="A610" s="85">
        <f>RANK(K610,K$1:K$665)</f>
        <v>601</v>
      </c>
      <c r="B610" t="s" s="16">
        <v>800</v>
      </c>
      <c r="C610" t="s" s="69">
        <v>127</v>
      </c>
      <c r="D610" t="s" s="70">
        <f>VLOOKUP(B610,'Player Data'!A1:D667,4,FALSE)</f>
        <v>153</v>
      </c>
      <c r="E610" s="95">
        <f>VLOOKUP(B610,'D'!A1:C213,3,FALSE)</f>
        <v>195</v>
      </c>
      <c r="F610" t="s" s="104">
        <f>VLOOKUP(B610,'Player Data'!A1:B667,2,FALSE)</f>
        <v>333</v>
      </c>
      <c r="G610" s="11">
        <f>VLOOKUP(B610,'Player Data'!A1:D667,3,FALSE)</f>
        <v>30</v>
      </c>
      <c r="H610" s="73">
        <f>_xlfn.IFERROR(VLOOKUP(B610,'ADP'!A1:G665,7,FALSE)/1000000,VLOOKUP(B610,'ADP'!A1:G665,7,FALSE))</f>
        <v>1.25</v>
      </c>
      <c r="I610" s="74">
        <f>IF('Settings'!$E$15="POINTS",((R610*Q610)*'Settings'!$B$12)+(S610*'Settings'!$B$2)+(T610*'Settings'!$B$3)+(U610*'Settings'!$B$4)+(V610*'Settings'!$B$5)+(X610*'Settings'!$B$9)+(AA610*'Settings'!$B$6)+(W610*'Settings'!$B$8)+(AB610*'Settings'!$B$7)+(AC610*'Settings'!$B$14)+(AD610*'Settings'!$B$15)+(AE610*'Settings'!$B$16)+(AF610*'Settings'!$B$17)+(AG610*'Settings'!$B$18)+(U610*'Settings'!$B$13)+(Y610*'Settings'!$B$10)+(Z610*'Settings'!$B$11),VLOOKUP(B610,'Standard Deviations'!A1:C666,3,FALSE))</f>
        <v>147.371588006491</v>
      </c>
      <c r="J610" s="75">
        <f>IF(D610="G",I610/AJ610,I610/Q610)</f>
        <v>2.18094029385462</v>
      </c>
      <c r="K610" s="74">
        <f>VLOOKUP(B610,'D'!A1:F213,6,FALSE)</f>
        <v>-184.168619913591</v>
      </c>
      <c r="L610" s="76">
        <f>_xlfn.IFERROR(K610/H610,"N/A")</f>
        <v>-147.334895930873</v>
      </c>
      <c r="M610" s="109">
        <f>IF('Settings'!$E$9="YAHOO",VLOOKUP(B610,'ADP'!A1:E665,2,FALSE),IF('Settings'!$E$9="ESPN",VLOOKUP(B610,'ADP'!A1:E665,3,FALSE),IF('Settings'!$E$9="FANTRAX",VLOOKUP(B610,'ADP'!A1:E665,4,FALSE),VLOOKUP(B610,'ADP'!A1:E665,5,FALSE))))</f>
        <v>0</v>
      </c>
      <c r="N610" s="79">
        <f>_xlfn.IFERROR(M610-A610,"N/A")</f>
        <v>-601</v>
      </c>
      <c r="O610" s="77"/>
      <c r="P610" t="s" s="78">
        <f>IF('Settings'!$E$27="ON",VLOOKUP(B610,'ADP'!A1:H665,8,FALSE)," ")</f>
        <v>138</v>
      </c>
      <c r="Q610" s="79">
        <f>IF('Settings'!$E$12="YES",VLOOKUP(B610,'Player Data'!A1:E667,5,FALSE),82)</f>
        <v>67.57250000000001</v>
      </c>
      <c r="R610" s="108">
        <f>VLOOKUP(B610,'Player Data'!$A1:$AE667,6,FALSE)</f>
        <v>15.7640850453526</v>
      </c>
      <c r="S610" s="79">
        <f>VLOOKUP(B610,'Player Data'!$A1:$AE667,7,FALSE)*$Q610*_xlfn.IFERROR((VLOOKUP(P610,'Settings'!$E$28:$F$33,2,FALSE)+1),1)</f>
        <v>0.94820973072806</v>
      </c>
      <c r="T610" s="79">
        <f>VLOOKUP(B610,'Player Data'!$A1:$AE667,8,FALSE)*$Q610*_xlfn.IFERROR((VLOOKUP(P610,'Settings'!$E$28:$F$33,2,FALSE)+1),1)</f>
        <v>14.0117380530767</v>
      </c>
      <c r="U610" s="79">
        <f>SUM(S610:T610)</f>
        <v>14.9599477838048</v>
      </c>
      <c r="V610" s="79">
        <f>VLOOKUP(B610,'Player Data'!$A1:$AE667,10,FALSE)*$Q610*_xlfn.IFERROR(((VLOOKUP(P610,'Settings'!$E$28:$F$33,2,FALSE)/2)+1),1)</f>
        <v>53.763446327973</v>
      </c>
      <c r="W610" s="79">
        <f>VLOOKUP(B610,'Player Data'!$A1:$AE667,11,FALSE)*$Q610*_xlfn.IFERROR((VLOOKUP(P610,'Settings'!$E$28:$F$33,2,FALSE)+1),1)</f>
        <v>0.00135512241690766</v>
      </c>
      <c r="X610" s="79">
        <f>VLOOKUP(B610,'Player Data'!$A1:$AE667,12,FALSE)*$Q610*_xlfn.IFERROR((VLOOKUP(P610,'Settings'!$E$28:$F$33,2,FALSE)+1),1)</f>
        <v>0.013436631297972</v>
      </c>
      <c r="Y610" s="79">
        <f>VLOOKUP(B610,'Player Data'!$A1:$AE667,13,FALSE)*$Q610</f>
        <v>0.00276748181902161</v>
      </c>
      <c r="Z610" s="79">
        <f>VLOOKUP(B610,'Player Data'!$A1:$AE667,14,FALSE)*$Q610</f>
        <v>0.0504633877071985</v>
      </c>
      <c r="AA610" s="79">
        <f>VLOOKUP(B610,'Player Data'!$A1:$AE667,15,FALSE)*$Q610</f>
        <v>76.31359200467971</v>
      </c>
      <c r="AB610" s="79">
        <f>VLOOKUP(B610,'Player Data'!$A1:$AE667,16,FALSE)*$Q610</f>
        <v>83.4981527586019</v>
      </c>
      <c r="AC610" s="79">
        <f>VLOOKUP(B610,'Player Data'!$A1:$AE667,17,FALSE)*$Q610*_xlfn.IFERROR((VLOOKUP(P610,'Settings'!$E$28:$F$33,2,FALSE)+1),1)</f>
        <v>-7.7263593097752</v>
      </c>
      <c r="AD610" s="79">
        <f>VLOOKUP(B610,'Player Data'!$A1:$AE667,18,FALSE)*$Q610</f>
        <v>27.8556226219407</v>
      </c>
      <c r="AE610" s="79">
        <f>VLOOKUP(B610,'Player Data'!$A1:$AE667,19,FALSE)*$Q610*_xlfn.IFERROR((VLOOKUP(P610,'Settings'!$E$28:$F$33,2,FALSE)+1),1)</f>
        <v>0.101278399787728</v>
      </c>
      <c r="AF610" s="79">
        <f>VLOOKUP(B610,'Player Data'!$A1:$AE667,20,FALSE)*$Q610</f>
        <v>0</v>
      </c>
      <c r="AG610" s="79">
        <f>VLOOKUP(B610,'Player Data'!$A1:$AE667,21,FALSE)*$Q610</f>
        <v>0</v>
      </c>
      <c r="AH610" s="81">
        <f>VLOOKUP(B610,'Player Data'!$A1:$AE667,22,FALSE)</f>
        <v>0</v>
      </c>
      <c r="AI610" s="77"/>
      <c r="AJ610" s="79"/>
      <c r="AK610" s="79"/>
      <c r="AL610" s="79"/>
      <c r="AM610" s="79"/>
      <c r="AN610" s="79"/>
      <c r="AO610" s="79"/>
      <c r="AP610" s="79"/>
      <c r="AQ610" s="82"/>
      <c r="AR610" s="83"/>
      <c r="AS610" s="84"/>
    </row>
    <row r="611" ht="21.25" customHeight="1">
      <c r="A611" s="85">
        <f>RANK(K611,K$1:K$665)</f>
        <v>603</v>
      </c>
      <c r="B611" t="s" s="16">
        <v>801</v>
      </c>
      <c r="C611" t="s" s="69">
        <v>127</v>
      </c>
      <c r="D611" t="s" s="70">
        <f>VLOOKUP(B611,'Player Data'!A1:D667,4,FALSE)</f>
        <v>153</v>
      </c>
      <c r="E611" s="95">
        <f>VLOOKUP(B611,'D'!A1:C213,3,FALSE)</f>
        <v>196</v>
      </c>
      <c r="F611" t="s" s="78">
        <f>VLOOKUP(B611,'Player Data'!A1:B667,2,FALSE)</f>
        <v>204</v>
      </c>
      <c r="G611" s="96">
        <f>VLOOKUP(B611,'Player Data'!A1:D667,3,FALSE)</f>
        <v>24</v>
      </c>
      <c r="H611" s="94">
        <f>_xlfn.IFERROR(VLOOKUP(B611,'ADP'!A1:G665,7,FALSE)/1000000,VLOOKUP(B611,'ADP'!A1:G665,7,FALSE))</f>
        <v>1.25</v>
      </c>
      <c r="I611" s="74">
        <f>IF('Settings'!$E$15="POINTS",((R611*Q611)*'Settings'!$B$12)+(S611*'Settings'!$B$2)+(T611*'Settings'!$B$3)+(U611*'Settings'!$B$4)+(V611*'Settings'!$B$5)+(X611*'Settings'!$B$9)+(AA611*'Settings'!$B$6)+(W611*'Settings'!$B$8)+(AB611*'Settings'!$B$7)+(AC611*'Settings'!$B$14)+(AD611*'Settings'!$B$15)+(AE611*'Settings'!$B$16)+(AF611*'Settings'!$B$17)+(AG611*'Settings'!$B$18)+(U611*'Settings'!$B$13)+(Y611*'Settings'!$B$10)+(Z611*'Settings'!$B$11),VLOOKUP(B611,'Standard Deviations'!A1:C666,3,FALSE))</f>
        <v>147.172945141999</v>
      </c>
      <c r="J611" s="75">
        <f>IF(D611="G",I611/AJ611,I611/Q611)</f>
        <v>2.1260853789158</v>
      </c>
      <c r="K611" s="74">
        <f>VLOOKUP(B611,'D'!A1:F213,6,FALSE)</f>
        <v>-184.367262778083</v>
      </c>
      <c r="L611" s="76">
        <f>_xlfn.IFERROR(K611/H611,"N/A")</f>
        <v>-147.493810222466</v>
      </c>
      <c r="M611" s="109">
        <f>IF('Settings'!$E$9="YAHOO",VLOOKUP(B611,'ADP'!A1:E665,2,FALSE),IF('Settings'!$E$9="ESPN",VLOOKUP(B611,'ADP'!A1:E665,3,FALSE),IF('Settings'!$E$9="FANTRAX",VLOOKUP(B611,'ADP'!A1:E665,4,FALSE),VLOOKUP(B611,'ADP'!A1:E665,5,FALSE))))</f>
        <v>0</v>
      </c>
      <c r="N611" s="79">
        <f>_xlfn.IFERROR(M611-A611,"N/A")</f>
        <v>-603</v>
      </c>
      <c r="O611" s="77"/>
      <c r="P611" t="s" s="78">
        <f>IF('Settings'!$E$27="ON",VLOOKUP(B611,'ADP'!A1:H665,8,FALSE)," ")</f>
        <v>138</v>
      </c>
      <c r="Q611" s="79">
        <f>IF('Settings'!$E$12="YES",VLOOKUP(B611,'Player Data'!A1:E667,5,FALSE),82)</f>
        <v>69.2225</v>
      </c>
      <c r="R611" s="77">
        <f>VLOOKUP(B611,'Player Data'!$A1:$AE667,6,FALSE)</f>
        <v>14.9757474371969</v>
      </c>
      <c r="S611" s="79">
        <f>VLOOKUP(B611,'Player Data'!$A1:$AE667,7,FALSE)*$Q611*_xlfn.IFERROR((VLOOKUP(P611,'Settings'!$E$28:$F$33,2,FALSE)+1),1)</f>
        <v>3.70248684567505</v>
      </c>
      <c r="T611" s="79">
        <f>VLOOKUP(B611,'Player Data'!$A1:$AE667,8,FALSE)*$Q611*_xlfn.IFERROR((VLOOKUP(P611,'Settings'!$E$28:$F$33,2,FALSE)+1),1)</f>
        <v>14.5247921951816</v>
      </c>
      <c r="U611" s="79">
        <f>SUM(S611:T611)</f>
        <v>18.2272790408567</v>
      </c>
      <c r="V611" s="79">
        <f>VLOOKUP(B611,'Player Data'!$A1:$AE667,10,FALSE)*$Q611*_xlfn.IFERROR(((VLOOKUP(P611,'Settings'!$E$28:$F$33,2,FALSE)/2)+1),1)</f>
        <v>86.2437906056966</v>
      </c>
      <c r="W611" s="79">
        <f>VLOOKUP(B611,'Player Data'!$A1:$AE667,11,FALSE)*$Q611*_xlfn.IFERROR((VLOOKUP(P611,'Settings'!$E$28:$F$33,2,FALSE)+1),1)</f>
        <v>0.156468326439803</v>
      </c>
      <c r="X611" s="79">
        <f>VLOOKUP(B611,'Player Data'!$A1:$AE667,12,FALSE)*$Q611*_xlfn.IFERROR((VLOOKUP(P611,'Settings'!$E$28:$F$33,2,FALSE)+1),1)</f>
        <v>0.737603283531497</v>
      </c>
      <c r="Y611" s="79">
        <f>VLOOKUP(B611,'Player Data'!$A1:$AE667,13,FALSE)*$Q611</f>
        <v>0.00043713797489345</v>
      </c>
      <c r="Z611" s="79">
        <f>VLOOKUP(B611,'Player Data'!$A1:$AE667,14,FALSE)*$Q611</f>
        <v>0.0021393737612478</v>
      </c>
      <c r="AA611" s="79">
        <f>VLOOKUP(B611,'Player Data'!$A1:$AE667,15,FALSE)*$Q611</f>
        <v>64.2498150399701</v>
      </c>
      <c r="AB611" s="79">
        <f>VLOOKUP(B611,'Player Data'!$A1:$AE667,16,FALSE)*$Q611</f>
        <v>65.9380485810638</v>
      </c>
      <c r="AC611" s="79">
        <f>VLOOKUP(B611,'Player Data'!$A1:$AE667,17,FALSE)*$Q611*_xlfn.IFERROR((VLOOKUP(P611,'Settings'!$E$28:$F$33,2,FALSE)+1),1)</f>
        <v>4.28617144081285</v>
      </c>
      <c r="AD611" s="79">
        <f>VLOOKUP(B611,'Player Data'!$A1:$AE667,18,FALSE)*$Q611</f>
        <v>19.9695065672706</v>
      </c>
      <c r="AE611" s="79">
        <f>VLOOKUP(B611,'Player Data'!$A1:$AE667,19,FALSE)*$Q611*_xlfn.IFERROR((VLOOKUP(P611,'Settings'!$E$28:$F$33,2,FALSE)+1),1)</f>
        <v>0.592096934138985</v>
      </c>
      <c r="AF611" s="79">
        <f>VLOOKUP(B611,'Player Data'!$A1:$AE667,20,FALSE)*$Q611</f>
        <v>0</v>
      </c>
      <c r="AG611" s="79">
        <f>VLOOKUP(B611,'Player Data'!$A1:$AE667,21,FALSE)*$Q611</f>
        <v>0</v>
      </c>
      <c r="AH611" s="81">
        <f>VLOOKUP(B611,'Player Data'!$A1:$AE667,22,FALSE)</f>
        <v>0</v>
      </c>
      <c r="AI611" s="77"/>
      <c r="AJ611" s="79"/>
      <c r="AK611" s="79"/>
      <c r="AL611" s="79"/>
      <c r="AM611" s="79"/>
      <c r="AN611" s="79"/>
      <c r="AO611" s="79"/>
      <c r="AP611" s="79"/>
      <c r="AQ611" s="82"/>
      <c r="AR611" s="83"/>
      <c r="AS611" s="84"/>
    </row>
    <row r="612" ht="21.25" customHeight="1">
      <c r="A612" s="85">
        <f>RANK(K612,K$1:K$665)</f>
        <v>610</v>
      </c>
      <c r="B612" t="s" s="16">
        <v>802</v>
      </c>
      <c r="C612" t="s" s="69">
        <v>127</v>
      </c>
      <c r="D612" t="s" s="70">
        <f>VLOOKUP(B612,'Player Data'!A1:D667,4,FALSE)</f>
        <v>140</v>
      </c>
      <c r="E612" s="90">
        <f>VLOOKUP(B612,'RW'!A1:F136,3,FALSE)</f>
        <v>125</v>
      </c>
      <c r="F612" t="s" s="78">
        <f>VLOOKUP(B612,'Player Data'!A1:B667,2,FALSE)</f>
        <v>244</v>
      </c>
      <c r="G612" s="11">
        <f>VLOOKUP(B612,'Player Data'!A1:D667,3,FALSE)</f>
        <v>29</v>
      </c>
      <c r="H612" s="73">
        <f>_xlfn.IFERROR(VLOOKUP(B612,'ADP'!A1:G665,7,FALSE)/1000000,VLOOKUP(B612,'ADP'!A1:G665,7,FALSE))</f>
        <v>4.75</v>
      </c>
      <c r="I612" s="74">
        <f>IF('Settings'!$E$15="POINTS",((R612*Q612)*'Settings'!$B$12)+(S612*'Settings'!$B$2)+(T612*'Settings'!$B$3)+(U612*'Settings'!$B$4)+(V612*'Settings'!$B$5)+(X612*'Settings'!$B$9)+(AA612*'Settings'!$B$6)+(W612*'Settings'!$B$8)+(AB612*'Settings'!$B$7)+(AC612*'Settings'!$B$14)+(AD612*'Settings'!$B$15)+(AE612*'Settings'!$B$16)+(AF612*'Settings'!$B$17)+(AG612*'Settings'!$B$18)+(Y612*'Settings'!$B$10)+(Z612*'Settings'!$B$11),VLOOKUP(B612,'Standard Deviations'!A1:C666,3,FALSE))</f>
        <v>140.161102295912</v>
      </c>
      <c r="J612" s="75">
        <f>IF(D612="G",I612/AJ612,I612/Q612)</f>
        <v>1.90773243903514</v>
      </c>
      <c r="K612" s="74">
        <f>IF('Settings'!$E$18="C/LW/RW",VLOOKUP(B612,'RW'!A1:F136,6,FALSE),VLOOKUP(B612,'F'!A1:F392,6,FALSE))</f>
        <v>-189.530791785266</v>
      </c>
      <c r="L612" s="76">
        <f>_xlfn.IFERROR(K612/H612,"N/A")</f>
        <v>-39.9012193232139</v>
      </c>
      <c r="M612" s="109">
        <f>IF('Settings'!$E$9="YAHOO",VLOOKUP(B612,'ADP'!A1:E665,2,FALSE),IF('Settings'!$E$9="ESPN",VLOOKUP(B612,'ADP'!A1:E665,3,FALSE),IF('Settings'!$E$9="FANTRAX",VLOOKUP(B612,'ADP'!A1:E665,4,FALSE),VLOOKUP(B612,'ADP'!A1:E665,5,FALSE))))</f>
        <v>0</v>
      </c>
      <c r="N612" s="79">
        <f>_xlfn.IFERROR(M612-A612,"N/A")</f>
        <v>-610</v>
      </c>
      <c r="O612" s="77"/>
      <c r="P612" t="s" s="78">
        <f>IF('Settings'!$E$27="ON",VLOOKUP(B612,'ADP'!A1:H665,8,FALSE)," ")</f>
        <v>138</v>
      </c>
      <c r="Q612" s="79">
        <f>IF('Settings'!$E$12="YES",VLOOKUP(B612,'Player Data'!A1:E667,5,FALSE),82)</f>
        <v>73.47</v>
      </c>
      <c r="R612" s="77">
        <f>VLOOKUP(B612,'Player Data'!$A1:$AE667,6,FALSE)</f>
        <v>13.2891349980268</v>
      </c>
      <c r="S612" s="79">
        <f>VLOOKUP(B612,'Player Data'!$A1:$AE667,7,FALSE)*$Q612*_xlfn.IFERROR((VLOOKUP(P612,'Settings'!$E$28:$F$33,2,FALSE)+1),1)</f>
        <v>10.8771363146595</v>
      </c>
      <c r="T612" s="79">
        <f>VLOOKUP(B612,'Player Data'!$A1:$AE667,8,FALSE)*$Q612*_xlfn.IFERROR((VLOOKUP(P612,'Settings'!$E$28:$F$33,2,FALSE)+1),1)</f>
        <v>14.5517964611178</v>
      </c>
      <c r="U612" s="79">
        <f>SUM(S612:T612)</f>
        <v>25.4289327757773</v>
      </c>
      <c r="V612" s="79">
        <f>VLOOKUP(B612,'Player Data'!$A1:$AE667,10,FALSE)*$Q612*_xlfn.IFERROR(((VLOOKUP(P612,'Settings'!$E$28:$F$33,2,FALSE)/2)+1),1)</f>
        <v>127.701190862111</v>
      </c>
      <c r="W612" s="79">
        <f>VLOOKUP(B612,'Player Data'!$A1:$AE667,11,FALSE)*$Q612*_xlfn.IFERROR((VLOOKUP(P612,'Settings'!$E$28:$F$33,2,FALSE)+1),1)</f>
        <v>0.405891115054857</v>
      </c>
      <c r="X612" s="79">
        <f>VLOOKUP(B612,'Player Data'!$A1:$AE667,12,FALSE)*$Q612*_xlfn.IFERROR((VLOOKUP(P612,'Settings'!$E$28:$F$33,2,FALSE)+1),1)</f>
        <v>0.814909768796793</v>
      </c>
      <c r="Y612" s="79">
        <f>VLOOKUP(B612,'Player Data'!$A1:$AE667,13,FALSE)*$Q612</f>
        <v>0.462413735041128</v>
      </c>
      <c r="Z612" s="79">
        <f>VLOOKUP(B612,'Player Data'!$A1:$AE667,14,FALSE)*$Q612</f>
        <v>0.517700625322179</v>
      </c>
      <c r="AA612" s="79">
        <f>VLOOKUP(B612,'Player Data'!$A1:$AE667,15,FALSE)*$Q612</f>
        <v>21.5015887849619</v>
      </c>
      <c r="AB612" s="79">
        <f>VLOOKUP(B612,'Player Data'!$A1:$AE667,16,FALSE)*$Q612</f>
        <v>46.9480817304343</v>
      </c>
      <c r="AC612" s="79">
        <f>VLOOKUP(B612,'Player Data'!$A1:$AE667,17,FALSE)*$Q612*_xlfn.IFERROR((VLOOKUP(P612,'Settings'!$E$28:$F$33,2,FALSE)+1),1)</f>
        <v>4.85029783477452</v>
      </c>
      <c r="AD612" s="79">
        <f>VLOOKUP(B612,'Player Data'!$A1:$AE667,18,FALSE)*$Q612</f>
        <v>11.3573357828872</v>
      </c>
      <c r="AE612" s="79">
        <f>VLOOKUP(B612,'Player Data'!$A1:$AE667,19,FALSE)*$Q612*_xlfn.IFERROR((VLOOKUP(P612,'Settings'!$E$28:$F$33,2,FALSE)+1),1)</f>
        <v>1.40570938005494</v>
      </c>
      <c r="AF612" s="79">
        <f>VLOOKUP(B612,'Player Data'!$A1:$AE667,20,FALSE)*$Q612</f>
        <v>4.16693644614543</v>
      </c>
      <c r="AG612" s="79">
        <f>VLOOKUP(B612,'Player Data'!$A1:$AE667,21,FALSE)*$Q612</f>
        <v>17.1810151853463</v>
      </c>
      <c r="AH612" s="81">
        <f>VLOOKUP(B612,'Player Data'!$A1:$AE667,22,FALSE)</f>
        <v>0.195191394381769</v>
      </c>
      <c r="AI612" s="77"/>
      <c r="AJ612" s="79"/>
      <c r="AK612" s="79"/>
      <c r="AL612" s="79"/>
      <c r="AM612" s="79"/>
      <c r="AN612" s="79"/>
      <c r="AO612" s="79"/>
      <c r="AP612" s="79"/>
      <c r="AQ612" s="82"/>
      <c r="AR612" s="83"/>
      <c r="AS612" s="93"/>
    </row>
    <row r="613" ht="21.25" customHeight="1">
      <c r="A613" s="85">
        <f>RANK(K613,K$1:K$665)</f>
        <v>624</v>
      </c>
      <c r="B613" t="s" s="16">
        <v>803</v>
      </c>
      <c r="C613" t="s" s="69">
        <v>127</v>
      </c>
      <c r="D613" t="s" s="70">
        <f>VLOOKUP(B613,'Player Data'!A1:D667,4,FALSE)</f>
        <v>128</v>
      </c>
      <c r="E613" s="71">
        <f>VLOOKUP(B613,'C'!A1:C206,3,FALSE)</f>
        <v>189</v>
      </c>
      <c r="F613" t="s" s="107">
        <f>VLOOKUP(B613,'Player Data'!A1:B667,2,FALSE)</f>
        <v>279</v>
      </c>
      <c r="G613" s="11">
        <f>VLOOKUP(B613,'Player Data'!A1:D667,3,FALSE)</f>
        <v>24</v>
      </c>
      <c r="H613" s="94">
        <f>_xlfn.IFERROR(VLOOKUP(B613,'ADP'!A1:G665,7,FALSE)/1000000,VLOOKUP(B613,'ADP'!A1:G665,7,FALSE))</f>
        <v>1.5</v>
      </c>
      <c r="I613" s="74">
        <f>IF('Settings'!$E$15="POINTS",((R613*Q613)*'Settings'!$B$12)+(S613*'Settings'!$B$2)+(T613*'Settings'!$B$3)+(U613*'Settings'!$B$4)+(V613*'Settings'!$B$5)+(X613*'Settings'!$B$9)+(AA613*'Settings'!$B$6)+(W613*'Settings'!$B$8)+(AB613*'Settings'!$B$7)+(AC613*'Settings'!$B$14)+(AD613*'Settings'!$B$15)+(AE613*'Settings'!$B$16)+(AF613*'Settings'!$B$17)+(AG613*'Settings'!$B$18)+(Y613*'Settings'!$B$10)+(Z613*'Settings'!$B$11),VLOOKUP(B613,'Standard Deviations'!A1:C666,3,FALSE))</f>
        <v>134.539181062019</v>
      </c>
      <c r="J613" s="75">
        <f>IF(D613="G",I613/AJ613,I613/Q613)</f>
        <v>1.85437002256323</v>
      </c>
      <c r="K613" s="74">
        <f>IF('Settings'!$E$18="C/LW/RW",VLOOKUP(B613,'C'!A1:F206,6,FALSE),VLOOKUP(B613,'F'!A1:F392,6,FALSE))</f>
        <v>-195.152713019159</v>
      </c>
      <c r="L613" s="76">
        <f>_xlfn.IFERROR(K613/H613,"N/A")</f>
        <v>-130.101808679439</v>
      </c>
      <c r="M613" s="109">
        <f>IF('Settings'!$E$9="YAHOO",VLOOKUP(B613,'ADP'!A1:E665,2,FALSE),IF('Settings'!$E$9="ESPN",VLOOKUP(B613,'ADP'!A1:E665,3,FALSE),IF('Settings'!$E$9="FANTRAX",VLOOKUP(B613,'ADP'!A1:E665,4,FALSE),VLOOKUP(B613,'ADP'!A1:E665,5,FALSE))))</f>
        <v>0</v>
      </c>
      <c r="N613" s="79">
        <f>_xlfn.IFERROR(M613-A613,"N/A")</f>
        <v>-624</v>
      </c>
      <c r="O613" s="77"/>
      <c r="P613" t="s" s="78">
        <f>IF('Settings'!$E$27="ON",VLOOKUP(B613,'ADP'!A1:H665,8,FALSE)," ")</f>
        <v>138</v>
      </c>
      <c r="Q613" s="79">
        <f>IF('Settings'!$E$12="YES",VLOOKUP(B613,'Player Data'!A1:E667,5,FALSE),82)</f>
        <v>72.55249999999999</v>
      </c>
      <c r="R613" s="77">
        <f>VLOOKUP(B613,'Player Data'!$A1:$AE667,6,FALSE)</f>
        <v>13.4809445714955</v>
      </c>
      <c r="S613" s="79">
        <f>VLOOKUP(B613,'Player Data'!$A1:$AE667,7,FALSE)*$Q613*_xlfn.IFERROR((VLOOKUP(P613,'Settings'!$E$28:$F$33,2,FALSE)+1),1)</f>
        <v>8.60300728039792</v>
      </c>
      <c r="T613" s="79">
        <f>VLOOKUP(B613,'Player Data'!$A1:$AE667,8,FALSE)*$Q613*_xlfn.IFERROR((VLOOKUP(P613,'Settings'!$E$28:$F$33,2,FALSE)+1),1)</f>
        <v>11.3901634831729</v>
      </c>
      <c r="U613" s="79">
        <f>SUM(S613:T613)</f>
        <v>19.9931707635708</v>
      </c>
      <c r="V613" s="79">
        <f>VLOOKUP(B613,'Player Data'!$A1:$AE667,10,FALSE)*$Q613*_xlfn.IFERROR(((VLOOKUP(P613,'Settings'!$E$28:$F$33,2,FALSE)/2)+1),1)</f>
        <v>66.7649616887726</v>
      </c>
      <c r="W613" s="79">
        <f>VLOOKUP(B613,'Player Data'!$A1:$AE667,11,FALSE)*$Q613*_xlfn.IFERROR((VLOOKUP(P613,'Settings'!$E$28:$F$33,2,FALSE)+1),1)</f>
        <v>0.214174307724824</v>
      </c>
      <c r="X613" s="79">
        <f>VLOOKUP(B613,'Player Data'!$A1:$AE667,12,FALSE)*$Q613*_xlfn.IFERROR((VLOOKUP(P613,'Settings'!$E$28:$F$33,2,FALSE)+1),1)</f>
        <v>0.495978324600652</v>
      </c>
      <c r="Y613" s="79">
        <f>VLOOKUP(B613,'Player Data'!$A1:$AE667,13,FALSE)*$Q613</f>
        <v>1.40001493872458</v>
      </c>
      <c r="Z613" s="79">
        <f>VLOOKUP(B613,'Player Data'!$A1:$AE667,14,FALSE)*$Q613</f>
        <v>1.52064139476629</v>
      </c>
      <c r="AA613" s="79">
        <f>VLOOKUP(B613,'Player Data'!$A1:$AE667,15,FALSE)*$Q613</f>
        <v>43.9875136740678</v>
      </c>
      <c r="AB613" s="79">
        <f>VLOOKUP(B613,'Player Data'!$A1:$AE667,16,FALSE)*$Q613</f>
        <v>60.2860522537622</v>
      </c>
      <c r="AC613" s="79">
        <f>VLOOKUP(B613,'Player Data'!$A1:$AE667,17,FALSE)*$Q613*_xlfn.IFERROR((VLOOKUP(P613,'Settings'!$E$28:$F$33,2,FALSE)+1),1)</f>
        <v>-6.00989549241049</v>
      </c>
      <c r="AD613" s="79">
        <f>VLOOKUP(B613,'Player Data'!$A1:$AE667,18,FALSE)*$Q613</f>
        <v>9.515040268630321</v>
      </c>
      <c r="AE613" s="79">
        <f>VLOOKUP(B613,'Player Data'!$A1:$AE667,19,FALSE)*$Q613*_xlfn.IFERROR((VLOOKUP(P613,'Settings'!$E$28:$F$33,2,FALSE)+1),1)</f>
        <v>1.00276265148689</v>
      </c>
      <c r="AF613" s="79">
        <f>VLOOKUP(B613,'Player Data'!$A1:$AE667,20,FALSE)*$Q613</f>
        <v>280.133632175850</v>
      </c>
      <c r="AG613" s="79">
        <f>VLOOKUP(B613,'Player Data'!$A1:$AE667,21,FALSE)*$Q613</f>
        <v>337.131884625750</v>
      </c>
      <c r="AH613" s="81">
        <f>VLOOKUP(B613,'Player Data'!$A1:$AE667,22,FALSE)</f>
        <v>0.453830036752061</v>
      </c>
      <c r="AI613" s="77"/>
      <c r="AJ613" s="79"/>
      <c r="AK613" s="79"/>
      <c r="AL613" s="79"/>
      <c r="AM613" s="79"/>
      <c r="AN613" s="79"/>
      <c r="AO613" s="79"/>
      <c r="AP613" s="79"/>
      <c r="AQ613" s="82"/>
      <c r="AR613" s="83"/>
      <c r="AS613" s="84"/>
    </row>
    <row r="614" ht="21.25" customHeight="1">
      <c r="A614" s="85">
        <f>RANK(K614,K$1:K$665)</f>
        <v>618</v>
      </c>
      <c r="B614" t="s" s="16">
        <v>804</v>
      </c>
      <c r="C614" t="s" s="69">
        <v>127</v>
      </c>
      <c r="D614" t="s" s="70">
        <f>VLOOKUP(B614,'Player Data'!A1:D667,4,FALSE)</f>
        <v>178</v>
      </c>
      <c r="E614" s="102">
        <f>VLOOKUP(B614,'LW'!A1:C152,3,FALSE)</f>
        <v>137</v>
      </c>
      <c r="F614" t="s" s="86">
        <f>VLOOKUP(B614,'Player Data'!A1:B667,2,FALSE)</f>
        <v>192</v>
      </c>
      <c r="G614" s="11">
        <f>VLOOKUP(B614,'Player Data'!A1:D667,3,FALSE)</f>
        <v>28</v>
      </c>
      <c r="H614" s="73">
        <f>_xlfn.IFERROR(VLOOKUP(B614,'ADP'!A1:G665,7,FALSE)/1000000,VLOOKUP(B614,'ADP'!A1:G665,7,FALSE))</f>
        <v>1.9</v>
      </c>
      <c r="I614" s="74">
        <f>IF('Settings'!$E$15="POINTS",((R614*Q614)*'Settings'!$B$12)+(S614*'Settings'!$B$2)+(T614*'Settings'!$B$3)+(U614*'Settings'!$B$4)+(V614*'Settings'!$B$5)+(X614*'Settings'!$B$9)+(AA614*'Settings'!$B$6)+(W614*'Settings'!$B$8)+(AB614*'Settings'!$B$7)+(AC614*'Settings'!$B$14)+(AD614*'Settings'!$B$15)+(AE614*'Settings'!$B$16)+(AF614*'Settings'!$B$17)+(AG614*'Settings'!$B$18)+(Y614*'Settings'!$B$10)+(Z614*'Settings'!$B$11),VLOOKUP(B614,'Standard Deviations'!A1:C666,3,FALSE))</f>
        <v>139.293191431134</v>
      </c>
      <c r="J614" s="75">
        <f>IF(D614="G",I614/AJ614,I614/Q614)</f>
        <v>1.93201139333727</v>
      </c>
      <c r="K614" s="74">
        <f>IF('Settings'!$E$18="C/LW/RW",VLOOKUP(B614,'LW'!A1:F152,6,FALSE),VLOOKUP(B614,'F'!A1:F392,6,FALSE))</f>
        <v>-192.426920335078</v>
      </c>
      <c r="L614" s="76">
        <f>_xlfn.IFERROR(K614/H614,"N/A")</f>
        <v>-101.277326492146</v>
      </c>
      <c r="M614" s="109">
        <f>IF('Settings'!$E$9="YAHOO",VLOOKUP(B614,'ADP'!A1:E665,2,FALSE),IF('Settings'!$E$9="ESPN",VLOOKUP(B614,'ADP'!A1:E665,3,FALSE),IF('Settings'!$E$9="FANTRAX",VLOOKUP(B614,'ADP'!A1:E665,4,FALSE),VLOOKUP(B614,'ADP'!A1:E665,5,FALSE))))</f>
        <v>0</v>
      </c>
      <c r="N614" s="79">
        <f>_xlfn.IFERROR(M614-A614,"N/A")</f>
        <v>-618</v>
      </c>
      <c r="O614" s="77"/>
      <c r="P614" t="s" s="78">
        <f>IF('Settings'!$E$27="ON",VLOOKUP(B614,'ADP'!A1:H665,8,FALSE)," ")</f>
        <v>138</v>
      </c>
      <c r="Q614" s="79">
        <f>IF('Settings'!$E$12="YES",VLOOKUP(B614,'Player Data'!A1:E667,5,FALSE),82)</f>
        <v>72.0975</v>
      </c>
      <c r="R614" s="77">
        <f>VLOOKUP(B614,'Player Data'!$A1:$AE667,6,FALSE)</f>
        <v>12.7886926902275</v>
      </c>
      <c r="S614" s="79">
        <f>VLOOKUP(B614,'Player Data'!$A1:$AE667,7,FALSE)*$Q614*_xlfn.IFERROR((VLOOKUP(P614,'Settings'!$E$28:$F$33,2,FALSE)+1),1)</f>
        <v>13.557359253571</v>
      </c>
      <c r="T614" s="79">
        <f>VLOOKUP(B614,'Player Data'!$A1:$AE667,8,FALSE)*$Q614*_xlfn.IFERROR((VLOOKUP(P614,'Settings'!$E$28:$F$33,2,FALSE)+1),1)</f>
        <v>15.5243191922485</v>
      </c>
      <c r="U614" s="79">
        <f>SUM(S614:T614)</f>
        <v>29.0816784458195</v>
      </c>
      <c r="V614" s="79">
        <f>VLOOKUP(B614,'Player Data'!$A1:$AE667,10,FALSE)*$Q614*_xlfn.IFERROR(((VLOOKUP(P614,'Settings'!$E$28:$F$33,2,FALSE)/2)+1),1)</f>
        <v>84.19931046727319</v>
      </c>
      <c r="W614" s="79">
        <f>VLOOKUP(B614,'Player Data'!$A1:$AE667,11,FALSE)*$Q614*_xlfn.IFERROR((VLOOKUP(P614,'Settings'!$E$28:$F$33,2,FALSE)+1),1)</f>
        <v>2.74204377654401</v>
      </c>
      <c r="X614" s="79">
        <f>VLOOKUP(B614,'Player Data'!$A1:$AE667,12,FALSE)*$Q614*_xlfn.IFERROR((VLOOKUP(P614,'Settings'!$E$28:$F$33,2,FALSE)+1),1)</f>
        <v>5.57912517186922</v>
      </c>
      <c r="Y614" s="79">
        <f>VLOOKUP(B614,'Player Data'!$A1:$AE667,13,FALSE)*$Q614</f>
        <v>0.00201209922882095</v>
      </c>
      <c r="Z614" s="79">
        <f>VLOOKUP(B614,'Player Data'!$A1:$AE667,14,FALSE)*$Q614</f>
        <v>0.00341363205842512</v>
      </c>
      <c r="AA614" s="79">
        <f>VLOOKUP(B614,'Player Data'!$A1:$AE667,15,FALSE)*$Q614</f>
        <v>22.6802880832512</v>
      </c>
      <c r="AB614" s="79">
        <f>VLOOKUP(B614,'Player Data'!$A1:$AE667,16,FALSE)*$Q614</f>
        <v>43.5385003508272</v>
      </c>
      <c r="AC614" s="79">
        <f>VLOOKUP(B614,'Player Data'!$A1:$AE667,17,FALSE)*$Q614*_xlfn.IFERROR((VLOOKUP(P614,'Settings'!$E$28:$F$33,2,FALSE)+1),1)</f>
        <v>-0.813260873823294</v>
      </c>
      <c r="AD614" s="79">
        <f>VLOOKUP(B614,'Player Data'!$A1:$AE667,18,FALSE)*$Q614</f>
        <v>17.1286318326896</v>
      </c>
      <c r="AE614" s="79">
        <f>VLOOKUP(B614,'Player Data'!$A1:$AE667,19,FALSE)*$Q614*_xlfn.IFERROR((VLOOKUP(P614,'Settings'!$E$28:$F$33,2,FALSE)+1),1)</f>
        <v>1.9239592200429</v>
      </c>
      <c r="AF614" s="79">
        <f>VLOOKUP(B614,'Player Data'!$A1:$AE667,20,FALSE)*$Q614</f>
        <v>0</v>
      </c>
      <c r="AG614" s="79">
        <f>VLOOKUP(B614,'Player Data'!$A1:$AE667,21,FALSE)*$Q614</f>
        <v>0.383259198983128</v>
      </c>
      <c r="AH614" s="81">
        <f>VLOOKUP(B614,'Player Data'!$A1:$AE667,22,FALSE)</f>
        <v>0</v>
      </c>
      <c r="AI614" s="77"/>
      <c r="AJ614" s="79"/>
      <c r="AK614" s="79"/>
      <c r="AL614" s="79"/>
      <c r="AM614" s="79"/>
      <c r="AN614" s="79"/>
      <c r="AO614" s="79"/>
      <c r="AP614" s="79"/>
      <c r="AQ614" s="82"/>
      <c r="AR614" s="83"/>
      <c r="AS614" s="84"/>
    </row>
    <row r="615" ht="21.25" customHeight="1">
      <c r="A615" s="85">
        <f>RANK(K615,K$1:K$665)</f>
        <v>612</v>
      </c>
      <c r="B615" t="s" s="16">
        <v>805</v>
      </c>
      <c r="C615" t="s" s="69">
        <v>127</v>
      </c>
      <c r="D615" t="s" s="70">
        <f>VLOOKUP(B615,'Player Data'!A1:D667,4,FALSE)</f>
        <v>140</v>
      </c>
      <c r="E615" s="90">
        <f>VLOOKUP(B615,'RW'!A1:F136,3,FALSE)</f>
        <v>126</v>
      </c>
      <c r="F615" t="s" s="88">
        <f>VLOOKUP(B615,'Player Data'!A1:B667,2,FALSE)</f>
        <v>239</v>
      </c>
      <c r="G615" s="91">
        <f>VLOOKUP(B615,'Player Data'!A1:D667,3,FALSE)</f>
        <v>31</v>
      </c>
      <c r="H615" s="94">
        <f>_xlfn.IFERROR(VLOOKUP(B615,'ADP'!A1:G665,7,FALSE)/1000000,VLOOKUP(B615,'ADP'!A1:G665,7,FALSE))</f>
        <v>3.4</v>
      </c>
      <c r="I615" s="74">
        <f>IF('Settings'!$E$15="POINTS",((R615*Q615)*'Settings'!$B$12)+(S615*'Settings'!$B$2)+(T615*'Settings'!$B$3)+(U615*'Settings'!$B$4)+(V615*'Settings'!$B$5)+(X615*'Settings'!$B$9)+(AA615*'Settings'!$B$6)+(W615*'Settings'!$B$8)+(AB615*'Settings'!$B$7)+(AC615*'Settings'!$B$14)+(AD615*'Settings'!$B$15)+(AE615*'Settings'!$B$16)+(AF615*'Settings'!$B$17)+(AG615*'Settings'!$B$18)+(Y615*'Settings'!$B$10)+(Z615*'Settings'!$B$11),VLOOKUP(B615,'Standard Deviations'!A1:C666,3,FALSE))</f>
        <v>138.898602365151</v>
      </c>
      <c r="J615" s="75">
        <f>IF(D615="G",I615/AJ615,I615/Q615)</f>
        <v>1.93917981732088</v>
      </c>
      <c r="K615" s="74">
        <f>IF('Settings'!$E$18="C/LW/RW",VLOOKUP(B615,'RW'!A1:F136,6,FALSE),VLOOKUP(B615,'F'!A1:F392,6,FALSE))</f>
        <v>-190.793291716027</v>
      </c>
      <c r="L615" s="76">
        <f>_xlfn.IFERROR(K615/H615,"N/A")</f>
        <v>-56.1156740341256</v>
      </c>
      <c r="M615" s="109">
        <f>IF('Settings'!$E$9="YAHOO",VLOOKUP(B615,'ADP'!A1:E665,2,FALSE),IF('Settings'!$E$9="ESPN",VLOOKUP(B615,'ADP'!A1:E665,3,FALSE),IF('Settings'!$E$9="FANTRAX",VLOOKUP(B615,'ADP'!A1:E665,4,FALSE),VLOOKUP(B615,'ADP'!A1:E665,5,FALSE))))</f>
        <v>0</v>
      </c>
      <c r="N615" s="79">
        <f>_xlfn.IFERROR(M615-A615,"N/A")</f>
        <v>-612</v>
      </c>
      <c r="O615" s="77"/>
      <c r="P615" t="s" s="78">
        <f>IF('Settings'!$E$27="ON",VLOOKUP(B615,'ADP'!A1:H665,8,FALSE)," ")</f>
        <v>138</v>
      </c>
      <c r="Q615" s="79">
        <f>IF('Settings'!$E$12="YES",VLOOKUP(B615,'Player Data'!A1:E667,5,FALSE),82)</f>
        <v>71.6275</v>
      </c>
      <c r="R615" s="108">
        <f>VLOOKUP(B615,'Player Data'!$A1:$AE667,6,FALSE)</f>
        <v>12.8149245122899</v>
      </c>
      <c r="S615" s="79">
        <f>VLOOKUP(B615,'Player Data'!$A1:$AE667,7,FALSE)*$Q615*_xlfn.IFERROR((VLOOKUP(P615,'Settings'!$E$28:$F$33,2,FALSE)+1),1)</f>
        <v>10.2361160720256</v>
      </c>
      <c r="T615" s="79">
        <f>VLOOKUP(B615,'Player Data'!$A1:$AE667,8,FALSE)*$Q615*_xlfn.IFERROR((VLOOKUP(P615,'Settings'!$E$28:$F$33,2,FALSE)+1),1)</f>
        <v>6.78400600221279</v>
      </c>
      <c r="U615" s="79">
        <f>SUM(S615:T615)</f>
        <v>17.0201220742384</v>
      </c>
      <c r="V615" s="79">
        <f>VLOOKUP(B615,'Player Data'!$A1:$AE667,10,FALSE)*$Q615*_xlfn.IFERROR(((VLOOKUP(P615,'Settings'!$E$28:$F$33,2,FALSE)/2)+1),1)</f>
        <v>110.448321626699</v>
      </c>
      <c r="W615" s="79">
        <f>VLOOKUP(B615,'Player Data'!$A1:$AE667,11,FALSE)*$Q615*_xlfn.IFERROR((VLOOKUP(P615,'Settings'!$E$28:$F$33,2,FALSE)+1),1)</f>
        <v>0.218012650730397</v>
      </c>
      <c r="X615" s="79">
        <f>VLOOKUP(B615,'Player Data'!$A1:$AE667,12,FALSE)*$Q615*_xlfn.IFERROR((VLOOKUP(P615,'Settings'!$E$28:$F$33,2,FALSE)+1),1)</f>
        <v>0.608573505890816</v>
      </c>
      <c r="Y615" s="79">
        <f>VLOOKUP(B615,'Player Data'!$A1:$AE667,13,FALSE)*$Q615</f>
        <v>1.85901029146561</v>
      </c>
      <c r="Z615" s="79">
        <f>VLOOKUP(B615,'Player Data'!$A1:$AE667,14,FALSE)*$Q615</f>
        <v>1.94954747330487</v>
      </c>
      <c r="AA615" s="79">
        <f>VLOOKUP(B615,'Player Data'!$A1:$AE667,15,FALSE)*$Q615</f>
        <v>37.8213442092283</v>
      </c>
      <c r="AB615" s="79">
        <f>VLOOKUP(B615,'Player Data'!$A1:$AE667,16,FALSE)*$Q615</f>
        <v>58.9316648260509</v>
      </c>
      <c r="AC615" s="79">
        <f>VLOOKUP(B615,'Player Data'!$A1:$AE667,17,FALSE)*$Q615*_xlfn.IFERROR((VLOOKUP(P615,'Settings'!$E$28:$F$33,2,FALSE)+1),1)</f>
        <v>-3.8546708952753</v>
      </c>
      <c r="AD615" s="79">
        <f>VLOOKUP(B615,'Player Data'!$A1:$AE667,18,FALSE)*$Q615</f>
        <v>29.6885585041184</v>
      </c>
      <c r="AE615" s="79">
        <f>VLOOKUP(B615,'Player Data'!$A1:$AE667,19,FALSE)*$Q615*_xlfn.IFERROR((VLOOKUP(P615,'Settings'!$E$28:$F$33,2,FALSE)+1),1)</f>
        <v>1.18637887989252</v>
      </c>
      <c r="AF615" s="79">
        <f>VLOOKUP(B615,'Player Data'!$A1:$AE667,20,FALSE)*$Q615</f>
        <v>4.21601683310089</v>
      </c>
      <c r="AG615" s="79">
        <f>VLOOKUP(B615,'Player Data'!$A1:$AE667,21,FALSE)*$Q615</f>
        <v>10.540780092799</v>
      </c>
      <c r="AH615" s="81">
        <f>VLOOKUP(B615,'Player Data'!$A1:$AE667,22,FALSE)</f>
        <v>0.285699996704657</v>
      </c>
      <c r="AI615" s="77"/>
      <c r="AJ615" s="89"/>
      <c r="AK615" s="79"/>
      <c r="AL615" s="79"/>
      <c r="AM615" s="79"/>
      <c r="AN615" s="79"/>
      <c r="AO615" s="79"/>
      <c r="AP615" s="79"/>
      <c r="AQ615" s="82"/>
      <c r="AR615" s="83"/>
      <c r="AS615" s="84"/>
    </row>
    <row r="616" ht="21.25" customHeight="1">
      <c r="A616" s="85">
        <f>RANK(K616,K$1:K$665)</f>
        <v>606</v>
      </c>
      <c r="B616" t="s" s="16">
        <v>806</v>
      </c>
      <c r="C616" t="s" s="69">
        <v>127</v>
      </c>
      <c r="D616" t="s" s="70">
        <f>VLOOKUP(B616,'Player Data'!A1:D667,4,FALSE)</f>
        <v>153</v>
      </c>
      <c r="E616" s="95">
        <f>VLOOKUP(B616,'D'!A1:C213,3,FALSE)</f>
        <v>197</v>
      </c>
      <c r="F616" t="s" s="86">
        <f>VLOOKUP(B616,'Player Data'!A1:B667,2,FALSE)</f>
        <v>174</v>
      </c>
      <c r="G616" s="11">
        <f>VLOOKUP(B616,'Player Data'!A1:D667,3,FALSE)</f>
        <v>27</v>
      </c>
      <c r="H616" s="73">
        <f>_xlfn.IFERROR(VLOOKUP(B616,'ADP'!A1:G665,7,FALSE)/1000000,VLOOKUP(B616,'ADP'!A1:G665,7,FALSE))</f>
        <v>1.25</v>
      </c>
      <c r="I616" s="74">
        <f>IF('Settings'!$E$15="POINTS",((R616*Q616)*'Settings'!$B$12)+(S616*'Settings'!$B$2)+(T616*'Settings'!$B$3)+(U616*'Settings'!$B$4)+(V616*'Settings'!$B$5)+(X616*'Settings'!$B$9)+(AA616*'Settings'!$B$6)+(W616*'Settings'!$B$8)+(AB616*'Settings'!$B$7)+(AC616*'Settings'!$B$14)+(AD616*'Settings'!$B$15)+(AE616*'Settings'!$B$16)+(AF616*'Settings'!$B$17)+(AG616*'Settings'!$B$18)+(U616*'Settings'!$B$13)+(Y616*'Settings'!$B$10)+(Z616*'Settings'!$B$11),VLOOKUP(B616,'Standard Deviations'!A1:C666,3,FALSE))</f>
        <v>145.734060583935</v>
      </c>
      <c r="J616" s="75">
        <f>IF(D616="G",I616/AJ616,I616/Q616)</f>
        <v>2.51439027922593</v>
      </c>
      <c r="K616" s="74">
        <f>VLOOKUP(B616,'D'!A1:F213,6,FALSE)</f>
        <v>-185.806147336147</v>
      </c>
      <c r="L616" s="76">
        <f>_xlfn.IFERROR(K616/H616,"N/A")</f>
        <v>-148.644917868918</v>
      </c>
      <c r="M616" s="109">
        <f>IF('Settings'!$E$9="YAHOO",VLOOKUP(B616,'ADP'!A1:E665,2,FALSE),IF('Settings'!$E$9="ESPN",VLOOKUP(B616,'ADP'!A1:E665,3,FALSE),IF('Settings'!$E$9="FANTRAX",VLOOKUP(B616,'ADP'!A1:E665,4,FALSE),VLOOKUP(B616,'ADP'!A1:E665,5,FALSE))))</f>
        <v>0</v>
      </c>
      <c r="N616" s="79">
        <f>_xlfn.IFERROR(M616-A616,"N/A")</f>
        <v>-606</v>
      </c>
      <c r="O616" s="77"/>
      <c r="P616" t="s" s="78">
        <f>IF('Settings'!$E$27="ON",VLOOKUP(B616,'ADP'!A1:H665,8,FALSE)," ")</f>
        <v>138</v>
      </c>
      <c r="Q616" s="79">
        <f>IF('Settings'!$E$12="YES",VLOOKUP(B616,'Player Data'!A1:E667,5,FALSE),82)</f>
        <v>57.96</v>
      </c>
      <c r="R616" s="108">
        <f>VLOOKUP(B616,'Player Data'!$A1:$AE667,6,FALSE)</f>
        <v>18.4149593834939</v>
      </c>
      <c r="S616" s="79">
        <f>VLOOKUP(B616,'Player Data'!$A1:$AE667,7,FALSE)*$Q616*_xlfn.IFERROR((VLOOKUP(P616,'Settings'!$E$28:$F$33,2,FALSE)+1),1)</f>
        <v>5.09670085157402</v>
      </c>
      <c r="T616" s="79">
        <f>VLOOKUP(B616,'Player Data'!$A1:$AE667,8,FALSE)*$Q616*_xlfn.IFERROR((VLOOKUP(P616,'Settings'!$E$28:$F$33,2,FALSE)+1),1)</f>
        <v>11.7971623461653</v>
      </c>
      <c r="U616" s="79">
        <f>SUM(S616:T616)</f>
        <v>16.8938631977393</v>
      </c>
      <c r="V616" s="79">
        <f>VLOOKUP(B616,'Player Data'!$A1:$AE667,10,FALSE)*$Q616*_xlfn.IFERROR(((VLOOKUP(P616,'Settings'!$E$28:$F$33,2,FALSE)/2)+1),1)</f>
        <v>93.3958410974322</v>
      </c>
      <c r="W616" s="79">
        <f>VLOOKUP(B616,'Player Data'!$A1:$AE667,11,FALSE)*$Q616*_xlfn.IFERROR((VLOOKUP(P616,'Settings'!$E$28:$F$33,2,FALSE)+1),1)</f>
        <v>0.386133539792734</v>
      </c>
      <c r="X616" s="79">
        <f>VLOOKUP(B616,'Player Data'!$A1:$AE667,12,FALSE)*$Q616*_xlfn.IFERROR((VLOOKUP(P616,'Settings'!$E$28:$F$33,2,FALSE)+1),1)</f>
        <v>2.36461937803098</v>
      </c>
      <c r="Y616" s="79">
        <f>VLOOKUP(B616,'Player Data'!$A1:$AE667,13,FALSE)*$Q616</f>
        <v>0.0107947027461234</v>
      </c>
      <c r="Z616" s="79">
        <f>VLOOKUP(B616,'Player Data'!$A1:$AE667,14,FALSE)*$Q616</f>
        <v>0.0533651237324281</v>
      </c>
      <c r="AA616" s="79">
        <f>VLOOKUP(B616,'Player Data'!$A1:$AE667,15,FALSE)*$Q616</f>
        <v>78.3305965619581</v>
      </c>
      <c r="AB616" s="79">
        <f>VLOOKUP(B616,'Player Data'!$A1:$AE667,16,FALSE)*$Q616</f>
        <v>44.3749144071195</v>
      </c>
      <c r="AC616" s="79">
        <f>VLOOKUP(B616,'Player Data'!$A1:$AE667,17,FALSE)*$Q616*_xlfn.IFERROR((VLOOKUP(P616,'Settings'!$E$28:$F$33,2,FALSE)+1),1)</f>
        <v>0.30951918287809</v>
      </c>
      <c r="AD616" s="79">
        <f>VLOOKUP(B616,'Player Data'!$A1:$AE667,18,FALSE)*$Q616</f>
        <v>21.1772793086969</v>
      </c>
      <c r="AE616" s="79">
        <f>VLOOKUP(B616,'Player Data'!$A1:$AE667,19,FALSE)*$Q616*_xlfn.IFERROR((VLOOKUP(P616,'Settings'!$E$28:$F$33,2,FALSE)+1),1)</f>
        <v>0.740467956817327</v>
      </c>
      <c r="AF616" s="79">
        <f>VLOOKUP(B616,'Player Data'!$A1:$AE667,20,FALSE)*$Q616</f>
        <v>0</v>
      </c>
      <c r="AG616" s="79">
        <f>VLOOKUP(B616,'Player Data'!$A1:$AE667,21,FALSE)*$Q616</f>
        <v>0</v>
      </c>
      <c r="AH616" s="81">
        <f>VLOOKUP(B616,'Player Data'!$A1:$AE667,22,FALSE)</f>
        <v>0</v>
      </c>
      <c r="AI616" s="77"/>
      <c r="AJ616" s="89"/>
      <c r="AK616" s="79"/>
      <c r="AL616" s="79"/>
      <c r="AM616" s="79"/>
      <c r="AN616" s="79"/>
      <c r="AO616" s="79"/>
      <c r="AP616" s="79"/>
      <c r="AQ616" s="82"/>
      <c r="AR616" s="83"/>
      <c r="AS616" s="84"/>
    </row>
    <row r="617" ht="21.25" customHeight="1">
      <c r="A617" s="85">
        <f>RANK(K617,K$1:K$665)</f>
        <v>614</v>
      </c>
      <c r="B617" t="s" s="16">
        <v>807</v>
      </c>
      <c r="C617" t="s" s="69">
        <v>127</v>
      </c>
      <c r="D617" t="s" s="70">
        <f>VLOOKUP(B617,'Player Data'!A1:D667,4,FALSE)</f>
        <v>140</v>
      </c>
      <c r="E617" s="90">
        <f>VLOOKUP(B617,'RW'!A1:F136,3,FALSE)</f>
        <v>127</v>
      </c>
      <c r="F617" t="s" s="88">
        <f>VLOOKUP(B617,'Player Data'!A1:B667,2,FALSE)</f>
        <v>239</v>
      </c>
      <c r="G617" s="96">
        <f>VLOOKUP(B617,'Player Data'!A1:D667,3,FALSE)</f>
        <v>21</v>
      </c>
      <c r="H617" s="73">
        <f>_xlfn.IFERROR(VLOOKUP(B617,'ADP'!A1:G665,7,FALSE)/1000000,VLOOKUP(B617,'ADP'!A1:G665,7,FALSE))</f>
        <v>0.835</v>
      </c>
      <c r="I617" s="74">
        <f>IF('Settings'!$E$15="POINTS",((R617*Q617)*'Settings'!$B$12)+(S617*'Settings'!$B$2)+(T617*'Settings'!$B$3)+(U617*'Settings'!$B$4)+(V617*'Settings'!$B$5)+(X617*'Settings'!$B$9)+(AA617*'Settings'!$B$6)+(W617*'Settings'!$B$8)+(AB617*'Settings'!$B$7)+(AC617*'Settings'!$B$14)+(AD617*'Settings'!$B$15)+(AE617*'Settings'!$B$16)+(AF617*'Settings'!$B$17)+(AG617*'Settings'!$B$18)+(Y617*'Settings'!$B$10)+(Z617*'Settings'!$B$11),VLOOKUP(B617,'Standard Deviations'!A1:C666,3,FALSE))</f>
        <v>138.780264303319</v>
      </c>
      <c r="J617" s="75">
        <f>IF(D617="G",I617/AJ617,I617/Q617)</f>
        <v>2.27807393800589</v>
      </c>
      <c r="K617" s="74">
        <f>IF('Settings'!$E$18="C/LW/RW",VLOOKUP(B617,'RW'!A1:F136,6,FALSE),VLOOKUP(B617,'F'!A1:F392,6,FALSE))</f>
        <v>-190.911629777859</v>
      </c>
      <c r="L617" s="76">
        <f>_xlfn.IFERROR(K617/H617,"N/A")</f>
        <v>-228.636682368693</v>
      </c>
      <c r="M617" s="109">
        <f>IF('Settings'!$E$9="YAHOO",VLOOKUP(B617,'ADP'!A1:E665,2,FALSE),IF('Settings'!$E$9="ESPN",VLOOKUP(B617,'ADP'!A1:E665,3,FALSE),IF('Settings'!$E$9="FANTRAX",VLOOKUP(B617,'ADP'!A1:E665,4,FALSE),VLOOKUP(B617,'ADP'!A1:E665,5,FALSE))))</f>
        <v>0</v>
      </c>
      <c r="N617" s="79">
        <f>_xlfn.IFERROR(M617-A617,"N/A")</f>
        <v>-614</v>
      </c>
      <c r="O617" s="77"/>
      <c r="P617" t="s" s="78">
        <f>IF('Settings'!$E$27="ON",VLOOKUP(B617,'ADP'!A1:H665,8,FALSE)," ")</f>
        <v>138</v>
      </c>
      <c r="Q617" s="79">
        <f>IF('Settings'!$E$12="YES",VLOOKUP(B617,'Player Data'!A1:E667,5,FALSE),82)</f>
        <v>60.92</v>
      </c>
      <c r="R617" s="77">
        <f>VLOOKUP(B617,'Player Data'!$A1:$AE667,6,FALSE)</f>
        <v>11.7440206758841</v>
      </c>
      <c r="S617" s="79">
        <f>VLOOKUP(B617,'Player Data'!$A1:$AE667,7,FALSE)*$Q617*_xlfn.IFERROR((VLOOKUP(P617,'Settings'!$E$28:$F$33,2,FALSE)+1),1)</f>
        <v>10.0761899228042</v>
      </c>
      <c r="T617" s="79">
        <f>VLOOKUP(B617,'Player Data'!$A1:$AE667,8,FALSE)*$Q617*_xlfn.IFERROR((VLOOKUP(P617,'Settings'!$E$28:$F$33,2,FALSE)+1),1)</f>
        <v>13.1681458404188</v>
      </c>
      <c r="U617" s="79">
        <f>SUM(S617:T617)</f>
        <v>23.244335763223</v>
      </c>
      <c r="V617" s="79">
        <f>VLOOKUP(B617,'Player Data'!$A1:$AE667,10,FALSE)*$Q617*_xlfn.IFERROR(((VLOOKUP(P617,'Settings'!$E$28:$F$33,2,FALSE)/2)+1),1)</f>
        <v>85.12523406794909</v>
      </c>
      <c r="W617" s="79">
        <f>VLOOKUP(B617,'Player Data'!$A1:$AE667,11,FALSE)*$Q617*_xlfn.IFERROR((VLOOKUP(P617,'Settings'!$E$28:$F$33,2,FALSE)+1),1)</f>
        <v>0.515008772024053</v>
      </c>
      <c r="X617" s="79">
        <f>VLOOKUP(B617,'Player Data'!$A1:$AE667,12,FALSE)*$Q617*_xlfn.IFERROR((VLOOKUP(P617,'Settings'!$E$28:$F$33,2,FALSE)+1),1)</f>
        <v>1.18295993475624</v>
      </c>
      <c r="Y617" s="79">
        <f>VLOOKUP(B617,'Player Data'!$A1:$AE667,13,FALSE)*$Q617</f>
        <v>0</v>
      </c>
      <c r="Z617" s="79">
        <f>VLOOKUP(B617,'Player Data'!$A1:$AE667,14,FALSE)*$Q617</f>
        <v>0</v>
      </c>
      <c r="AA617" s="79">
        <f>VLOOKUP(B617,'Player Data'!$A1:$AE667,15,FALSE)*$Q617</f>
        <v>42.1907097359297</v>
      </c>
      <c r="AB617" s="79">
        <f>VLOOKUP(B617,'Player Data'!$A1:$AE667,16,FALSE)*$Q617</f>
        <v>49.8859973722436</v>
      </c>
      <c r="AC617" s="79">
        <f>VLOOKUP(B617,'Player Data'!$A1:$AE667,17,FALSE)*$Q617*_xlfn.IFERROR((VLOOKUP(P617,'Settings'!$E$28:$F$33,2,FALSE)+1),1)</f>
        <v>-2.5648432369737</v>
      </c>
      <c r="AD617" s="79">
        <f>VLOOKUP(B617,'Player Data'!$A1:$AE667,18,FALSE)*$Q617</f>
        <v>13.801779144549</v>
      </c>
      <c r="AE617" s="79">
        <f>VLOOKUP(B617,'Player Data'!$A1:$AE667,19,FALSE)*$Q617*_xlfn.IFERROR((VLOOKUP(P617,'Settings'!$E$28:$F$33,2,FALSE)+1),1)</f>
        <v>1.16784323566538</v>
      </c>
      <c r="AF617" s="79">
        <f>VLOOKUP(B617,'Player Data'!$A1:$AE667,20,FALSE)*$Q617</f>
        <v>5.12441886312259</v>
      </c>
      <c r="AG617" s="79">
        <f>VLOOKUP(B617,'Player Data'!$A1:$AE667,21,FALSE)*$Q617</f>
        <v>12.8110471578065</v>
      </c>
      <c r="AH617" s="81">
        <f>VLOOKUP(B617,'Player Data'!$A1:$AE667,22,FALSE)</f>
        <v>0.285714285714286</v>
      </c>
      <c r="AI617" s="77"/>
      <c r="AJ617" s="79"/>
      <c r="AK617" s="79"/>
      <c r="AL617" s="79"/>
      <c r="AM617" s="79"/>
      <c r="AN617" s="79"/>
      <c r="AO617" s="79"/>
      <c r="AP617" s="79"/>
      <c r="AQ617" s="82"/>
      <c r="AR617" s="83"/>
      <c r="AS617" s="84"/>
    </row>
    <row r="618" ht="21.25" customHeight="1">
      <c r="A618" s="85">
        <f>RANK(K618,K$1:K$665)</f>
        <v>620</v>
      </c>
      <c r="B618" t="s" s="16">
        <v>808</v>
      </c>
      <c r="C618" t="s" s="69">
        <v>127</v>
      </c>
      <c r="D618" t="s" s="70">
        <f>VLOOKUP(B618,'Player Data'!A1:D667,4,FALSE)</f>
        <v>178</v>
      </c>
      <c r="E618" s="102">
        <f>VLOOKUP(B618,'LW'!A1:C152,3,FALSE)</f>
        <v>138</v>
      </c>
      <c r="F618" t="s" s="78">
        <f>VLOOKUP(B618,'Player Data'!A1:B667,2,FALSE)</f>
        <v>134</v>
      </c>
      <c r="G618" s="91">
        <f>VLOOKUP(B618,'Player Data'!A1:D667,3,FALSE)</f>
        <v>31</v>
      </c>
      <c r="H618" s="73">
        <f>_xlfn.IFERROR(VLOOKUP(B618,'ADP'!A1:G665,7,FALSE)/1000000,VLOOKUP(B618,'ADP'!A1:G665,7,FALSE))</f>
        <v>7</v>
      </c>
      <c r="I618" s="74">
        <f>IF('Settings'!$E$15="POINTS",((R618*Q618)*'Settings'!$B$12)+(S618*'Settings'!$B$2)+(T618*'Settings'!$B$3)+(U618*'Settings'!$B$4)+(V618*'Settings'!$B$5)+(X618*'Settings'!$B$9)+(AA618*'Settings'!$B$6)+(W618*'Settings'!$B$8)+(AB618*'Settings'!$B$7)+(AC618*'Settings'!$B$14)+(AD618*'Settings'!$B$15)+(AE618*'Settings'!$B$16)+(AF618*'Settings'!$B$17)+(AG618*'Settings'!$B$18)+(Y618*'Settings'!$B$10)+(Z618*'Settings'!$B$11),VLOOKUP(B618,'Standard Deviations'!A1:C666,3,FALSE))</f>
        <v>138.203698851716</v>
      </c>
      <c r="J618" s="75">
        <f>IF(D618="G",I618/AJ618,I618/Q618)</f>
        <v>3.37082192321259</v>
      </c>
      <c r="K618" s="74">
        <f>IF('Settings'!$E$18="C/LW/RW",VLOOKUP(B618,'LW'!A1:F152,6,FALSE),VLOOKUP(B618,'F'!A1:F392,6,FALSE))</f>
        <v>-193.516412914496</v>
      </c>
      <c r="L618" s="76">
        <f>_xlfn.IFERROR(K618/H618,"N/A")</f>
        <v>-27.645201844928</v>
      </c>
      <c r="M618" s="77">
        <f>IF('Settings'!$E$9="YAHOO",VLOOKUP(B618,'ADP'!A1:E665,2,FALSE),IF('Settings'!$E$9="ESPN",VLOOKUP(B618,'ADP'!A1:E665,3,FALSE),IF('Settings'!$E$9="FANTRAX",VLOOKUP(B618,'ADP'!A1:E665,4,FALSE),VLOOKUP(B618,'ADP'!A1:E665,5,FALSE))))</f>
        <v>0</v>
      </c>
      <c r="N618" s="77">
        <f>_xlfn.IFERROR(M618-A618,"N/A")</f>
        <v>-620</v>
      </c>
      <c r="O618" s="77"/>
      <c r="P618" t="s" s="78">
        <f>IF('Settings'!$E$27="ON",VLOOKUP(B618,'ADP'!A1:H665,8,FALSE)," ")</f>
        <v>138</v>
      </c>
      <c r="Q618" s="79">
        <f>IF('Settings'!$E$12="YES",VLOOKUP(B618,'Player Data'!A1:E667,5,FALSE),82)</f>
        <v>41</v>
      </c>
      <c r="R618" s="77">
        <f>VLOOKUP(B618,'Player Data'!$A1:$AE667,6,FALSE)</f>
        <v>15.8359688326638</v>
      </c>
      <c r="S618" s="79">
        <f>VLOOKUP(B618,'Player Data'!$A1:$AE667,7,FALSE)*$Q618*_xlfn.IFERROR((VLOOKUP(P618,'Settings'!$E$28:$F$33,2,FALSE)+1),1)</f>
        <v>13.209533350486</v>
      </c>
      <c r="T618" s="79">
        <f>VLOOKUP(B618,'Player Data'!$A1:$AE667,8,FALSE)*$Q618*_xlfn.IFERROR((VLOOKUP(P618,'Settings'!$E$28:$F$33,2,FALSE)+1),1)</f>
        <v>14.7981373250792</v>
      </c>
      <c r="U618" s="79">
        <f>SUM(S618:T618)</f>
        <v>28.0076706755652</v>
      </c>
      <c r="V618" s="79">
        <f>VLOOKUP(B618,'Player Data'!$A1:$AE667,10,FALSE)*$Q618*_xlfn.IFERROR(((VLOOKUP(P618,'Settings'!$E$28:$F$33,2,FALSE)/2)+1),1)</f>
        <v>85.3515999638157</v>
      </c>
      <c r="W618" s="79">
        <f>VLOOKUP(B618,'Player Data'!$A1:$AE667,11,FALSE)*$Q618*_xlfn.IFERROR((VLOOKUP(P618,'Settings'!$E$28:$F$33,2,FALSE)+1),1)</f>
        <v>1.68958434373127</v>
      </c>
      <c r="X618" s="79">
        <f>VLOOKUP(B618,'Player Data'!$A1:$AE667,12,FALSE)*$Q618*_xlfn.IFERROR((VLOOKUP(P618,'Settings'!$E$28:$F$33,2,FALSE)+1),1)</f>
        <v>3.89546718433404</v>
      </c>
      <c r="Y618" s="79">
        <f>VLOOKUP(B618,'Player Data'!$A1:$AE667,13,FALSE)*$Q618</f>
        <v>0</v>
      </c>
      <c r="Z618" s="79">
        <f>VLOOKUP(B618,'Player Data'!$A1:$AE667,14,FALSE)*$Q618</f>
        <v>0</v>
      </c>
      <c r="AA618" s="79">
        <f>VLOOKUP(B618,'Player Data'!$A1:$AE667,15,FALSE)*$Q618</f>
        <v>20.5143368438501</v>
      </c>
      <c r="AB618" s="79">
        <f>VLOOKUP(B618,'Player Data'!$A1:$AE667,16,FALSE)*$Q618</f>
        <v>47.0569525942341</v>
      </c>
      <c r="AC618" s="79">
        <f>VLOOKUP(B618,'Player Data'!$A1:$AE667,17,FALSE)*$Q618*_xlfn.IFERROR((VLOOKUP(P618,'Settings'!$E$28:$F$33,2,FALSE)+1),1)</f>
        <v>0.347559486110353</v>
      </c>
      <c r="AD618" s="79">
        <f>VLOOKUP(B618,'Player Data'!$A1:$AE667,18,FALSE)*$Q618</f>
        <v>27.7305031416611</v>
      </c>
      <c r="AE618" s="79">
        <f>VLOOKUP(B618,'Player Data'!$A1:$AE667,19,FALSE)*$Q618*_xlfn.IFERROR((VLOOKUP(P618,'Settings'!$E$28:$F$33,2,FALSE)+1),1)</f>
        <v>1.97364502529756</v>
      </c>
      <c r="AF618" s="79">
        <f>VLOOKUP(B618,'Player Data'!$A1:$AE667,20,FALSE)*$Q618</f>
        <v>151.012042599560</v>
      </c>
      <c r="AG618" s="79">
        <f>VLOOKUP(B618,'Player Data'!$A1:$AE667,21,FALSE)*$Q618</f>
        <v>124.067983802092</v>
      </c>
      <c r="AH618" s="81">
        <f>VLOOKUP(B618,'Player Data'!$A1:$AE667,22,FALSE)</f>
        <v>0.548974945854714</v>
      </c>
      <c r="AI618" s="77"/>
      <c r="AJ618" s="79"/>
      <c r="AK618" s="79"/>
      <c r="AL618" s="79"/>
      <c r="AM618" s="79"/>
      <c r="AN618" s="79"/>
      <c r="AO618" s="79"/>
      <c r="AP618" s="79"/>
      <c r="AQ618" s="82"/>
      <c r="AR618" s="83"/>
      <c r="AS618" s="84"/>
    </row>
    <row r="619" ht="21.25" customHeight="1">
      <c r="A619" s="85">
        <f>RANK(K619,K$1:K$665)</f>
        <v>617</v>
      </c>
      <c r="B619" t="s" s="16">
        <v>809</v>
      </c>
      <c r="C619" t="s" s="69">
        <v>127</v>
      </c>
      <c r="D619" t="s" s="70">
        <f>VLOOKUP(B619,'Player Data'!A1:D667,4,FALSE)</f>
        <v>140</v>
      </c>
      <c r="E619" s="90">
        <f>VLOOKUP(B619,'RW'!A1:F136,3,FALSE)</f>
        <v>128</v>
      </c>
      <c r="F619" t="s" s="86">
        <f>VLOOKUP(B619,'Player Data'!A1:B667,2,FALSE)</f>
        <v>132</v>
      </c>
      <c r="G619" s="11">
        <f>VLOOKUP(B619,'Player Data'!A1:D667,3,FALSE)</f>
        <v>25</v>
      </c>
      <c r="H619" s="94">
        <f>_xlfn.IFERROR(VLOOKUP(B619,'ADP'!A1:G665,7,FALSE)/1000000,VLOOKUP(B619,'ADP'!A1:G665,7,FALSE))</f>
        <v>0.8</v>
      </c>
      <c r="I619" s="74">
        <f>IF('Settings'!$E$15="POINTS",((R619*Q619)*'Settings'!$B$12)+(S619*'Settings'!$B$2)+(T619*'Settings'!$B$3)+(U619*'Settings'!$B$4)+(V619*'Settings'!$B$5)+(X619*'Settings'!$B$9)+(AA619*'Settings'!$B$6)+(W619*'Settings'!$B$8)+(AB619*'Settings'!$B$7)+(AC619*'Settings'!$B$14)+(AD619*'Settings'!$B$15)+(AE619*'Settings'!$B$16)+(AF619*'Settings'!$B$17)+(AG619*'Settings'!$B$18)+(Y619*'Settings'!$B$10)+(Z619*'Settings'!$B$11),VLOOKUP(B619,'Standard Deviations'!A1:C666,3,FALSE))</f>
        <v>137.564851531324</v>
      </c>
      <c r="J619" s="75">
        <f>IF(D619="G",I619/AJ619,I619/Q619)</f>
        <v>1.99196136014081</v>
      </c>
      <c r="K619" s="74">
        <f>IF('Settings'!$E$18="C/LW/RW",VLOOKUP(B619,'RW'!A1:F136,6,FALSE),VLOOKUP(B619,'F'!A1:F392,6,FALSE))</f>
        <v>-192.127042549854</v>
      </c>
      <c r="L619" s="76">
        <f>_xlfn.IFERROR(K619/H619,"N/A")</f>
        <v>-240.158803187318</v>
      </c>
      <c r="M619" s="109">
        <f>IF('Settings'!$E$9="YAHOO",VLOOKUP(B619,'ADP'!A1:E665,2,FALSE),IF('Settings'!$E$9="ESPN",VLOOKUP(B619,'ADP'!A1:E665,3,FALSE),IF('Settings'!$E$9="FANTRAX",VLOOKUP(B619,'ADP'!A1:E665,4,FALSE),VLOOKUP(B619,'ADP'!A1:E665,5,FALSE))))</f>
        <v>0</v>
      </c>
      <c r="N619" s="79">
        <f>_xlfn.IFERROR(M619-A619,"N/A")</f>
        <v>-617</v>
      </c>
      <c r="O619" s="77"/>
      <c r="P619" t="s" s="78">
        <f>IF('Settings'!$E$27="ON",VLOOKUP(B619,'ADP'!A1:H665,8,FALSE)," ")</f>
        <v>138</v>
      </c>
      <c r="Q619" s="79">
        <f>IF('Settings'!$E$12="YES",VLOOKUP(B619,'Player Data'!A1:E667,5,FALSE),82)</f>
        <v>69.06</v>
      </c>
      <c r="R619" s="77">
        <f>VLOOKUP(B619,'Player Data'!$A1:$AE667,6,FALSE)</f>
        <v>11.260090060684</v>
      </c>
      <c r="S619" s="79">
        <f>VLOOKUP(B619,'Player Data'!$A1:$AE667,7,FALSE)*$Q619*_xlfn.IFERROR((VLOOKUP(P619,'Settings'!$E$28:$F$33,2,FALSE)+1),1)</f>
        <v>7.29201564429452</v>
      </c>
      <c r="T619" s="79">
        <f>VLOOKUP(B619,'Player Data'!$A1:$AE667,8,FALSE)*$Q619*_xlfn.IFERROR((VLOOKUP(P619,'Settings'!$E$28:$F$33,2,FALSE)+1),1)</f>
        <v>11.1079160912585</v>
      </c>
      <c r="U619" s="79">
        <f>SUM(S619:T619)</f>
        <v>18.399931735553</v>
      </c>
      <c r="V619" s="79">
        <f>VLOOKUP(B619,'Player Data'!$A1:$AE667,10,FALSE)*$Q619*_xlfn.IFERROR(((VLOOKUP(P619,'Settings'!$E$28:$F$33,2,FALSE)/2)+1),1)</f>
        <v>67.7580663392649</v>
      </c>
      <c r="W619" s="79">
        <f>VLOOKUP(B619,'Player Data'!$A1:$AE667,11,FALSE)*$Q619*_xlfn.IFERROR((VLOOKUP(P619,'Settings'!$E$28:$F$33,2,FALSE)+1),1)</f>
        <v>0.0693836656292427</v>
      </c>
      <c r="X619" s="79">
        <f>VLOOKUP(B619,'Player Data'!$A1:$AE667,12,FALSE)*$Q619*_xlfn.IFERROR((VLOOKUP(P619,'Settings'!$E$28:$F$33,2,FALSE)+1),1)</f>
        <v>0.131987510823127</v>
      </c>
      <c r="Y619" s="79">
        <f>VLOOKUP(B619,'Player Data'!$A1:$AE667,13,FALSE)*$Q619</f>
        <v>0.117915792042307</v>
      </c>
      <c r="Z619" s="79">
        <f>VLOOKUP(B619,'Player Data'!$A1:$AE667,14,FALSE)*$Q619</f>
        <v>0.199657341140826</v>
      </c>
      <c r="AA619" s="79">
        <f>VLOOKUP(B619,'Player Data'!$A1:$AE667,15,FALSE)*$Q619</f>
        <v>45.9477312897488</v>
      </c>
      <c r="AB619" s="79">
        <f>VLOOKUP(B619,'Player Data'!$A1:$AE667,16,FALSE)*$Q619</f>
        <v>75.67836014643051</v>
      </c>
      <c r="AC619" s="79">
        <f>VLOOKUP(B619,'Player Data'!$A1:$AE667,17,FALSE)*$Q619*_xlfn.IFERROR((VLOOKUP(P619,'Settings'!$E$28:$F$33,2,FALSE)+1),1)</f>
        <v>5.25052293243807</v>
      </c>
      <c r="AD619" s="79">
        <f>VLOOKUP(B619,'Player Data'!$A1:$AE667,18,FALSE)*$Q619</f>
        <v>24.1058434051501</v>
      </c>
      <c r="AE619" s="79">
        <f>VLOOKUP(B619,'Player Data'!$A1:$AE667,19,FALSE)*$Q619*_xlfn.IFERROR((VLOOKUP(P619,'Settings'!$E$28:$F$33,2,FALSE)+1),1)</f>
        <v>1.16659178932139</v>
      </c>
      <c r="AF619" s="79">
        <f>VLOOKUP(B619,'Player Data'!$A1:$AE667,20,FALSE)*$Q619</f>
        <v>123.318305073421</v>
      </c>
      <c r="AG619" s="79">
        <f>VLOOKUP(B619,'Player Data'!$A1:$AE667,21,FALSE)*$Q619</f>
        <v>150.689435580031</v>
      </c>
      <c r="AH619" s="81">
        <f>VLOOKUP(B619,'Player Data'!$A1:$AE667,22,FALSE)</f>
        <v>0.450054092557139</v>
      </c>
      <c r="AI619" s="77"/>
      <c r="AJ619" s="79"/>
      <c r="AK619" s="79"/>
      <c r="AL619" s="79"/>
      <c r="AM619" s="79"/>
      <c r="AN619" s="79"/>
      <c r="AO619" s="79"/>
      <c r="AP619" s="79"/>
      <c r="AQ619" s="82"/>
      <c r="AR619" s="83"/>
      <c r="AS619" s="84"/>
    </row>
    <row r="620" ht="21.25" customHeight="1">
      <c r="A620" s="85">
        <f>RANK(K620,K$1:K$665)</f>
        <v>627</v>
      </c>
      <c r="B620" t="s" s="16">
        <v>810</v>
      </c>
      <c r="C620" t="s" s="69">
        <v>127</v>
      </c>
      <c r="D620" t="s" s="70">
        <f>VLOOKUP(B620,'Player Data'!A1:D667,4,FALSE)</f>
        <v>128</v>
      </c>
      <c r="E620" s="71">
        <f>VLOOKUP(B620,'C'!A1:C206,3,FALSE)</f>
        <v>190</v>
      </c>
      <c r="F620" t="s" s="88">
        <f>VLOOKUP(B620,'Player Data'!A1:B667,2,FALSE)</f>
        <v>239</v>
      </c>
      <c r="G620" s="11">
        <f>VLOOKUP(B620,'Player Data'!A1:D667,3,FALSE)</f>
        <v>28</v>
      </c>
      <c r="H620" s="94">
        <f>_xlfn.IFERROR(VLOOKUP(B620,'ADP'!A1:G665,7,FALSE)/1000000,VLOOKUP(B620,'ADP'!A1:G665,7,FALSE))</f>
        <v>4.45</v>
      </c>
      <c r="I620" s="74">
        <f>IF('Settings'!$E$15="POINTS",((R620*Q620)*'Settings'!$B$12)+(S620*'Settings'!$B$2)+(T620*'Settings'!$B$3)+(U620*'Settings'!$B$4)+(V620*'Settings'!$B$5)+(X620*'Settings'!$B$9)+(AA620*'Settings'!$B$6)+(W620*'Settings'!$B$8)+(AB620*'Settings'!$B$7)+(AC620*'Settings'!$B$14)+(AD620*'Settings'!$B$15)+(AE620*'Settings'!$B$16)+(AF620*'Settings'!$B$17)+(AG620*'Settings'!$B$18)+(Y620*'Settings'!$B$10)+(Z620*'Settings'!$B$11),VLOOKUP(B620,'Standard Deviations'!A1:C666,3,FALSE))</f>
        <v>132.262781442692</v>
      </c>
      <c r="J620" s="75">
        <f>IF(D620="G",I620/AJ620,I620/Q620)</f>
        <v>1.95293881790612</v>
      </c>
      <c r="K620" s="74">
        <f>IF('Settings'!$E$18="C/LW/RW",VLOOKUP(B620,'C'!A1:F206,6,FALSE),VLOOKUP(B620,'F'!A1:F392,6,FALSE))</f>
        <v>-197.429112638486</v>
      </c>
      <c r="L620" s="76">
        <f>_xlfn.IFERROR(K620/H620,"N/A")</f>
        <v>-44.3660927277497</v>
      </c>
      <c r="M620" s="109">
        <f>IF('Settings'!$E$9="YAHOO",VLOOKUP(B620,'ADP'!A1:E665,2,FALSE),IF('Settings'!$E$9="ESPN",VLOOKUP(B620,'ADP'!A1:E665,3,FALSE),IF('Settings'!$E$9="FANTRAX",VLOOKUP(B620,'ADP'!A1:E665,4,FALSE),VLOOKUP(B620,'ADP'!A1:E665,5,FALSE))))</f>
        <v>0</v>
      </c>
      <c r="N620" s="79">
        <f>_xlfn.IFERROR(M620-A620,"N/A")</f>
        <v>-627</v>
      </c>
      <c r="O620" s="77"/>
      <c r="P620" t="s" s="78">
        <f>IF('Settings'!$E$27="ON",VLOOKUP(B620,'ADP'!A1:H665,8,FALSE)," ")</f>
        <v>138</v>
      </c>
      <c r="Q620" s="79">
        <f>IF('Settings'!$E$12="YES",VLOOKUP(B620,'Player Data'!A1:E667,5,FALSE),82)</f>
        <v>67.72499999999999</v>
      </c>
      <c r="R620" s="108">
        <f>VLOOKUP(B620,'Player Data'!$A1:$AE667,6,FALSE)</f>
        <v>13.4572841493242</v>
      </c>
      <c r="S620" s="79">
        <f>VLOOKUP(B620,'Player Data'!$A1:$AE667,7,FALSE)*$Q620*_xlfn.IFERROR((VLOOKUP(P620,'Settings'!$E$28:$F$33,2,FALSE)+1),1)</f>
        <v>8.069730485088391</v>
      </c>
      <c r="T620" s="79">
        <f>VLOOKUP(B620,'Player Data'!$A1:$AE667,8,FALSE)*$Q620*_xlfn.IFERROR((VLOOKUP(P620,'Settings'!$E$28:$F$33,2,FALSE)+1),1)</f>
        <v>11.8312588218928</v>
      </c>
      <c r="U620" s="79">
        <f>SUM(S620:T620)</f>
        <v>19.9009893069812</v>
      </c>
      <c r="V620" s="79">
        <f>VLOOKUP(B620,'Player Data'!$A1:$AE667,10,FALSE)*$Q620*_xlfn.IFERROR(((VLOOKUP(P620,'Settings'!$E$28:$F$33,2,FALSE)/2)+1),1)</f>
        <v>71.4687073076183</v>
      </c>
      <c r="W620" s="79">
        <f>VLOOKUP(B620,'Player Data'!$A1:$AE667,11,FALSE)*$Q620*_xlfn.IFERROR((VLOOKUP(P620,'Settings'!$E$28:$F$33,2,FALSE)+1),1)</f>
        <v>0.41913964263994</v>
      </c>
      <c r="X620" s="79">
        <f>VLOOKUP(B620,'Player Data'!$A1:$AE667,12,FALSE)*$Q620*_xlfn.IFERROR((VLOOKUP(P620,'Settings'!$E$28:$F$33,2,FALSE)+1),1)</f>
        <v>1.20846650301208</v>
      </c>
      <c r="Y620" s="79">
        <f>VLOOKUP(B620,'Player Data'!$A1:$AE667,13,FALSE)*$Q620</f>
        <v>0.470538508727346</v>
      </c>
      <c r="Z620" s="79">
        <f>VLOOKUP(B620,'Player Data'!$A1:$AE667,14,FALSE)*$Q620</f>
        <v>0.587953166834849</v>
      </c>
      <c r="AA620" s="79">
        <f>VLOOKUP(B620,'Player Data'!$A1:$AE667,15,FALSE)*$Q620</f>
        <v>47.9168267382666</v>
      </c>
      <c r="AB620" s="79">
        <f>VLOOKUP(B620,'Player Data'!$A1:$AE667,16,FALSE)*$Q620</f>
        <v>43.2024016789186</v>
      </c>
      <c r="AC620" s="79">
        <f>VLOOKUP(B620,'Player Data'!$A1:$AE667,17,FALSE)*$Q620*_xlfn.IFERROR((VLOOKUP(P620,'Settings'!$E$28:$F$33,2,FALSE)+1),1)</f>
        <v>-4.72639963767748</v>
      </c>
      <c r="AD620" s="79">
        <f>VLOOKUP(B620,'Player Data'!$A1:$AE667,18,FALSE)*$Q620</f>
        <v>13.8926497203363</v>
      </c>
      <c r="AE620" s="79">
        <f>VLOOKUP(B620,'Player Data'!$A1:$AE667,19,FALSE)*$Q620*_xlfn.IFERROR((VLOOKUP(P620,'Settings'!$E$28:$F$33,2,FALSE)+1),1)</f>
        <v>0.935292033283785</v>
      </c>
      <c r="AF620" s="79">
        <f>VLOOKUP(B620,'Player Data'!$A1:$AE667,20,FALSE)*$Q620</f>
        <v>409.636294802939</v>
      </c>
      <c r="AG620" s="79">
        <f>VLOOKUP(B620,'Player Data'!$A1:$AE667,21,FALSE)*$Q620</f>
        <v>338.128164809075</v>
      </c>
      <c r="AH620" s="81">
        <f>VLOOKUP(B620,'Player Data'!$A1:$AE667,22,FALSE)</f>
        <v>0.547814608647599</v>
      </c>
      <c r="AI620" s="77"/>
      <c r="AJ620" s="79"/>
      <c r="AK620" s="79"/>
      <c r="AL620" s="79"/>
      <c r="AM620" s="79"/>
      <c r="AN620" s="79"/>
      <c r="AO620" s="79"/>
      <c r="AP620" s="79"/>
      <c r="AQ620" s="82"/>
      <c r="AR620" s="83"/>
      <c r="AS620" s="84"/>
    </row>
    <row r="621" ht="21.25" customHeight="1">
      <c r="A621" s="85">
        <f>RANK(K621,K$1:K$665)</f>
        <v>623</v>
      </c>
      <c r="B621" t="s" s="16">
        <v>811</v>
      </c>
      <c r="C621" t="s" s="69">
        <v>127</v>
      </c>
      <c r="D621" t="s" s="70">
        <f>VLOOKUP(B621,'Player Data'!A1:D667,4,FALSE)</f>
        <v>178</v>
      </c>
      <c r="E621" s="102">
        <f>VLOOKUP(B621,'LW'!A1:C152,3,FALSE)</f>
        <v>139</v>
      </c>
      <c r="F621" t="s" s="86">
        <f>VLOOKUP(B621,'Player Data'!A1:B667,2,FALSE)</f>
        <v>192</v>
      </c>
      <c r="G621" s="96">
        <f>VLOOKUP(B621,'Player Data'!A1:D667,3,FALSE)</f>
        <v>20</v>
      </c>
      <c r="H621" s="73">
        <f>_xlfn.IFERROR(VLOOKUP(B621,'ADP'!A1:G665,7,FALSE)/1000000,VLOOKUP(B621,'ADP'!A1:G665,7,FALSE))</f>
        <v>0.95</v>
      </c>
      <c r="I621" s="74">
        <f>IF('Settings'!$E$15="POINTS",((R621*Q621)*'Settings'!$B$12)+(S621*'Settings'!$B$2)+(T621*'Settings'!$B$3)+(U621*'Settings'!$B$4)+(V621*'Settings'!$B$5)+(X621*'Settings'!$B$9)+(AA621*'Settings'!$B$6)+(W621*'Settings'!$B$8)+(AB621*'Settings'!$B$7)+(AC621*'Settings'!$B$14)+(AD621*'Settings'!$B$15)+(AE621*'Settings'!$B$16)+(AF621*'Settings'!$B$17)+(AG621*'Settings'!$B$18)+(Y621*'Settings'!$B$10)+(Z621*'Settings'!$B$11),VLOOKUP(B621,'Standard Deviations'!A1:C666,3,FALSE))</f>
        <v>136.952480326408</v>
      </c>
      <c r="J621" s="75">
        <f>IF(D621="G",I621/AJ621,I621/Q621)</f>
        <v>2.41474883763392</v>
      </c>
      <c r="K621" s="74">
        <f>IF('Settings'!$E$18="C/LW/RW",VLOOKUP(B621,'LW'!A1:F152,6,FALSE),VLOOKUP(B621,'F'!A1:F392,6,FALSE))</f>
        <v>-194.767631439804</v>
      </c>
      <c r="L621" s="76">
        <f>_xlfn.IFERROR(K621/H621,"N/A")</f>
        <v>-205.018559410320</v>
      </c>
      <c r="M621" s="109">
        <f>IF('Settings'!$E$9="YAHOO",VLOOKUP(B621,'ADP'!A1:E665,2,FALSE),IF('Settings'!$E$9="ESPN",VLOOKUP(B621,'ADP'!A1:E665,3,FALSE),IF('Settings'!$E$9="FANTRAX",VLOOKUP(B621,'ADP'!A1:E665,4,FALSE),VLOOKUP(B621,'ADP'!A1:E665,5,FALSE))))</f>
        <v>0</v>
      </c>
      <c r="N621" s="79">
        <f>_xlfn.IFERROR(M621-A621,"N/A")</f>
        <v>-623</v>
      </c>
      <c r="O621" s="77"/>
      <c r="P621" t="s" s="78">
        <f>IF('Settings'!$E$27="ON",VLOOKUP(B621,'ADP'!A1:H665,8,FALSE)," ")</f>
        <v>138</v>
      </c>
      <c r="Q621" s="79">
        <f>IF('Settings'!$E$12="YES",VLOOKUP(B621,'Player Data'!A1:E667,5,FALSE),82)</f>
        <v>56.715</v>
      </c>
      <c r="R621" s="77">
        <f>VLOOKUP(B621,'Player Data'!$A1:$AE667,6,FALSE)</f>
        <v>11.7477363213312</v>
      </c>
      <c r="S621" s="79">
        <f>VLOOKUP(B621,'Player Data'!$A1:$AE667,7,FALSE)*$Q621*_xlfn.IFERROR((VLOOKUP(P621,'Settings'!$E$28:$F$33,2,FALSE)+1),1)</f>
        <v>7.47781013858527</v>
      </c>
      <c r="T621" s="79">
        <f>VLOOKUP(B621,'Player Data'!$A1:$AE667,8,FALSE)*$Q621*_xlfn.IFERROR((VLOOKUP(P621,'Settings'!$E$28:$F$33,2,FALSE)+1),1)</f>
        <v>10.6253412965595</v>
      </c>
      <c r="U621" s="79">
        <f>SUM(S621:T621)</f>
        <v>18.1031514351448</v>
      </c>
      <c r="V621" s="79">
        <f>VLOOKUP(B621,'Player Data'!$A1:$AE667,10,FALSE)*$Q621*_xlfn.IFERROR(((VLOOKUP(P621,'Settings'!$E$28:$F$33,2,FALSE)/2)+1),1)</f>
        <v>77.6841771479923</v>
      </c>
      <c r="W621" s="79">
        <f>VLOOKUP(B621,'Player Data'!$A1:$AE667,11,FALSE)*$Q621*_xlfn.IFERROR((VLOOKUP(P621,'Settings'!$E$28:$F$33,2,FALSE)+1),1)</f>
        <v>0.255524120421663</v>
      </c>
      <c r="X621" s="79">
        <f>VLOOKUP(B621,'Player Data'!$A1:$AE667,12,FALSE)*$Q621*_xlfn.IFERROR((VLOOKUP(P621,'Settings'!$E$28:$F$33,2,FALSE)+1),1)</f>
        <v>0.788937577282481</v>
      </c>
      <c r="Y621" s="79">
        <f>VLOOKUP(B621,'Player Data'!$A1:$AE667,13,FALSE)*$Q621</f>
        <v>0</v>
      </c>
      <c r="Z621" s="79">
        <f>VLOOKUP(B621,'Player Data'!$A1:$AE667,14,FALSE)*$Q621</f>
        <v>0</v>
      </c>
      <c r="AA621" s="79">
        <f>VLOOKUP(B621,'Player Data'!$A1:$AE667,15,FALSE)*$Q621</f>
        <v>19.1708698155011</v>
      </c>
      <c r="AB621" s="79">
        <f>VLOOKUP(B621,'Player Data'!$A1:$AE667,16,FALSE)*$Q621</f>
        <v>103.926027791184</v>
      </c>
      <c r="AC621" s="79">
        <f>VLOOKUP(B621,'Player Data'!$A1:$AE667,17,FALSE)*$Q621*_xlfn.IFERROR((VLOOKUP(P621,'Settings'!$E$28:$F$33,2,FALSE)+1),1)</f>
        <v>-1.26796666768193</v>
      </c>
      <c r="AD621" s="79">
        <f>VLOOKUP(B621,'Player Data'!$A1:$AE667,18,FALSE)*$Q621</f>
        <v>17.1879158380084</v>
      </c>
      <c r="AE621" s="79">
        <f>VLOOKUP(B621,'Player Data'!$A1:$AE667,19,FALSE)*$Q621*_xlfn.IFERROR((VLOOKUP(P621,'Settings'!$E$28:$F$33,2,FALSE)+1),1)</f>
        <v>1.06119499327068</v>
      </c>
      <c r="AF621" s="79">
        <f>VLOOKUP(B621,'Player Data'!$A1:$AE667,20,FALSE)*$Q621</f>
        <v>0</v>
      </c>
      <c r="AG621" s="79">
        <f>VLOOKUP(B621,'Player Data'!$A1:$AE667,21,FALSE)*$Q621</f>
        <v>5.22669437508766</v>
      </c>
      <c r="AH621" s="81">
        <f>VLOOKUP(B621,'Player Data'!$A1:$AE667,22,FALSE)</f>
        <v>0</v>
      </c>
      <c r="AI621" s="77"/>
      <c r="AJ621" s="89"/>
      <c r="AK621" s="79"/>
      <c r="AL621" s="79"/>
      <c r="AM621" s="79"/>
      <c r="AN621" s="79"/>
      <c r="AO621" s="79"/>
      <c r="AP621" s="79"/>
      <c r="AQ621" s="82"/>
      <c r="AR621" s="83"/>
      <c r="AS621" s="84"/>
    </row>
    <row r="622" ht="21.25" customHeight="1">
      <c r="A622" s="85">
        <f>RANK(K622,K$1:K$665)</f>
        <v>607</v>
      </c>
      <c r="B622" t="s" s="16">
        <v>812</v>
      </c>
      <c r="C622" t="s" s="69">
        <v>127</v>
      </c>
      <c r="D622" t="s" s="70">
        <f>VLOOKUP(B622,'Player Data'!A1:D667,4,FALSE)</f>
        <v>153</v>
      </c>
      <c r="E622" s="95">
        <f>VLOOKUP(B622,'D'!A1:C213,3,FALSE)</f>
        <v>198</v>
      </c>
      <c r="F622" t="s" s="78">
        <f>VLOOKUP(B622,'Player Data'!A1:B667,2,FALSE)</f>
        <v>216</v>
      </c>
      <c r="G622" s="96">
        <f>VLOOKUP(B622,'Player Data'!A1:D667,3,FALSE)</f>
        <v>23</v>
      </c>
      <c r="H622" s="73">
        <f>_xlfn.IFERROR(VLOOKUP(B622,'ADP'!A1:G665,7,FALSE)/1000000,VLOOKUP(B622,'ADP'!A1:G665,7,FALSE))</f>
        <v>0.825</v>
      </c>
      <c r="I622" s="74">
        <f>IF('Settings'!$E$15="POINTS",((R622*Q622)*'Settings'!$B$12)+(S622*'Settings'!$B$2)+(T622*'Settings'!$B$3)+(U622*'Settings'!$B$4)+(V622*'Settings'!$B$5)+(X622*'Settings'!$B$9)+(AA622*'Settings'!$B$6)+(W622*'Settings'!$B$8)+(AB622*'Settings'!$B$7)+(AC622*'Settings'!$B$14)+(AD622*'Settings'!$B$15)+(AE622*'Settings'!$B$16)+(AF622*'Settings'!$B$17)+(AG622*'Settings'!$B$18)+(U622*'Settings'!$B$13)+(Y622*'Settings'!$B$10)+(Z622*'Settings'!$B$11),VLOOKUP(B622,'Standard Deviations'!A1:C666,3,FALSE))</f>
        <v>143.856342788407</v>
      </c>
      <c r="J622" s="75">
        <f>IF(D622="G",I622/AJ622,I622/Q622)</f>
        <v>2.44695259037944</v>
      </c>
      <c r="K622" s="74">
        <f>VLOOKUP(B622,'D'!A1:F213,6,FALSE)</f>
        <v>-187.683865131675</v>
      </c>
      <c r="L622" s="76">
        <f>_xlfn.IFERROR(K622/H622,"N/A")</f>
        <v>-227.495594099</v>
      </c>
      <c r="M622" s="109">
        <f>IF('Settings'!$E$9="YAHOO",VLOOKUP(B622,'ADP'!A1:E665,2,FALSE),IF('Settings'!$E$9="ESPN",VLOOKUP(B622,'ADP'!A1:E665,3,FALSE),IF('Settings'!$E$9="FANTRAX",VLOOKUP(B622,'ADP'!A1:E665,4,FALSE),VLOOKUP(B622,'ADP'!A1:E665,5,FALSE))))</f>
        <v>0</v>
      </c>
      <c r="N622" s="79">
        <f>_xlfn.IFERROR(M622-A622,"N/A")</f>
        <v>-607</v>
      </c>
      <c r="O622" s="77"/>
      <c r="P622" t="s" s="78">
        <f>IF('Settings'!$E$27="ON",VLOOKUP(B622,'ADP'!A1:H665,8,FALSE)," ")</f>
        <v>138</v>
      </c>
      <c r="Q622" s="79">
        <f>IF('Settings'!$E$12="YES",VLOOKUP(B622,'Player Data'!A1:E667,5,FALSE),82)</f>
        <v>58.79</v>
      </c>
      <c r="R622" s="108">
        <f>VLOOKUP(B622,'Player Data'!$A1:$AE667,6,FALSE)</f>
        <v>15.1528664510493</v>
      </c>
      <c r="S622" s="79">
        <f>VLOOKUP(B622,'Player Data'!$A1:$AE667,7,FALSE)*$Q622*_xlfn.IFERROR((VLOOKUP(P622,'Settings'!$E$28:$F$33,2,FALSE)+1),1)</f>
        <v>2.25721188536976</v>
      </c>
      <c r="T622" s="79">
        <f>VLOOKUP(B622,'Player Data'!$A1:$AE667,8,FALSE)*$Q622*_xlfn.IFERROR((VLOOKUP(P622,'Settings'!$E$28:$F$33,2,FALSE)+1),1)</f>
        <v>12.2995397280148</v>
      </c>
      <c r="U622" s="79">
        <f>SUM(S622:T622)</f>
        <v>14.5567516133846</v>
      </c>
      <c r="V622" s="79">
        <f>VLOOKUP(B622,'Player Data'!$A1:$AE667,10,FALSE)*$Q622*_xlfn.IFERROR(((VLOOKUP(P622,'Settings'!$E$28:$F$33,2,FALSE)/2)+1),1)</f>
        <v>63.778213128174</v>
      </c>
      <c r="W622" s="79">
        <f>VLOOKUP(B622,'Player Data'!$A1:$AE667,11,FALSE)*$Q622*_xlfn.IFERROR((VLOOKUP(P622,'Settings'!$E$28:$F$33,2,FALSE)+1),1)</f>
        <v>0.0384383403502499</v>
      </c>
      <c r="X622" s="79">
        <f>VLOOKUP(B622,'Player Data'!$A1:$AE667,12,FALSE)*$Q622*_xlfn.IFERROR((VLOOKUP(P622,'Settings'!$E$28:$F$33,2,FALSE)+1),1)</f>
        <v>0.353230805960633</v>
      </c>
      <c r="Y622" s="79">
        <f>VLOOKUP(B622,'Player Data'!$A1:$AE667,13,FALSE)*$Q622</f>
        <v>0.012112259927279</v>
      </c>
      <c r="Z622" s="79">
        <f>VLOOKUP(B622,'Player Data'!$A1:$AE667,14,FALSE)*$Q622</f>
        <v>0.0584573588504546</v>
      </c>
      <c r="AA622" s="79">
        <f>VLOOKUP(B622,'Player Data'!$A1:$AE667,15,FALSE)*$Q622</f>
        <v>66.1493027981163</v>
      </c>
      <c r="AB622" s="79">
        <f>VLOOKUP(B622,'Player Data'!$A1:$AE667,16,FALSE)*$Q622</f>
        <v>84.86243869612321</v>
      </c>
      <c r="AC622" s="79">
        <f>VLOOKUP(B622,'Player Data'!$A1:$AE667,17,FALSE)*$Q622*_xlfn.IFERROR((VLOOKUP(P622,'Settings'!$E$28:$F$33,2,FALSE)+1),1)</f>
        <v>2.16575842592223</v>
      </c>
      <c r="AD622" s="79">
        <f>VLOOKUP(B622,'Player Data'!$A1:$AE667,18,FALSE)*$Q622</f>
        <v>18.1278286063427</v>
      </c>
      <c r="AE622" s="79">
        <f>VLOOKUP(B622,'Player Data'!$A1:$AE667,19,FALSE)*$Q622*_xlfn.IFERROR((VLOOKUP(P622,'Settings'!$E$28:$F$33,2,FALSE)+1),1)</f>
        <v>0.343324837220581</v>
      </c>
      <c r="AF622" s="79">
        <f>VLOOKUP(B622,'Player Data'!$A1:$AE667,20,FALSE)*$Q622</f>
        <v>0</v>
      </c>
      <c r="AG622" s="79">
        <f>VLOOKUP(B622,'Player Data'!$A1:$AE667,21,FALSE)*$Q622</f>
        <v>0</v>
      </c>
      <c r="AH622" s="81">
        <f>VLOOKUP(B622,'Player Data'!$A1:$AE667,22,FALSE)</f>
        <v>0</v>
      </c>
      <c r="AI622" s="77"/>
      <c r="AJ622" s="79"/>
      <c r="AK622" s="79"/>
      <c r="AL622" s="79"/>
      <c r="AM622" s="79"/>
      <c r="AN622" s="79"/>
      <c r="AO622" s="79"/>
      <c r="AP622" s="79"/>
      <c r="AQ622" s="82"/>
      <c r="AR622" s="83"/>
      <c r="AS622" s="84"/>
    </row>
    <row r="623" ht="21.25" customHeight="1">
      <c r="A623" s="85">
        <f>RANK(K623,K$1:K$665)</f>
        <v>629</v>
      </c>
      <c r="B623" t="s" s="16">
        <v>813</v>
      </c>
      <c r="C623" t="s" s="69">
        <v>127</v>
      </c>
      <c r="D623" t="s" s="70">
        <f>VLOOKUP(B623,'Player Data'!A1:D667,4,FALSE)</f>
        <v>128</v>
      </c>
      <c r="E623" s="71">
        <f>VLOOKUP(B623,'C'!A1:C206,3,FALSE)</f>
        <v>191</v>
      </c>
      <c r="F623" t="s" s="104">
        <f>VLOOKUP(B623,'Player Data'!A1:B667,2,FALSE)</f>
        <v>333</v>
      </c>
      <c r="G623" s="11">
        <f>VLOOKUP(B623,'Player Data'!A1:D667,3,FALSE)</f>
        <v>24</v>
      </c>
      <c r="H623" s="73">
        <f>_xlfn.IFERROR(VLOOKUP(B623,'ADP'!A1:G665,7,FALSE)/1000000,VLOOKUP(B623,'ADP'!A1:G665,7,FALSE))</f>
        <v>1.3</v>
      </c>
      <c r="I623" s="74">
        <f>IF('Settings'!$E$15="POINTS",((R623*Q623)*'Settings'!$B$12)+(S623*'Settings'!$B$2)+(T623*'Settings'!$B$3)+(U623*'Settings'!$B$4)+(V623*'Settings'!$B$5)+(X623*'Settings'!$B$9)+(AA623*'Settings'!$B$6)+(W623*'Settings'!$B$8)+(AB623*'Settings'!$B$7)+(AC623*'Settings'!$B$14)+(AD623*'Settings'!$B$15)+(AE623*'Settings'!$B$16)+(AF623*'Settings'!$B$17)+(AG623*'Settings'!$B$18)+(Y623*'Settings'!$B$10)+(Z623*'Settings'!$B$11),VLOOKUP(B623,'Standard Deviations'!A1:C666,3,FALSE))</f>
        <v>131.019469552622</v>
      </c>
      <c r="J623" s="75">
        <f>IF(D623="G",I623/AJ623,I623/Q623)</f>
        <v>1.84716579095759</v>
      </c>
      <c r="K623" s="74">
        <f>IF('Settings'!$E$18="C/LW/RW",VLOOKUP(B623,'C'!A1:F206,6,FALSE),VLOOKUP(B623,'F'!A1:F392,6,FALSE))</f>
        <v>-198.672424528556</v>
      </c>
      <c r="L623" s="76">
        <f>_xlfn.IFERROR(K623/H623,"N/A")</f>
        <v>-152.824941945043</v>
      </c>
      <c r="M623" s="109">
        <f>IF('Settings'!$E$9="YAHOO",VLOOKUP(B623,'ADP'!A1:E665,2,FALSE),IF('Settings'!$E$9="ESPN",VLOOKUP(B623,'ADP'!A1:E665,3,FALSE),IF('Settings'!$E$9="FANTRAX",VLOOKUP(B623,'ADP'!A1:E665,4,FALSE),VLOOKUP(B623,'ADP'!A1:E665,5,FALSE))))</f>
        <v>0</v>
      </c>
      <c r="N623" s="79">
        <f>_xlfn.IFERROR(M623-A623,"N/A")</f>
        <v>-629</v>
      </c>
      <c r="O623" s="77"/>
      <c r="P623" t="s" s="78">
        <f>IF('Settings'!$E$27="ON",VLOOKUP(B623,'ADP'!A1:H665,8,FALSE)," ")</f>
        <v>138</v>
      </c>
      <c r="Q623" s="79">
        <f>IF('Settings'!$E$12="YES",VLOOKUP(B623,'Player Data'!A1:E667,5,FALSE),82)</f>
        <v>70.93000000000001</v>
      </c>
      <c r="R623" s="108">
        <f>VLOOKUP(B623,'Player Data'!$A1:$AE667,6,FALSE)</f>
        <v>10.3674199992924</v>
      </c>
      <c r="S623" s="79">
        <f>VLOOKUP(B623,'Player Data'!$A1:$AE667,7,FALSE)*$Q623*_xlfn.IFERROR((VLOOKUP(P623,'Settings'!$E$28:$F$33,2,FALSE)+1),1)</f>
        <v>5.81171187930295</v>
      </c>
      <c r="T623" s="79">
        <f>VLOOKUP(B623,'Player Data'!$A1:$AE667,8,FALSE)*$Q623*_xlfn.IFERROR((VLOOKUP(P623,'Settings'!$E$28:$F$33,2,FALSE)+1),1)</f>
        <v>11.3609319803686</v>
      </c>
      <c r="U623" s="79">
        <f>SUM(S623:T623)</f>
        <v>17.1726438596716</v>
      </c>
      <c r="V623" s="79">
        <f>VLOOKUP(B623,'Player Data'!$A1:$AE667,10,FALSE)*$Q623*_xlfn.IFERROR(((VLOOKUP(P623,'Settings'!$E$28:$F$33,2,FALSE)/2)+1),1)</f>
        <v>72.193418256157</v>
      </c>
      <c r="W623" s="79">
        <f>VLOOKUP(B623,'Player Data'!$A1:$AE667,11,FALSE)*$Q623*_xlfn.IFERROR((VLOOKUP(P623,'Settings'!$E$28:$F$33,2,FALSE)+1),1)</f>
        <v>0.07210755543569849</v>
      </c>
      <c r="X623" s="79">
        <f>VLOOKUP(B623,'Player Data'!$A1:$AE667,12,FALSE)*$Q623*_xlfn.IFERROR((VLOOKUP(P623,'Settings'!$E$28:$F$33,2,FALSE)+1),1)</f>
        <v>0.164351274097585</v>
      </c>
      <c r="Y623" s="79">
        <f>VLOOKUP(B623,'Player Data'!$A1:$AE667,13,FALSE)*$Q623</f>
        <v>0.0437351811604725</v>
      </c>
      <c r="Z623" s="79">
        <f>VLOOKUP(B623,'Player Data'!$A1:$AE667,14,FALSE)*$Q623</f>
        <v>0.397020689247906</v>
      </c>
      <c r="AA623" s="79">
        <f>VLOOKUP(B623,'Player Data'!$A1:$AE667,15,FALSE)*$Q623</f>
        <v>25.0795706725939</v>
      </c>
      <c r="AB623" s="79">
        <f>VLOOKUP(B623,'Player Data'!$A1:$AE667,16,FALSE)*$Q623</f>
        <v>93.56370295193381</v>
      </c>
      <c r="AC623" s="79">
        <f>VLOOKUP(B623,'Player Data'!$A1:$AE667,17,FALSE)*$Q623*_xlfn.IFERROR((VLOOKUP(P623,'Settings'!$E$28:$F$33,2,FALSE)+1),1)</f>
        <v>2.94960935683226</v>
      </c>
      <c r="AD623" s="79">
        <f>VLOOKUP(B623,'Player Data'!$A1:$AE667,18,FALSE)*$Q623</f>
        <v>28.5895920821758</v>
      </c>
      <c r="AE623" s="79">
        <f>VLOOKUP(B623,'Player Data'!$A1:$AE667,19,FALSE)*$Q623*_xlfn.IFERROR((VLOOKUP(P623,'Settings'!$E$28:$F$33,2,FALSE)+1),1)</f>
        <v>0.620749671817006</v>
      </c>
      <c r="AF623" s="79">
        <f>VLOOKUP(B623,'Player Data'!$A1:$AE667,20,FALSE)*$Q623</f>
        <v>119.789484230069</v>
      </c>
      <c r="AG623" s="79">
        <f>VLOOKUP(B623,'Player Data'!$A1:$AE667,21,FALSE)*$Q623</f>
        <v>132.882903282038</v>
      </c>
      <c r="AH623" s="81">
        <f>VLOOKUP(B623,'Player Data'!$A1:$AE667,22,FALSE)</f>
        <v>0.474090126782569</v>
      </c>
      <c r="AI623" s="77"/>
      <c r="AJ623" s="79"/>
      <c r="AK623" s="79"/>
      <c r="AL623" s="79"/>
      <c r="AM623" s="79"/>
      <c r="AN623" s="79"/>
      <c r="AO623" s="79"/>
      <c r="AP623" s="79"/>
      <c r="AQ623" s="82"/>
      <c r="AR623" s="83"/>
      <c r="AS623" s="84"/>
    </row>
    <row r="624" ht="21.25" customHeight="1">
      <c r="A624" s="85">
        <f>RANK(K624,K$1:K$665)</f>
        <v>621</v>
      </c>
      <c r="B624" t="s" s="16">
        <v>814</v>
      </c>
      <c r="C624" t="s" s="69">
        <v>127</v>
      </c>
      <c r="D624" t="s" s="70">
        <f>VLOOKUP(B624,'Player Data'!A1:D667,4,FALSE)</f>
        <v>140</v>
      </c>
      <c r="E624" s="90">
        <f>VLOOKUP(B624,'RW'!A1:F136,3,FALSE)</f>
        <v>129</v>
      </c>
      <c r="F624" t="s" s="103">
        <f>VLOOKUP(B624,'Player Data'!A1:B667,2,FALSE)</f>
        <v>190</v>
      </c>
      <c r="G624" s="96">
        <f>VLOOKUP(B624,'Player Data'!A1:D667,3,FALSE)</f>
        <v>23</v>
      </c>
      <c r="H624" t="s" s="86">
        <f>_xlfn.IFERROR(VLOOKUP(B624,'ADP'!A1:G665,7,FALSE)/1000000,VLOOKUP(B624,'ADP'!A1:G665,7,FALSE))</f>
        <v>157</v>
      </c>
      <c r="I624" s="74">
        <f>IF('Settings'!$E$15="POINTS",((R624*Q624)*'Settings'!$B$12)+(S624*'Settings'!$B$2)+(T624*'Settings'!$B$3)+(U624*'Settings'!$B$4)+(V624*'Settings'!$B$5)+(X624*'Settings'!$B$9)+(AA624*'Settings'!$B$6)+(W624*'Settings'!$B$8)+(AB624*'Settings'!$B$7)+(AC624*'Settings'!$B$14)+(AD624*'Settings'!$B$15)+(AE624*'Settings'!$B$16)+(AF624*'Settings'!$B$17)+(AG624*'Settings'!$B$18)+(Y624*'Settings'!$B$10)+(Z624*'Settings'!$B$11),VLOOKUP(B624,'Standard Deviations'!A1:C666,3,FALSE))</f>
        <v>136.050522202952</v>
      </c>
      <c r="J624" s="75">
        <f>IF(D624="G",I624/AJ624,I624/Q624)</f>
        <v>1.85893113172266</v>
      </c>
      <c r="K624" s="74">
        <f>IF('Settings'!$E$18="C/LW/RW",VLOOKUP(B624,'RW'!A1:F136,6,FALSE),VLOOKUP(B624,'F'!A1:F392,6,FALSE))</f>
        <v>-193.641371878226</v>
      </c>
      <c r="L624" t="s" s="97">
        <f>_xlfn.IFERROR(K624/H624,"N/A")</f>
        <v>158</v>
      </c>
      <c r="M624" s="109">
        <f>IF('Settings'!$E$9="YAHOO",VLOOKUP(B624,'ADP'!A1:E665,2,FALSE),IF('Settings'!$E$9="ESPN",VLOOKUP(B624,'ADP'!A1:E665,3,FALSE),IF('Settings'!$E$9="FANTRAX",VLOOKUP(B624,'ADP'!A1:E665,4,FALSE),VLOOKUP(B624,'ADP'!A1:E665,5,FALSE))))</f>
        <v>0</v>
      </c>
      <c r="N624" s="79">
        <f>_xlfn.IFERROR(M624-A624,"N/A")</f>
        <v>-621</v>
      </c>
      <c r="O624" s="77"/>
      <c r="P624" t="s" s="78">
        <f>IF('Settings'!$E$27="ON",VLOOKUP(B624,'ADP'!A1:H665,8,FALSE)," ")</f>
        <v>138</v>
      </c>
      <c r="Q624" s="79">
        <f>IF('Settings'!$E$12="YES",VLOOKUP(B624,'Player Data'!A1:E667,5,FALSE),82)</f>
        <v>73.1875</v>
      </c>
      <c r="R624" s="77">
        <f>VLOOKUP(B624,'Player Data'!$A1:$AE667,6,FALSE)</f>
        <v>12.787452293363</v>
      </c>
      <c r="S624" s="79">
        <f>VLOOKUP(B624,'Player Data'!$A1:$AE667,7,FALSE)*$Q624*_xlfn.IFERROR((VLOOKUP(P624,'Settings'!$E$28:$F$33,2,FALSE)+1),1)</f>
        <v>11.8956802186149</v>
      </c>
      <c r="T624" s="79">
        <f>VLOOKUP(B624,'Player Data'!$A1:$AE667,8,FALSE)*$Q624*_xlfn.IFERROR((VLOOKUP(P624,'Settings'!$E$28:$F$33,2,FALSE)+1),1)</f>
        <v>9.0015842675994</v>
      </c>
      <c r="U624" s="79">
        <f>SUM(S624:T624)</f>
        <v>20.8972644862143</v>
      </c>
      <c r="V624" s="79">
        <f>VLOOKUP(B624,'Player Data'!$A1:$AE667,10,FALSE)*$Q624*_xlfn.IFERROR(((VLOOKUP(P624,'Settings'!$E$28:$F$33,2,FALSE)/2)+1),1)</f>
        <v>72.6526605154984</v>
      </c>
      <c r="W624" s="79">
        <f>VLOOKUP(B624,'Player Data'!$A1:$AE667,11,FALSE)*$Q624*_xlfn.IFERROR((VLOOKUP(P624,'Settings'!$E$28:$F$33,2,FALSE)+1),1)</f>
        <v>0.0560937791313192</v>
      </c>
      <c r="X624" s="79">
        <f>VLOOKUP(B624,'Player Data'!$A1:$AE667,12,FALSE)*$Q624*_xlfn.IFERROR((VLOOKUP(P624,'Settings'!$E$28:$F$33,2,FALSE)+1),1)</f>
        <v>0.131536111172718</v>
      </c>
      <c r="Y624" s="79">
        <f>VLOOKUP(B624,'Player Data'!$A1:$AE667,13,FALSE)*$Q624</f>
        <v>3.75893632551804</v>
      </c>
      <c r="Z624" s="79">
        <f>VLOOKUP(B624,'Player Data'!$A1:$AE667,14,FALSE)*$Q624</f>
        <v>5.47790869635626</v>
      </c>
      <c r="AA624" s="79">
        <f>VLOOKUP(B624,'Player Data'!$A1:$AE667,15,FALSE)*$Q624</f>
        <v>42.0523580450615</v>
      </c>
      <c r="AB624" s="79">
        <f>VLOOKUP(B624,'Player Data'!$A1:$AE667,16,FALSE)*$Q624</f>
        <v>27.9697787738665</v>
      </c>
      <c r="AC624" s="79">
        <f>VLOOKUP(B624,'Player Data'!$A1:$AE667,17,FALSE)*$Q624*_xlfn.IFERROR((VLOOKUP(P624,'Settings'!$E$28:$F$33,2,FALSE)+1),1)</f>
        <v>-0.0473701152492593</v>
      </c>
      <c r="AD624" s="79">
        <f>VLOOKUP(B624,'Player Data'!$A1:$AE667,18,FALSE)*$Q624</f>
        <v>14.4493794142997</v>
      </c>
      <c r="AE624" s="79">
        <f>VLOOKUP(B624,'Player Data'!$A1:$AE667,19,FALSE)*$Q624*_xlfn.IFERROR((VLOOKUP(P624,'Settings'!$E$28:$F$33,2,FALSE)+1),1)</f>
        <v>1.86951247297501</v>
      </c>
      <c r="AF624" s="79">
        <f>VLOOKUP(B624,'Player Data'!$A1:$AE667,20,FALSE)*$Q624</f>
        <v>3.56594321894135</v>
      </c>
      <c r="AG624" s="79">
        <f>VLOOKUP(B624,'Player Data'!$A1:$AE667,21,FALSE)*$Q624</f>
        <v>12.9293741637716</v>
      </c>
      <c r="AH624" s="81">
        <f>VLOOKUP(B624,'Player Data'!$A1:$AE667,22,FALSE)</f>
        <v>0.216179121395897</v>
      </c>
      <c r="AI624" s="77"/>
      <c r="AJ624" s="89"/>
      <c r="AK624" s="79"/>
      <c r="AL624" s="79"/>
      <c r="AM624" s="79"/>
      <c r="AN624" s="79"/>
      <c r="AO624" s="79"/>
      <c r="AP624" s="79"/>
      <c r="AQ624" s="82"/>
      <c r="AR624" s="83"/>
      <c r="AS624" s="84"/>
    </row>
    <row r="625" ht="21.25" customHeight="1">
      <c r="A625" s="85">
        <f>RANK(K625,K$1:K$665)</f>
        <v>625</v>
      </c>
      <c r="B625" t="s" s="16">
        <v>815</v>
      </c>
      <c r="C625" t="s" s="69">
        <v>127</v>
      </c>
      <c r="D625" t="s" s="70">
        <f>VLOOKUP(B625,'Player Data'!A1:D667,4,FALSE)</f>
        <v>178</v>
      </c>
      <c r="E625" s="102">
        <f>VLOOKUP(B625,'LW'!A1:C152,3,FALSE)</f>
        <v>140</v>
      </c>
      <c r="F625" t="s" s="103">
        <f>VLOOKUP(B625,'Player Data'!A1:B667,2,FALSE)</f>
        <v>190</v>
      </c>
      <c r="G625" s="11">
        <f>VLOOKUP(B625,'Player Data'!A1:D667,3,FALSE)</f>
        <v>28</v>
      </c>
      <c r="H625" s="73">
        <f>_xlfn.IFERROR(VLOOKUP(B625,'ADP'!A1:G665,7,FALSE)/1000000,VLOOKUP(B625,'ADP'!A1:G665,7,FALSE))</f>
        <v>3</v>
      </c>
      <c r="I625" s="74">
        <f>IF('Settings'!$E$15="POINTS",((R625*Q625)*'Settings'!$B$12)+(S625*'Settings'!$B$2)+(T625*'Settings'!$B$3)+(U625*'Settings'!$B$4)+(V625*'Settings'!$B$5)+(X625*'Settings'!$B$9)+(AA625*'Settings'!$B$6)+(W625*'Settings'!$B$8)+(AB625*'Settings'!$B$7)+(AC625*'Settings'!$B$14)+(AD625*'Settings'!$B$15)+(AE625*'Settings'!$B$16)+(AF625*'Settings'!$B$17)+(AG625*'Settings'!$B$18)+(Y625*'Settings'!$B$10)+(Z625*'Settings'!$B$11),VLOOKUP(B625,'Standard Deviations'!A1:C666,3,FALSE))</f>
        <v>135.516821406142</v>
      </c>
      <c r="J625" s="75">
        <f>IF(D625="G",I625/AJ625,I625/Q625)</f>
        <v>1.70708347176598</v>
      </c>
      <c r="K625" s="74">
        <f>IF('Settings'!$E$18="C/LW/RW",VLOOKUP(B625,'LW'!A1:F152,6,FALSE),VLOOKUP(B625,'F'!A1:F392,6,FALSE))</f>
        <v>-196.203290360070</v>
      </c>
      <c r="L625" s="76">
        <f>_xlfn.IFERROR(K625/H625,"N/A")</f>
        <v>-65.401096786690</v>
      </c>
      <c r="M625" s="109">
        <f>IF('Settings'!$E$9="YAHOO",VLOOKUP(B625,'ADP'!A1:E665,2,FALSE),IF('Settings'!$E$9="ESPN",VLOOKUP(B625,'ADP'!A1:E665,3,FALSE),IF('Settings'!$E$9="FANTRAX",VLOOKUP(B625,'ADP'!A1:E665,4,FALSE),VLOOKUP(B625,'ADP'!A1:E665,5,FALSE))))</f>
        <v>0</v>
      </c>
      <c r="N625" s="79">
        <f>_xlfn.IFERROR(M625-A625,"N/A")</f>
        <v>-625</v>
      </c>
      <c r="O625" s="77"/>
      <c r="P625" t="s" s="78">
        <f>IF('Settings'!$E$27="ON",VLOOKUP(B625,'ADP'!A1:H665,8,FALSE)," ")</f>
        <v>138</v>
      </c>
      <c r="Q625" s="79">
        <f>IF('Settings'!$E$12="YES",VLOOKUP(B625,'Player Data'!A1:E667,5,FALSE),82)</f>
        <v>79.38500000000001</v>
      </c>
      <c r="R625" s="108">
        <f>VLOOKUP(B625,'Player Data'!$A1:$AE667,6,FALSE)</f>
        <v>13.5179544265133</v>
      </c>
      <c r="S625" s="79">
        <f>VLOOKUP(B625,'Player Data'!$A1:$AE667,7,FALSE)*$Q625*_xlfn.IFERROR((VLOOKUP(P625,'Settings'!$E$28:$F$33,2,FALSE)+1),1)</f>
        <v>10.9267790490778</v>
      </c>
      <c r="T625" s="79">
        <f>VLOOKUP(B625,'Player Data'!$A1:$AE667,8,FALSE)*$Q625*_xlfn.IFERROR((VLOOKUP(P625,'Settings'!$E$28:$F$33,2,FALSE)+1),1)</f>
        <v>14.3964143610653</v>
      </c>
      <c r="U625" s="79">
        <f>SUM(S625:T625)</f>
        <v>25.3231934101431</v>
      </c>
      <c r="V625" s="79">
        <f>VLOOKUP(B625,'Player Data'!$A1:$AE667,10,FALSE)*$Q625*_xlfn.IFERROR(((VLOOKUP(P625,'Settings'!$E$28:$F$33,2,FALSE)/2)+1),1)</f>
        <v>129.791165132060</v>
      </c>
      <c r="W625" s="79">
        <f>VLOOKUP(B625,'Player Data'!$A1:$AE667,11,FALSE)*$Q625*_xlfn.IFERROR((VLOOKUP(P625,'Settings'!$E$28:$F$33,2,FALSE)+1),1)</f>
        <v>1.20056010060713</v>
      </c>
      <c r="X625" s="79">
        <f>VLOOKUP(B625,'Player Data'!$A1:$AE667,12,FALSE)*$Q625*_xlfn.IFERROR((VLOOKUP(P625,'Settings'!$E$28:$F$33,2,FALSE)+1),1)</f>
        <v>3.69200667089602</v>
      </c>
      <c r="Y625" s="79">
        <f>VLOOKUP(B625,'Player Data'!$A1:$AE667,13,FALSE)*$Q625</f>
        <v>0.00228662266160706</v>
      </c>
      <c r="Z625" s="79">
        <f>VLOOKUP(B625,'Player Data'!$A1:$AE667,14,FALSE)*$Q625</f>
        <v>0.00358691498473079</v>
      </c>
      <c r="AA625" s="79">
        <f>VLOOKUP(B625,'Player Data'!$A1:$AE667,15,FALSE)*$Q625</f>
        <v>18.3783324845581</v>
      </c>
      <c r="AB625" s="79">
        <f>VLOOKUP(B625,'Player Data'!$A1:$AE667,16,FALSE)*$Q625</f>
        <v>41.9073662969579</v>
      </c>
      <c r="AC625" s="79">
        <f>VLOOKUP(B625,'Player Data'!$A1:$AE667,17,FALSE)*$Q625*_xlfn.IFERROR((VLOOKUP(P625,'Settings'!$E$28:$F$33,2,FALSE)+1),1)</f>
        <v>3.42193696636457</v>
      </c>
      <c r="AD625" s="79">
        <f>VLOOKUP(B625,'Player Data'!$A1:$AE667,18,FALSE)*$Q625</f>
        <v>25.8525634435281</v>
      </c>
      <c r="AE625" s="79">
        <f>VLOOKUP(B625,'Player Data'!$A1:$AE667,19,FALSE)*$Q625*_xlfn.IFERROR((VLOOKUP(P625,'Settings'!$E$28:$F$33,2,FALSE)+1),1)</f>
        <v>1.71724099389682</v>
      </c>
      <c r="AF625" s="79">
        <f>VLOOKUP(B625,'Player Data'!$A1:$AE667,20,FALSE)*$Q625</f>
        <v>26.3212795161817</v>
      </c>
      <c r="AG625" s="79">
        <f>VLOOKUP(B625,'Player Data'!$A1:$AE667,21,FALSE)*$Q625</f>
        <v>29.637897147826</v>
      </c>
      <c r="AH625" s="81">
        <f>VLOOKUP(B625,'Player Data'!$A1:$AE667,22,FALSE)</f>
        <v>0.470365739550119</v>
      </c>
      <c r="AI625" s="77"/>
      <c r="AJ625" s="79"/>
      <c r="AK625" s="79"/>
      <c r="AL625" s="79"/>
      <c r="AM625" s="79"/>
      <c r="AN625" s="79"/>
      <c r="AO625" s="79"/>
      <c r="AP625" s="79"/>
      <c r="AQ625" s="82"/>
      <c r="AR625" s="83"/>
      <c r="AS625" s="84"/>
    </row>
    <row r="626" ht="21.25" customHeight="1">
      <c r="A626" s="85">
        <f>RANK(K626,K$1:K$665)</f>
        <v>611</v>
      </c>
      <c r="B626" t="s" s="16">
        <v>816</v>
      </c>
      <c r="C626" t="s" s="69">
        <v>127</v>
      </c>
      <c r="D626" t="s" s="70">
        <f>VLOOKUP(B626,'Player Data'!A1:D667,4,FALSE)</f>
        <v>153</v>
      </c>
      <c r="E626" s="95">
        <f>VLOOKUP(B626,'D'!A1:C213,3,FALSE)</f>
        <v>199</v>
      </c>
      <c r="F626" t="s" s="104">
        <f>VLOOKUP(B626,'Player Data'!A1:B667,2,FALSE)</f>
        <v>271</v>
      </c>
      <c r="G626" s="11">
        <f>VLOOKUP(B626,'Player Data'!A1:D667,3,FALSE)</f>
        <v>25</v>
      </c>
      <c r="H626" s="94">
        <f>_xlfn.IFERROR(VLOOKUP(B626,'ADP'!A1:G665,7,FALSE)/1000000,VLOOKUP(B626,'ADP'!A1:G665,7,FALSE))</f>
        <v>0.95</v>
      </c>
      <c r="I626" s="74">
        <f>IF('Settings'!$E$15="POINTS",((R626*Q626)*'Settings'!$B$12)+(S626*'Settings'!$B$2)+(T626*'Settings'!$B$3)+(U626*'Settings'!$B$4)+(V626*'Settings'!$B$5)+(X626*'Settings'!$B$9)+(AA626*'Settings'!$B$6)+(W626*'Settings'!$B$8)+(AB626*'Settings'!$B$7)+(AC626*'Settings'!$B$14)+(AD626*'Settings'!$B$15)+(AE626*'Settings'!$B$16)+(AF626*'Settings'!$B$17)+(AG626*'Settings'!$B$18)+(U626*'Settings'!$B$13)+(Y626*'Settings'!$B$10)+(Z626*'Settings'!$B$11),VLOOKUP(B626,'Standard Deviations'!A1:C666,3,FALSE))</f>
        <v>141.915839230333</v>
      </c>
      <c r="J626" s="75">
        <f>IF(D626="G",I626/AJ626,I626/Q626)</f>
        <v>2.0117778534973</v>
      </c>
      <c r="K626" s="74">
        <f>VLOOKUP(B626,'D'!A1:F213,6,FALSE)</f>
        <v>-189.624368689749</v>
      </c>
      <c r="L626" s="76">
        <f>_xlfn.IFERROR(K626/H626,"N/A")</f>
        <v>-199.604598620788</v>
      </c>
      <c r="M626" s="109">
        <f>IF('Settings'!$E$9="YAHOO",VLOOKUP(B626,'ADP'!A1:E665,2,FALSE),IF('Settings'!$E$9="ESPN",VLOOKUP(B626,'ADP'!A1:E665,3,FALSE),IF('Settings'!$E$9="FANTRAX",VLOOKUP(B626,'ADP'!A1:E665,4,FALSE),VLOOKUP(B626,'ADP'!A1:E665,5,FALSE))))</f>
        <v>0</v>
      </c>
      <c r="N626" s="79">
        <f>_xlfn.IFERROR(M626-A626,"N/A")</f>
        <v>-611</v>
      </c>
      <c r="O626" s="77"/>
      <c r="P626" t="s" s="78">
        <f>IF('Settings'!$E$27="ON",VLOOKUP(B626,'ADP'!A1:H665,8,FALSE)," ")</f>
        <v>138</v>
      </c>
      <c r="Q626" s="79">
        <f>IF('Settings'!$E$12="YES",VLOOKUP(B626,'Player Data'!A1:E667,5,FALSE),82)</f>
        <v>70.5425</v>
      </c>
      <c r="R626" s="77">
        <f>VLOOKUP(B626,'Player Data'!$A1:$AE667,6,FALSE)</f>
        <v>14.8304849268095</v>
      </c>
      <c r="S626" s="79">
        <f>VLOOKUP(B626,'Player Data'!$A1:$AE667,7,FALSE)*$Q626*_xlfn.IFERROR((VLOOKUP(P626,'Settings'!$E$28:$F$33,2,FALSE)+1),1)</f>
        <v>3.27694589449929</v>
      </c>
      <c r="T626" s="79">
        <f>VLOOKUP(B626,'Player Data'!$A1:$AE667,8,FALSE)*$Q626*_xlfn.IFERROR((VLOOKUP(P626,'Settings'!$E$28:$F$33,2,FALSE)+1),1)</f>
        <v>12.7577448794499</v>
      </c>
      <c r="U626" s="79">
        <f>SUM(S626:T626)</f>
        <v>16.0346907739492</v>
      </c>
      <c r="V626" s="79">
        <f>VLOOKUP(B626,'Player Data'!$A1:$AE667,10,FALSE)*$Q626*_xlfn.IFERROR(((VLOOKUP(P626,'Settings'!$E$28:$F$33,2,FALSE)/2)+1),1)</f>
        <v>71.0299884278905</v>
      </c>
      <c r="W626" s="79">
        <f>VLOOKUP(B626,'Player Data'!$A1:$AE667,11,FALSE)*$Q626*_xlfn.IFERROR((VLOOKUP(P626,'Settings'!$E$28:$F$33,2,FALSE)+1),1)</f>
        <v>0.0425962198369337</v>
      </c>
      <c r="X626" s="79">
        <f>VLOOKUP(B626,'Player Data'!$A1:$AE667,12,FALSE)*$Q626*_xlfn.IFERROR((VLOOKUP(P626,'Settings'!$E$28:$F$33,2,FALSE)+1),1)</f>
        <v>0.175510763636821</v>
      </c>
      <c r="Y626" s="79">
        <f>VLOOKUP(B626,'Player Data'!$A1:$AE667,13,FALSE)*$Q626</f>
        <v>0.00982272823723563</v>
      </c>
      <c r="Z626" s="79">
        <f>VLOOKUP(B626,'Player Data'!$A1:$AE667,14,FALSE)*$Q626</f>
        <v>0.0482802997985022</v>
      </c>
      <c r="AA626" s="79">
        <f>VLOOKUP(B626,'Player Data'!$A1:$AE667,15,FALSE)*$Q626</f>
        <v>61.4300882695658</v>
      </c>
      <c r="AB626" s="79">
        <f>VLOOKUP(B626,'Player Data'!$A1:$AE667,16,FALSE)*$Q626</f>
        <v>76.70419561086069</v>
      </c>
      <c r="AC626" s="79">
        <f>VLOOKUP(B626,'Player Data'!$A1:$AE667,17,FALSE)*$Q626*_xlfn.IFERROR((VLOOKUP(P626,'Settings'!$E$28:$F$33,2,FALSE)+1),1)</f>
        <v>-0.244674888751498</v>
      </c>
      <c r="AD626" s="79">
        <f>VLOOKUP(B626,'Player Data'!$A1:$AE667,18,FALSE)*$Q626</f>
        <v>28.375181685125</v>
      </c>
      <c r="AE626" s="79">
        <f>VLOOKUP(B626,'Player Data'!$A1:$AE667,19,FALSE)*$Q626*_xlfn.IFERROR((VLOOKUP(P626,'Settings'!$E$28:$F$33,2,FALSE)+1),1)</f>
        <v>0.394524929906666</v>
      </c>
      <c r="AF626" s="79">
        <f>VLOOKUP(B626,'Player Data'!$A1:$AE667,20,FALSE)*$Q626</f>
        <v>0</v>
      </c>
      <c r="AG626" s="79">
        <f>VLOOKUP(B626,'Player Data'!$A1:$AE667,21,FALSE)*$Q626</f>
        <v>0</v>
      </c>
      <c r="AH626" s="81">
        <f>VLOOKUP(B626,'Player Data'!$A1:$AE667,22,FALSE)</f>
        <v>0</v>
      </c>
      <c r="AI626" s="77"/>
      <c r="AJ626" s="79"/>
      <c r="AK626" s="79"/>
      <c r="AL626" s="79"/>
      <c r="AM626" s="79"/>
      <c r="AN626" s="79"/>
      <c r="AO626" s="79"/>
      <c r="AP626" s="79"/>
      <c r="AQ626" s="82"/>
      <c r="AR626" s="83"/>
      <c r="AS626" s="84"/>
    </row>
    <row r="627" ht="21.25" customHeight="1">
      <c r="A627" s="85">
        <f>RANK(K627,K$1:K$665)</f>
        <v>634</v>
      </c>
      <c r="B627" t="s" s="16">
        <v>817</v>
      </c>
      <c r="C627" t="s" s="69">
        <v>127</v>
      </c>
      <c r="D627" t="s" s="70">
        <f>VLOOKUP(B627,'Player Data'!A1:D667,4,FALSE)</f>
        <v>128</v>
      </c>
      <c r="E627" s="71">
        <f>VLOOKUP(B627,'C'!A1:C206,3,FALSE)</f>
        <v>192</v>
      </c>
      <c r="F627" t="s" s="78">
        <f>VLOOKUP(B627,'Player Data'!A1:B667,2,FALSE)</f>
        <v>204</v>
      </c>
      <c r="G627" s="91">
        <f>VLOOKUP(B627,'Player Data'!A1:D667,3,FALSE)</f>
        <v>31</v>
      </c>
      <c r="H627" s="94">
        <f>_xlfn.IFERROR(VLOOKUP(B627,'ADP'!A1:G665,7,FALSE)/1000000,VLOOKUP(B627,'ADP'!A1:G665,7,FALSE))</f>
        <v>0.775</v>
      </c>
      <c r="I627" s="74">
        <f>IF('Settings'!$E$15="POINTS",((R627*Q627)*'Settings'!$B$12)+(S627*'Settings'!$B$2)+(T627*'Settings'!$B$3)+(U627*'Settings'!$B$4)+(V627*'Settings'!$B$5)+(X627*'Settings'!$B$9)+(AA627*'Settings'!$B$6)+(W627*'Settings'!$B$8)+(AB627*'Settings'!$B$7)+(AC627*'Settings'!$B$14)+(AD627*'Settings'!$B$15)+(AE627*'Settings'!$B$16)+(AF627*'Settings'!$B$17)+(AG627*'Settings'!$B$18)+(Y627*'Settings'!$B$10)+(Z627*'Settings'!$B$11),VLOOKUP(B627,'Standard Deviations'!A1:C666,3,FALSE))</f>
        <v>129.704279658994</v>
      </c>
      <c r="J627" s="75">
        <f>IF(D627="G",I627/AJ627,I627/Q627)</f>
        <v>1.88256873847373</v>
      </c>
      <c r="K627" s="74">
        <f>IF('Settings'!$E$18="C/LW/RW",VLOOKUP(B627,'C'!A1:F206,6,FALSE),VLOOKUP(B627,'F'!A1:F392,6,FALSE))</f>
        <v>-199.987614422184</v>
      </c>
      <c r="L627" s="76">
        <f>_xlfn.IFERROR(K627/H627,"N/A")</f>
        <v>-258.048534738302</v>
      </c>
      <c r="M627" s="109">
        <f>IF('Settings'!$E$9="YAHOO",VLOOKUP(B627,'ADP'!A1:E665,2,FALSE),IF('Settings'!$E$9="ESPN",VLOOKUP(B627,'ADP'!A1:E665,3,FALSE),IF('Settings'!$E$9="FANTRAX",VLOOKUP(B627,'ADP'!A1:E665,4,FALSE),VLOOKUP(B627,'ADP'!A1:E665,5,FALSE))))</f>
        <v>0</v>
      </c>
      <c r="N627" s="79">
        <f>_xlfn.IFERROR(M627-A627,"N/A")</f>
        <v>-634</v>
      </c>
      <c r="O627" s="77"/>
      <c r="P627" t="s" s="78">
        <f>IF('Settings'!$E$27="ON",VLOOKUP(B627,'ADP'!A1:H665,8,FALSE)," ")</f>
        <v>138</v>
      </c>
      <c r="Q627" s="79">
        <f>IF('Settings'!$E$12="YES",VLOOKUP(B627,'Player Data'!A1:E667,5,FALSE),82)</f>
        <v>68.89749999999999</v>
      </c>
      <c r="R627" s="108">
        <f>VLOOKUP(B627,'Player Data'!$A1:$AE667,6,FALSE)</f>
        <v>12.3112903740366</v>
      </c>
      <c r="S627" s="79">
        <f>VLOOKUP(B627,'Player Data'!$A1:$AE667,7,FALSE)*$Q627*_xlfn.IFERROR((VLOOKUP(P627,'Settings'!$E$28:$F$33,2,FALSE)+1),1)</f>
        <v>7.06766560289407</v>
      </c>
      <c r="T627" s="79">
        <f>VLOOKUP(B627,'Player Data'!$A1:$AE667,8,FALSE)*$Q627*_xlfn.IFERROR((VLOOKUP(P627,'Settings'!$E$28:$F$33,2,FALSE)+1),1)</f>
        <v>8.099612959059961</v>
      </c>
      <c r="U627" s="79">
        <f>SUM(S627:T627)</f>
        <v>15.167278561954</v>
      </c>
      <c r="V627" s="79">
        <f>VLOOKUP(B627,'Player Data'!$A1:$AE667,10,FALSE)*$Q627*_xlfn.IFERROR(((VLOOKUP(P627,'Settings'!$E$28:$F$33,2,FALSE)/2)+1),1)</f>
        <v>98.59371518612591</v>
      </c>
      <c r="W627" s="79">
        <f>VLOOKUP(B627,'Player Data'!$A1:$AE667,11,FALSE)*$Q627*_xlfn.IFERROR((VLOOKUP(P627,'Settings'!$E$28:$F$33,2,FALSE)+1),1)</f>
        <v>0.169293052236356</v>
      </c>
      <c r="X627" s="79">
        <f>VLOOKUP(B627,'Player Data'!$A1:$AE667,12,FALSE)*$Q627*_xlfn.IFERROR((VLOOKUP(P627,'Settings'!$E$28:$F$33,2,FALSE)+1),1)</f>
        <v>0.297115068256652</v>
      </c>
      <c r="Y627" s="79">
        <f>VLOOKUP(B627,'Player Data'!$A1:$AE667,13,FALSE)*$Q627</f>
        <v>0.476418403738171</v>
      </c>
      <c r="Z627" s="79">
        <f>VLOOKUP(B627,'Player Data'!$A1:$AE667,14,FALSE)*$Q627</f>
        <v>0.87091162549876</v>
      </c>
      <c r="AA627" s="79">
        <f>VLOOKUP(B627,'Player Data'!$A1:$AE667,15,FALSE)*$Q627</f>
        <v>29.5235725164363</v>
      </c>
      <c r="AB627" s="79">
        <f>VLOOKUP(B627,'Player Data'!$A1:$AE667,16,FALSE)*$Q627</f>
        <v>75.98074708658901</v>
      </c>
      <c r="AC627" s="79">
        <f>VLOOKUP(B627,'Player Data'!$A1:$AE667,17,FALSE)*$Q627*_xlfn.IFERROR((VLOOKUP(P627,'Settings'!$E$28:$F$33,2,FALSE)+1),1)</f>
        <v>-5.64858414782751</v>
      </c>
      <c r="AD627" s="79">
        <f>VLOOKUP(B627,'Player Data'!$A1:$AE667,18,FALSE)*$Q627</f>
        <v>14.2937590189032</v>
      </c>
      <c r="AE627" s="79">
        <f>VLOOKUP(B627,'Player Data'!$A1:$AE667,19,FALSE)*$Q627*_xlfn.IFERROR((VLOOKUP(P627,'Settings'!$E$28:$F$33,2,FALSE)+1),1)</f>
        <v>1.13025199262529</v>
      </c>
      <c r="AF627" s="79">
        <f>VLOOKUP(B627,'Player Data'!$A1:$AE667,20,FALSE)*$Q627</f>
        <v>50.281377614820</v>
      </c>
      <c r="AG627" s="79">
        <f>VLOOKUP(B627,'Player Data'!$A1:$AE667,21,FALSE)*$Q627</f>
        <v>54.4255247304762</v>
      </c>
      <c r="AH627" s="81">
        <f>VLOOKUP(B627,'Player Data'!$A1:$AE667,22,FALSE)</f>
        <v>0.480210726213684</v>
      </c>
      <c r="AI627" s="77"/>
      <c r="AJ627" s="89"/>
      <c r="AK627" s="79"/>
      <c r="AL627" s="79"/>
      <c r="AM627" s="79"/>
      <c r="AN627" s="79"/>
      <c r="AO627" s="79"/>
      <c r="AP627" s="79"/>
      <c r="AQ627" s="82"/>
      <c r="AR627" s="83"/>
      <c r="AS627" s="93"/>
    </row>
    <row r="628" ht="21.25" customHeight="1">
      <c r="A628" s="85">
        <f>RANK(K628,K$1:K$665)</f>
        <v>636</v>
      </c>
      <c r="B628" t="s" s="16">
        <v>818</v>
      </c>
      <c r="C628" t="s" s="69">
        <v>127</v>
      </c>
      <c r="D628" t="s" s="70">
        <f>VLOOKUP(B628,'Player Data'!A1:D667,4,FALSE)</f>
        <v>128</v>
      </c>
      <c r="E628" s="71">
        <f>VLOOKUP(B628,'C'!A1:C206,3,FALSE)</f>
        <v>193</v>
      </c>
      <c r="F628" t="s" s="78">
        <f>VLOOKUP(B628,'Player Data'!A1:B667,2,FALSE)</f>
        <v>216</v>
      </c>
      <c r="G628" s="96">
        <f>VLOOKUP(B628,'Player Data'!A1:D667,3,FALSE)</f>
        <v>22</v>
      </c>
      <c r="H628" s="94">
        <f>_xlfn.IFERROR(VLOOKUP(B628,'ADP'!A1:G665,7,FALSE)/1000000,VLOOKUP(B628,'ADP'!A1:G665,7,FALSE))</f>
        <v>0.925</v>
      </c>
      <c r="I628" s="74">
        <f>IF('Settings'!$E$15="POINTS",((R628*Q628)*'Settings'!$B$12)+(S628*'Settings'!$B$2)+(T628*'Settings'!$B$3)+(U628*'Settings'!$B$4)+(V628*'Settings'!$B$5)+(X628*'Settings'!$B$9)+(AA628*'Settings'!$B$6)+(W628*'Settings'!$B$8)+(AB628*'Settings'!$B$7)+(AC628*'Settings'!$B$14)+(AD628*'Settings'!$B$15)+(AE628*'Settings'!$B$16)+(AF628*'Settings'!$B$17)+(AG628*'Settings'!$B$18)+(Y628*'Settings'!$B$10)+(Z628*'Settings'!$B$11),VLOOKUP(B628,'Standard Deviations'!A1:C666,3,FALSE))</f>
        <v>129.555920495278</v>
      </c>
      <c r="J628" s="75">
        <f>IF(D628="G",I628/AJ628,I628/Q628)</f>
        <v>2.38922859373496</v>
      </c>
      <c r="K628" s="74">
        <f>IF('Settings'!$E$18="C/LW/RW",VLOOKUP(B628,'C'!A1:F206,6,FALSE),VLOOKUP(B628,'F'!A1:F392,6,FALSE))</f>
        <v>-200.1359735859</v>
      </c>
      <c r="L628" s="76">
        <f>_xlfn.IFERROR(K628/H628,"N/A")</f>
        <v>-216.363214687459</v>
      </c>
      <c r="M628" s="109">
        <f>IF('Settings'!$E$9="YAHOO",VLOOKUP(B628,'ADP'!A1:E665,2,FALSE),IF('Settings'!$E$9="ESPN",VLOOKUP(B628,'ADP'!A1:E665,3,FALSE),IF('Settings'!$E$9="FANTRAX",VLOOKUP(B628,'ADP'!A1:E665,4,FALSE),VLOOKUP(B628,'ADP'!A1:E665,5,FALSE))))</f>
        <v>0</v>
      </c>
      <c r="N628" s="79">
        <f>_xlfn.IFERROR(M628-A628,"N/A")</f>
        <v>-636</v>
      </c>
      <c r="O628" s="77"/>
      <c r="P628" t="s" s="78">
        <f>IF('Settings'!$E$27="ON",VLOOKUP(B628,'ADP'!A1:H665,8,FALSE)," ")</f>
        <v>138</v>
      </c>
      <c r="Q628" s="79">
        <f>IF('Settings'!$E$12="YES",VLOOKUP(B628,'Player Data'!A1:E667,5,FALSE),82)</f>
        <v>54.225</v>
      </c>
      <c r="R628" s="77">
        <f>VLOOKUP(B628,'Player Data'!$A1:$AE667,6,FALSE)</f>
        <v>13.1980303452677</v>
      </c>
      <c r="S628" s="79">
        <f>VLOOKUP(B628,'Player Data'!$A1:$AE667,7,FALSE)*$Q628*_xlfn.IFERROR((VLOOKUP(P628,'Settings'!$E$28:$F$33,2,FALSE)+1),1)</f>
        <v>8.29114139233166</v>
      </c>
      <c r="T628" s="79">
        <f>VLOOKUP(B628,'Player Data'!$A1:$AE667,8,FALSE)*$Q628*_xlfn.IFERROR((VLOOKUP(P628,'Settings'!$E$28:$F$33,2,FALSE)+1),1)</f>
        <v>15.6942681444179</v>
      </c>
      <c r="U628" s="79">
        <f>SUM(S628:T628)</f>
        <v>23.9854095367496</v>
      </c>
      <c r="V628" s="79">
        <f>VLOOKUP(B628,'Player Data'!$A1:$AE667,10,FALSE)*$Q628*_xlfn.IFERROR(((VLOOKUP(P628,'Settings'!$E$28:$F$33,2,FALSE)/2)+1),1)</f>
        <v>77.80198764069991</v>
      </c>
      <c r="W628" s="79">
        <f>VLOOKUP(B628,'Player Data'!$A1:$AE667,11,FALSE)*$Q628*_xlfn.IFERROR((VLOOKUP(P628,'Settings'!$E$28:$F$33,2,FALSE)+1),1)</f>
        <v>0.415192953830196</v>
      </c>
      <c r="X628" s="79">
        <f>VLOOKUP(B628,'Player Data'!$A1:$AE667,12,FALSE)*$Q628*_xlfn.IFERROR((VLOOKUP(P628,'Settings'!$E$28:$F$33,2,FALSE)+1),1)</f>
        <v>0.889066340455408</v>
      </c>
      <c r="Y628" s="79">
        <f>VLOOKUP(B628,'Player Data'!$A1:$AE667,13,FALSE)*$Q628</f>
        <v>0.0237607514809864</v>
      </c>
      <c r="Z628" s="79">
        <f>VLOOKUP(B628,'Player Data'!$A1:$AE667,14,FALSE)*$Q628</f>
        <v>0.0394962991561211</v>
      </c>
      <c r="AA628" s="79">
        <f>VLOOKUP(B628,'Player Data'!$A1:$AE667,15,FALSE)*$Q628</f>
        <v>21.2632314610526</v>
      </c>
      <c r="AB628" s="79">
        <f>VLOOKUP(B628,'Player Data'!$A1:$AE667,16,FALSE)*$Q628</f>
        <v>61.6250350639859</v>
      </c>
      <c r="AC628" s="79">
        <f>VLOOKUP(B628,'Player Data'!$A1:$AE667,17,FALSE)*$Q628*_xlfn.IFERROR((VLOOKUP(P628,'Settings'!$E$28:$F$33,2,FALSE)+1),1)</f>
        <v>0.790826407743794</v>
      </c>
      <c r="AD628" s="79">
        <f>VLOOKUP(B628,'Player Data'!$A1:$AE667,18,FALSE)*$Q628</f>
        <v>15.5489361280051</v>
      </c>
      <c r="AE628" s="79">
        <f>VLOOKUP(B628,'Player Data'!$A1:$AE667,19,FALSE)*$Q628*_xlfn.IFERROR((VLOOKUP(P628,'Settings'!$E$28:$F$33,2,FALSE)+1),1)</f>
        <v>1.26109329272329</v>
      </c>
      <c r="AF628" s="79">
        <f>VLOOKUP(B628,'Player Data'!$A1:$AE667,20,FALSE)*$Q628</f>
        <v>15.4696178432238</v>
      </c>
      <c r="AG628" s="79">
        <f>VLOOKUP(B628,'Player Data'!$A1:$AE667,21,FALSE)*$Q628</f>
        <v>15.4696178432238</v>
      </c>
      <c r="AH628" s="81">
        <f>VLOOKUP(B628,'Player Data'!$A1:$AE667,22,FALSE)</f>
        <v>0.5</v>
      </c>
      <c r="AI628" s="77"/>
      <c r="AJ628" s="79"/>
      <c r="AK628" s="79"/>
      <c r="AL628" s="79"/>
      <c r="AM628" s="79"/>
      <c r="AN628" s="79"/>
      <c r="AO628" s="79"/>
      <c r="AP628" s="79"/>
      <c r="AQ628" s="82"/>
      <c r="AR628" s="83"/>
      <c r="AS628" s="84"/>
    </row>
    <row r="629" ht="21.25" customHeight="1">
      <c r="A629" s="85">
        <f>RANK(K629,K$1:K$665)</f>
        <v>628</v>
      </c>
      <c r="B629" t="s" s="16">
        <v>819</v>
      </c>
      <c r="C629" t="s" s="69">
        <v>127</v>
      </c>
      <c r="D629" t="s" s="70">
        <f>VLOOKUP(B629,'Player Data'!A1:D667,4,FALSE)</f>
        <v>178</v>
      </c>
      <c r="E629" s="102">
        <f>VLOOKUP(B629,'LW'!A1:C152,3,FALSE)</f>
        <v>141</v>
      </c>
      <c r="F629" t="s" s="78">
        <f>VLOOKUP(B629,'Player Data'!A1:B667,2,FALSE)</f>
        <v>244</v>
      </c>
      <c r="G629" s="91">
        <f>VLOOKUP(B629,'Player Data'!A1:D667,3,FALSE)</f>
        <v>36</v>
      </c>
      <c r="H629" s="94">
        <f>_xlfn.IFERROR(VLOOKUP(B629,'ADP'!A1:G665,7,FALSE)/1000000,VLOOKUP(B629,'ADP'!A1:G665,7,FALSE))</f>
        <v>1.3</v>
      </c>
      <c r="I629" s="74">
        <f>IF('Settings'!$E$15="POINTS",((R629*Q629)*'Settings'!$B$12)+(S629*'Settings'!$B$2)+(T629*'Settings'!$B$3)+(U629*'Settings'!$B$4)+(V629*'Settings'!$B$5)+(X629*'Settings'!$B$9)+(AA629*'Settings'!$B$6)+(W629*'Settings'!$B$8)+(AB629*'Settings'!$B$7)+(AC629*'Settings'!$B$14)+(AD629*'Settings'!$B$15)+(AE629*'Settings'!$B$16)+(AF629*'Settings'!$B$17)+(AG629*'Settings'!$B$18)+(Y629*'Settings'!$B$10)+(Z629*'Settings'!$B$11),VLOOKUP(B629,'Standard Deviations'!A1:C666,3,FALSE))</f>
        <v>133.298219645001</v>
      </c>
      <c r="J629" s="75">
        <f>IF(D629="G",I629/AJ629,I629/Q629)</f>
        <v>1.75041160362432</v>
      </c>
      <c r="K629" s="74">
        <f>IF('Settings'!$E$18="C/LW/RW",VLOOKUP(B629,'LW'!A1:F152,6,FALSE),VLOOKUP(B629,'F'!A1:F392,6,FALSE))</f>
        <v>-198.421892121211</v>
      </c>
      <c r="L629" s="76">
        <f>_xlfn.IFERROR(K629/H629,"N/A")</f>
        <v>-152.632224708624</v>
      </c>
      <c r="M629" s="109">
        <f>IF('Settings'!$E$9="YAHOO",VLOOKUP(B629,'ADP'!A1:E665,2,FALSE),IF('Settings'!$E$9="ESPN",VLOOKUP(B629,'ADP'!A1:E665,3,FALSE),IF('Settings'!$E$9="FANTRAX",VLOOKUP(B629,'ADP'!A1:E665,4,FALSE),VLOOKUP(B629,'ADP'!A1:E665,5,FALSE))))</f>
        <v>0</v>
      </c>
      <c r="N629" s="79">
        <f>_xlfn.IFERROR(M629-A629,"N/A")</f>
        <v>-628</v>
      </c>
      <c r="O629" s="77"/>
      <c r="P629" t="s" s="78">
        <f>IF('Settings'!$E$27="ON",VLOOKUP(B629,'ADP'!A1:H665,8,FALSE)," ")</f>
        <v>138</v>
      </c>
      <c r="Q629" s="79">
        <f>IF('Settings'!$E$12="YES",VLOOKUP(B629,'Player Data'!A1:E667,5,FALSE),82)</f>
        <v>76.1525</v>
      </c>
      <c r="R629" s="108">
        <f>VLOOKUP(B629,'Player Data'!$A1:$AE667,6,FALSE)</f>
        <v>10.7703375141206</v>
      </c>
      <c r="S629" s="79">
        <f>VLOOKUP(B629,'Player Data'!$A1:$AE667,7,FALSE)*$Q629*_xlfn.IFERROR((VLOOKUP(P629,'Settings'!$E$28:$F$33,2,FALSE)+1),1)</f>
        <v>3.72342174814332</v>
      </c>
      <c r="T629" s="79">
        <f>VLOOKUP(B629,'Player Data'!$A1:$AE667,8,FALSE)*$Q629*_xlfn.IFERROR((VLOOKUP(P629,'Settings'!$E$28:$F$33,2,FALSE)+1),1)</f>
        <v>8.54154209611111</v>
      </c>
      <c r="U629" s="79">
        <f>SUM(S629:T629)</f>
        <v>12.2649638442544</v>
      </c>
      <c r="V629" s="79">
        <f>VLOOKUP(B629,'Player Data'!$A1:$AE667,10,FALSE)*$Q629*_xlfn.IFERROR(((VLOOKUP(P629,'Settings'!$E$28:$F$33,2,FALSE)/2)+1),1)</f>
        <v>68.57772407040549</v>
      </c>
      <c r="W629" s="79">
        <f>VLOOKUP(B629,'Player Data'!$A1:$AE667,11,FALSE)*$Q629*_xlfn.IFERROR((VLOOKUP(P629,'Settings'!$E$28:$F$33,2,FALSE)+1),1)</f>
        <v>0.07440852589857749</v>
      </c>
      <c r="X629" s="79">
        <f>VLOOKUP(B629,'Player Data'!$A1:$AE667,12,FALSE)*$Q629*_xlfn.IFERROR((VLOOKUP(P629,'Settings'!$E$28:$F$33,2,FALSE)+1),1)</f>
        <v>0.227212349843625</v>
      </c>
      <c r="Y629" s="79">
        <f>VLOOKUP(B629,'Player Data'!$A1:$AE667,13,FALSE)*$Q629</f>
        <v>0.000168696080541097</v>
      </c>
      <c r="Z629" s="79">
        <f>VLOOKUP(B629,'Player Data'!$A1:$AE667,14,FALSE)*$Q629</f>
        <v>0.000320841758081534</v>
      </c>
      <c r="AA629" s="79">
        <f>VLOOKUP(B629,'Player Data'!$A1:$AE667,15,FALSE)*$Q629</f>
        <v>20.3290976975864</v>
      </c>
      <c r="AB629" s="79">
        <f>VLOOKUP(B629,'Player Data'!$A1:$AE667,16,FALSE)*$Q629</f>
        <v>130.356981806536</v>
      </c>
      <c r="AC629" s="79">
        <f>VLOOKUP(B629,'Player Data'!$A1:$AE667,17,FALSE)*$Q629*_xlfn.IFERROR((VLOOKUP(P629,'Settings'!$E$28:$F$33,2,FALSE)+1),1)</f>
        <v>-0.653920314624027</v>
      </c>
      <c r="AD629" s="79">
        <f>VLOOKUP(B629,'Player Data'!$A1:$AE667,18,FALSE)*$Q629</f>
        <v>63.5992050009333</v>
      </c>
      <c r="AE629" s="79">
        <f>VLOOKUP(B629,'Player Data'!$A1:$AE667,19,FALSE)*$Q629*_xlfn.IFERROR((VLOOKUP(P629,'Settings'!$E$28:$F$33,2,FALSE)+1),1)</f>
        <v>0.481197323068527</v>
      </c>
      <c r="AF629" s="79">
        <f>VLOOKUP(B629,'Player Data'!$A1:$AE667,20,FALSE)*$Q629</f>
        <v>10.9546712654998</v>
      </c>
      <c r="AG629" s="79">
        <f>VLOOKUP(B629,'Player Data'!$A1:$AE667,21,FALSE)*$Q629</f>
        <v>21.3446580505834</v>
      </c>
      <c r="AH629" s="81">
        <f>VLOOKUP(B629,'Player Data'!$A1:$AE667,22,FALSE)</f>
        <v>0.339160951557127</v>
      </c>
      <c r="AI629" s="77"/>
      <c r="AJ629" s="89"/>
      <c r="AK629" s="79"/>
      <c r="AL629" s="79"/>
      <c r="AM629" s="79"/>
      <c r="AN629" s="79"/>
      <c r="AO629" s="79"/>
      <c r="AP629" s="79"/>
      <c r="AQ629" s="82"/>
      <c r="AR629" s="83"/>
      <c r="AS629" s="84"/>
    </row>
    <row r="630" ht="21.25" customHeight="1">
      <c r="A630" s="85">
        <f>RANK(K630,K$1:K$665)</f>
        <v>640</v>
      </c>
      <c r="B630" t="s" s="16">
        <v>820</v>
      </c>
      <c r="C630" t="s" s="69">
        <v>127</v>
      </c>
      <c r="D630" t="s" s="70">
        <f>VLOOKUP(B630,'Player Data'!A1:D667,4,FALSE)</f>
        <v>128</v>
      </c>
      <c r="E630" s="71">
        <f>VLOOKUP(B630,'C'!A1:C206,3,FALSE)</f>
        <v>194</v>
      </c>
      <c r="F630" t="s" s="78">
        <f>VLOOKUP(B630,'Player Data'!A1:B667,2,FALSE)</f>
        <v>244</v>
      </c>
      <c r="G630" s="91">
        <f>VLOOKUP(B630,'Player Data'!A1:D667,3,FALSE)</f>
        <v>30</v>
      </c>
      <c r="H630" s="94">
        <f>_xlfn.IFERROR(VLOOKUP(B630,'ADP'!A1:G665,7,FALSE)/1000000,VLOOKUP(B630,'ADP'!A1:G665,7,FALSE))</f>
        <v>4.25</v>
      </c>
      <c r="I630" s="74">
        <f>IF('Settings'!$E$15="POINTS",((R630*Q630)*'Settings'!$B$12)+(S630*'Settings'!$B$2)+(T630*'Settings'!$B$3)+(U630*'Settings'!$B$4)+(V630*'Settings'!$B$5)+(X630*'Settings'!$B$9)+(AA630*'Settings'!$B$6)+(W630*'Settings'!$B$8)+(AB630*'Settings'!$B$7)+(AC630*'Settings'!$B$14)+(AD630*'Settings'!$B$15)+(AE630*'Settings'!$B$16)+(AF630*'Settings'!$B$17)+(AG630*'Settings'!$B$18)+(Y630*'Settings'!$B$10)+(Z630*'Settings'!$B$11),VLOOKUP(B630,'Standard Deviations'!A1:C666,3,FALSE))</f>
        <v>127.878198152889</v>
      </c>
      <c r="J630" s="75">
        <f>IF(D630="G",I630/AJ630,I630/Q630)</f>
        <v>1.91126851478368</v>
      </c>
      <c r="K630" s="74">
        <f>IF('Settings'!$E$18="C/LW/RW",VLOOKUP(B630,'C'!A1:F206,6,FALSE),VLOOKUP(B630,'F'!A1:F392,6,FALSE))</f>
        <v>-201.813695928289</v>
      </c>
      <c r="L630" s="76">
        <f>_xlfn.IFERROR(K630/H630,"N/A")</f>
        <v>-47.4855755125386</v>
      </c>
      <c r="M630" s="109">
        <f>IF('Settings'!$E$9="YAHOO",VLOOKUP(B630,'ADP'!A1:E665,2,FALSE),IF('Settings'!$E$9="ESPN",VLOOKUP(B630,'ADP'!A1:E665,3,FALSE),IF('Settings'!$E$9="FANTRAX",VLOOKUP(B630,'ADP'!A1:E665,4,FALSE),VLOOKUP(B630,'ADP'!A1:E665,5,FALSE))))</f>
        <v>0</v>
      </c>
      <c r="N630" s="79">
        <f>_xlfn.IFERROR(M630-A630,"N/A")</f>
        <v>-640</v>
      </c>
      <c r="O630" s="77"/>
      <c r="P630" t="s" s="78">
        <f>IF('Settings'!$E$27="ON",VLOOKUP(B630,'ADP'!A1:H665,8,FALSE)," ")</f>
        <v>138</v>
      </c>
      <c r="Q630" s="79">
        <f>IF('Settings'!$E$12="YES",VLOOKUP(B630,'Player Data'!A1:E667,5,FALSE),82)</f>
        <v>66.9075</v>
      </c>
      <c r="R630" s="77">
        <f>VLOOKUP(B630,'Player Data'!$A1:$AE667,6,FALSE)</f>
        <v>12.113192340060</v>
      </c>
      <c r="S630" s="79">
        <f>VLOOKUP(B630,'Player Data'!$A1:$AE667,7,FALSE)*$Q630*_xlfn.IFERROR((VLOOKUP(P630,'Settings'!$E$28:$F$33,2,FALSE)+1),1)</f>
        <v>10.0963476673774</v>
      </c>
      <c r="T630" s="79">
        <f>VLOOKUP(B630,'Player Data'!$A1:$AE667,8,FALSE)*$Q630*_xlfn.IFERROR((VLOOKUP(P630,'Settings'!$E$28:$F$33,2,FALSE)+1),1)</f>
        <v>11.8872187981551</v>
      </c>
      <c r="U630" s="79">
        <f>SUM(S630:T630)</f>
        <v>21.9835664655325</v>
      </c>
      <c r="V630" s="79">
        <f>VLOOKUP(B630,'Player Data'!$A1:$AE667,10,FALSE)*$Q630*_xlfn.IFERROR(((VLOOKUP(P630,'Settings'!$E$28:$F$33,2,FALSE)/2)+1),1)</f>
        <v>101.050944074429</v>
      </c>
      <c r="W630" s="79">
        <f>VLOOKUP(B630,'Player Data'!$A1:$AE667,11,FALSE)*$Q630*_xlfn.IFERROR((VLOOKUP(P630,'Settings'!$E$28:$F$33,2,FALSE)+1),1)</f>
        <v>0.702753134740011</v>
      </c>
      <c r="X630" s="79">
        <f>VLOOKUP(B630,'Player Data'!$A1:$AE667,12,FALSE)*$Q630*_xlfn.IFERROR((VLOOKUP(P630,'Settings'!$E$28:$F$33,2,FALSE)+1),1)</f>
        <v>2.21814250254422</v>
      </c>
      <c r="Y630" s="79">
        <f>VLOOKUP(B630,'Player Data'!$A1:$AE667,13,FALSE)*$Q630</f>
        <v>0.0011905819489404</v>
      </c>
      <c r="Z630" s="79">
        <f>VLOOKUP(B630,'Player Data'!$A1:$AE667,14,FALSE)*$Q630</f>
        <v>0.00202845111547366</v>
      </c>
      <c r="AA630" s="79">
        <f>VLOOKUP(B630,'Player Data'!$A1:$AE667,15,FALSE)*$Q630</f>
        <v>34.5144924243453</v>
      </c>
      <c r="AB630" s="79">
        <f>VLOOKUP(B630,'Player Data'!$A1:$AE667,16,FALSE)*$Q630</f>
        <v>36.6174353154642</v>
      </c>
      <c r="AC630" s="79">
        <f>VLOOKUP(B630,'Player Data'!$A1:$AE667,17,FALSE)*$Q630*_xlfn.IFERROR((VLOOKUP(P630,'Settings'!$E$28:$F$33,2,FALSE)+1),1)</f>
        <v>-5.75236158013404</v>
      </c>
      <c r="AD630" s="79">
        <f>VLOOKUP(B630,'Player Data'!$A1:$AE667,18,FALSE)*$Q630</f>
        <v>16.2648553910858</v>
      </c>
      <c r="AE630" s="79">
        <f>VLOOKUP(B630,'Player Data'!$A1:$AE667,19,FALSE)*$Q630*_xlfn.IFERROR((VLOOKUP(P630,'Settings'!$E$28:$F$33,2,FALSE)+1),1)</f>
        <v>1.30480396767671</v>
      </c>
      <c r="AF630" s="79">
        <f>VLOOKUP(B630,'Player Data'!$A1:$AE667,20,FALSE)*$Q630</f>
        <v>112.807332977589</v>
      </c>
      <c r="AG630" s="79">
        <f>VLOOKUP(B630,'Player Data'!$A1:$AE667,21,FALSE)*$Q630</f>
        <v>116.286688356827</v>
      </c>
      <c r="AH630" s="81">
        <f>VLOOKUP(B630,'Player Data'!$A1:$AE667,22,FALSE)</f>
        <v>0.492406271977391</v>
      </c>
      <c r="AI630" s="77"/>
      <c r="AJ630" s="89"/>
      <c r="AK630" s="79"/>
      <c r="AL630" s="79"/>
      <c r="AM630" s="79"/>
      <c r="AN630" s="79"/>
      <c r="AO630" s="79"/>
      <c r="AP630" s="79"/>
      <c r="AQ630" s="82"/>
      <c r="AR630" s="83"/>
      <c r="AS630" s="84"/>
    </row>
    <row r="631" ht="21.25" customHeight="1">
      <c r="A631" s="85">
        <f>RANK(K631,K$1:K$665)</f>
        <v>616</v>
      </c>
      <c r="B631" t="s" s="16">
        <v>821</v>
      </c>
      <c r="C631" t="s" s="69">
        <v>127</v>
      </c>
      <c r="D631" t="s" s="70">
        <f>VLOOKUP(B631,'Player Data'!A1:D667,4,FALSE)</f>
        <v>153</v>
      </c>
      <c r="E631" s="95">
        <f>VLOOKUP(B631,'D'!A1:C213,3,FALSE)</f>
        <v>200</v>
      </c>
      <c r="F631" t="s" s="86">
        <f>VLOOKUP(B631,'Player Data'!A1:B667,2,FALSE)</f>
        <v>132</v>
      </c>
      <c r="G631" s="11">
        <f>VLOOKUP(B631,'Player Data'!A1:D667,3,FALSE)</f>
        <v>25</v>
      </c>
      <c r="H631" s="94">
        <f>_xlfn.IFERROR(VLOOKUP(B631,'ADP'!A1:G665,7,FALSE)/1000000,VLOOKUP(B631,'ADP'!A1:G665,7,FALSE))</f>
        <v>1.1</v>
      </c>
      <c r="I631" s="74">
        <f>IF('Settings'!$E$15="POINTS",((R631*Q631)*'Settings'!$B$12)+(S631*'Settings'!$B$2)+(T631*'Settings'!$B$3)+(U631*'Settings'!$B$4)+(V631*'Settings'!$B$5)+(X631*'Settings'!$B$9)+(AA631*'Settings'!$B$6)+(W631*'Settings'!$B$8)+(AB631*'Settings'!$B$7)+(AC631*'Settings'!$B$14)+(AD631*'Settings'!$B$15)+(AE631*'Settings'!$B$16)+(AF631*'Settings'!$B$17)+(AG631*'Settings'!$B$18)+(U631*'Settings'!$B$13)+(Y631*'Settings'!$B$10)+(Z631*'Settings'!$B$11),VLOOKUP(B631,'Standard Deviations'!A1:C666,3,FALSE))</f>
        <v>139.491896547441</v>
      </c>
      <c r="J631" s="75">
        <f>IF(D631="G",I631/AJ631,I631/Q631)</f>
        <v>2.37029560828277</v>
      </c>
      <c r="K631" s="74">
        <f>VLOOKUP(B631,'D'!A1:F213,6,FALSE)</f>
        <v>-192.048311372641</v>
      </c>
      <c r="L631" s="76">
        <f>_xlfn.IFERROR(K631/H631,"N/A")</f>
        <v>-174.589373975128</v>
      </c>
      <c r="M631" s="109">
        <f>IF('Settings'!$E$9="YAHOO",VLOOKUP(B631,'ADP'!A1:E665,2,FALSE),IF('Settings'!$E$9="ESPN",VLOOKUP(B631,'ADP'!A1:E665,3,FALSE),IF('Settings'!$E$9="FANTRAX",VLOOKUP(B631,'ADP'!A1:E665,4,FALSE),VLOOKUP(B631,'ADP'!A1:E665,5,FALSE))))</f>
        <v>0</v>
      </c>
      <c r="N631" s="79">
        <f>_xlfn.IFERROR(M631-A631,"N/A")</f>
        <v>-616</v>
      </c>
      <c r="O631" s="77"/>
      <c r="P631" t="s" s="78">
        <f>IF('Settings'!$E$27="ON",VLOOKUP(B631,'ADP'!A1:H665,8,FALSE)," ")</f>
        <v>138</v>
      </c>
      <c r="Q631" s="79">
        <f>IF('Settings'!$E$12="YES",VLOOKUP(B631,'Player Data'!A1:E667,5,FALSE),82)</f>
        <v>58.85</v>
      </c>
      <c r="R631" s="108">
        <f>VLOOKUP(B631,'Player Data'!$A1:$AE667,6,FALSE)</f>
        <v>14.8898334439339</v>
      </c>
      <c r="S631" s="79">
        <f>VLOOKUP(B631,'Player Data'!$A1:$AE667,7,FALSE)*$Q631*_xlfn.IFERROR((VLOOKUP(P631,'Settings'!$E$28:$F$33,2,FALSE)+1),1)</f>
        <v>3.01184335301133</v>
      </c>
      <c r="T631" s="79">
        <f>VLOOKUP(B631,'Player Data'!$A1:$AE667,8,FALSE)*$Q631*_xlfn.IFERROR((VLOOKUP(P631,'Settings'!$E$28:$F$33,2,FALSE)+1),1)</f>
        <v>14.2190403475382</v>
      </c>
      <c r="U631" s="79">
        <f>SUM(S631:T631)</f>
        <v>17.2308837005495</v>
      </c>
      <c r="V631" s="79">
        <f>VLOOKUP(B631,'Player Data'!$A1:$AE667,10,FALSE)*$Q631*_xlfn.IFERROR(((VLOOKUP(P631,'Settings'!$E$28:$F$33,2,FALSE)/2)+1),1)</f>
        <v>51.5936651098259</v>
      </c>
      <c r="W631" s="79">
        <f>VLOOKUP(B631,'Player Data'!$A1:$AE667,11,FALSE)*$Q631*_xlfn.IFERROR((VLOOKUP(P631,'Settings'!$E$28:$F$33,2,FALSE)+1),1)</f>
        <v>0.0906447961094049</v>
      </c>
      <c r="X631" s="79">
        <f>VLOOKUP(B631,'Player Data'!$A1:$AE667,12,FALSE)*$Q631*_xlfn.IFERROR((VLOOKUP(P631,'Settings'!$E$28:$F$33,2,FALSE)+1),1)</f>
        <v>2.13802693613731</v>
      </c>
      <c r="Y631" s="79">
        <f>VLOOKUP(B631,'Player Data'!$A1:$AE667,13,FALSE)*$Q631</f>
        <v>0.00404373012646875</v>
      </c>
      <c r="Z631" s="79">
        <f>VLOOKUP(B631,'Player Data'!$A1:$AE667,14,FALSE)*$Q631</f>
        <v>0.0198454859209535</v>
      </c>
      <c r="AA631" s="79">
        <f>VLOOKUP(B631,'Player Data'!$A1:$AE667,15,FALSE)*$Q631</f>
        <v>60.5910920871631</v>
      </c>
      <c r="AB631" s="79">
        <f>VLOOKUP(B631,'Player Data'!$A1:$AE667,16,FALSE)*$Q631</f>
        <v>76.65690156535349</v>
      </c>
      <c r="AC631" s="79">
        <f>VLOOKUP(B631,'Player Data'!$A1:$AE667,17,FALSE)*$Q631*_xlfn.IFERROR((VLOOKUP(P631,'Settings'!$E$28:$F$33,2,FALSE)+1),1)</f>
        <v>4.8645036556529</v>
      </c>
      <c r="AD631" s="79">
        <f>VLOOKUP(B631,'Player Data'!$A1:$AE667,18,FALSE)*$Q631</f>
        <v>24.4256299090686</v>
      </c>
      <c r="AE631" s="79">
        <f>VLOOKUP(B631,'Player Data'!$A1:$AE667,19,FALSE)*$Q631*_xlfn.IFERROR((VLOOKUP(P631,'Settings'!$E$28:$F$33,2,FALSE)+1),1)</f>
        <v>0.481840947378432</v>
      </c>
      <c r="AF631" s="79">
        <f>VLOOKUP(B631,'Player Data'!$A1:$AE667,20,FALSE)*$Q631</f>
        <v>0</v>
      </c>
      <c r="AG631" s="79">
        <f>VLOOKUP(B631,'Player Data'!$A1:$AE667,21,FALSE)*$Q631</f>
        <v>0</v>
      </c>
      <c r="AH631" s="81">
        <f>VLOOKUP(B631,'Player Data'!$A1:$AE667,22,FALSE)</f>
        <v>0</v>
      </c>
      <c r="AI631" s="77"/>
      <c r="AJ631" s="79"/>
      <c r="AK631" s="79"/>
      <c r="AL631" s="79"/>
      <c r="AM631" s="79"/>
      <c r="AN631" s="79"/>
      <c r="AO631" s="79"/>
      <c r="AP631" s="79"/>
      <c r="AQ631" s="82"/>
      <c r="AR631" s="83"/>
      <c r="AS631" s="84"/>
    </row>
    <row r="632" ht="21.25" customHeight="1">
      <c r="A632" s="85">
        <f>RANK(K632,K$1:K$665)</f>
        <v>630</v>
      </c>
      <c r="B632" t="s" s="16">
        <v>822</v>
      </c>
      <c r="C632" t="s" s="69">
        <v>127</v>
      </c>
      <c r="D632" t="s" s="70">
        <f>VLOOKUP(B632,'Player Data'!A1:D667,4,FALSE)</f>
        <v>178</v>
      </c>
      <c r="E632" s="102">
        <f>VLOOKUP(B632,'LW'!A1:C152,3,FALSE)</f>
        <v>142</v>
      </c>
      <c r="F632" t="s" s="88">
        <f>VLOOKUP(B632,'Player Data'!A1:B667,2,FALSE)</f>
        <v>141</v>
      </c>
      <c r="G632" s="91">
        <f>VLOOKUP(B632,'Player Data'!A1:D667,3,FALSE)</f>
        <v>32</v>
      </c>
      <c r="H632" s="73">
        <f>_xlfn.IFERROR(VLOOKUP(B632,'ADP'!A1:G665,7,FALSE)/1000000,VLOOKUP(B632,'ADP'!A1:G665,7,FALSE))</f>
        <v>2</v>
      </c>
      <c r="I632" s="74">
        <f>IF('Settings'!$E$15="POINTS",((R632*Q632)*'Settings'!$B$12)+(S632*'Settings'!$B$2)+(T632*'Settings'!$B$3)+(U632*'Settings'!$B$4)+(V632*'Settings'!$B$5)+(X632*'Settings'!$B$9)+(AA632*'Settings'!$B$6)+(W632*'Settings'!$B$8)+(AB632*'Settings'!$B$7)+(AC632*'Settings'!$B$14)+(AD632*'Settings'!$B$15)+(AE632*'Settings'!$B$16)+(AF632*'Settings'!$B$17)+(AG632*'Settings'!$B$18)+(Y632*'Settings'!$B$10)+(Z632*'Settings'!$B$11),VLOOKUP(B632,'Standard Deviations'!A1:C666,3,FALSE))</f>
        <v>132.102358304502</v>
      </c>
      <c r="J632" s="75">
        <f>IF(D632="G",I632/AJ632,I632/Q632)</f>
        <v>1.72699752661375</v>
      </c>
      <c r="K632" s="74">
        <f>IF('Settings'!$E$18="C/LW/RW",VLOOKUP(B632,'LW'!A1:F152,6,FALSE),VLOOKUP(B632,'F'!A1:F392,6,FALSE))</f>
        <v>-199.617753461710</v>
      </c>
      <c r="L632" s="76">
        <f>_xlfn.IFERROR(K632/H632,"N/A")</f>
        <v>-99.808876730855</v>
      </c>
      <c r="M632" s="109">
        <f>IF('Settings'!$E$9="YAHOO",VLOOKUP(B632,'ADP'!A1:E665,2,FALSE),IF('Settings'!$E$9="ESPN",VLOOKUP(B632,'ADP'!A1:E665,3,FALSE),IF('Settings'!$E$9="FANTRAX",VLOOKUP(B632,'ADP'!A1:E665,4,FALSE),VLOOKUP(B632,'ADP'!A1:E665,5,FALSE))))</f>
        <v>0</v>
      </c>
      <c r="N632" s="79">
        <f>_xlfn.IFERROR(M632-A632,"N/A")</f>
        <v>-630</v>
      </c>
      <c r="O632" s="77"/>
      <c r="P632" t="s" s="78">
        <f>IF('Settings'!$E$27="ON",VLOOKUP(B632,'ADP'!A1:H665,8,FALSE)," ")</f>
        <v>138</v>
      </c>
      <c r="Q632" s="79">
        <f>IF('Settings'!$E$12="YES",VLOOKUP(B632,'Player Data'!A1:E667,5,FALSE),82)</f>
        <v>76.49250000000001</v>
      </c>
      <c r="R632" s="98">
        <f>VLOOKUP(B632,'Player Data'!$A1:$AE667,6,FALSE)</f>
        <v>12.3018340395413</v>
      </c>
      <c r="S632" s="79">
        <f>VLOOKUP(B632,'Player Data'!$A1:$AE667,7,FALSE)*$Q632*_xlfn.IFERROR((VLOOKUP(P632,'Settings'!$E$28:$F$33,2,FALSE)+1),1)</f>
        <v>7.82860256280424</v>
      </c>
      <c r="T632" s="79">
        <f>VLOOKUP(B632,'Player Data'!$A1:$AE667,8,FALSE)*$Q632*_xlfn.IFERROR((VLOOKUP(P632,'Settings'!$E$28:$F$33,2,FALSE)+1),1)</f>
        <v>13.5425109661318</v>
      </c>
      <c r="U632" s="79">
        <f>SUM(S632:T632)</f>
        <v>21.371113528936</v>
      </c>
      <c r="V632" s="79">
        <f>VLOOKUP(B632,'Player Data'!$A1:$AE667,10,FALSE)*$Q632*_xlfn.IFERROR(((VLOOKUP(P632,'Settings'!$E$28:$F$33,2,FALSE)/2)+1),1)</f>
        <v>93.0095262965424</v>
      </c>
      <c r="W632" s="79">
        <f>VLOOKUP(B632,'Player Data'!$A1:$AE667,11,FALSE)*$Q632*_xlfn.IFERROR((VLOOKUP(P632,'Settings'!$E$28:$F$33,2,FALSE)+1),1)</f>
        <v>0.105662675861084</v>
      </c>
      <c r="X632" s="79">
        <f>VLOOKUP(B632,'Player Data'!$A1:$AE667,12,FALSE)*$Q632*_xlfn.IFERROR((VLOOKUP(P632,'Settings'!$E$28:$F$33,2,FALSE)+1),1)</f>
        <v>0.320844470953971</v>
      </c>
      <c r="Y632" s="79">
        <f>VLOOKUP(B632,'Player Data'!$A1:$AE667,13,FALSE)*$Q632</f>
        <v>0.141439188093661</v>
      </c>
      <c r="Z632" s="79">
        <f>VLOOKUP(B632,'Player Data'!$A1:$AE667,14,FALSE)*$Q632</f>
        <v>0.177044974237068</v>
      </c>
      <c r="AA632" s="79">
        <f>VLOOKUP(B632,'Player Data'!$A1:$AE667,15,FALSE)*$Q632</f>
        <v>41.8638239204189</v>
      </c>
      <c r="AB632" s="79">
        <f>VLOOKUP(B632,'Player Data'!$A1:$AE667,16,FALSE)*$Q632</f>
        <v>44.2494371200256</v>
      </c>
      <c r="AC632" s="79">
        <f>VLOOKUP(B632,'Player Data'!$A1:$AE667,17,FALSE)*$Q632*_xlfn.IFERROR((VLOOKUP(P632,'Settings'!$E$28:$F$33,2,FALSE)+1),1)</f>
        <v>1.14907951859899</v>
      </c>
      <c r="AD632" s="79">
        <f>VLOOKUP(B632,'Player Data'!$A1:$AE667,18,FALSE)*$Q632</f>
        <v>15.7937840869838</v>
      </c>
      <c r="AE632" s="79">
        <f>VLOOKUP(B632,'Player Data'!$A1:$AE667,19,FALSE)*$Q632*_xlfn.IFERROR((VLOOKUP(P632,'Settings'!$E$28:$F$33,2,FALSE)+1),1)</f>
        <v>1.23348731763315</v>
      </c>
      <c r="AF632" s="79">
        <f>VLOOKUP(B632,'Player Data'!$A1:$AE667,20,FALSE)*$Q632</f>
        <v>9.154395464302629</v>
      </c>
      <c r="AG632" s="79">
        <f>VLOOKUP(B632,'Player Data'!$A1:$AE667,21,FALSE)*$Q632</f>
        <v>11.4709643988548</v>
      </c>
      <c r="AH632" s="81">
        <f>VLOOKUP(B632,'Player Data'!$A1:$AE667,22,FALSE)</f>
        <v>0.443841732946193</v>
      </c>
      <c r="AI632" s="77"/>
      <c r="AJ632" s="79"/>
      <c r="AK632" s="79"/>
      <c r="AL632" s="79"/>
      <c r="AM632" s="79"/>
      <c r="AN632" s="79"/>
      <c r="AO632" s="79"/>
      <c r="AP632" s="79"/>
      <c r="AQ632" s="82"/>
      <c r="AR632" s="83"/>
      <c r="AS632" s="84"/>
    </row>
    <row r="633" ht="21.25" customHeight="1">
      <c r="A633" s="85">
        <f>RANK(K633,K$1:K$665)</f>
        <v>635</v>
      </c>
      <c r="B633" t="s" s="16">
        <v>823</v>
      </c>
      <c r="C633" t="s" s="69">
        <v>127</v>
      </c>
      <c r="D633" t="s" s="70">
        <f>VLOOKUP(B633,'Player Data'!A1:D667,4,FALSE)</f>
        <v>178</v>
      </c>
      <c r="E633" s="102">
        <f>VLOOKUP(B633,'LW'!A1:C152,3,FALSE)</f>
        <v>143</v>
      </c>
      <c r="F633" t="s" s="88">
        <f>VLOOKUP(B633,'Player Data'!A1:B667,2,FALSE)</f>
        <v>143</v>
      </c>
      <c r="G633" s="11">
        <f>VLOOKUP(B633,'Player Data'!A1:D667,3,FALSE)</f>
        <v>26</v>
      </c>
      <c r="H633" s="73">
        <f>_xlfn.IFERROR(VLOOKUP(B633,'ADP'!A1:G665,7,FALSE)/1000000,VLOOKUP(B633,'ADP'!A1:G665,7,FALSE))</f>
        <v>1</v>
      </c>
      <c r="I633" s="74">
        <f>IF('Settings'!$E$15="POINTS",((R633*Q633)*'Settings'!$B$12)+(S633*'Settings'!$B$2)+(T633*'Settings'!$B$3)+(U633*'Settings'!$B$4)+(V633*'Settings'!$B$5)+(X633*'Settings'!$B$9)+(AA633*'Settings'!$B$6)+(W633*'Settings'!$B$8)+(AB633*'Settings'!$B$7)+(AC633*'Settings'!$B$14)+(AD633*'Settings'!$B$15)+(AE633*'Settings'!$B$16)+(AF633*'Settings'!$B$17)+(AG633*'Settings'!$B$18)+(Y633*'Settings'!$B$10)+(Z633*'Settings'!$B$11),VLOOKUP(B633,'Standard Deviations'!A1:C666,3,FALSE))</f>
        <v>131.614817606414</v>
      </c>
      <c r="J633" s="75">
        <f>IF(D633="G",I633/AJ633,I633/Q633)</f>
        <v>1.96682209596016</v>
      </c>
      <c r="K633" s="74">
        <f>IF('Settings'!$E$18="C/LW/RW",VLOOKUP(B633,'LW'!A1:F152,6,FALSE),VLOOKUP(B633,'F'!A1:F392,6,FALSE))</f>
        <v>-200.105294159798</v>
      </c>
      <c r="L633" s="76">
        <f>_xlfn.IFERROR(K633/H633,"N/A")</f>
        <v>-200.105294159798</v>
      </c>
      <c r="M633" s="109">
        <f>IF('Settings'!$E$9="YAHOO",VLOOKUP(B633,'ADP'!A1:E665,2,FALSE),IF('Settings'!$E$9="ESPN",VLOOKUP(B633,'ADP'!A1:E665,3,FALSE),IF('Settings'!$E$9="FANTRAX",VLOOKUP(B633,'ADP'!A1:E665,4,FALSE),VLOOKUP(B633,'ADP'!A1:E665,5,FALSE))))</f>
        <v>0</v>
      </c>
      <c r="N633" s="79">
        <f>_xlfn.IFERROR(M633-A633,"N/A")</f>
        <v>-635</v>
      </c>
      <c r="O633" s="77"/>
      <c r="P633" t="s" s="78">
        <f>IF('Settings'!$E$27="ON",VLOOKUP(B633,'ADP'!A1:H665,8,FALSE)," ")</f>
        <v>138</v>
      </c>
      <c r="Q633" s="79">
        <f>IF('Settings'!$E$12="YES",VLOOKUP(B633,'Player Data'!A1:E667,5,FALSE),82)</f>
        <v>66.9175</v>
      </c>
      <c r="R633" s="108">
        <f>VLOOKUP(B633,'Player Data'!$A1:$AE667,6,FALSE)</f>
        <v>9.92211938511195</v>
      </c>
      <c r="S633" s="79">
        <f>VLOOKUP(B633,'Player Data'!$A1:$AE667,7,FALSE)*$Q633*_xlfn.IFERROR((VLOOKUP(P633,'Settings'!$E$28:$F$33,2,FALSE)+1),1)</f>
        <v>6.0113361973567</v>
      </c>
      <c r="T633" s="79">
        <f>VLOOKUP(B633,'Player Data'!$A1:$AE667,8,FALSE)*$Q633*_xlfn.IFERROR((VLOOKUP(P633,'Settings'!$E$28:$F$33,2,FALSE)+1),1)</f>
        <v>8.730685204262871</v>
      </c>
      <c r="U633" s="79">
        <f>SUM(S633:T633)</f>
        <v>14.7420214016196</v>
      </c>
      <c r="V633" s="79">
        <f>VLOOKUP(B633,'Player Data'!$A1:$AE667,10,FALSE)*$Q633*_xlfn.IFERROR(((VLOOKUP(P633,'Settings'!$E$28:$F$33,2,FALSE)/2)+1),1)</f>
        <v>77.50929857307641</v>
      </c>
      <c r="W633" s="79">
        <f>VLOOKUP(B633,'Player Data'!$A1:$AE667,11,FALSE)*$Q633*_xlfn.IFERROR((VLOOKUP(P633,'Settings'!$E$28:$F$33,2,FALSE)+1),1)</f>
        <v>0.172062057387902</v>
      </c>
      <c r="X633" s="79">
        <f>VLOOKUP(B633,'Player Data'!$A1:$AE667,12,FALSE)*$Q633*_xlfn.IFERROR((VLOOKUP(P633,'Settings'!$E$28:$F$33,2,FALSE)+1),1)</f>
        <v>0.540022341855204</v>
      </c>
      <c r="Y633" s="79">
        <f>VLOOKUP(B633,'Player Data'!$A1:$AE667,13,FALSE)*$Q633</f>
        <v>0.00339516338660977</v>
      </c>
      <c r="Z633" s="79">
        <f>VLOOKUP(B633,'Player Data'!$A1:$AE667,14,FALSE)*$Q633</f>
        <v>0.0057820131832398</v>
      </c>
      <c r="AA633" s="79">
        <f>VLOOKUP(B633,'Player Data'!$A1:$AE667,15,FALSE)*$Q633</f>
        <v>17.271328228562</v>
      </c>
      <c r="AB633" s="79">
        <f>VLOOKUP(B633,'Player Data'!$A1:$AE667,16,FALSE)*$Q633</f>
        <v>112.576815193979</v>
      </c>
      <c r="AC633" s="79">
        <f>VLOOKUP(B633,'Player Data'!$A1:$AE667,17,FALSE)*$Q633*_xlfn.IFERROR((VLOOKUP(P633,'Settings'!$E$28:$F$33,2,FALSE)+1),1)</f>
        <v>-5.89861916376476</v>
      </c>
      <c r="AD633" s="79">
        <f>VLOOKUP(B633,'Player Data'!$A1:$AE667,18,FALSE)*$Q633</f>
        <v>34.860685257103</v>
      </c>
      <c r="AE633" s="79">
        <f>VLOOKUP(B633,'Player Data'!$A1:$AE667,19,FALSE)*$Q633*_xlfn.IFERROR((VLOOKUP(P633,'Settings'!$E$28:$F$33,2,FALSE)+1),1)</f>
        <v>0.936287962690772</v>
      </c>
      <c r="AF633" s="79">
        <f>VLOOKUP(B633,'Player Data'!$A1:$AE667,20,FALSE)*$Q633</f>
        <v>6.67609297287112</v>
      </c>
      <c r="AG633" s="79">
        <f>VLOOKUP(B633,'Player Data'!$A1:$AE667,21,FALSE)*$Q633</f>
        <v>10.453312471266</v>
      </c>
      <c r="AH633" s="81">
        <f>VLOOKUP(B633,'Player Data'!$A1:$AE667,22,FALSE)</f>
        <v>0.389744582475054</v>
      </c>
      <c r="AI633" s="77"/>
      <c r="AJ633" s="89"/>
      <c r="AK633" s="79"/>
      <c r="AL633" s="79"/>
      <c r="AM633" s="79"/>
      <c r="AN633" s="79"/>
      <c r="AO633" s="79"/>
      <c r="AP633" s="79"/>
      <c r="AQ633" s="82"/>
      <c r="AR633" s="83"/>
      <c r="AS633" s="84"/>
    </row>
    <row r="634" ht="21.25" customHeight="1">
      <c r="A634" s="85">
        <f>RANK(K634,K$1:K$665)</f>
        <v>622</v>
      </c>
      <c r="B634" t="s" s="16">
        <v>824</v>
      </c>
      <c r="C634" t="s" s="69">
        <v>127</v>
      </c>
      <c r="D634" t="s" s="70">
        <f>VLOOKUP(B634,'Player Data'!A1:D667,4,FALSE)</f>
        <v>153</v>
      </c>
      <c r="E634" s="95">
        <f>VLOOKUP(B634,'D'!A1:C213,3,FALSE)</f>
        <v>201</v>
      </c>
      <c r="F634" t="s" s="86">
        <f>VLOOKUP(B634,'Player Data'!A1:B667,2,FALSE)</f>
        <v>165</v>
      </c>
      <c r="G634" s="96">
        <f>VLOOKUP(B634,'Player Data'!A1:D667,3,FALSE)</f>
        <v>24</v>
      </c>
      <c r="H634" s="73">
        <f>_xlfn.IFERROR(VLOOKUP(B634,'ADP'!A1:G665,7,FALSE)/1000000,VLOOKUP(B634,'ADP'!A1:G665,7,FALSE))</f>
        <v>0.825</v>
      </c>
      <c r="I634" s="74">
        <f>IF('Settings'!$E$15="POINTS",((R634*Q634)*'Settings'!$B$12)+(S634*'Settings'!$B$2)+(T634*'Settings'!$B$3)+(U634*'Settings'!$B$4)+(V634*'Settings'!$B$5)+(X634*'Settings'!$B$9)+(AA634*'Settings'!$B$6)+(W634*'Settings'!$B$8)+(AB634*'Settings'!$B$7)+(AC634*'Settings'!$B$14)+(AD634*'Settings'!$B$15)+(AE634*'Settings'!$B$16)+(AF634*'Settings'!$B$17)+(AG634*'Settings'!$B$18)+(U634*'Settings'!$B$13)+(Y634*'Settings'!$B$10)+(Z634*'Settings'!$B$11),VLOOKUP(B634,'Standard Deviations'!A1:C666,3,FALSE))</f>
        <v>137.802135820332</v>
      </c>
      <c r="J634" s="75">
        <f>IF(D634="G",I634/AJ634,I634/Q634)</f>
        <v>2.18560088533437</v>
      </c>
      <c r="K634" s="74">
        <f>VLOOKUP(B634,'D'!A1:F213,6,FALSE)</f>
        <v>-193.738072099750</v>
      </c>
      <c r="L634" s="76">
        <f>_xlfn.IFERROR(K634/H634,"N/A")</f>
        <v>-234.834026787576</v>
      </c>
      <c r="M634" s="109">
        <f>IF('Settings'!$E$9="YAHOO",VLOOKUP(B634,'ADP'!A1:E665,2,FALSE),IF('Settings'!$E$9="ESPN",VLOOKUP(B634,'ADP'!A1:E665,3,FALSE),IF('Settings'!$E$9="FANTRAX",VLOOKUP(B634,'ADP'!A1:E665,4,FALSE),VLOOKUP(B634,'ADP'!A1:E665,5,FALSE))))</f>
        <v>0</v>
      </c>
      <c r="N634" s="79">
        <f>_xlfn.IFERROR(M634-A634,"N/A")</f>
        <v>-622</v>
      </c>
      <c r="O634" s="77"/>
      <c r="P634" t="s" s="78">
        <f>IF('Settings'!$E$27="ON",VLOOKUP(B634,'ADP'!A1:H665,8,FALSE)," ")</f>
        <v>138</v>
      </c>
      <c r="Q634" s="79">
        <f>IF('Settings'!$E$12="YES",VLOOKUP(B634,'Player Data'!A1:E667,5,FALSE),82)</f>
        <v>63.05</v>
      </c>
      <c r="R634" s="77">
        <f>VLOOKUP(B634,'Player Data'!$A1:$AE667,6,FALSE)</f>
        <v>16.2037532721782</v>
      </c>
      <c r="S634" s="79">
        <f>VLOOKUP(B634,'Player Data'!$A1:$AE667,7,FALSE)*$Q634*_xlfn.IFERROR((VLOOKUP(P634,'Settings'!$E$28:$F$33,2,FALSE)+1),1)</f>
        <v>4.04458038379508</v>
      </c>
      <c r="T634" s="79">
        <f>VLOOKUP(B634,'Player Data'!$A1:$AE667,8,FALSE)*$Q634*_xlfn.IFERROR((VLOOKUP(P634,'Settings'!$E$28:$F$33,2,FALSE)+1),1)</f>
        <v>10.0570005334003</v>
      </c>
      <c r="U634" s="79">
        <f>SUM(S634:T634)</f>
        <v>14.1015809171954</v>
      </c>
      <c r="V634" s="79">
        <f>VLOOKUP(B634,'Player Data'!$A1:$AE667,10,FALSE)*$Q634*_xlfn.IFERROR(((VLOOKUP(P634,'Settings'!$E$28:$F$33,2,FALSE)/2)+1),1)</f>
        <v>52.1595436031923</v>
      </c>
      <c r="W634" s="79">
        <f>VLOOKUP(B634,'Player Data'!$A1:$AE667,11,FALSE)*$Q634*_xlfn.IFERROR((VLOOKUP(P634,'Settings'!$E$28:$F$33,2,FALSE)+1),1)</f>
        <v>0.0237067283211062</v>
      </c>
      <c r="X634" s="79">
        <f>VLOOKUP(B634,'Player Data'!$A1:$AE667,12,FALSE)*$Q634*_xlfn.IFERROR((VLOOKUP(P634,'Settings'!$E$28:$F$33,2,FALSE)+1),1)</f>
        <v>0.15216823188841</v>
      </c>
      <c r="Y634" s="79">
        <f>VLOOKUP(B634,'Player Data'!$A1:$AE667,13,FALSE)*$Q634</f>
        <v>0.0163729047579334</v>
      </c>
      <c r="Z634" s="79">
        <f>VLOOKUP(B634,'Player Data'!$A1:$AE667,14,FALSE)*$Q634</f>
        <v>0.256063125664251</v>
      </c>
      <c r="AA634" s="79">
        <f>VLOOKUP(B634,'Player Data'!$A1:$AE667,15,FALSE)*$Q634</f>
        <v>82.5534269612493</v>
      </c>
      <c r="AB634" s="79">
        <f>VLOOKUP(B634,'Player Data'!$A1:$AE667,16,FALSE)*$Q634</f>
        <v>56.4643794966405</v>
      </c>
      <c r="AC634" s="79">
        <f>VLOOKUP(B634,'Player Data'!$A1:$AE667,17,FALSE)*$Q634*_xlfn.IFERROR((VLOOKUP(P634,'Settings'!$E$28:$F$33,2,FALSE)+1),1)</f>
        <v>2.59692821174545</v>
      </c>
      <c r="AD634" s="79">
        <f>VLOOKUP(B634,'Player Data'!$A1:$AE667,18,FALSE)*$Q634</f>
        <v>19.1228111995483</v>
      </c>
      <c r="AE634" s="79">
        <f>VLOOKUP(B634,'Player Data'!$A1:$AE667,19,FALSE)*$Q634*_xlfn.IFERROR((VLOOKUP(P634,'Settings'!$E$28:$F$33,2,FALSE)+1),1)</f>
        <v>0.572683542352621</v>
      </c>
      <c r="AF634" s="79">
        <f>VLOOKUP(B634,'Player Data'!$A1:$AE667,20,FALSE)*$Q634</f>
        <v>0</v>
      </c>
      <c r="AG634" s="79">
        <f>VLOOKUP(B634,'Player Data'!$A1:$AE667,21,FALSE)*$Q634</f>
        <v>0</v>
      </c>
      <c r="AH634" s="81">
        <f>VLOOKUP(B634,'Player Data'!$A1:$AE667,22,FALSE)</f>
        <v>0</v>
      </c>
      <c r="AI634" s="77"/>
      <c r="AJ634" s="79"/>
      <c r="AK634" s="79"/>
      <c r="AL634" s="79"/>
      <c r="AM634" s="79"/>
      <c r="AN634" s="79"/>
      <c r="AO634" s="79"/>
      <c r="AP634" s="79"/>
      <c r="AQ634" s="82"/>
      <c r="AR634" s="83"/>
      <c r="AS634" s="84"/>
    </row>
    <row r="635" ht="21.25" customHeight="1">
      <c r="A635" s="85">
        <f>RANK(K635,K$1:K$665)</f>
        <v>638</v>
      </c>
      <c r="B635" t="s" s="16">
        <v>825</v>
      </c>
      <c r="C635" t="s" s="69">
        <v>127</v>
      </c>
      <c r="D635" t="s" s="70">
        <f>VLOOKUP(B635,'Player Data'!A1:D667,4,FALSE)</f>
        <v>178</v>
      </c>
      <c r="E635" s="102">
        <f>VLOOKUP(B635,'LW'!A1:C152,3,FALSE)</f>
        <v>144</v>
      </c>
      <c r="F635" t="s" s="107">
        <f>VLOOKUP(B635,'Player Data'!A1:B667,2,FALSE)</f>
        <v>279</v>
      </c>
      <c r="G635" s="91">
        <f>VLOOKUP(B635,'Player Data'!A1:D667,3,FALSE)</f>
        <v>30</v>
      </c>
      <c r="H635" s="94">
        <f>_xlfn.IFERROR(VLOOKUP(B635,'ADP'!A1:G665,7,FALSE)/1000000,VLOOKUP(B635,'ADP'!A1:G665,7,FALSE))</f>
        <v>2.75</v>
      </c>
      <c r="I635" s="74">
        <f>IF('Settings'!$E$15="POINTS",((R635*Q635)*'Settings'!$B$12)+(S635*'Settings'!$B$2)+(T635*'Settings'!$B$3)+(U635*'Settings'!$B$4)+(V635*'Settings'!$B$5)+(X635*'Settings'!$B$9)+(AA635*'Settings'!$B$6)+(W635*'Settings'!$B$8)+(AB635*'Settings'!$B$7)+(AC635*'Settings'!$B$14)+(AD635*'Settings'!$B$15)+(AE635*'Settings'!$B$16)+(AF635*'Settings'!$B$17)+(AG635*'Settings'!$B$18)+(Y635*'Settings'!$B$10)+(Z635*'Settings'!$B$11),VLOOKUP(B635,'Standard Deviations'!A1:C666,3,FALSE))</f>
        <v>130.469585872309</v>
      </c>
      <c r="J635" s="75">
        <f>IF(D635="G",I635/AJ635,I635/Q635)</f>
        <v>1.89161746887976</v>
      </c>
      <c r="K635" s="74">
        <f>IF('Settings'!$E$18="C/LW/RW",VLOOKUP(B635,'LW'!A1:F152,6,FALSE),VLOOKUP(B635,'F'!A1:F392,6,FALSE))</f>
        <v>-201.250525893903</v>
      </c>
      <c r="L635" s="76">
        <f>_xlfn.IFERROR(K635/H635,"N/A")</f>
        <v>-73.1820094159647</v>
      </c>
      <c r="M635" s="109">
        <f>IF('Settings'!$E$9="YAHOO",VLOOKUP(B635,'ADP'!A1:E665,2,FALSE),IF('Settings'!$E$9="ESPN",VLOOKUP(B635,'ADP'!A1:E665,3,FALSE),IF('Settings'!$E$9="FANTRAX",VLOOKUP(B635,'ADP'!A1:E665,4,FALSE),VLOOKUP(B635,'ADP'!A1:E665,5,FALSE))))</f>
        <v>0</v>
      </c>
      <c r="N635" s="79">
        <f>_xlfn.IFERROR(M635-A635,"N/A")</f>
        <v>-638</v>
      </c>
      <c r="O635" s="77"/>
      <c r="P635" t="s" s="78">
        <f>IF('Settings'!$E$27="ON",VLOOKUP(B635,'ADP'!A1:H665,8,FALSE)," ")</f>
        <v>138</v>
      </c>
      <c r="Q635" s="79">
        <f>IF('Settings'!$E$12="YES",VLOOKUP(B635,'Player Data'!A1:E667,5,FALSE),82)</f>
        <v>68.9725</v>
      </c>
      <c r="R635" s="77">
        <f>VLOOKUP(B635,'Player Data'!$A1:$AE667,6,FALSE)</f>
        <v>11.3040279048369</v>
      </c>
      <c r="S635" s="79">
        <f>VLOOKUP(B635,'Player Data'!$A1:$AE667,7,FALSE)*$Q635*_xlfn.IFERROR((VLOOKUP(P635,'Settings'!$E$28:$F$33,2,FALSE)+1),1)</f>
        <v>7.20866796607328</v>
      </c>
      <c r="T635" s="79">
        <f>VLOOKUP(B635,'Player Data'!$A1:$AE667,8,FALSE)*$Q635*_xlfn.IFERROR((VLOOKUP(P635,'Settings'!$E$28:$F$33,2,FALSE)+1),1)</f>
        <v>6.52561752550893</v>
      </c>
      <c r="U635" s="79">
        <f>SUM(S635:T635)</f>
        <v>13.7342854915822</v>
      </c>
      <c r="V635" s="79">
        <f>VLOOKUP(B635,'Player Data'!$A1:$AE667,10,FALSE)*$Q635*_xlfn.IFERROR(((VLOOKUP(P635,'Settings'!$E$28:$F$33,2,FALSE)/2)+1),1)</f>
        <v>73.96347162669019</v>
      </c>
      <c r="W635" s="79">
        <f>VLOOKUP(B635,'Player Data'!$A1:$AE667,11,FALSE)*$Q635*_xlfn.IFERROR((VLOOKUP(P635,'Settings'!$E$28:$F$33,2,FALSE)+1),1)</f>
        <v>0.0605965167088696</v>
      </c>
      <c r="X635" s="79">
        <f>VLOOKUP(B635,'Player Data'!$A1:$AE667,12,FALSE)*$Q635*_xlfn.IFERROR((VLOOKUP(P635,'Settings'!$E$28:$F$33,2,FALSE)+1),1)</f>
        <v>0.140257906070204</v>
      </c>
      <c r="Y635" s="79">
        <f>VLOOKUP(B635,'Player Data'!$A1:$AE667,13,FALSE)*$Q635</f>
        <v>0.664663303398938</v>
      </c>
      <c r="Z635" s="79">
        <f>VLOOKUP(B635,'Player Data'!$A1:$AE667,14,FALSE)*$Q635</f>
        <v>0.781443242274498</v>
      </c>
      <c r="AA635" s="79">
        <f>VLOOKUP(B635,'Player Data'!$A1:$AE667,15,FALSE)*$Q635</f>
        <v>34.419025278448</v>
      </c>
      <c r="AB635" s="79">
        <f>VLOOKUP(B635,'Player Data'!$A1:$AE667,16,FALSE)*$Q635</f>
        <v>89.3692472062787</v>
      </c>
      <c r="AC635" s="79">
        <f>VLOOKUP(B635,'Player Data'!$A1:$AE667,17,FALSE)*$Q635*_xlfn.IFERROR((VLOOKUP(P635,'Settings'!$E$28:$F$33,2,FALSE)+1),1)</f>
        <v>-6.15309638072987</v>
      </c>
      <c r="AD635" s="79">
        <f>VLOOKUP(B635,'Player Data'!$A1:$AE667,18,FALSE)*$Q635</f>
        <v>16.0245633549716</v>
      </c>
      <c r="AE635" s="79">
        <f>VLOOKUP(B635,'Player Data'!$A1:$AE667,19,FALSE)*$Q635*_xlfn.IFERROR((VLOOKUP(P635,'Settings'!$E$28:$F$33,2,FALSE)+1),1)</f>
        <v>0.840239089395944</v>
      </c>
      <c r="AF635" s="79">
        <f>VLOOKUP(B635,'Player Data'!$A1:$AE667,20,FALSE)*$Q635</f>
        <v>9.3710993096309</v>
      </c>
      <c r="AG635" s="79">
        <f>VLOOKUP(B635,'Player Data'!$A1:$AE667,21,FALSE)*$Q635</f>
        <v>18.7086908221707</v>
      </c>
      <c r="AH635" s="81">
        <f>VLOOKUP(B635,'Player Data'!$A1:$AE667,22,FALSE)</f>
        <v>0.333731102178635</v>
      </c>
      <c r="AI635" s="77"/>
      <c r="AJ635" s="79"/>
      <c r="AK635" s="79"/>
      <c r="AL635" s="79"/>
      <c r="AM635" s="79"/>
      <c r="AN635" s="79"/>
      <c r="AO635" s="79"/>
      <c r="AP635" s="79"/>
      <c r="AQ635" s="82"/>
      <c r="AR635" s="83"/>
      <c r="AS635" s="84"/>
    </row>
    <row r="636" ht="21.25" customHeight="1">
      <c r="A636" s="85">
        <f>RANK(K636,K$1:K$665)</f>
        <v>645</v>
      </c>
      <c r="B636" t="s" s="16">
        <v>826</v>
      </c>
      <c r="C636" t="s" s="69">
        <v>127</v>
      </c>
      <c r="D636" t="s" s="70">
        <f>VLOOKUP(B636,'Player Data'!A1:D667,4,FALSE)</f>
        <v>128</v>
      </c>
      <c r="E636" s="71">
        <f>VLOOKUP(B636,'C'!A1:C206,3,FALSE)</f>
        <v>195</v>
      </c>
      <c r="F636" t="s" s="104">
        <f>VLOOKUP(B636,'Player Data'!A1:B667,2,FALSE)</f>
        <v>333</v>
      </c>
      <c r="G636" s="96">
        <f>VLOOKUP(B636,'Player Data'!A1:D667,3,FALSE)</f>
        <v>22</v>
      </c>
      <c r="H636" s="73">
        <f>_xlfn.IFERROR(VLOOKUP(B636,'ADP'!A1:G665,7,FALSE)/1000000,VLOOKUP(B636,'ADP'!A1:G665,7,FALSE))</f>
        <v>0.874125</v>
      </c>
      <c r="I636" s="74">
        <f>IF('Settings'!$E$15="POINTS",((R636*Q636)*'Settings'!$B$12)+(S636*'Settings'!$B$2)+(T636*'Settings'!$B$3)+(U636*'Settings'!$B$4)+(V636*'Settings'!$B$5)+(X636*'Settings'!$B$9)+(AA636*'Settings'!$B$6)+(W636*'Settings'!$B$8)+(AB636*'Settings'!$B$7)+(AC636*'Settings'!$B$14)+(AD636*'Settings'!$B$15)+(AE636*'Settings'!$B$16)+(AF636*'Settings'!$B$17)+(AG636*'Settings'!$B$18)+(Y636*'Settings'!$B$10)+(Z636*'Settings'!$B$11),VLOOKUP(B636,'Standard Deviations'!A1:C666,3,FALSE))</f>
        <v>124.639009168397</v>
      </c>
      <c r="J636" s="75">
        <f>IF(D636="G",I636/AJ636,I636/Q636)</f>
        <v>2.10521086341351</v>
      </c>
      <c r="K636" s="74">
        <f>IF('Settings'!$E$18="C/LW/RW",VLOOKUP(B636,'C'!A1:F206,6,FALSE),VLOOKUP(B636,'F'!A1:F392,6,FALSE))</f>
        <v>-205.052884912781</v>
      </c>
      <c r="L636" s="76">
        <f>_xlfn.IFERROR(K636/H636,"N/A")</f>
        <v>-234.580734920956</v>
      </c>
      <c r="M636" s="109">
        <f>IF('Settings'!$E$9="YAHOO",VLOOKUP(B636,'ADP'!A1:E665,2,FALSE),IF('Settings'!$E$9="ESPN",VLOOKUP(B636,'ADP'!A1:E665,3,FALSE),IF('Settings'!$E$9="FANTRAX",VLOOKUP(B636,'ADP'!A1:E665,4,FALSE),VLOOKUP(B636,'ADP'!A1:E665,5,FALSE))))</f>
        <v>0</v>
      </c>
      <c r="N636" s="79">
        <f>_xlfn.IFERROR(M636-A636,"N/A")</f>
        <v>-645</v>
      </c>
      <c r="O636" s="77"/>
      <c r="P636" t="s" s="78">
        <f>IF('Settings'!$E$27="ON",VLOOKUP(B636,'ADP'!A1:H665,8,FALSE)," ")</f>
        <v>138</v>
      </c>
      <c r="Q636" s="79">
        <f>IF('Settings'!$E$12="YES",VLOOKUP(B636,'Player Data'!A1:E667,5,FALSE),82)</f>
        <v>59.205</v>
      </c>
      <c r="R636" s="108">
        <f>VLOOKUP(B636,'Player Data'!$A1:$AE667,6,FALSE)</f>
        <v>12.9848690712273</v>
      </c>
      <c r="S636" s="79">
        <f>VLOOKUP(B636,'Player Data'!$A1:$AE667,7,FALSE)*$Q636*_xlfn.IFERROR((VLOOKUP(P636,'Settings'!$E$28:$F$33,2,FALSE)+1),1)</f>
        <v>8.908720446933341</v>
      </c>
      <c r="T636" s="79">
        <f>VLOOKUP(B636,'Player Data'!$A1:$AE667,8,FALSE)*$Q636*_xlfn.IFERROR((VLOOKUP(P636,'Settings'!$E$28:$F$33,2,FALSE)+1),1)</f>
        <v>12.6146447169793</v>
      </c>
      <c r="U636" s="79">
        <f>SUM(S636:T636)</f>
        <v>21.5233651639126</v>
      </c>
      <c r="V636" s="79">
        <f>VLOOKUP(B636,'Player Data'!$A1:$AE667,10,FALSE)*$Q636*_xlfn.IFERROR(((VLOOKUP(P636,'Settings'!$E$28:$F$33,2,FALSE)/2)+1),1)</f>
        <v>87.44549609673329</v>
      </c>
      <c r="W636" s="79">
        <f>VLOOKUP(B636,'Player Data'!$A1:$AE667,11,FALSE)*$Q636*_xlfn.IFERROR((VLOOKUP(P636,'Settings'!$E$28:$F$33,2,FALSE)+1),1)</f>
        <v>3.43335745853374</v>
      </c>
      <c r="X636" s="79">
        <f>VLOOKUP(B636,'Player Data'!$A1:$AE667,12,FALSE)*$Q636*_xlfn.IFERROR((VLOOKUP(P636,'Settings'!$E$28:$F$33,2,FALSE)+1),1)</f>
        <v>6.95285742283845</v>
      </c>
      <c r="Y636" s="79">
        <f>VLOOKUP(B636,'Player Data'!$A1:$AE667,13,FALSE)*$Q636</f>
        <v>0.00142448020071463</v>
      </c>
      <c r="Z636" s="79">
        <f>VLOOKUP(B636,'Player Data'!$A1:$AE667,14,FALSE)*$Q636</f>
        <v>0.00239403371013509</v>
      </c>
      <c r="AA636" s="79">
        <f>VLOOKUP(B636,'Player Data'!$A1:$AE667,15,FALSE)*$Q636</f>
        <v>32.9434147333164</v>
      </c>
      <c r="AB636" s="79">
        <f>VLOOKUP(B636,'Player Data'!$A1:$AE667,16,FALSE)*$Q636</f>
        <v>41.2469321788731</v>
      </c>
      <c r="AC636" s="79">
        <f>VLOOKUP(B636,'Player Data'!$A1:$AE667,17,FALSE)*$Q636*_xlfn.IFERROR((VLOOKUP(P636,'Settings'!$E$28:$F$33,2,FALSE)+1),1)</f>
        <v>-7.03735517241312</v>
      </c>
      <c r="AD636" s="79">
        <f>VLOOKUP(B636,'Player Data'!$A1:$AE667,18,FALSE)*$Q636</f>
        <v>22.287175963386</v>
      </c>
      <c r="AE636" s="79">
        <f>VLOOKUP(B636,'Player Data'!$A1:$AE667,19,FALSE)*$Q636*_xlfn.IFERROR((VLOOKUP(P636,'Settings'!$E$28:$F$33,2,FALSE)+1),1)</f>
        <v>0.95154154379838</v>
      </c>
      <c r="AF636" s="79">
        <f>VLOOKUP(B636,'Player Data'!$A1:$AE667,20,FALSE)*$Q636</f>
        <v>114.665098186050</v>
      </c>
      <c r="AG636" s="79">
        <f>VLOOKUP(B636,'Player Data'!$A1:$AE667,21,FALSE)*$Q636</f>
        <v>129.497979701089</v>
      </c>
      <c r="AH636" s="81">
        <f>VLOOKUP(B636,'Player Data'!$A1:$AE667,22,FALSE)</f>
        <v>0.46962505215081</v>
      </c>
      <c r="AI636" s="77"/>
      <c r="AJ636" s="79"/>
      <c r="AK636" s="79"/>
      <c r="AL636" s="79"/>
      <c r="AM636" s="79"/>
      <c r="AN636" s="79"/>
      <c r="AO636" s="79"/>
      <c r="AP636" s="79"/>
      <c r="AQ636" s="82"/>
      <c r="AR636" s="83"/>
      <c r="AS636" s="84"/>
    </row>
    <row r="637" ht="21.25" customHeight="1">
      <c r="A637" s="85">
        <f>RANK(K637,K$1:K$665)</f>
        <v>637</v>
      </c>
      <c r="B637" t="s" s="16">
        <v>827</v>
      </c>
      <c r="C637" t="s" s="69">
        <v>127</v>
      </c>
      <c r="D637" t="s" s="70">
        <f>VLOOKUP(B637,'Player Data'!A1:D667,4,FALSE)</f>
        <v>140</v>
      </c>
      <c r="E637" s="90">
        <f>VLOOKUP(B637,'RW'!A1:F136,3,FALSE)</f>
        <v>130</v>
      </c>
      <c r="F637" t="s" s="86">
        <f>VLOOKUP(B637,'Player Data'!A1:B667,2,FALSE)</f>
        <v>129</v>
      </c>
      <c r="G637" s="91">
        <f>VLOOKUP(B637,'Player Data'!A1:D667,3,FALSE)</f>
        <v>39</v>
      </c>
      <c r="H637" s="94">
        <f>_xlfn.IFERROR(VLOOKUP(B637,'ADP'!A1:G665,7,FALSE)/1000000,VLOOKUP(B637,'ADP'!A1:G665,7,FALSE))</f>
        <v>1.15</v>
      </c>
      <c r="I637" s="74">
        <f>IF('Settings'!$E$15="POINTS",((R637*Q637)*'Settings'!$B$12)+(S637*'Settings'!$B$2)+(T637*'Settings'!$B$3)+(U637*'Settings'!$B$4)+(V637*'Settings'!$B$5)+(X637*'Settings'!$B$9)+(AA637*'Settings'!$B$6)+(W637*'Settings'!$B$8)+(AB637*'Settings'!$B$7)+(AC637*'Settings'!$B$14)+(AD637*'Settings'!$B$15)+(AE637*'Settings'!$B$16)+(AF637*'Settings'!$B$17)+(AG637*'Settings'!$B$18)+(Y637*'Settings'!$B$10)+(Z637*'Settings'!$B$11),VLOOKUP(B637,'Standard Deviations'!A1:C666,3,FALSE))</f>
        <v>129.143835176477</v>
      </c>
      <c r="J637" s="75">
        <f>IF(D637="G",I637/AJ637,I637/Q637)</f>
        <v>1.67888244891257</v>
      </c>
      <c r="K637" s="74">
        <f>IF('Settings'!$E$18="C/LW/RW",VLOOKUP(B637,'RW'!A1:F136,6,FALSE),VLOOKUP(B637,'F'!A1:F392,6,FALSE))</f>
        <v>-200.548058904701</v>
      </c>
      <c r="L637" s="76">
        <f>_xlfn.IFERROR(K637/H637,"N/A")</f>
        <v>-174.389616438870</v>
      </c>
      <c r="M637" s="109">
        <f>IF('Settings'!$E$9="YAHOO",VLOOKUP(B637,'ADP'!A1:E665,2,FALSE),IF('Settings'!$E$9="ESPN",VLOOKUP(B637,'ADP'!A1:E665,3,FALSE),IF('Settings'!$E$9="FANTRAX",VLOOKUP(B637,'ADP'!A1:E665,4,FALSE),VLOOKUP(B637,'ADP'!A1:E665,5,FALSE))))</f>
        <v>0</v>
      </c>
      <c r="N637" s="79">
        <f>_xlfn.IFERROR(M637-A637,"N/A")</f>
        <v>-637</v>
      </c>
      <c r="O637" s="77"/>
      <c r="P637" t="s" s="78">
        <f>IF('Settings'!$E$27="ON",VLOOKUP(B637,'ADP'!A1:H665,8,FALSE)," ")</f>
        <v>138</v>
      </c>
      <c r="Q637" s="79">
        <f>IF('Settings'!$E$12="YES",VLOOKUP(B637,'Player Data'!A1:E667,5,FALSE),82)</f>
        <v>76.9225</v>
      </c>
      <c r="R637" s="108">
        <f>VLOOKUP(B637,'Player Data'!$A1:$AE667,6,FALSE)</f>
        <v>11.244901856215</v>
      </c>
      <c r="S637" s="79">
        <f>VLOOKUP(B637,'Player Data'!$A1:$AE667,7,FALSE)*$Q637*_xlfn.IFERROR((VLOOKUP(P637,'Settings'!$E$28:$F$33,2,FALSE)+1),1)</f>
        <v>8.71491179502809</v>
      </c>
      <c r="T637" s="79">
        <f>VLOOKUP(B637,'Player Data'!$A1:$AE667,8,FALSE)*$Q637*_xlfn.IFERROR((VLOOKUP(P637,'Settings'!$E$28:$F$33,2,FALSE)+1),1)</f>
        <v>9.723388430254911</v>
      </c>
      <c r="U637" s="79">
        <f>SUM(S637:T637)</f>
        <v>18.438300225283</v>
      </c>
      <c r="V637" s="79">
        <f>VLOOKUP(B637,'Player Data'!$A1:$AE667,10,FALSE)*$Q637*_xlfn.IFERROR(((VLOOKUP(P637,'Settings'!$E$28:$F$33,2,FALSE)/2)+1),1)</f>
        <v>96.5622629104703</v>
      </c>
      <c r="W637" s="79">
        <f>VLOOKUP(B637,'Player Data'!$A1:$AE667,11,FALSE)*$Q637*_xlfn.IFERROR((VLOOKUP(P637,'Settings'!$E$28:$F$33,2,FALSE)+1),1)</f>
        <v>0.777646446512508</v>
      </c>
      <c r="X637" s="79">
        <f>VLOOKUP(B637,'Player Data'!$A1:$AE667,12,FALSE)*$Q637*_xlfn.IFERROR((VLOOKUP(P637,'Settings'!$E$28:$F$33,2,FALSE)+1),1)</f>
        <v>1.34293153811373</v>
      </c>
      <c r="Y637" s="79">
        <f>VLOOKUP(B637,'Player Data'!$A1:$AE667,13,FALSE)*$Q637</f>
        <v>0</v>
      </c>
      <c r="Z637" s="79">
        <f>VLOOKUP(B637,'Player Data'!$A1:$AE667,14,FALSE)*$Q637</f>
        <v>0</v>
      </c>
      <c r="AA637" s="79">
        <f>VLOOKUP(B637,'Player Data'!$A1:$AE667,15,FALSE)*$Q637</f>
        <v>26.054723088772</v>
      </c>
      <c r="AB637" s="79">
        <f>VLOOKUP(B637,'Player Data'!$A1:$AE667,16,FALSE)*$Q637</f>
        <v>68.2608225550604</v>
      </c>
      <c r="AC637" s="79">
        <f>VLOOKUP(B637,'Player Data'!$A1:$AE667,17,FALSE)*$Q637*_xlfn.IFERROR((VLOOKUP(P637,'Settings'!$E$28:$F$33,2,FALSE)+1),1)</f>
        <v>0.040827716481846</v>
      </c>
      <c r="AD637" s="79">
        <f>VLOOKUP(B637,'Player Data'!$A1:$AE667,18,FALSE)*$Q637</f>
        <v>47.9594917956384</v>
      </c>
      <c r="AE637" s="79">
        <f>VLOOKUP(B637,'Player Data'!$A1:$AE667,19,FALSE)*$Q637*_xlfn.IFERROR((VLOOKUP(P637,'Settings'!$E$28:$F$33,2,FALSE)+1),1)</f>
        <v>1.40724175479033</v>
      </c>
      <c r="AF637" s="79">
        <f>VLOOKUP(B637,'Player Data'!$A1:$AE667,20,FALSE)*$Q637</f>
        <v>0.208965228132092</v>
      </c>
      <c r="AG637" s="79">
        <f>VLOOKUP(B637,'Player Data'!$A1:$AE667,21,FALSE)*$Q637</f>
        <v>1.17042494873069</v>
      </c>
      <c r="AH637" s="81">
        <f>VLOOKUP(B637,'Player Data'!$A1:$AE667,22,FALSE)</f>
        <v>0.151491022364211</v>
      </c>
      <c r="AI637" s="77"/>
      <c r="AJ637" s="79"/>
      <c r="AK637" s="79"/>
      <c r="AL637" s="79"/>
      <c r="AM637" s="79"/>
      <c r="AN637" s="79"/>
      <c r="AO637" s="79"/>
      <c r="AP637" s="79"/>
      <c r="AQ637" s="82"/>
      <c r="AR637" s="83"/>
      <c r="AS637" s="84"/>
    </row>
    <row r="638" ht="21.25" customHeight="1">
      <c r="A638" s="85">
        <f>RANK(K638,K$1:K$665)</f>
        <v>643</v>
      </c>
      <c r="B638" t="s" s="16">
        <v>828</v>
      </c>
      <c r="C638" t="s" s="69">
        <v>127</v>
      </c>
      <c r="D638" t="s" s="70">
        <f>VLOOKUP(B638,'Player Data'!A1:D667,4,FALSE)</f>
        <v>178</v>
      </c>
      <c r="E638" s="102">
        <f>VLOOKUP(B638,'LW'!A1:C152,3,FALSE)</f>
        <v>145</v>
      </c>
      <c r="F638" t="s" s="78">
        <f>VLOOKUP(B638,'Player Data'!A1:B667,2,FALSE)</f>
        <v>261</v>
      </c>
      <c r="G638" s="11">
        <f>VLOOKUP(B638,'Player Data'!A1:D667,3,FALSE)</f>
        <v>28</v>
      </c>
      <c r="H638" s="94">
        <f>_xlfn.IFERROR(VLOOKUP(B638,'ADP'!A1:G665,7,FALSE)/1000000,VLOOKUP(B638,'ADP'!A1:G665,7,FALSE))</f>
        <v>0.775</v>
      </c>
      <c r="I638" s="74">
        <f>IF('Settings'!$E$15="POINTS",((R638*Q638)*'Settings'!$B$12)+(S638*'Settings'!$B$2)+(T638*'Settings'!$B$3)+(U638*'Settings'!$B$4)+(V638*'Settings'!$B$5)+(X638*'Settings'!$B$9)+(AA638*'Settings'!$B$6)+(W638*'Settings'!$B$8)+(AB638*'Settings'!$B$7)+(AC638*'Settings'!$B$14)+(AD638*'Settings'!$B$15)+(AE638*'Settings'!$B$16)+(AF638*'Settings'!$B$17)+(AG638*'Settings'!$B$18)+(Y638*'Settings'!$B$10)+(Z638*'Settings'!$B$11),VLOOKUP(B638,'Standard Deviations'!A1:C666,3,FALSE))</f>
        <v>128.352774058725</v>
      </c>
      <c r="J638" s="75">
        <f>IF(D638="G",I638/AJ638,I638/Q638)</f>
        <v>1.99081428607119</v>
      </c>
      <c r="K638" s="74">
        <f>IF('Settings'!$E$18="C/LW/RW",VLOOKUP(B638,'LW'!A1:F152,6,FALSE),VLOOKUP(B638,'F'!A1:F392,6,FALSE))</f>
        <v>-203.367337707487</v>
      </c>
      <c r="L638" s="76">
        <f>_xlfn.IFERROR(K638/H638,"N/A")</f>
        <v>-262.409468009661</v>
      </c>
      <c r="M638" s="109">
        <f>IF('Settings'!$E$9="YAHOO",VLOOKUP(B638,'ADP'!A1:E665,2,FALSE),IF('Settings'!$E$9="ESPN",VLOOKUP(B638,'ADP'!A1:E665,3,FALSE),IF('Settings'!$E$9="FANTRAX",VLOOKUP(B638,'ADP'!A1:E665,4,FALSE),VLOOKUP(B638,'ADP'!A1:E665,5,FALSE))))</f>
        <v>0</v>
      </c>
      <c r="N638" s="79">
        <f>_xlfn.IFERROR(M638-A638,"N/A")</f>
        <v>-643</v>
      </c>
      <c r="O638" s="77"/>
      <c r="P638" t="s" s="78">
        <f>IF('Settings'!$E$27="ON",VLOOKUP(B638,'ADP'!A1:H665,8,FALSE)," ")</f>
        <v>138</v>
      </c>
      <c r="Q638" s="79">
        <f>IF('Settings'!$E$12="YES",VLOOKUP(B638,'Player Data'!A1:E667,5,FALSE),82)</f>
        <v>64.4725</v>
      </c>
      <c r="R638" s="77">
        <f>VLOOKUP(B638,'Player Data'!$A1:$AE667,6,FALSE)</f>
        <v>11.0690911626181</v>
      </c>
      <c r="S638" s="79">
        <f>VLOOKUP(B638,'Player Data'!$A1:$AE667,7,FALSE)*$Q638*_xlfn.IFERROR((VLOOKUP(P638,'Settings'!$E$28:$F$33,2,FALSE)+1),1)</f>
        <v>13.1767406577926</v>
      </c>
      <c r="T638" s="79">
        <f>VLOOKUP(B638,'Player Data'!$A1:$AE667,8,FALSE)*$Q638*_xlfn.IFERROR((VLOOKUP(P638,'Settings'!$E$28:$F$33,2,FALSE)+1),1)</f>
        <v>6.85520997385656</v>
      </c>
      <c r="U638" s="79">
        <f>SUM(S638:T638)</f>
        <v>20.0319506316492</v>
      </c>
      <c r="V638" s="79">
        <f>VLOOKUP(B638,'Player Data'!$A1:$AE667,10,FALSE)*$Q638*_xlfn.IFERROR(((VLOOKUP(P638,'Settings'!$E$28:$F$33,2,FALSE)/2)+1),1)</f>
        <v>90.7178142203116</v>
      </c>
      <c r="W638" s="79">
        <f>VLOOKUP(B638,'Player Data'!$A1:$AE667,11,FALSE)*$Q638*_xlfn.IFERROR((VLOOKUP(P638,'Settings'!$E$28:$F$33,2,FALSE)+1),1)</f>
        <v>0.227277487822079</v>
      </c>
      <c r="X638" s="79">
        <f>VLOOKUP(B638,'Player Data'!$A1:$AE667,12,FALSE)*$Q638*_xlfn.IFERROR((VLOOKUP(P638,'Settings'!$E$28:$F$33,2,FALSE)+1),1)</f>
        <v>0.492596818956881</v>
      </c>
      <c r="Y638" s="79">
        <f>VLOOKUP(B638,'Player Data'!$A1:$AE667,13,FALSE)*$Q638</f>
        <v>0.138543789265028</v>
      </c>
      <c r="Z638" s="79">
        <f>VLOOKUP(B638,'Player Data'!$A1:$AE667,14,FALSE)*$Q638</f>
        <v>0.156599543048477</v>
      </c>
      <c r="AA638" s="79">
        <f>VLOOKUP(B638,'Player Data'!$A1:$AE667,15,FALSE)*$Q638</f>
        <v>20.9846726551312</v>
      </c>
      <c r="AB638" s="79">
        <f>VLOOKUP(B638,'Player Data'!$A1:$AE667,16,FALSE)*$Q638</f>
        <v>62.8221672257404</v>
      </c>
      <c r="AC638" s="79">
        <f>VLOOKUP(B638,'Player Data'!$A1:$AE667,17,FALSE)*$Q638*_xlfn.IFERROR((VLOOKUP(P638,'Settings'!$E$28:$F$33,2,FALSE)+1),1)</f>
        <v>-0.446352051329038</v>
      </c>
      <c r="AD638" s="79">
        <f>VLOOKUP(B638,'Player Data'!$A1:$AE667,18,FALSE)*$Q638</f>
        <v>25.6367385340249</v>
      </c>
      <c r="AE638" s="79">
        <f>VLOOKUP(B638,'Player Data'!$A1:$AE667,19,FALSE)*$Q638*_xlfn.IFERROR((VLOOKUP(P638,'Settings'!$E$28:$F$33,2,FALSE)+1),1)</f>
        <v>1.92814446010105</v>
      </c>
      <c r="AF638" s="79">
        <f>VLOOKUP(B638,'Player Data'!$A1:$AE667,20,FALSE)*$Q638</f>
        <v>2.68762619156565</v>
      </c>
      <c r="AG638" s="79">
        <f>VLOOKUP(B638,'Player Data'!$A1:$AE667,21,FALSE)*$Q638</f>
        <v>8.628648082570541</v>
      </c>
      <c r="AH638" s="81">
        <f>VLOOKUP(B638,'Player Data'!$A1:$AE667,22,FALSE)</f>
        <v>0.237500976598661</v>
      </c>
      <c r="AI638" s="77"/>
      <c r="AJ638" s="89"/>
      <c r="AK638" s="79"/>
      <c r="AL638" s="79"/>
      <c r="AM638" s="79"/>
      <c r="AN638" s="79"/>
      <c r="AO638" s="79"/>
      <c r="AP638" s="79"/>
      <c r="AQ638" s="82"/>
      <c r="AR638" s="83"/>
      <c r="AS638" s="84"/>
    </row>
    <row r="639" ht="21.25" customHeight="1">
      <c r="A639" s="85">
        <f>RANK(K639,K$1:K$665)</f>
        <v>644</v>
      </c>
      <c r="B639" t="s" s="16">
        <v>829</v>
      </c>
      <c r="C639" t="s" s="69">
        <v>127</v>
      </c>
      <c r="D639" t="s" s="70">
        <f>VLOOKUP(B639,'Player Data'!A1:D667,4,FALSE)</f>
        <v>178</v>
      </c>
      <c r="E639" s="102">
        <f>VLOOKUP(B639,'LW'!A1:C152,3,FALSE)</f>
        <v>146</v>
      </c>
      <c r="F639" t="s" s="78">
        <f>VLOOKUP(B639,'Player Data'!A1:B667,2,FALSE)</f>
        <v>244</v>
      </c>
      <c r="G639" s="96">
        <f>VLOOKUP(B639,'Player Data'!A1:D667,3,FALSE)</f>
        <v>22</v>
      </c>
      <c r="H639" s="73">
        <f>_xlfn.IFERROR(VLOOKUP(B639,'ADP'!A1:G665,7,FALSE)/1000000,VLOOKUP(B639,'ADP'!A1:G665,7,FALSE))</f>
        <v>1.2</v>
      </c>
      <c r="I639" s="74">
        <f>IF('Settings'!$E$15="POINTS",((R639*Q639)*'Settings'!$B$12)+(S639*'Settings'!$B$2)+(T639*'Settings'!$B$3)+(U639*'Settings'!$B$4)+(V639*'Settings'!$B$5)+(X639*'Settings'!$B$9)+(AA639*'Settings'!$B$6)+(W639*'Settings'!$B$8)+(AB639*'Settings'!$B$7)+(AC639*'Settings'!$B$14)+(AD639*'Settings'!$B$15)+(AE639*'Settings'!$B$16)+(AF639*'Settings'!$B$17)+(AG639*'Settings'!$B$18)+(Y639*'Settings'!$B$10)+(Z639*'Settings'!$B$11),VLOOKUP(B639,'Standard Deviations'!A1:C666,3,FALSE))</f>
        <v>127.552268964934</v>
      </c>
      <c r="J639" s="75">
        <f>IF(D639="G",I639/AJ639,I639/Q639)</f>
        <v>1.90092800245803</v>
      </c>
      <c r="K639" s="74">
        <f>IF('Settings'!$E$18="C/LW/RW",VLOOKUP(B639,'LW'!A1:F152,6,FALSE),VLOOKUP(B639,'F'!A1:F392,6,FALSE))</f>
        <v>-204.167842801278</v>
      </c>
      <c r="L639" s="76">
        <f>_xlfn.IFERROR(K639/H639,"N/A")</f>
        <v>-170.139869001065</v>
      </c>
      <c r="M639" s="109">
        <f>IF('Settings'!$E$9="YAHOO",VLOOKUP(B639,'ADP'!A1:E665,2,FALSE),IF('Settings'!$E$9="ESPN",VLOOKUP(B639,'ADP'!A1:E665,3,FALSE),IF('Settings'!$E$9="FANTRAX",VLOOKUP(B639,'ADP'!A1:E665,4,FALSE),VLOOKUP(B639,'ADP'!A1:E665,5,FALSE))))</f>
        <v>0</v>
      </c>
      <c r="N639" s="79">
        <f>_xlfn.IFERROR(M639-A639,"N/A")</f>
        <v>-644</v>
      </c>
      <c r="O639" s="77"/>
      <c r="P639" t="s" s="78">
        <f>IF('Settings'!$E$27="ON",VLOOKUP(B639,'ADP'!A1:H665,8,FALSE)," ")</f>
        <v>138</v>
      </c>
      <c r="Q639" s="79">
        <f>IF('Settings'!$E$12="YES",VLOOKUP(B639,'Player Data'!A1:E667,5,FALSE),82)</f>
        <v>67.09999999999999</v>
      </c>
      <c r="R639" s="77">
        <f>VLOOKUP(B639,'Player Data'!$A1:$AE667,6,FALSE)</f>
        <v>14.0137716181209</v>
      </c>
      <c r="S639" s="79">
        <f>VLOOKUP(B639,'Player Data'!$A1:$AE667,7,FALSE)*$Q639*_xlfn.IFERROR((VLOOKUP(P639,'Settings'!$E$28:$F$33,2,FALSE)+1),1)</f>
        <v>9.981351209135299</v>
      </c>
      <c r="T639" s="79">
        <f>VLOOKUP(B639,'Player Data'!$A1:$AE667,8,FALSE)*$Q639*_xlfn.IFERROR((VLOOKUP(P639,'Settings'!$E$28:$F$33,2,FALSE)+1),1)</f>
        <v>15.336717253756</v>
      </c>
      <c r="U639" s="79">
        <f>SUM(S639:T639)</f>
        <v>25.3180684628913</v>
      </c>
      <c r="V639" s="79">
        <f>VLOOKUP(B639,'Player Data'!$A1:$AE667,10,FALSE)*$Q639*_xlfn.IFERROR(((VLOOKUP(P639,'Settings'!$E$28:$F$33,2,FALSE)/2)+1),1)</f>
        <v>94.0157596996241</v>
      </c>
      <c r="W639" s="79">
        <f>VLOOKUP(B639,'Player Data'!$A1:$AE667,11,FALSE)*$Q639*_xlfn.IFERROR((VLOOKUP(P639,'Settings'!$E$28:$F$33,2,FALSE)+1),1)</f>
        <v>1.89188240047254</v>
      </c>
      <c r="X639" s="79">
        <f>VLOOKUP(B639,'Player Data'!$A1:$AE667,12,FALSE)*$Q639*_xlfn.IFERROR((VLOOKUP(P639,'Settings'!$E$28:$F$33,2,FALSE)+1),1)</f>
        <v>4.03457304418785</v>
      </c>
      <c r="Y639" s="79">
        <f>VLOOKUP(B639,'Player Data'!$A1:$AE667,13,FALSE)*$Q639</f>
        <v>0.0557453515734498</v>
      </c>
      <c r="Z639" s="79">
        <f>VLOOKUP(B639,'Player Data'!$A1:$AE667,14,FALSE)*$Q639</f>
        <v>0.09326479023788881</v>
      </c>
      <c r="AA639" s="79">
        <f>VLOOKUP(B639,'Player Data'!$A1:$AE667,15,FALSE)*$Q639</f>
        <v>27.7002053604094</v>
      </c>
      <c r="AB639" s="79">
        <f>VLOOKUP(B639,'Player Data'!$A1:$AE667,16,FALSE)*$Q639</f>
        <v>35.535992076910</v>
      </c>
      <c r="AC639" s="79">
        <f>VLOOKUP(B639,'Player Data'!$A1:$AE667,17,FALSE)*$Q639*_xlfn.IFERROR((VLOOKUP(P639,'Settings'!$E$28:$F$33,2,FALSE)+1),1)</f>
        <v>-7.89403228259816</v>
      </c>
      <c r="AD639" s="79">
        <f>VLOOKUP(B639,'Player Data'!$A1:$AE667,18,FALSE)*$Q639</f>
        <v>16.5826391992967</v>
      </c>
      <c r="AE639" s="79">
        <f>VLOOKUP(B639,'Player Data'!$A1:$AE667,19,FALSE)*$Q639*_xlfn.IFERROR((VLOOKUP(P639,'Settings'!$E$28:$F$33,2,FALSE)+1),1)</f>
        <v>1.28994237218433</v>
      </c>
      <c r="AF639" s="79">
        <f>VLOOKUP(B639,'Player Data'!$A1:$AE667,20,FALSE)*$Q639</f>
        <v>80.40894981750979</v>
      </c>
      <c r="AG639" s="79">
        <f>VLOOKUP(B639,'Player Data'!$A1:$AE667,21,FALSE)*$Q639</f>
        <v>112.457140021443</v>
      </c>
      <c r="AH639" s="81">
        <f>VLOOKUP(B639,'Player Data'!$A1:$AE667,22,FALSE)</f>
        <v>0.416915953886209</v>
      </c>
      <c r="AI639" s="77"/>
      <c r="AJ639" s="79"/>
      <c r="AK639" s="79"/>
      <c r="AL639" s="79"/>
      <c r="AM639" s="79"/>
      <c r="AN639" s="79"/>
      <c r="AO639" s="79"/>
      <c r="AP639" s="79"/>
      <c r="AQ639" s="82"/>
      <c r="AR639" s="83"/>
      <c r="AS639" s="84"/>
    </row>
    <row r="640" ht="21.25" customHeight="1">
      <c r="A640" s="85">
        <f>RANK(K640,K$1:K$665)</f>
        <v>626</v>
      </c>
      <c r="B640" t="s" s="16">
        <v>830</v>
      </c>
      <c r="C640" t="s" s="69">
        <v>127</v>
      </c>
      <c r="D640" t="s" s="70">
        <f>VLOOKUP(B640,'Player Data'!A1:D667,4,FALSE)</f>
        <v>153</v>
      </c>
      <c r="E640" s="95">
        <f>VLOOKUP(B640,'D'!A1:C213,3,FALSE)</f>
        <v>202</v>
      </c>
      <c r="F640" t="s" s="78">
        <f>VLOOKUP(B640,'Player Data'!A1:B667,2,FALSE)</f>
        <v>261</v>
      </c>
      <c r="G640" s="96">
        <f>VLOOKUP(B640,'Player Data'!A1:D667,3,FALSE)</f>
        <v>23</v>
      </c>
      <c r="H640" s="73">
        <f>_xlfn.IFERROR(VLOOKUP(B640,'ADP'!A1:G665,7,FALSE)/1000000,VLOOKUP(B640,'ADP'!A1:G665,7,FALSE))</f>
        <v>0.878333</v>
      </c>
      <c r="I640" s="74">
        <f>IF('Settings'!$E$15="POINTS",((R640*Q640)*'Settings'!$B$12)+(S640*'Settings'!$B$2)+(T640*'Settings'!$B$3)+(U640*'Settings'!$B$4)+(V640*'Settings'!$B$5)+(X640*'Settings'!$B$9)+(AA640*'Settings'!$B$6)+(W640*'Settings'!$B$8)+(AB640*'Settings'!$B$7)+(AC640*'Settings'!$B$14)+(AD640*'Settings'!$B$15)+(AE640*'Settings'!$B$16)+(AF640*'Settings'!$B$17)+(AG640*'Settings'!$B$18)+(U640*'Settings'!$B$13)+(Y640*'Settings'!$B$10)+(Z640*'Settings'!$B$11),VLOOKUP(B640,'Standard Deviations'!A1:C666,3,FALSE))</f>
        <v>134.256476681842</v>
      </c>
      <c r="J640" s="75">
        <f>IF(D640="G",I640/AJ640,I640/Q640)</f>
        <v>2.16542704325552</v>
      </c>
      <c r="K640" s="74">
        <f>VLOOKUP(B640,'D'!A1:F213,6,FALSE)</f>
        <v>-197.283731238240</v>
      </c>
      <c r="L640" s="76">
        <f>_xlfn.IFERROR(K640/H640,"N/A")</f>
        <v>-224.611543956836</v>
      </c>
      <c r="M640" s="109">
        <f>IF('Settings'!$E$9="YAHOO",VLOOKUP(B640,'ADP'!A1:E665,2,FALSE),IF('Settings'!$E$9="ESPN",VLOOKUP(B640,'ADP'!A1:E665,3,FALSE),IF('Settings'!$E$9="FANTRAX",VLOOKUP(B640,'ADP'!A1:E665,4,FALSE),VLOOKUP(B640,'ADP'!A1:E665,5,FALSE))))</f>
        <v>0</v>
      </c>
      <c r="N640" s="79">
        <f>_xlfn.IFERROR(M640-A640,"N/A")</f>
        <v>-626</v>
      </c>
      <c r="O640" s="77"/>
      <c r="P640" t="s" s="78">
        <f>IF('Settings'!$E$27="ON",VLOOKUP(B640,'ADP'!A1:H665,8,FALSE)," ")</f>
        <v>138</v>
      </c>
      <c r="Q640" s="79">
        <f>IF('Settings'!$E$12="YES",VLOOKUP(B640,'Player Data'!A1:E667,5,FALSE),82)</f>
        <v>62</v>
      </c>
      <c r="R640" s="77">
        <f>VLOOKUP(B640,'Player Data'!$A1:$AE667,6,FALSE)</f>
        <v>15.19</v>
      </c>
      <c r="S640" s="79">
        <f>VLOOKUP(B640,'Player Data'!$A1:$AE667,7,FALSE)*$Q640*_xlfn.IFERROR((VLOOKUP(P640,'Settings'!$E$28:$F$33,2,FALSE)+1),1)</f>
        <v>1.62965865019835</v>
      </c>
      <c r="T640" s="79">
        <f>VLOOKUP(B640,'Player Data'!$A1:$AE667,8,FALSE)*$Q640*_xlfn.IFERROR((VLOOKUP(P640,'Settings'!$E$28:$F$33,2,FALSE)+1),1)</f>
        <v>9.851119837660841</v>
      </c>
      <c r="U640" s="79">
        <f>SUM(S640:T640)</f>
        <v>11.4807784878592</v>
      </c>
      <c r="V640" s="79">
        <f>VLOOKUP(B640,'Player Data'!$A1:$AE667,10,FALSE)*$Q640*_xlfn.IFERROR(((VLOOKUP(P640,'Settings'!$E$28:$F$33,2,FALSE)/2)+1),1)</f>
        <v>56.8100786042033</v>
      </c>
      <c r="W640" s="79">
        <f>VLOOKUP(B640,'Player Data'!$A1:$AE667,11,FALSE)*$Q640*_xlfn.IFERROR((VLOOKUP(P640,'Settings'!$E$28:$F$33,2,FALSE)+1),1)</f>
        <v>0</v>
      </c>
      <c r="X640" s="79">
        <f>VLOOKUP(B640,'Player Data'!$A1:$AE667,12,FALSE)*$Q640*_xlfn.IFERROR((VLOOKUP(P640,'Settings'!$E$28:$F$33,2,FALSE)+1),1)</f>
        <v>0</v>
      </c>
      <c r="Y640" s="79">
        <f>VLOOKUP(B640,'Player Data'!$A1:$AE667,13,FALSE)*$Q640</f>
        <v>0</v>
      </c>
      <c r="Z640" s="79">
        <f>VLOOKUP(B640,'Player Data'!$A1:$AE667,14,FALSE)*$Q640</f>
        <v>0</v>
      </c>
      <c r="AA640" s="79">
        <f>VLOOKUP(B640,'Player Data'!$A1:$AE667,15,FALSE)*$Q640</f>
        <v>78.9347382224411</v>
      </c>
      <c r="AB640" s="79">
        <f>VLOOKUP(B640,'Player Data'!$A1:$AE667,16,FALSE)*$Q640</f>
        <v>68.3682991150106</v>
      </c>
      <c r="AC640" s="79">
        <f>VLOOKUP(B640,'Player Data'!$A1:$AE667,17,FALSE)*$Q640*_xlfn.IFERROR((VLOOKUP(P640,'Settings'!$E$28:$F$33,2,FALSE)+1),1)</f>
        <v>-0.363336050237153</v>
      </c>
      <c r="AD640" s="79">
        <f>VLOOKUP(B640,'Player Data'!$A1:$AE667,18,FALSE)*$Q640</f>
        <v>28.2224885175735</v>
      </c>
      <c r="AE640" s="79">
        <f>VLOOKUP(B640,'Player Data'!$A1:$AE667,19,FALSE)*$Q640*_xlfn.IFERROR((VLOOKUP(P640,'Settings'!$E$28:$F$33,2,FALSE)+1),1)</f>
        <v>0.238466960824444</v>
      </c>
      <c r="AF640" s="79">
        <f>VLOOKUP(B640,'Player Data'!$A1:$AE667,20,FALSE)*$Q640</f>
        <v>0</v>
      </c>
      <c r="AG640" s="79">
        <f>VLOOKUP(B640,'Player Data'!$A1:$AE667,21,FALSE)*$Q640</f>
        <v>0</v>
      </c>
      <c r="AH640" s="81">
        <f>VLOOKUP(B640,'Player Data'!$A1:$AE667,22,FALSE)</f>
        <v>0</v>
      </c>
      <c r="AI640" s="77"/>
      <c r="AJ640" s="89"/>
      <c r="AK640" s="79"/>
      <c r="AL640" s="79"/>
      <c r="AM640" s="79"/>
      <c r="AN640" s="79"/>
      <c r="AO640" s="79"/>
      <c r="AP640" s="79"/>
      <c r="AQ640" s="82"/>
      <c r="AR640" s="83"/>
      <c r="AS640" s="84"/>
    </row>
    <row r="641" ht="21.25" customHeight="1">
      <c r="A641" s="85">
        <f>RANK(K641,K$1:K$665)</f>
        <v>647</v>
      </c>
      <c r="B641" t="s" s="16">
        <v>831</v>
      </c>
      <c r="C641" t="s" s="69">
        <v>127</v>
      </c>
      <c r="D641" t="s" s="70">
        <f>VLOOKUP(B641,'Player Data'!A1:D667,4,FALSE)</f>
        <v>128</v>
      </c>
      <c r="E641" s="71">
        <f>VLOOKUP(B641,'C'!A1:C206,3,FALSE)</f>
        <v>197</v>
      </c>
      <c r="F641" t="s" s="86">
        <f>VLOOKUP(B641,'Player Data'!A1:B667,2,FALSE)</f>
        <v>129</v>
      </c>
      <c r="G641" s="91">
        <f>VLOOKUP(B641,'Player Data'!A1:D667,3,FALSE)</f>
        <v>37</v>
      </c>
      <c r="H641" s="94">
        <f>_xlfn.IFERROR(VLOOKUP(B641,'ADP'!A1:G665,7,FALSE)/1000000,VLOOKUP(B641,'ADP'!A1:G665,7,FALSE))</f>
        <v>0.9</v>
      </c>
      <c r="I641" s="74">
        <f>IF('Settings'!$E$15="POINTS",((R641*Q641)*'Settings'!$B$12)+(S641*'Settings'!$B$2)+(T641*'Settings'!$B$3)+(U641*'Settings'!$B$4)+(V641*'Settings'!$B$5)+(X641*'Settings'!$B$9)+(AA641*'Settings'!$B$6)+(W641*'Settings'!$B$8)+(AB641*'Settings'!$B$7)+(AC641*'Settings'!$B$14)+(AD641*'Settings'!$B$15)+(AE641*'Settings'!$B$16)+(AF641*'Settings'!$B$17)+(AG641*'Settings'!$B$18)+(Y641*'Settings'!$B$10)+(Z641*'Settings'!$B$11),VLOOKUP(B641,'Standard Deviations'!A1:C666,3,FALSE))</f>
        <v>122.031406288862</v>
      </c>
      <c r="J641" s="75">
        <f>IF(D641="G",I641/AJ641,I641/Q641)</f>
        <v>1.54616922760674</v>
      </c>
      <c r="K641" s="74">
        <f>IF('Settings'!$E$18="C/LW/RW",VLOOKUP(B641,'C'!A1:F206,6,FALSE),VLOOKUP(B641,'F'!A1:F392,6,FALSE))</f>
        <v>-207.660487792316</v>
      </c>
      <c r="L641" s="76">
        <f>_xlfn.IFERROR(K641/H641,"N/A")</f>
        <v>-230.733875324796</v>
      </c>
      <c r="M641" s="109">
        <f>IF('Settings'!$E$9="YAHOO",VLOOKUP(B641,'ADP'!A1:E665,2,FALSE),IF('Settings'!$E$9="ESPN",VLOOKUP(B641,'ADP'!A1:E665,3,FALSE),IF('Settings'!$E$9="FANTRAX",VLOOKUP(B641,'ADP'!A1:E665,4,FALSE),VLOOKUP(B641,'ADP'!A1:E665,5,FALSE))))</f>
        <v>0</v>
      </c>
      <c r="N641" s="79">
        <f>_xlfn.IFERROR(M641-A641,"N/A")</f>
        <v>-647</v>
      </c>
      <c r="O641" s="77"/>
      <c r="P641" t="s" s="78">
        <f>IF('Settings'!$E$27="ON",VLOOKUP(B641,'ADP'!A1:H665,8,FALSE)," ")</f>
        <v>138</v>
      </c>
      <c r="Q641" s="79">
        <f>IF('Settings'!$E$12="YES",VLOOKUP(B641,'Player Data'!A1:E667,5,FALSE),82)</f>
        <v>78.925</v>
      </c>
      <c r="R641" s="77">
        <f>VLOOKUP(B641,'Player Data'!$A1:$AE667,6,FALSE)</f>
        <v>10.2587855204434</v>
      </c>
      <c r="S641" s="79">
        <f>VLOOKUP(B641,'Player Data'!$A1:$AE667,7,FALSE)*$Q641*_xlfn.IFERROR((VLOOKUP(P641,'Settings'!$E$28:$F$33,2,FALSE)+1),1)</f>
        <v>6.9210728078413</v>
      </c>
      <c r="T641" s="79">
        <f>VLOOKUP(B641,'Player Data'!$A1:$AE667,8,FALSE)*$Q641*_xlfn.IFERROR((VLOOKUP(P641,'Settings'!$E$28:$F$33,2,FALSE)+1),1)</f>
        <v>6.61750777767037</v>
      </c>
      <c r="U641" s="79">
        <f>SUM(S641:T641)</f>
        <v>13.5385805855117</v>
      </c>
      <c r="V641" s="79">
        <f>VLOOKUP(B641,'Player Data'!$A1:$AE667,10,FALSE)*$Q641*_xlfn.IFERROR(((VLOOKUP(P641,'Settings'!$E$28:$F$33,2,FALSE)/2)+1),1)</f>
        <v>65.1087277067632</v>
      </c>
      <c r="W641" s="79">
        <f>VLOOKUP(B641,'Player Data'!$A1:$AE667,11,FALSE)*$Q641*_xlfn.IFERROR((VLOOKUP(P641,'Settings'!$E$28:$F$33,2,FALSE)+1),1)</f>
        <v>0.0219586525117316</v>
      </c>
      <c r="X641" s="79">
        <f>VLOOKUP(B641,'Player Data'!$A1:$AE667,12,FALSE)*$Q641*_xlfn.IFERROR((VLOOKUP(P641,'Settings'!$E$28:$F$33,2,FALSE)+1),1)</f>
        <v>0.0502758987865409</v>
      </c>
      <c r="Y641" s="79">
        <f>VLOOKUP(B641,'Player Data'!$A1:$AE667,13,FALSE)*$Q641</f>
        <v>1.51270571936295</v>
      </c>
      <c r="Z641" s="79">
        <f>VLOOKUP(B641,'Player Data'!$A1:$AE667,14,FALSE)*$Q641</f>
        <v>2.46358691123892</v>
      </c>
      <c r="AA641" s="79">
        <f>VLOOKUP(B641,'Player Data'!$A1:$AE667,15,FALSE)*$Q641</f>
        <v>34.2864275076045</v>
      </c>
      <c r="AB641" s="79">
        <f>VLOOKUP(B641,'Player Data'!$A1:$AE667,16,FALSE)*$Q641</f>
        <v>66.15510571411561</v>
      </c>
      <c r="AC641" s="79">
        <f>VLOOKUP(B641,'Player Data'!$A1:$AE667,17,FALSE)*$Q641*_xlfn.IFERROR((VLOOKUP(P641,'Settings'!$E$28:$F$33,2,FALSE)+1),1)</f>
        <v>5.6110772086869</v>
      </c>
      <c r="AD641" s="79">
        <f>VLOOKUP(B641,'Player Data'!$A1:$AE667,18,FALSE)*$Q641</f>
        <v>16.2329997214971</v>
      </c>
      <c r="AE641" s="79">
        <f>VLOOKUP(B641,'Player Data'!$A1:$AE667,19,FALSE)*$Q641*_xlfn.IFERROR((VLOOKUP(P641,'Settings'!$E$28:$F$33,2,FALSE)+1),1)</f>
        <v>1.11758132178627</v>
      </c>
      <c r="AF641" s="79">
        <f>VLOOKUP(B641,'Player Data'!$A1:$AE667,20,FALSE)*$Q641</f>
        <v>243.989376150846</v>
      </c>
      <c r="AG641" s="79">
        <f>VLOOKUP(B641,'Player Data'!$A1:$AE667,21,FALSE)*$Q641</f>
        <v>211.201101263284</v>
      </c>
      <c r="AH641" s="81">
        <f>VLOOKUP(B641,'Player Data'!$A1:$AE667,22,FALSE)</f>
        <v>0.536015993869014</v>
      </c>
      <c r="AI641" s="77"/>
      <c r="AJ641" s="89"/>
      <c r="AK641" s="79"/>
      <c r="AL641" s="79"/>
      <c r="AM641" s="79"/>
      <c r="AN641" s="79"/>
      <c r="AO641" s="79"/>
      <c r="AP641" s="79"/>
      <c r="AQ641" s="82"/>
      <c r="AR641" s="83"/>
      <c r="AS641" s="84"/>
    </row>
    <row r="642" ht="21.25" customHeight="1">
      <c r="A642" s="85">
        <f>RANK(K642,K$1:K$665)</f>
        <v>642</v>
      </c>
      <c r="B642" t="s" s="16">
        <v>832</v>
      </c>
      <c r="C642" t="s" s="69">
        <v>127</v>
      </c>
      <c r="D642" t="s" s="70">
        <f>VLOOKUP(B642,'Player Data'!A1:D667,4,FALSE)</f>
        <v>140</v>
      </c>
      <c r="E642" s="90">
        <f>VLOOKUP(B642,'RW'!A1:F136,3,FALSE)</f>
        <v>131</v>
      </c>
      <c r="F642" t="s" s="78">
        <f>VLOOKUP(B642,'Player Data'!A1:B667,2,FALSE)</f>
        <v>244</v>
      </c>
      <c r="G642" s="11">
        <f>VLOOKUP(B642,'Player Data'!A1:D667,3,FALSE)</f>
        <v>26</v>
      </c>
      <c r="H642" s="73">
        <f>_xlfn.IFERROR(VLOOKUP(B642,'ADP'!A1:G665,7,FALSE)/1000000,VLOOKUP(B642,'ADP'!A1:G665,7,FALSE))</f>
        <v>0.8</v>
      </c>
      <c r="I642" s="74">
        <f>IF('Settings'!$E$15="POINTS",((R642*Q642)*'Settings'!$B$12)+(S642*'Settings'!$B$2)+(T642*'Settings'!$B$3)+(U642*'Settings'!$B$4)+(V642*'Settings'!$B$5)+(X642*'Settings'!$B$9)+(AA642*'Settings'!$B$6)+(W642*'Settings'!$B$8)+(AB642*'Settings'!$B$7)+(AC642*'Settings'!$B$14)+(AD642*'Settings'!$B$15)+(AE642*'Settings'!$B$16)+(AF642*'Settings'!$B$17)+(AG642*'Settings'!$B$18)+(Y642*'Settings'!$B$10)+(Z642*'Settings'!$B$11),VLOOKUP(B642,'Standard Deviations'!A1:C666,3,FALSE))</f>
        <v>126.682592428026</v>
      </c>
      <c r="J642" s="75">
        <f>IF(D642="G",I642/AJ642,I642/Q642)</f>
        <v>1.87158031287942</v>
      </c>
      <c r="K642" s="74">
        <f>IF('Settings'!$E$18="C/LW/RW",VLOOKUP(B642,'RW'!A1:F136,6,FALSE),VLOOKUP(B642,'F'!A1:F392,6,FALSE))</f>
        <v>-203.009301653152</v>
      </c>
      <c r="L642" s="76">
        <f>_xlfn.IFERROR(K642/H642,"N/A")</f>
        <v>-253.761627066440</v>
      </c>
      <c r="M642" s="109">
        <f>IF('Settings'!$E$9="YAHOO",VLOOKUP(B642,'ADP'!A1:E665,2,FALSE),IF('Settings'!$E$9="ESPN",VLOOKUP(B642,'ADP'!A1:E665,3,FALSE),IF('Settings'!$E$9="FANTRAX",VLOOKUP(B642,'ADP'!A1:E665,4,FALSE),VLOOKUP(B642,'ADP'!A1:E665,5,FALSE))))</f>
        <v>0</v>
      </c>
      <c r="N642" s="79">
        <f>_xlfn.IFERROR(M642-A642,"N/A")</f>
        <v>-642</v>
      </c>
      <c r="O642" s="77"/>
      <c r="P642" t="s" s="78">
        <f>IF('Settings'!$E$27="ON",VLOOKUP(B642,'ADP'!A1:H665,8,FALSE)," ")</f>
        <v>138</v>
      </c>
      <c r="Q642" s="79">
        <f>IF('Settings'!$E$12="YES",VLOOKUP(B642,'Player Data'!A1:E667,5,FALSE),82)</f>
        <v>67.6875</v>
      </c>
      <c r="R642" s="77">
        <f>VLOOKUP(B642,'Player Data'!$A1:$AE667,6,FALSE)</f>
        <v>13.3062791132138</v>
      </c>
      <c r="S642" s="79">
        <f>VLOOKUP(B642,'Player Data'!$A1:$AE667,7,FALSE)*$Q642*_xlfn.IFERROR((VLOOKUP(P642,'Settings'!$E$28:$F$33,2,FALSE)+1),1)</f>
        <v>8.16171249229407</v>
      </c>
      <c r="T642" s="79">
        <f>VLOOKUP(B642,'Player Data'!$A1:$AE667,8,FALSE)*$Q642*_xlfn.IFERROR((VLOOKUP(P642,'Settings'!$E$28:$F$33,2,FALSE)+1),1)</f>
        <v>12.3946006430426</v>
      </c>
      <c r="U642" s="79">
        <f>SUM(S642:T642)</f>
        <v>20.5563131353367</v>
      </c>
      <c r="V642" s="79">
        <f>VLOOKUP(B642,'Player Data'!$A1:$AE667,10,FALSE)*$Q642*_xlfn.IFERROR(((VLOOKUP(P642,'Settings'!$E$28:$F$33,2,FALSE)/2)+1),1)</f>
        <v>75.9578432900712</v>
      </c>
      <c r="W642" s="79">
        <f>VLOOKUP(B642,'Player Data'!$A1:$AE667,11,FALSE)*$Q642*_xlfn.IFERROR((VLOOKUP(P642,'Settings'!$E$28:$F$33,2,FALSE)+1),1)</f>
        <v>0.0452425224003513</v>
      </c>
      <c r="X642" s="79">
        <f>VLOOKUP(B642,'Player Data'!$A1:$AE667,12,FALSE)*$Q642*_xlfn.IFERROR((VLOOKUP(P642,'Settings'!$E$28:$F$33,2,FALSE)+1),1)</f>
        <v>0.105004890302937</v>
      </c>
      <c r="Y642" s="79">
        <f>VLOOKUP(B642,'Player Data'!$A1:$AE667,13,FALSE)*$Q642</f>
        <v>0.177940606927042</v>
      </c>
      <c r="Z642" s="79">
        <f>VLOOKUP(B642,'Player Data'!$A1:$AE667,14,FALSE)*$Q642</f>
        <v>0.302558055181049</v>
      </c>
      <c r="AA642" s="79">
        <f>VLOOKUP(B642,'Player Data'!$A1:$AE667,15,FALSE)*$Q642</f>
        <v>26.8950799695336</v>
      </c>
      <c r="AB642" s="79">
        <f>VLOOKUP(B642,'Player Data'!$A1:$AE667,16,FALSE)*$Q642</f>
        <v>63.7272290429305</v>
      </c>
      <c r="AC642" s="79">
        <f>VLOOKUP(B642,'Player Data'!$A1:$AE667,17,FALSE)*$Q642*_xlfn.IFERROR((VLOOKUP(P642,'Settings'!$E$28:$F$33,2,FALSE)+1),1)</f>
        <v>-4.23509134530205</v>
      </c>
      <c r="AD642" s="79">
        <f>VLOOKUP(B642,'Player Data'!$A1:$AE667,18,FALSE)*$Q642</f>
        <v>13.2691158796488</v>
      </c>
      <c r="AE642" s="79">
        <f>VLOOKUP(B642,'Player Data'!$A1:$AE667,19,FALSE)*$Q642*_xlfn.IFERROR((VLOOKUP(P642,'Settings'!$E$28:$F$33,2,FALSE)+1),1)</f>
        <v>1.05478091621107</v>
      </c>
      <c r="AF642" s="79">
        <f>VLOOKUP(B642,'Player Data'!$A1:$AE667,20,FALSE)*$Q642</f>
        <v>0</v>
      </c>
      <c r="AG642" s="79">
        <f>VLOOKUP(B642,'Player Data'!$A1:$AE667,21,FALSE)*$Q642</f>
        <v>2.56866905731332</v>
      </c>
      <c r="AH642" s="81">
        <f>VLOOKUP(B642,'Player Data'!$A1:$AE667,22,FALSE)</f>
        <v>0</v>
      </c>
      <c r="AI642" s="77"/>
      <c r="AJ642" s="79"/>
      <c r="AK642" s="79"/>
      <c r="AL642" s="79"/>
      <c r="AM642" s="79"/>
      <c r="AN642" s="79"/>
      <c r="AO642" s="79"/>
      <c r="AP642" s="79"/>
      <c r="AQ642" s="82"/>
      <c r="AR642" s="83"/>
      <c r="AS642" s="84"/>
    </row>
    <row r="643" ht="21.25" customHeight="1">
      <c r="A643" s="85">
        <f>RANK(K643,K$1:K$665)</f>
        <v>631</v>
      </c>
      <c r="B643" t="s" s="16">
        <v>833</v>
      </c>
      <c r="C643" t="s" s="69">
        <v>127</v>
      </c>
      <c r="D643" t="s" s="70">
        <f>VLOOKUP(B643,'Player Data'!A1:D667,4,FALSE)</f>
        <v>153</v>
      </c>
      <c r="E643" s="95">
        <f>VLOOKUP(B643,'D'!A1:C213,3,FALSE)</f>
        <v>203</v>
      </c>
      <c r="F643" t="s" s="78">
        <f>VLOOKUP(B643,'Player Data'!A1:B667,2,FALSE)</f>
        <v>244</v>
      </c>
      <c r="G643" s="96">
        <f>VLOOKUP(B643,'Player Data'!A1:D667,3,FALSE)</f>
        <v>22</v>
      </c>
      <c r="H643" s="94">
        <f>_xlfn.IFERROR(VLOOKUP(B643,'ADP'!A1:G665,7,FALSE)/1000000,VLOOKUP(B643,'ADP'!A1:G665,7,FALSE))</f>
        <v>0.91677</v>
      </c>
      <c r="I643" s="74">
        <f>IF('Settings'!$E$15="POINTS",((R643*Q643)*'Settings'!$B$12)+(S643*'Settings'!$B$2)+(T643*'Settings'!$B$3)+(U643*'Settings'!$B$4)+(V643*'Settings'!$B$5)+(X643*'Settings'!$B$9)+(AA643*'Settings'!$B$6)+(W643*'Settings'!$B$8)+(AB643*'Settings'!$B$7)+(AC643*'Settings'!$B$14)+(AD643*'Settings'!$B$15)+(AE643*'Settings'!$B$16)+(AF643*'Settings'!$B$17)+(AG643*'Settings'!$B$18)+(U643*'Settings'!$B$13)+(Y643*'Settings'!$B$10)+(Z643*'Settings'!$B$11),VLOOKUP(B643,'Standard Deviations'!A1:C666,3,FALSE))</f>
        <v>131.780721277404</v>
      </c>
      <c r="J643" s="75">
        <f>IF(D643="G",I643/AJ643,I643/Q643)</f>
        <v>2.15046868925268</v>
      </c>
      <c r="K643" s="74">
        <f>VLOOKUP(B643,'D'!A1:F213,6,FALSE)</f>
        <v>-199.759486642678</v>
      </c>
      <c r="L643" s="76">
        <f>_xlfn.IFERROR(K643/H643,"N/A")</f>
        <v>-217.894877278574</v>
      </c>
      <c r="M643" s="109">
        <f>IF('Settings'!$E$9="YAHOO",VLOOKUP(B643,'ADP'!A1:E665,2,FALSE),IF('Settings'!$E$9="ESPN",VLOOKUP(B643,'ADP'!A1:E665,3,FALSE),IF('Settings'!$E$9="FANTRAX",VLOOKUP(B643,'ADP'!A1:E665,4,FALSE),VLOOKUP(B643,'ADP'!A1:E665,5,FALSE))))</f>
        <v>0</v>
      </c>
      <c r="N643" s="79">
        <f>_xlfn.IFERROR(M643-A643,"N/A")</f>
        <v>-631</v>
      </c>
      <c r="O643" s="77"/>
      <c r="P643" t="s" s="78">
        <f>IF('Settings'!$E$27="ON",VLOOKUP(B643,'ADP'!A1:H665,8,FALSE)," ")</f>
        <v>138</v>
      </c>
      <c r="Q643" s="79">
        <f>IF('Settings'!$E$12="YES",VLOOKUP(B643,'Player Data'!A1:E667,5,FALSE),82)</f>
        <v>61.28</v>
      </c>
      <c r="R643" s="108">
        <f>VLOOKUP(B643,'Player Data'!$A1:$AE667,6,FALSE)</f>
        <v>16.0240519295168</v>
      </c>
      <c r="S643" s="79">
        <f>VLOOKUP(B643,'Player Data'!$A1:$AE667,7,FALSE)*$Q643*_xlfn.IFERROR((VLOOKUP(P643,'Settings'!$E$28:$F$33,2,FALSE)+1),1)</f>
        <v>1.52379471269774</v>
      </c>
      <c r="T643" s="79">
        <f>VLOOKUP(B643,'Player Data'!$A1:$AE667,8,FALSE)*$Q643*_xlfn.IFERROR((VLOOKUP(P643,'Settings'!$E$28:$F$33,2,FALSE)+1),1)</f>
        <v>13.2086846550695</v>
      </c>
      <c r="U643" s="79">
        <f>SUM(S643:T643)</f>
        <v>14.7324793677672</v>
      </c>
      <c r="V643" s="79">
        <f>VLOOKUP(B643,'Player Data'!$A1:$AE667,10,FALSE)*$Q643*_xlfn.IFERROR(((VLOOKUP(P643,'Settings'!$E$28:$F$33,2,FALSE)/2)+1),1)</f>
        <v>49.7200055444395</v>
      </c>
      <c r="W643" s="79">
        <f>VLOOKUP(B643,'Player Data'!$A1:$AE667,11,FALSE)*$Q643*_xlfn.IFERROR((VLOOKUP(P643,'Settings'!$E$28:$F$33,2,FALSE)+1),1)</f>
        <v>0.0243756298079197</v>
      </c>
      <c r="X643" s="79">
        <f>VLOOKUP(B643,'Player Data'!$A1:$AE667,12,FALSE)*$Q643*_xlfn.IFERROR((VLOOKUP(P643,'Settings'!$E$28:$F$33,2,FALSE)+1),1)</f>
        <v>0.145010582274937</v>
      </c>
      <c r="Y643" s="79">
        <f>VLOOKUP(B643,'Player Data'!$A1:$AE667,13,FALSE)*$Q643</f>
        <v>0.0140302718760241</v>
      </c>
      <c r="Z643" s="79">
        <f>VLOOKUP(B643,'Player Data'!$A1:$AE667,14,FALSE)*$Q643</f>
        <v>0.0645113862099779</v>
      </c>
      <c r="AA643" s="79">
        <f>VLOOKUP(B643,'Player Data'!$A1:$AE667,15,FALSE)*$Q643</f>
        <v>72.98763489712471</v>
      </c>
      <c r="AB643" s="79">
        <f>VLOOKUP(B643,'Player Data'!$A1:$AE667,16,FALSE)*$Q643</f>
        <v>61.1150122325144</v>
      </c>
      <c r="AC643" s="79">
        <f>VLOOKUP(B643,'Player Data'!$A1:$AE667,17,FALSE)*$Q643*_xlfn.IFERROR((VLOOKUP(P643,'Settings'!$E$28:$F$33,2,FALSE)+1),1)</f>
        <v>-4.68559770772893</v>
      </c>
      <c r="AD643" s="79">
        <f>VLOOKUP(B643,'Player Data'!$A1:$AE667,18,FALSE)*$Q643</f>
        <v>29.6017426954737</v>
      </c>
      <c r="AE643" s="79">
        <f>VLOOKUP(B643,'Player Data'!$A1:$AE667,19,FALSE)*$Q643*_xlfn.IFERROR((VLOOKUP(P643,'Settings'!$E$28:$F$33,2,FALSE)+1),1)</f>
        <v>0.196927983519934</v>
      </c>
      <c r="AF643" s="79">
        <f>VLOOKUP(B643,'Player Data'!$A1:$AE667,20,FALSE)*$Q643</f>
        <v>0</v>
      </c>
      <c r="AG643" s="79">
        <f>VLOOKUP(B643,'Player Data'!$A1:$AE667,21,FALSE)*$Q643</f>
        <v>0</v>
      </c>
      <c r="AH643" s="81">
        <f>VLOOKUP(B643,'Player Data'!$A1:$AE667,22,FALSE)</f>
        <v>0</v>
      </c>
      <c r="AI643" s="77"/>
      <c r="AJ643" s="89"/>
      <c r="AK643" s="79"/>
      <c r="AL643" s="79"/>
      <c r="AM643" s="79"/>
      <c r="AN643" s="79"/>
      <c r="AO643" s="79"/>
      <c r="AP643" s="79"/>
      <c r="AQ643" s="82"/>
      <c r="AR643" s="83"/>
      <c r="AS643" s="84"/>
    </row>
    <row r="644" ht="21.25" customHeight="1">
      <c r="A644" s="85">
        <f>RANK(K644,K$1:K$665)</f>
        <v>632</v>
      </c>
      <c r="B644" t="s" s="16">
        <v>834</v>
      </c>
      <c r="C644" t="s" s="69">
        <v>127</v>
      </c>
      <c r="D644" t="s" s="70">
        <f>VLOOKUP(B644,'Player Data'!A1:D667,4,FALSE)</f>
        <v>153</v>
      </c>
      <c r="E644" s="95">
        <f>VLOOKUP(B644,'D'!A1:C213,3,FALSE)</f>
        <v>204</v>
      </c>
      <c r="F644" t="s" s="104">
        <f>VLOOKUP(B644,'Player Data'!A1:B667,2,FALSE)</f>
        <v>281</v>
      </c>
      <c r="G644" s="91">
        <f>VLOOKUP(B644,'Player Data'!A1:D667,3,FALSE)</f>
        <v>37</v>
      </c>
      <c r="H644" s="94">
        <f>_xlfn.IFERROR(VLOOKUP(B644,'ADP'!A1:G665,7,FALSE)/1000000,VLOOKUP(B644,'ADP'!A1:G665,7,FALSE))</f>
        <v>0.775</v>
      </c>
      <c r="I644" s="74">
        <f>IF('Settings'!$E$15="POINTS",((R644*Q644)*'Settings'!$B$12)+(S644*'Settings'!$B$2)+(T644*'Settings'!$B$3)+(U644*'Settings'!$B$4)+(V644*'Settings'!$B$5)+(X644*'Settings'!$B$9)+(AA644*'Settings'!$B$6)+(W644*'Settings'!$B$8)+(AB644*'Settings'!$B$7)+(AC644*'Settings'!$B$14)+(AD644*'Settings'!$B$15)+(AE644*'Settings'!$B$16)+(AF644*'Settings'!$B$17)+(AG644*'Settings'!$B$18)+(U644*'Settings'!$B$13)+(Y644*'Settings'!$B$10)+(Z644*'Settings'!$B$11),VLOOKUP(B644,'Standard Deviations'!A1:C666,3,FALSE))</f>
        <v>131.747899658489</v>
      </c>
      <c r="J644" s="75">
        <f>IF(D644="G",I644/AJ644,I644/Q644)</f>
        <v>1.62626631271087</v>
      </c>
      <c r="K644" s="74">
        <f>VLOOKUP(B644,'D'!A1:F213,6,FALSE)</f>
        <v>-199.792308261593</v>
      </c>
      <c r="L644" s="76">
        <f>_xlfn.IFERROR(K644/H644,"N/A")</f>
        <v>-257.796526789152</v>
      </c>
      <c r="M644" s="109">
        <f>IF('Settings'!$E$9="YAHOO",VLOOKUP(B644,'ADP'!A1:E665,2,FALSE),IF('Settings'!$E$9="ESPN",VLOOKUP(B644,'ADP'!A1:E665,3,FALSE),IF('Settings'!$E$9="FANTRAX",VLOOKUP(B644,'ADP'!A1:E665,4,FALSE),VLOOKUP(B644,'ADP'!A1:E665,5,FALSE))))</f>
        <v>0</v>
      </c>
      <c r="N644" s="79">
        <f>_xlfn.IFERROR(M644-A644,"N/A")</f>
        <v>-632</v>
      </c>
      <c r="O644" s="77"/>
      <c r="P644" t="s" s="78">
        <f>IF('Settings'!$E$27="ON",VLOOKUP(B644,'ADP'!A1:H665,8,FALSE)," ")</f>
        <v>138</v>
      </c>
      <c r="Q644" s="79">
        <f>IF('Settings'!$E$12="YES",VLOOKUP(B644,'Player Data'!A1:E667,5,FALSE),82)</f>
        <v>81.0125</v>
      </c>
      <c r="R644" s="108">
        <f>VLOOKUP(B644,'Player Data'!$A1:$AE667,6,FALSE)</f>
        <v>12.922133274460</v>
      </c>
      <c r="S644" s="79">
        <f>VLOOKUP(B644,'Player Data'!$A1:$AE667,7,FALSE)*$Q644*_xlfn.IFERROR((VLOOKUP(P644,'Settings'!$E$28:$F$33,2,FALSE)+1),1)</f>
        <v>1.29034217245441</v>
      </c>
      <c r="T644" s="79">
        <f>VLOOKUP(B644,'Player Data'!$A1:$AE667,8,FALSE)*$Q644*_xlfn.IFERROR((VLOOKUP(P644,'Settings'!$E$28:$F$33,2,FALSE)+1),1)</f>
        <v>6.4333371495021</v>
      </c>
      <c r="U644" s="79">
        <f>SUM(S644:T644)</f>
        <v>7.72367932195651</v>
      </c>
      <c r="V644" s="79">
        <f>VLOOKUP(B644,'Player Data'!$A1:$AE667,10,FALSE)*$Q644*_xlfn.IFERROR(((VLOOKUP(P644,'Settings'!$E$28:$F$33,2,FALSE)/2)+1),1)</f>
        <v>57.1729961163105</v>
      </c>
      <c r="W644" s="79">
        <f>VLOOKUP(B644,'Player Data'!$A1:$AE667,11,FALSE)*$Q644*_xlfn.IFERROR((VLOOKUP(P644,'Settings'!$E$28:$F$33,2,FALSE)+1),1)</f>
        <v>0.00607168195878235</v>
      </c>
      <c r="X644" s="79">
        <f>VLOOKUP(B644,'Player Data'!$A1:$AE667,12,FALSE)*$Q644*_xlfn.IFERROR((VLOOKUP(P644,'Settings'!$E$28:$F$33,2,FALSE)+1),1)</f>
        <v>0.0475639666066619</v>
      </c>
      <c r="Y644" s="79">
        <f>VLOOKUP(B644,'Player Data'!$A1:$AE667,13,FALSE)*$Q644</f>
        <v>0.008829866245824819</v>
      </c>
      <c r="Z644" s="79">
        <f>VLOOKUP(B644,'Player Data'!$A1:$AE667,14,FALSE)*$Q644</f>
        <v>0.353474928616008</v>
      </c>
      <c r="AA644" s="79">
        <f>VLOOKUP(B644,'Player Data'!$A1:$AE667,15,FALSE)*$Q644</f>
        <v>79.68965576497619</v>
      </c>
      <c r="AB644" s="79">
        <f>VLOOKUP(B644,'Player Data'!$A1:$AE667,16,FALSE)*$Q644</f>
        <v>76.67566346352351</v>
      </c>
      <c r="AC644" s="79">
        <f>VLOOKUP(B644,'Player Data'!$A1:$AE667,17,FALSE)*$Q644*_xlfn.IFERROR((VLOOKUP(P644,'Settings'!$E$28:$F$33,2,FALSE)+1),1)</f>
        <v>1.9259271957669</v>
      </c>
      <c r="AD644" s="79">
        <f>VLOOKUP(B644,'Player Data'!$A1:$AE667,18,FALSE)*$Q644</f>
        <v>20.7883720813885</v>
      </c>
      <c r="AE644" s="79">
        <f>VLOOKUP(B644,'Player Data'!$A1:$AE667,19,FALSE)*$Q644*_xlfn.IFERROR((VLOOKUP(P644,'Settings'!$E$28:$F$33,2,FALSE)+1),1)</f>
        <v>0.142691649298187</v>
      </c>
      <c r="AF644" s="79">
        <f>VLOOKUP(B644,'Player Data'!$A1:$AE667,20,FALSE)*$Q644</f>
        <v>0</v>
      </c>
      <c r="AG644" s="79">
        <f>VLOOKUP(B644,'Player Data'!$A1:$AE667,21,FALSE)*$Q644</f>
        <v>0.121347603231667</v>
      </c>
      <c r="AH644" s="81">
        <f>VLOOKUP(B644,'Player Data'!$A1:$AE667,22,FALSE)</f>
        <v>0</v>
      </c>
      <c r="AI644" s="77"/>
      <c r="AJ644" s="89"/>
      <c r="AK644" s="79"/>
      <c r="AL644" s="79"/>
      <c r="AM644" s="79"/>
      <c r="AN644" s="79"/>
      <c r="AO644" s="79"/>
      <c r="AP644" s="79"/>
      <c r="AQ644" s="82"/>
      <c r="AR644" s="83"/>
      <c r="AS644" s="84"/>
    </row>
    <row r="645" ht="21.25" customHeight="1">
      <c r="A645" s="85">
        <f>RANK(K645,K$1:K$665)</f>
        <v>633</v>
      </c>
      <c r="B645" t="s" s="16">
        <v>835</v>
      </c>
      <c r="C645" t="s" s="69">
        <v>127</v>
      </c>
      <c r="D645" t="s" s="70">
        <f>VLOOKUP(B645,'Player Data'!A1:D667,4,FALSE)</f>
        <v>153</v>
      </c>
      <c r="E645" s="95">
        <f>VLOOKUP(B645,'D'!A1:C213,3,FALSE)</f>
        <v>205</v>
      </c>
      <c r="F645" t="s" s="106">
        <f>VLOOKUP(B645,'Player Data'!A1:B667,2,FALSE)</f>
        <v>242</v>
      </c>
      <c r="G645" s="96">
        <f>VLOOKUP(B645,'Player Data'!A1:D667,3,FALSE)</f>
        <v>24</v>
      </c>
      <c r="H645" s="73">
        <f>_xlfn.IFERROR(VLOOKUP(B645,'ADP'!A1:G665,7,FALSE)/1000000,VLOOKUP(B645,'ADP'!A1:G665,7,FALSE))</f>
        <v>1.7</v>
      </c>
      <c r="I645" s="74">
        <f>IF('Settings'!$E$15="POINTS",((R645*Q645)*'Settings'!$B$12)+(S645*'Settings'!$B$2)+(T645*'Settings'!$B$3)+(U645*'Settings'!$B$4)+(V645*'Settings'!$B$5)+(X645*'Settings'!$B$9)+(AA645*'Settings'!$B$6)+(W645*'Settings'!$B$8)+(AB645*'Settings'!$B$7)+(AC645*'Settings'!$B$14)+(AD645*'Settings'!$B$15)+(AE645*'Settings'!$B$16)+(AF645*'Settings'!$B$17)+(AG645*'Settings'!$B$18)+(U645*'Settings'!$B$13)+(Y645*'Settings'!$B$10)+(Z645*'Settings'!$B$11),VLOOKUP(B645,'Standard Deviations'!A1:C666,3,FALSE))</f>
        <v>131.721812399589</v>
      </c>
      <c r="J645" s="75">
        <f>IF(D645="G",I645/AJ645,I645/Q645)</f>
        <v>2.10283863984018</v>
      </c>
      <c r="K645" s="74">
        <f>VLOOKUP(B645,'D'!A1:F213,6,FALSE)</f>
        <v>-199.818395520493</v>
      </c>
      <c r="L645" s="76">
        <f>_xlfn.IFERROR(K645/H645,"N/A")</f>
        <v>-117.540232659114</v>
      </c>
      <c r="M645" s="109">
        <f>IF('Settings'!$E$9="YAHOO",VLOOKUP(B645,'ADP'!A1:E665,2,FALSE),IF('Settings'!$E$9="ESPN",VLOOKUP(B645,'ADP'!A1:E665,3,FALSE),IF('Settings'!$E$9="FANTRAX",VLOOKUP(B645,'ADP'!A1:E665,4,FALSE),VLOOKUP(B645,'ADP'!A1:E665,5,FALSE))))</f>
        <v>0</v>
      </c>
      <c r="N645" s="79">
        <f>_xlfn.IFERROR(M645-A645,"N/A")</f>
        <v>-633</v>
      </c>
      <c r="O645" s="77"/>
      <c r="P645" t="s" s="78">
        <f>IF('Settings'!$E$27="ON",VLOOKUP(B645,'ADP'!A1:H665,8,FALSE)," ")</f>
        <v>138</v>
      </c>
      <c r="Q645" s="79">
        <f>IF('Settings'!$E$12="YES",VLOOKUP(B645,'Player Data'!A1:E667,5,FALSE),82)</f>
        <v>62.64</v>
      </c>
      <c r="R645" s="77">
        <f>VLOOKUP(B645,'Player Data'!$A1:$AE667,6,FALSE)</f>
        <v>15.1325536548735</v>
      </c>
      <c r="S645" s="79">
        <f>VLOOKUP(B645,'Player Data'!$A1:$AE667,7,FALSE)*$Q645*_xlfn.IFERROR((VLOOKUP(P645,'Settings'!$E$28:$F$33,2,FALSE)+1),1)</f>
        <v>3.13294163227664</v>
      </c>
      <c r="T645" s="79">
        <f>VLOOKUP(B645,'Player Data'!$A1:$AE667,8,FALSE)*$Q645*_xlfn.IFERROR((VLOOKUP(P645,'Settings'!$E$28:$F$33,2,FALSE)+1),1)</f>
        <v>11.5089522884453</v>
      </c>
      <c r="U645" s="79">
        <f>SUM(S645:T645)</f>
        <v>14.6418939207219</v>
      </c>
      <c r="V645" s="79">
        <f>VLOOKUP(B645,'Player Data'!$A1:$AE667,10,FALSE)*$Q645*_xlfn.IFERROR(((VLOOKUP(P645,'Settings'!$E$28:$F$33,2,FALSE)/2)+1),1)</f>
        <v>54.3767214486859</v>
      </c>
      <c r="W645" s="79">
        <f>VLOOKUP(B645,'Player Data'!$A1:$AE667,11,FALSE)*$Q645*_xlfn.IFERROR((VLOOKUP(P645,'Settings'!$E$28:$F$33,2,FALSE)+1),1)</f>
        <v>0.494919075580435</v>
      </c>
      <c r="X645" s="79">
        <f>VLOOKUP(B645,'Player Data'!$A1:$AE667,12,FALSE)*$Q645*_xlfn.IFERROR((VLOOKUP(P645,'Settings'!$E$28:$F$33,2,FALSE)+1),1)</f>
        <v>2.16106256113125</v>
      </c>
      <c r="Y645" s="79">
        <f>VLOOKUP(B645,'Player Data'!$A1:$AE667,13,FALSE)*$Q645</f>
        <v>0.010776600243202</v>
      </c>
      <c r="Z645" s="79">
        <f>VLOOKUP(B645,'Player Data'!$A1:$AE667,14,FALSE)*$Q645</f>
        <v>0.25225516654921</v>
      </c>
      <c r="AA645" s="79">
        <f>VLOOKUP(B645,'Player Data'!$A1:$AE667,15,FALSE)*$Q645</f>
        <v>73.9649527342746</v>
      </c>
      <c r="AB645" s="79">
        <f>VLOOKUP(B645,'Player Data'!$A1:$AE667,16,FALSE)*$Q645</f>
        <v>53.4193495726657</v>
      </c>
      <c r="AC645" s="79">
        <f>VLOOKUP(B645,'Player Data'!$A1:$AE667,17,FALSE)*$Q645*_xlfn.IFERROR((VLOOKUP(P645,'Settings'!$E$28:$F$33,2,FALSE)+1),1)</f>
        <v>-2.34386451998237</v>
      </c>
      <c r="AD645" s="79">
        <f>VLOOKUP(B645,'Player Data'!$A1:$AE667,18,FALSE)*$Q645</f>
        <v>25.1392422567012</v>
      </c>
      <c r="AE645" s="79">
        <f>VLOOKUP(B645,'Player Data'!$A1:$AE667,19,FALSE)*$Q645*_xlfn.IFERROR((VLOOKUP(P645,'Settings'!$E$28:$F$33,2,FALSE)+1),1)</f>
        <v>0.45411840773439</v>
      </c>
      <c r="AF645" s="79">
        <f>VLOOKUP(B645,'Player Data'!$A1:$AE667,20,FALSE)*$Q645</f>
        <v>0</v>
      </c>
      <c r="AG645" s="79">
        <f>VLOOKUP(B645,'Player Data'!$A1:$AE667,21,FALSE)*$Q645</f>
        <v>0</v>
      </c>
      <c r="AH645" s="81">
        <f>VLOOKUP(B645,'Player Data'!$A1:$AE667,22,FALSE)</f>
        <v>0</v>
      </c>
      <c r="AI645" s="77"/>
      <c r="AJ645" s="79"/>
      <c r="AK645" s="79"/>
      <c r="AL645" s="79"/>
      <c r="AM645" s="79"/>
      <c r="AN645" s="79"/>
      <c r="AO645" s="79"/>
      <c r="AP645" s="79"/>
      <c r="AQ645" s="82"/>
      <c r="AR645" s="83"/>
      <c r="AS645" s="84"/>
    </row>
    <row r="646" ht="21.25" customHeight="1">
      <c r="A646" s="85">
        <f>RANK(K646,K$1:K$665)</f>
        <v>648</v>
      </c>
      <c r="B646" t="s" s="16">
        <v>836</v>
      </c>
      <c r="C646" t="s" s="69">
        <v>127</v>
      </c>
      <c r="D646" t="s" s="70">
        <f>VLOOKUP(B646,'Player Data'!A1:D667,4,FALSE)</f>
        <v>136</v>
      </c>
      <c r="E646" s="87">
        <f>VLOOKUP(B646,'LW'!A1:C152,3,FALSE)</f>
        <v>147</v>
      </c>
      <c r="F646" t="s" s="86">
        <f>VLOOKUP(B646,'Player Data'!A1:B667,2,FALSE)</f>
        <v>174</v>
      </c>
      <c r="G646" s="91">
        <f>VLOOKUP(B646,'Player Data'!A1:D667,3,FALSE)</f>
        <v>31</v>
      </c>
      <c r="H646" s="94">
        <f>_xlfn.IFERROR(VLOOKUP(B646,'ADP'!A1:G665,7,FALSE)/1000000,VLOOKUP(B646,'ADP'!A1:G665,7,FALSE))</f>
        <v>1.3</v>
      </c>
      <c r="I646" s="74">
        <f>IF('Settings'!$E$15="POINTS",((R646*Q646)*'Settings'!$B$12)+(S646*'Settings'!$B$2)+(T646*'Settings'!$B$3)+(U646*'Settings'!$B$4)+(V646*'Settings'!$B$5)+(X646*'Settings'!$B$9)+(AA646*'Settings'!$B$6)+(W646*'Settings'!$B$8)+(AB646*'Settings'!$B$7)+(AC646*'Settings'!$B$14)+(AD646*'Settings'!$B$15)+(AE646*'Settings'!$B$16)+(AF646*'Settings'!$B$17)+(AG646*'Settings'!$B$18)+(Y646*'Settings'!$B$10)+(Z646*'Settings'!$B$11),VLOOKUP(B646,'Standard Deviations'!A1:C666,3,FALSE))</f>
        <v>123.910965244142</v>
      </c>
      <c r="J646" s="75">
        <f>IF(D646="G",I646/AJ646,I646/Q646)</f>
        <v>1.9890996908924</v>
      </c>
      <c r="K646" s="74">
        <f>IF('Settings'!$E$18="C/LW/RW",VLOOKUP(B646,'LW'!A1:F152,6,FALSE),VLOOKUP(B646,'F'!A1:F392,6,FALSE))</f>
        <v>-207.809146522070</v>
      </c>
      <c r="L646" s="76">
        <f>_xlfn.IFERROR(K646/H646,"N/A")</f>
        <v>-159.853189632362</v>
      </c>
      <c r="M646" s="109">
        <f>IF('Settings'!$E$9="YAHOO",VLOOKUP(B646,'ADP'!A1:E665,2,FALSE),IF('Settings'!$E$9="ESPN",VLOOKUP(B646,'ADP'!A1:E665,3,FALSE),IF('Settings'!$E$9="FANTRAX",VLOOKUP(B646,'ADP'!A1:E665,4,FALSE),VLOOKUP(B646,'ADP'!A1:E665,5,FALSE))))</f>
        <v>0</v>
      </c>
      <c r="N646" s="79">
        <f>_xlfn.IFERROR(M646-A646,"N/A")</f>
        <v>-648</v>
      </c>
      <c r="O646" s="77"/>
      <c r="P646" t="s" s="78">
        <f>IF('Settings'!$E$27="ON",VLOOKUP(B646,'ADP'!A1:H665,8,FALSE)," ")</f>
        <v>138</v>
      </c>
      <c r="Q646" s="79">
        <f>IF('Settings'!$E$12="YES",VLOOKUP(B646,'Player Data'!A1:E667,5,FALSE),82)</f>
        <v>62.295</v>
      </c>
      <c r="R646" s="77">
        <f>VLOOKUP(B646,'Player Data'!$A1:$AE667,6,FALSE)</f>
        <v>11.3910027322301</v>
      </c>
      <c r="S646" s="79">
        <f>VLOOKUP(B646,'Player Data'!$A1:$AE667,7,FALSE)*$Q646*_xlfn.IFERROR((VLOOKUP(P646,'Settings'!$E$28:$F$33,2,FALSE)+1),1)</f>
        <v>3.93635266325154</v>
      </c>
      <c r="T646" s="79">
        <f>VLOOKUP(B646,'Player Data'!$A1:$AE667,8,FALSE)*$Q646*_xlfn.IFERROR((VLOOKUP(P646,'Settings'!$E$28:$F$33,2,FALSE)+1),1)</f>
        <v>3.95973584795616</v>
      </c>
      <c r="U646" s="79">
        <f>SUM(S646:T646)</f>
        <v>7.8960885112077</v>
      </c>
      <c r="V646" s="79">
        <f>VLOOKUP(B646,'Player Data'!$A1:$AE667,10,FALSE)*$Q646*_xlfn.IFERROR(((VLOOKUP(P646,'Settings'!$E$28:$F$33,2,FALSE)/2)+1),1)</f>
        <v>54.7614545135569</v>
      </c>
      <c r="W646" s="79">
        <f>VLOOKUP(B646,'Player Data'!$A1:$AE667,11,FALSE)*$Q646*_xlfn.IFERROR((VLOOKUP(P646,'Settings'!$E$28:$F$33,2,FALSE)+1),1)</f>
        <v>0.0455464160981206</v>
      </c>
      <c r="X646" s="79">
        <f>VLOOKUP(B646,'Player Data'!$A1:$AE667,12,FALSE)*$Q646*_xlfn.IFERROR((VLOOKUP(P646,'Settings'!$E$28:$F$33,2,FALSE)+1),1)</f>
        <v>0.106678526677861</v>
      </c>
      <c r="Y646" s="79">
        <f>VLOOKUP(B646,'Player Data'!$A1:$AE667,13,FALSE)*$Q646</f>
        <v>0.147496643336603</v>
      </c>
      <c r="Z646" s="79">
        <f>VLOOKUP(B646,'Player Data'!$A1:$AE667,14,FALSE)*$Q646</f>
        <v>0.296536720202799</v>
      </c>
      <c r="AA646" s="79">
        <f>VLOOKUP(B646,'Player Data'!$A1:$AE667,15,FALSE)*$Q646</f>
        <v>49.0200052881581</v>
      </c>
      <c r="AB646" s="79">
        <f>VLOOKUP(B646,'Player Data'!$A1:$AE667,16,FALSE)*$Q646</f>
        <v>101.466592596202</v>
      </c>
      <c r="AC646" s="79">
        <f>VLOOKUP(B646,'Player Data'!$A1:$AE667,17,FALSE)*$Q646*_xlfn.IFERROR((VLOOKUP(P646,'Settings'!$E$28:$F$33,2,FALSE)+1),1)</f>
        <v>-2.98097778668765</v>
      </c>
      <c r="AD646" s="79">
        <f>VLOOKUP(B646,'Player Data'!$A1:$AE667,18,FALSE)*$Q646</f>
        <v>15.3310667535983</v>
      </c>
      <c r="AE646" s="79">
        <f>VLOOKUP(B646,'Player Data'!$A1:$AE667,19,FALSE)*$Q646*_xlfn.IFERROR((VLOOKUP(P646,'Settings'!$E$28:$F$33,2,FALSE)+1),1)</f>
        <v>0.571888187820589</v>
      </c>
      <c r="AF646" s="79">
        <f>VLOOKUP(B646,'Player Data'!$A1:$AE667,20,FALSE)*$Q646</f>
        <v>174.151423318075</v>
      </c>
      <c r="AG646" s="79">
        <f>VLOOKUP(B646,'Player Data'!$A1:$AE667,21,FALSE)*$Q646</f>
        <v>211.816189174647</v>
      </c>
      <c r="AH646" s="81">
        <f>VLOOKUP(B646,'Player Data'!$A1:$AE667,22,FALSE)</f>
        <v>0.451207349221195</v>
      </c>
      <c r="AI646" s="77"/>
      <c r="AJ646" s="89"/>
      <c r="AK646" s="79"/>
      <c r="AL646" s="79"/>
      <c r="AM646" s="79"/>
      <c r="AN646" s="79"/>
      <c r="AO646" s="79"/>
      <c r="AP646" s="79"/>
      <c r="AQ646" s="82"/>
      <c r="AR646" s="83"/>
      <c r="AS646" s="84"/>
    </row>
    <row r="647" ht="21.25" customHeight="1">
      <c r="A647" s="85">
        <f>RANK(K647,K$1:K$665)</f>
        <v>639</v>
      </c>
      <c r="B647" t="s" s="16">
        <v>837</v>
      </c>
      <c r="C647" t="s" s="69">
        <v>127</v>
      </c>
      <c r="D647" t="s" s="70">
        <f>VLOOKUP(B647,'Player Data'!A1:D667,4,FALSE)</f>
        <v>153</v>
      </c>
      <c r="E647" s="95">
        <f>VLOOKUP(B647,'D'!A1:C213,3,FALSE)</f>
        <v>206</v>
      </c>
      <c r="F647" t="s" s="103">
        <f>VLOOKUP(B647,'Player Data'!A1:B667,2,FALSE)</f>
        <v>190</v>
      </c>
      <c r="G647" s="96">
        <f>VLOOKUP(B647,'Player Data'!A1:D667,3,FALSE)</f>
        <v>23</v>
      </c>
      <c r="H647" s="94">
        <f>_xlfn.IFERROR(VLOOKUP(B647,'ADP'!A1:G665,7,FALSE)/1000000,VLOOKUP(B647,'ADP'!A1:G665,7,FALSE))</f>
        <v>0.8</v>
      </c>
      <c r="I647" s="74">
        <f>IF('Settings'!$E$15="POINTS",((R647*Q647)*'Settings'!$B$12)+(S647*'Settings'!$B$2)+(T647*'Settings'!$B$3)+(U647*'Settings'!$B$4)+(V647*'Settings'!$B$5)+(X647*'Settings'!$B$9)+(AA647*'Settings'!$B$6)+(W647*'Settings'!$B$8)+(AB647*'Settings'!$B$7)+(AC647*'Settings'!$B$14)+(AD647*'Settings'!$B$15)+(AE647*'Settings'!$B$16)+(AF647*'Settings'!$B$17)+(AG647*'Settings'!$B$18)+(U647*'Settings'!$B$13)+(Y647*'Settings'!$B$10)+(Z647*'Settings'!$B$11),VLOOKUP(B647,'Standard Deviations'!A1:C666,3,FALSE))</f>
        <v>129.835652275187</v>
      </c>
      <c r="J647" s="75">
        <f>IF(D647="G",I647/AJ647,I647/Q647)</f>
        <v>2.0904146236546</v>
      </c>
      <c r="K647" s="74">
        <f>VLOOKUP(B647,'D'!A1:F213,6,FALSE)</f>
        <v>-201.704555644895</v>
      </c>
      <c r="L647" s="76">
        <f>_xlfn.IFERROR(K647/H647,"N/A")</f>
        <v>-252.130694556119</v>
      </c>
      <c r="M647" s="109">
        <f>IF('Settings'!$E$9="YAHOO",VLOOKUP(B647,'ADP'!A1:E665,2,FALSE),IF('Settings'!$E$9="ESPN",VLOOKUP(B647,'ADP'!A1:E665,3,FALSE),IF('Settings'!$E$9="FANTRAX",VLOOKUP(B647,'ADP'!A1:E665,4,FALSE),VLOOKUP(B647,'ADP'!A1:E665,5,FALSE))))</f>
        <v>0</v>
      </c>
      <c r="N647" s="79">
        <f>_xlfn.IFERROR(M647-A647,"N/A")</f>
        <v>-639</v>
      </c>
      <c r="O647" s="77"/>
      <c r="P647" t="s" s="78">
        <f>IF('Settings'!$E$27="ON",VLOOKUP(B647,'ADP'!A1:H665,8,FALSE)," ")</f>
        <v>138</v>
      </c>
      <c r="Q647" s="79">
        <f>IF('Settings'!$E$12="YES",VLOOKUP(B647,'Player Data'!A1:E667,5,FALSE),82)</f>
        <v>62.11</v>
      </c>
      <c r="R647" s="77">
        <f>VLOOKUP(B647,'Player Data'!$A1:$AE667,6,FALSE)</f>
        <v>13.1522150732896</v>
      </c>
      <c r="S647" s="79">
        <f>VLOOKUP(B647,'Player Data'!$A1:$AE667,7,FALSE)*$Q647*_xlfn.IFERROR((VLOOKUP(P647,'Settings'!$E$28:$F$33,2,FALSE)+1),1)</f>
        <v>3.28612679909298</v>
      </c>
      <c r="T647" s="79">
        <f>VLOOKUP(B647,'Player Data'!$A1:$AE667,8,FALSE)*$Q647*_xlfn.IFERROR((VLOOKUP(P647,'Settings'!$E$28:$F$33,2,FALSE)+1),1)</f>
        <v>7.34341533958854</v>
      </c>
      <c r="U647" s="79">
        <f>SUM(S647:T647)</f>
        <v>10.6295421386815</v>
      </c>
      <c r="V647" s="79">
        <f>VLOOKUP(B647,'Player Data'!$A1:$AE667,10,FALSE)*$Q647*_xlfn.IFERROR(((VLOOKUP(P647,'Settings'!$E$28:$F$33,2,FALSE)/2)+1),1)</f>
        <v>57.2968435957735</v>
      </c>
      <c r="W647" s="79">
        <f>VLOOKUP(B647,'Player Data'!$A1:$AE667,11,FALSE)*$Q647*_xlfn.IFERROR((VLOOKUP(P647,'Settings'!$E$28:$F$33,2,FALSE)+1),1)</f>
        <v>0.302138151248426</v>
      </c>
      <c r="X647" s="79">
        <f>VLOOKUP(B647,'Player Data'!$A1:$AE667,12,FALSE)*$Q647*_xlfn.IFERROR((VLOOKUP(P647,'Settings'!$E$28:$F$33,2,FALSE)+1),1)</f>
        <v>0.721609629928319</v>
      </c>
      <c r="Y647" s="79">
        <f>VLOOKUP(B647,'Player Data'!$A1:$AE667,13,FALSE)*$Q647</f>
        <v>0.00738562903784653</v>
      </c>
      <c r="Z647" s="79">
        <f>VLOOKUP(B647,'Player Data'!$A1:$AE667,14,FALSE)*$Q647</f>
        <v>0.0368033137374002</v>
      </c>
      <c r="AA647" s="79">
        <f>VLOOKUP(B647,'Player Data'!$A1:$AE667,15,FALSE)*$Q647</f>
        <v>65.04597375337831</v>
      </c>
      <c r="AB647" s="79">
        <f>VLOOKUP(B647,'Player Data'!$A1:$AE667,16,FALSE)*$Q647</f>
        <v>78.11170088746491</v>
      </c>
      <c r="AC647" s="79">
        <f>VLOOKUP(B647,'Player Data'!$A1:$AE667,17,FALSE)*$Q647*_xlfn.IFERROR((VLOOKUP(P647,'Settings'!$E$28:$F$33,2,FALSE)+1),1)</f>
        <v>1.16543278023802</v>
      </c>
      <c r="AD647" s="79">
        <f>VLOOKUP(B647,'Player Data'!$A1:$AE667,18,FALSE)*$Q647</f>
        <v>15.6388594826517</v>
      </c>
      <c r="AE647" s="79">
        <f>VLOOKUP(B647,'Player Data'!$A1:$AE667,19,FALSE)*$Q647*_xlfn.IFERROR((VLOOKUP(P647,'Settings'!$E$28:$F$33,2,FALSE)+1),1)</f>
        <v>0.516444198715785</v>
      </c>
      <c r="AF647" s="79">
        <f>VLOOKUP(B647,'Player Data'!$A1:$AE667,20,FALSE)*$Q647</f>
        <v>0</v>
      </c>
      <c r="AG647" s="79">
        <f>VLOOKUP(B647,'Player Data'!$A1:$AE667,21,FALSE)*$Q647</f>
        <v>0</v>
      </c>
      <c r="AH647" s="81">
        <f>VLOOKUP(B647,'Player Data'!$A1:$AE667,22,FALSE)</f>
        <v>0</v>
      </c>
      <c r="AI647" s="77"/>
      <c r="AJ647" s="89"/>
      <c r="AK647" s="79"/>
      <c r="AL647" s="79"/>
      <c r="AM647" s="79"/>
      <c r="AN647" s="79"/>
      <c r="AO647" s="79"/>
      <c r="AP647" s="79"/>
      <c r="AQ647" s="82"/>
      <c r="AR647" s="83"/>
      <c r="AS647" s="84"/>
    </row>
    <row r="648" ht="21.25" customHeight="1">
      <c r="A648" s="85">
        <f>RANK(K648,K$1:K$665)</f>
        <v>653</v>
      </c>
      <c r="B648" t="s" s="16">
        <v>838</v>
      </c>
      <c r="C648" t="s" s="69">
        <v>127</v>
      </c>
      <c r="D648" t="s" s="70">
        <f>VLOOKUP(B648,'Player Data'!A1:D667,4,FALSE)</f>
        <v>128</v>
      </c>
      <c r="E648" s="71">
        <f>VLOOKUP(B648,'C'!A1:C206,3,FALSE)</f>
        <v>198</v>
      </c>
      <c r="F648" t="s" s="103">
        <f>VLOOKUP(B648,'Player Data'!A1:B667,2,FALSE)</f>
        <v>225</v>
      </c>
      <c r="G648" s="96">
        <f>VLOOKUP(B648,'Player Data'!A1:D667,3,FALSE)</f>
        <v>23</v>
      </c>
      <c r="H648" s="73">
        <f>_xlfn.IFERROR(VLOOKUP(B648,'ADP'!A1:G665,7,FALSE)/1000000,VLOOKUP(B648,'ADP'!A1:G665,7,FALSE))</f>
        <v>0.775</v>
      </c>
      <c r="I648" s="74">
        <f>IF('Settings'!$E$15="POINTS",((R648*Q648)*'Settings'!$B$12)+(S648*'Settings'!$B$2)+(T648*'Settings'!$B$3)+(U648*'Settings'!$B$4)+(V648*'Settings'!$B$5)+(X648*'Settings'!$B$9)+(AA648*'Settings'!$B$6)+(W648*'Settings'!$B$8)+(AB648*'Settings'!$B$7)+(AC648*'Settings'!$B$14)+(AD648*'Settings'!$B$15)+(AE648*'Settings'!$B$16)+(AF648*'Settings'!$B$17)+(AG648*'Settings'!$B$18)+(Y648*'Settings'!$B$10)+(Z648*'Settings'!$B$11),VLOOKUP(B648,'Standard Deviations'!A1:C666,3,FALSE))</f>
        <v>117.368539149420</v>
      </c>
      <c r="J648" s="75">
        <f>IF(D648="G",I648/AJ648,I648/Q648)</f>
        <v>2.08469874155275</v>
      </c>
      <c r="K648" s="74">
        <f>IF('Settings'!$E$18="C/LW/RW",VLOOKUP(B648,'C'!A1:F206,6,FALSE),VLOOKUP(B648,'F'!A1:F392,6,FALSE))</f>
        <v>-212.323354931758</v>
      </c>
      <c r="L648" s="76">
        <f>_xlfn.IFERROR(K648/H648,"N/A")</f>
        <v>-273.965619266785</v>
      </c>
      <c r="M648" s="109">
        <f>IF('Settings'!$E$9="YAHOO",VLOOKUP(B648,'ADP'!A1:E665,2,FALSE),IF('Settings'!$E$9="ESPN",VLOOKUP(B648,'ADP'!A1:E665,3,FALSE),IF('Settings'!$E$9="FANTRAX",VLOOKUP(B648,'ADP'!A1:E665,4,FALSE),VLOOKUP(B648,'ADP'!A1:E665,5,FALSE))))</f>
        <v>0</v>
      </c>
      <c r="N648" s="79">
        <f>_xlfn.IFERROR(M648-A648,"N/A")</f>
        <v>-653</v>
      </c>
      <c r="O648" s="77"/>
      <c r="P648" t="s" s="78">
        <f>IF('Settings'!$E$27="ON",VLOOKUP(B648,'ADP'!A1:H665,8,FALSE)," ")</f>
        <v>138</v>
      </c>
      <c r="Q648" s="79">
        <f>IF('Settings'!$E$12="YES",VLOOKUP(B648,'Player Data'!A1:E667,5,FALSE),82)</f>
        <v>56.3</v>
      </c>
      <c r="R648" s="98">
        <f>VLOOKUP(B648,'Player Data'!$A1:$AE667,6,FALSE)</f>
        <v>13.0775754791325</v>
      </c>
      <c r="S648" s="79">
        <f>VLOOKUP(B648,'Player Data'!$A1:$AE667,7,FALSE)*$Q648*_xlfn.IFERROR((VLOOKUP(P648,'Settings'!$E$28:$F$33,2,FALSE)+1),1)</f>
        <v>7.67331294960571</v>
      </c>
      <c r="T648" s="79">
        <f>VLOOKUP(B648,'Player Data'!$A1:$AE667,8,FALSE)*$Q648*_xlfn.IFERROR((VLOOKUP(P648,'Settings'!$E$28:$F$33,2,FALSE)+1),1)</f>
        <v>12.282601056266</v>
      </c>
      <c r="U648" s="79">
        <f>SUM(S648:T648)</f>
        <v>19.9559140058717</v>
      </c>
      <c r="V648" s="79">
        <f>VLOOKUP(B648,'Player Data'!$A1:$AE667,10,FALSE)*$Q648*_xlfn.IFERROR(((VLOOKUP(P648,'Settings'!$E$28:$F$33,2,FALSE)/2)+1),1)</f>
        <v>74.3124476020747</v>
      </c>
      <c r="W648" s="79">
        <f>VLOOKUP(B648,'Player Data'!$A1:$AE667,11,FALSE)*$Q648*_xlfn.IFERROR((VLOOKUP(P648,'Settings'!$E$28:$F$33,2,FALSE)+1),1)</f>
        <v>0.220062066293951</v>
      </c>
      <c r="X648" s="79">
        <f>VLOOKUP(B648,'Player Data'!$A1:$AE667,12,FALSE)*$Q648*_xlfn.IFERROR((VLOOKUP(P648,'Settings'!$E$28:$F$33,2,FALSE)+1),1)</f>
        <v>0.503785592711247</v>
      </c>
      <c r="Y648" s="79">
        <f>VLOOKUP(B648,'Player Data'!$A1:$AE667,13,FALSE)*$Q648</f>
        <v>0</v>
      </c>
      <c r="Z648" s="79">
        <f>VLOOKUP(B648,'Player Data'!$A1:$AE667,14,FALSE)*$Q648</f>
        <v>0</v>
      </c>
      <c r="AA648" s="79">
        <f>VLOOKUP(B648,'Player Data'!$A1:$AE667,15,FALSE)*$Q648</f>
        <v>30.7732118336073</v>
      </c>
      <c r="AB648" s="79">
        <f>VLOOKUP(B648,'Player Data'!$A1:$AE667,16,FALSE)*$Q648</f>
        <v>47.3561179784834</v>
      </c>
      <c r="AC648" s="79">
        <f>VLOOKUP(B648,'Player Data'!$A1:$AE667,17,FALSE)*$Q648*_xlfn.IFERROR((VLOOKUP(P648,'Settings'!$E$28:$F$33,2,FALSE)+1),1)</f>
        <v>1.81016710384774</v>
      </c>
      <c r="AD648" s="79">
        <f>VLOOKUP(B648,'Player Data'!$A1:$AE667,18,FALSE)*$Q648</f>
        <v>22.6848487084173</v>
      </c>
      <c r="AE648" s="79">
        <f>VLOOKUP(B648,'Player Data'!$A1:$AE667,19,FALSE)*$Q648*_xlfn.IFERROR((VLOOKUP(P648,'Settings'!$E$28:$F$33,2,FALSE)+1),1)</f>
        <v>1.36747391794024</v>
      </c>
      <c r="AF648" s="79">
        <f>VLOOKUP(B648,'Player Data'!$A1:$AE667,20,FALSE)*$Q648</f>
        <v>84.93093012331811</v>
      </c>
      <c r="AG648" s="79">
        <f>VLOOKUP(B648,'Player Data'!$A1:$AE667,21,FALSE)*$Q648</f>
        <v>93.4128736589641</v>
      </c>
      <c r="AH648" s="81">
        <f>VLOOKUP(B648,'Player Data'!$A1:$AE667,22,FALSE)</f>
        <v>0.476220246075942</v>
      </c>
      <c r="AI648" s="77"/>
      <c r="AJ648" s="79"/>
      <c r="AK648" s="79"/>
      <c r="AL648" s="79"/>
      <c r="AM648" s="79"/>
      <c r="AN648" s="79"/>
      <c r="AO648" s="79"/>
      <c r="AP648" s="79"/>
      <c r="AQ648" s="82"/>
      <c r="AR648" s="83"/>
      <c r="AS648" s="84"/>
    </row>
    <row r="649" ht="21.25" customHeight="1">
      <c r="A649" s="85">
        <f>RANK(K649,K$1:K$665)</f>
        <v>649</v>
      </c>
      <c r="B649" t="s" s="16">
        <v>839</v>
      </c>
      <c r="C649" t="s" s="69">
        <v>127</v>
      </c>
      <c r="D649" t="s" s="70">
        <f>VLOOKUP(B649,'Player Data'!A1:D667,4,FALSE)</f>
        <v>178</v>
      </c>
      <c r="E649" s="102">
        <f>VLOOKUP(B649,'LW'!A1:C152,3,FALSE)</f>
        <v>148</v>
      </c>
      <c r="F649" t="s" s="86">
        <f>VLOOKUP(B649,'Player Data'!A1:B667,2,FALSE)</f>
        <v>149</v>
      </c>
      <c r="G649" s="11">
        <f>VLOOKUP(B649,'Player Data'!A1:D667,3,FALSE)</f>
        <v>25</v>
      </c>
      <c r="H649" s="73">
        <f>_xlfn.IFERROR(VLOOKUP(B649,'ADP'!A1:G665,7,FALSE)/1000000,VLOOKUP(B649,'ADP'!A1:G665,7,FALSE))</f>
        <v>0.775</v>
      </c>
      <c r="I649" s="74">
        <f>IF('Settings'!$E$15="POINTS",((R649*Q649)*'Settings'!$B$12)+(S649*'Settings'!$B$2)+(T649*'Settings'!$B$3)+(U649*'Settings'!$B$4)+(V649*'Settings'!$B$5)+(X649*'Settings'!$B$9)+(AA649*'Settings'!$B$6)+(W649*'Settings'!$B$8)+(AB649*'Settings'!$B$7)+(AC649*'Settings'!$B$14)+(AD649*'Settings'!$B$15)+(AE649*'Settings'!$B$16)+(AF649*'Settings'!$B$17)+(AG649*'Settings'!$B$18)+(Y649*'Settings'!$B$10)+(Z649*'Settings'!$B$11),VLOOKUP(B649,'Standard Deviations'!A1:C666,3,FALSE))</f>
        <v>122.392651954841</v>
      </c>
      <c r="J649" s="75">
        <f>IF(D649="G",I649/AJ649,I649/Q649)</f>
        <v>1.91133992277412</v>
      </c>
      <c r="K649" s="74">
        <f>IF('Settings'!$E$18="C/LW/RW",VLOOKUP(B649,'LW'!A1:F152,6,FALSE),VLOOKUP(B649,'F'!A1:F392,6,FALSE))</f>
        <v>-209.327459811371</v>
      </c>
      <c r="L649" s="76">
        <f>_xlfn.IFERROR(K649/H649,"N/A")</f>
        <v>-270.099948143705</v>
      </c>
      <c r="M649" s="109">
        <f>IF('Settings'!$E$9="YAHOO",VLOOKUP(B649,'ADP'!A1:E665,2,FALSE),IF('Settings'!$E$9="ESPN",VLOOKUP(B649,'ADP'!A1:E665,3,FALSE),IF('Settings'!$E$9="FANTRAX",VLOOKUP(B649,'ADP'!A1:E665,4,FALSE),VLOOKUP(B649,'ADP'!A1:E665,5,FALSE))))</f>
        <v>0</v>
      </c>
      <c r="N649" s="79">
        <f>_xlfn.IFERROR(M649-A649,"N/A")</f>
        <v>-649</v>
      </c>
      <c r="O649" s="77"/>
      <c r="P649" t="s" s="78">
        <f>IF('Settings'!$E$27="ON",VLOOKUP(B649,'ADP'!A1:H665,8,FALSE)," ")</f>
        <v>138</v>
      </c>
      <c r="Q649" s="79">
        <f>IF('Settings'!$E$12="YES",VLOOKUP(B649,'Player Data'!A1:E667,5,FALSE),82)</f>
        <v>64.035</v>
      </c>
      <c r="R649" s="77">
        <f>VLOOKUP(B649,'Player Data'!$A1:$AE667,6,FALSE)</f>
        <v>8.35399441928875</v>
      </c>
      <c r="S649" s="79">
        <f>VLOOKUP(B649,'Player Data'!$A1:$AE667,7,FALSE)*$Q649*_xlfn.IFERROR((VLOOKUP(P649,'Settings'!$E$28:$F$33,2,FALSE)+1),1)</f>
        <v>4.14657955126297</v>
      </c>
      <c r="T649" s="79">
        <f>VLOOKUP(B649,'Player Data'!$A1:$AE667,8,FALSE)*$Q649*_xlfn.IFERROR((VLOOKUP(P649,'Settings'!$E$28:$F$33,2,FALSE)+1),1)</f>
        <v>5.32676825263615</v>
      </c>
      <c r="U649" s="79">
        <f>SUM(S649:T649)</f>
        <v>9.47334780389912</v>
      </c>
      <c r="V649" s="79">
        <f>VLOOKUP(B649,'Player Data'!$A1:$AE667,10,FALSE)*$Q649*_xlfn.IFERROR(((VLOOKUP(P649,'Settings'!$E$28:$F$33,2,FALSE)/2)+1),1)</f>
        <v>54.1566671876052</v>
      </c>
      <c r="W649" s="79">
        <f>VLOOKUP(B649,'Player Data'!$A1:$AE667,11,FALSE)*$Q649*_xlfn.IFERROR((VLOOKUP(P649,'Settings'!$E$28:$F$33,2,FALSE)+1),1)</f>
        <v>0.0574748484143201</v>
      </c>
      <c r="X649" s="79">
        <f>VLOOKUP(B649,'Player Data'!$A1:$AE667,12,FALSE)*$Q649*_xlfn.IFERROR((VLOOKUP(P649,'Settings'!$E$28:$F$33,2,FALSE)+1),1)</f>
        <v>0.133784533506857</v>
      </c>
      <c r="Y649" s="79">
        <f>VLOOKUP(B649,'Player Data'!$A1:$AE667,13,FALSE)*$Q649</f>
        <v>0.0213032512485814</v>
      </c>
      <c r="Z649" s="79">
        <f>VLOOKUP(B649,'Player Data'!$A1:$AE667,14,FALSE)*$Q649</f>
        <v>0.0363282853701894</v>
      </c>
      <c r="AA649" s="79">
        <f>VLOOKUP(B649,'Player Data'!$A1:$AE667,15,FALSE)*$Q649</f>
        <v>21.3321305564699</v>
      </c>
      <c r="AB649" s="79">
        <f>VLOOKUP(B649,'Player Data'!$A1:$AE667,16,FALSE)*$Q649</f>
        <v>125.418430802258</v>
      </c>
      <c r="AC649" s="79">
        <f>VLOOKUP(B649,'Player Data'!$A1:$AE667,17,FALSE)*$Q649*_xlfn.IFERROR((VLOOKUP(P649,'Settings'!$E$28:$F$33,2,FALSE)+1),1)</f>
        <v>2.70299497736422</v>
      </c>
      <c r="AD649" s="79">
        <f>VLOOKUP(B649,'Player Data'!$A1:$AE667,18,FALSE)*$Q649</f>
        <v>64.5101527535296</v>
      </c>
      <c r="AE649" s="79">
        <f>VLOOKUP(B649,'Player Data'!$A1:$AE667,19,FALSE)*$Q649*_xlfn.IFERROR((VLOOKUP(P649,'Settings'!$E$28:$F$33,2,FALSE)+1),1)</f>
        <v>0.706418468212499</v>
      </c>
      <c r="AF649" s="79">
        <f>VLOOKUP(B649,'Player Data'!$A1:$AE667,20,FALSE)*$Q649</f>
        <v>0.32131178891936</v>
      </c>
      <c r="AG649" s="79">
        <f>VLOOKUP(B649,'Player Data'!$A1:$AE667,21,FALSE)*$Q649</f>
        <v>1.46294563175929</v>
      </c>
      <c r="AH649" s="81">
        <f>VLOOKUP(B649,'Player Data'!$A1:$AE667,22,FALSE)</f>
        <v>0.180081520298314</v>
      </c>
      <c r="AI649" s="77"/>
      <c r="AJ649" s="89"/>
      <c r="AK649" s="79"/>
      <c r="AL649" s="79"/>
      <c r="AM649" s="79"/>
      <c r="AN649" s="79"/>
      <c r="AO649" s="79"/>
      <c r="AP649" s="79"/>
      <c r="AQ649" s="82"/>
      <c r="AR649" s="83"/>
      <c r="AS649" s="84"/>
    </row>
    <row r="650" ht="21.25" customHeight="1">
      <c r="A650" s="85">
        <f>RANK(K650,K$1:K$665)</f>
        <v>641</v>
      </c>
      <c r="B650" t="s" s="16">
        <v>840</v>
      </c>
      <c r="C650" t="s" s="69">
        <v>127</v>
      </c>
      <c r="D650" t="s" s="70">
        <f>VLOOKUP(B650,'Player Data'!A1:D667,4,FALSE)</f>
        <v>153</v>
      </c>
      <c r="E650" s="95">
        <f>VLOOKUP(B650,'D'!A1:C213,3,FALSE)</f>
        <v>207</v>
      </c>
      <c r="F650" t="s" s="103">
        <f>VLOOKUP(B650,'Player Data'!A1:B667,2,FALSE)</f>
        <v>182</v>
      </c>
      <c r="G650" s="96">
        <f>VLOOKUP(B650,'Player Data'!A1:D667,3,FALSE)</f>
        <v>24</v>
      </c>
      <c r="H650" s="94">
        <f>_xlfn.IFERROR(VLOOKUP(B650,'ADP'!A1:G665,7,FALSE)/1000000,VLOOKUP(B650,'ADP'!A1:G665,7,FALSE))</f>
        <v>1</v>
      </c>
      <c r="I650" s="74">
        <f>IF('Settings'!$E$15="POINTS",((R650*Q650)*'Settings'!$B$12)+(S650*'Settings'!$B$2)+(T650*'Settings'!$B$3)+(U650*'Settings'!$B$4)+(V650*'Settings'!$B$5)+(X650*'Settings'!$B$9)+(AA650*'Settings'!$B$6)+(W650*'Settings'!$B$8)+(AB650*'Settings'!$B$7)+(AC650*'Settings'!$B$14)+(AD650*'Settings'!$B$15)+(AE650*'Settings'!$B$16)+(AF650*'Settings'!$B$17)+(AG650*'Settings'!$B$18)+(U650*'Settings'!$B$13)+(Y650*'Settings'!$B$10)+(Z650*'Settings'!$B$11),VLOOKUP(B650,'Standard Deviations'!A1:C666,3,FALSE))</f>
        <v>129.027228999679</v>
      </c>
      <c r="J650" s="75">
        <f>IF(D650="G",I650/AJ650,I650/Q650)</f>
        <v>2.11989203975485</v>
      </c>
      <c r="K650" s="74">
        <f>VLOOKUP(B650,'D'!A1:F213,6,FALSE)</f>
        <v>-202.512978920403</v>
      </c>
      <c r="L650" s="76">
        <f>_xlfn.IFERROR(K650/H650,"N/A")</f>
        <v>-202.512978920403</v>
      </c>
      <c r="M650" s="109">
        <f>IF('Settings'!$E$9="YAHOO",VLOOKUP(B650,'ADP'!A1:E665,2,FALSE),IF('Settings'!$E$9="ESPN",VLOOKUP(B650,'ADP'!A1:E665,3,FALSE),IF('Settings'!$E$9="FANTRAX",VLOOKUP(B650,'ADP'!A1:E665,4,FALSE),VLOOKUP(B650,'ADP'!A1:E665,5,FALSE))))</f>
        <v>0</v>
      </c>
      <c r="N650" s="79">
        <f>_xlfn.IFERROR(M650-A650,"N/A")</f>
        <v>-641</v>
      </c>
      <c r="O650" s="77"/>
      <c r="P650" t="s" s="78">
        <f>IF('Settings'!$E$27="ON",VLOOKUP(B650,'ADP'!A1:H665,8,FALSE)," ")</f>
        <v>138</v>
      </c>
      <c r="Q650" s="79">
        <f>IF('Settings'!$E$12="YES",VLOOKUP(B650,'Player Data'!A1:E667,5,FALSE),82)</f>
        <v>60.865</v>
      </c>
      <c r="R650" s="108">
        <f>VLOOKUP(B650,'Player Data'!$A1:$AE667,6,FALSE)</f>
        <v>15.5044564412653</v>
      </c>
      <c r="S650" s="79">
        <f>VLOOKUP(B650,'Player Data'!$A1:$AE667,7,FALSE)*$Q650*_xlfn.IFERROR((VLOOKUP(P650,'Settings'!$E$28:$F$33,2,FALSE)+1),1)</f>
        <v>3.57724129330609</v>
      </c>
      <c r="T650" s="79">
        <f>VLOOKUP(B650,'Player Data'!$A1:$AE667,8,FALSE)*$Q650*_xlfn.IFERROR((VLOOKUP(P650,'Settings'!$E$28:$F$33,2,FALSE)+1),1)</f>
        <v>10.1303346947117</v>
      </c>
      <c r="U650" s="79">
        <f>SUM(S650:T650)</f>
        <v>13.7075759880178</v>
      </c>
      <c r="V650" s="79">
        <f>VLOOKUP(B650,'Player Data'!$A1:$AE667,10,FALSE)*$Q650*_xlfn.IFERROR(((VLOOKUP(P650,'Settings'!$E$28:$F$33,2,FALSE)/2)+1),1)</f>
        <v>55.5564916820023</v>
      </c>
      <c r="W650" s="79">
        <f>VLOOKUP(B650,'Player Data'!$A1:$AE667,11,FALSE)*$Q650*_xlfn.IFERROR((VLOOKUP(P650,'Settings'!$E$28:$F$33,2,FALSE)+1),1)</f>
        <v>1.10321477080878</v>
      </c>
      <c r="X650" s="79">
        <f>VLOOKUP(B650,'Player Data'!$A1:$AE667,12,FALSE)*$Q650*_xlfn.IFERROR((VLOOKUP(P650,'Settings'!$E$28:$F$33,2,FALSE)+1),1)</f>
        <v>3.41270317572865</v>
      </c>
      <c r="Y650" s="79">
        <f>VLOOKUP(B650,'Player Data'!$A1:$AE667,13,FALSE)*$Q650</f>
        <v>0.0215924718577701</v>
      </c>
      <c r="Z650" s="79">
        <f>VLOOKUP(B650,'Player Data'!$A1:$AE667,14,FALSE)*$Q650</f>
        <v>0.106768674630158</v>
      </c>
      <c r="AA650" s="79">
        <f>VLOOKUP(B650,'Player Data'!$A1:$AE667,15,FALSE)*$Q650</f>
        <v>70.7604333570454</v>
      </c>
      <c r="AB650" s="79">
        <f>VLOOKUP(B650,'Player Data'!$A1:$AE667,16,FALSE)*$Q650</f>
        <v>55.2407128866489</v>
      </c>
      <c r="AC650" s="79">
        <f>VLOOKUP(B650,'Player Data'!$A1:$AE667,17,FALSE)*$Q650*_xlfn.IFERROR((VLOOKUP(P650,'Settings'!$E$28:$F$33,2,FALSE)+1),1)</f>
        <v>-0.17283319109371</v>
      </c>
      <c r="AD650" s="79">
        <f>VLOOKUP(B650,'Player Data'!$A1:$AE667,18,FALSE)*$Q650</f>
        <v>19.7503722064053</v>
      </c>
      <c r="AE650" s="79">
        <f>VLOOKUP(B650,'Player Data'!$A1:$AE667,19,FALSE)*$Q650*_xlfn.IFERROR((VLOOKUP(P650,'Settings'!$E$28:$F$33,2,FALSE)+1),1)</f>
        <v>0.59052786993475</v>
      </c>
      <c r="AF650" s="79">
        <f>VLOOKUP(B650,'Player Data'!$A1:$AE667,20,FALSE)*$Q650</f>
        <v>0</v>
      </c>
      <c r="AG650" s="79">
        <f>VLOOKUP(B650,'Player Data'!$A1:$AE667,21,FALSE)*$Q650</f>
        <v>0</v>
      </c>
      <c r="AH650" s="81">
        <f>VLOOKUP(B650,'Player Data'!$A1:$AE667,22,FALSE)</f>
        <v>0</v>
      </c>
      <c r="AI650" s="77"/>
      <c r="AJ650" s="89"/>
      <c r="AK650" s="79"/>
      <c r="AL650" s="79"/>
      <c r="AM650" s="79"/>
      <c r="AN650" s="79"/>
      <c r="AO650" s="79"/>
      <c r="AP650" s="79"/>
      <c r="AQ650" s="82"/>
      <c r="AR650" s="83"/>
      <c r="AS650" s="84"/>
    </row>
    <row r="651" ht="21.25" customHeight="1">
      <c r="A651" s="85">
        <f>RANK(K651,K$1:K$665)</f>
        <v>650</v>
      </c>
      <c r="B651" t="s" s="16">
        <v>841</v>
      </c>
      <c r="C651" t="s" s="69">
        <v>127</v>
      </c>
      <c r="D651" t="s" s="70">
        <f>VLOOKUP(B651,'Player Data'!A1:D667,4,FALSE)</f>
        <v>178</v>
      </c>
      <c r="E651" s="102">
        <f>VLOOKUP(B651,'LW'!A1:C152,3,FALSE)</f>
        <v>149</v>
      </c>
      <c r="F651" t="s" s="78">
        <f>VLOOKUP(B651,'Player Data'!A1:B667,2,FALSE)</f>
        <v>134</v>
      </c>
      <c r="G651" s="11">
        <f>VLOOKUP(B651,'Player Data'!A1:D667,3,FALSE)</f>
        <v>28</v>
      </c>
      <c r="H651" s="94">
        <f>_xlfn.IFERROR(VLOOKUP(B651,'ADP'!A1:G665,7,FALSE)/1000000,VLOOKUP(B651,'ADP'!A1:G665,7,FALSE))</f>
        <v>0.775</v>
      </c>
      <c r="I651" s="74">
        <f>IF('Settings'!$E$15="POINTS",((R651*Q651)*'Settings'!$B$12)+(S651*'Settings'!$B$2)+(T651*'Settings'!$B$3)+(U651*'Settings'!$B$4)+(V651*'Settings'!$B$5)+(X651*'Settings'!$B$9)+(AA651*'Settings'!$B$6)+(W651*'Settings'!$B$8)+(AB651*'Settings'!$B$7)+(AC651*'Settings'!$B$14)+(AD651*'Settings'!$B$15)+(AE651*'Settings'!$B$16)+(AF651*'Settings'!$B$17)+(AG651*'Settings'!$B$18)+(Y651*'Settings'!$B$10)+(Z651*'Settings'!$B$11),VLOOKUP(B651,'Standard Deviations'!A1:C666,3,FALSE))</f>
        <v>122.085195576665</v>
      </c>
      <c r="J651" s="75">
        <f>IF(D651="G",I651/AJ651,I651/Q651)</f>
        <v>1.66862838210435</v>
      </c>
      <c r="K651" s="74">
        <f>IF('Settings'!$E$18="C/LW/RW",VLOOKUP(B651,'LW'!A1:F152,6,FALSE),VLOOKUP(B651,'F'!A1:F392,6,FALSE))</f>
        <v>-209.634916189547</v>
      </c>
      <c r="L651" s="76">
        <f>_xlfn.IFERROR(K651/H651,"N/A")</f>
        <v>-270.496666051028</v>
      </c>
      <c r="M651" s="109">
        <f>IF('Settings'!$E$9="YAHOO",VLOOKUP(B651,'ADP'!A1:E665,2,FALSE),IF('Settings'!$E$9="ESPN",VLOOKUP(B651,'ADP'!A1:E665,3,FALSE),IF('Settings'!$E$9="FANTRAX",VLOOKUP(B651,'ADP'!A1:E665,4,FALSE),VLOOKUP(B651,'ADP'!A1:E665,5,FALSE))))</f>
        <v>0</v>
      </c>
      <c r="N651" s="79">
        <f>_xlfn.IFERROR(M651-A651,"N/A")</f>
        <v>-650</v>
      </c>
      <c r="O651" s="77"/>
      <c r="P651" t="s" s="78">
        <f>IF('Settings'!$E$27="ON",VLOOKUP(B651,'ADP'!A1:H665,8,FALSE)," ")</f>
        <v>138</v>
      </c>
      <c r="Q651" s="79">
        <f>IF('Settings'!$E$12="YES",VLOOKUP(B651,'Player Data'!A1:E667,5,FALSE),82)</f>
        <v>73.16500000000001</v>
      </c>
      <c r="R651" s="77">
        <f>VLOOKUP(B651,'Player Data'!$A1:$AE667,6,FALSE)</f>
        <v>9.65663427625883</v>
      </c>
      <c r="S651" s="79">
        <f>VLOOKUP(B651,'Player Data'!$A1:$AE667,7,FALSE)*$Q651*_xlfn.IFERROR((VLOOKUP(P651,'Settings'!$E$28:$F$33,2,FALSE)+1),1)</f>
        <v>4.71104522786869</v>
      </c>
      <c r="T651" s="79">
        <f>VLOOKUP(B651,'Player Data'!$A1:$AE667,8,FALSE)*$Q651*_xlfn.IFERROR((VLOOKUP(P651,'Settings'!$E$28:$F$33,2,FALSE)+1),1)</f>
        <v>5.50223058697049</v>
      </c>
      <c r="U651" s="79">
        <f>SUM(S651:T651)</f>
        <v>10.2132758148392</v>
      </c>
      <c r="V651" s="79">
        <f>VLOOKUP(B651,'Player Data'!$A1:$AE667,10,FALSE)*$Q651*_xlfn.IFERROR(((VLOOKUP(P651,'Settings'!$E$28:$F$33,2,FALSE)/2)+1),1)</f>
        <v>66.1373916950423</v>
      </c>
      <c r="W651" s="79">
        <f>VLOOKUP(B651,'Player Data'!$A1:$AE667,11,FALSE)*$Q651*_xlfn.IFERROR((VLOOKUP(P651,'Settings'!$E$28:$F$33,2,FALSE)+1),1)</f>
        <v>0.00838317533682075</v>
      </c>
      <c r="X651" s="79">
        <f>VLOOKUP(B651,'Player Data'!$A1:$AE667,12,FALSE)*$Q651*_xlfn.IFERROR((VLOOKUP(P651,'Settings'!$E$28:$F$33,2,FALSE)+1),1)</f>
        <v>0.0196849741574673</v>
      </c>
      <c r="Y651" s="79">
        <f>VLOOKUP(B651,'Player Data'!$A1:$AE667,13,FALSE)*$Q651</f>
        <v>0.330183548175161</v>
      </c>
      <c r="Z651" s="79">
        <f>VLOOKUP(B651,'Player Data'!$A1:$AE667,14,FALSE)*$Q651</f>
        <v>0.404554485080082</v>
      </c>
      <c r="AA651" s="79">
        <f>VLOOKUP(B651,'Player Data'!$A1:$AE667,15,FALSE)*$Q651</f>
        <v>30.9068968541628</v>
      </c>
      <c r="AB651" s="79">
        <f>VLOOKUP(B651,'Player Data'!$A1:$AE667,16,FALSE)*$Q651</f>
        <v>101.777536519490</v>
      </c>
      <c r="AC651" s="79">
        <f>VLOOKUP(B651,'Player Data'!$A1:$AE667,17,FALSE)*$Q651*_xlfn.IFERROR((VLOOKUP(P651,'Settings'!$E$28:$F$33,2,FALSE)+1),1)</f>
        <v>1.50635824263716</v>
      </c>
      <c r="AD651" s="79">
        <f>VLOOKUP(B651,'Player Data'!$A1:$AE667,18,FALSE)*$Q651</f>
        <v>21.5775674167664</v>
      </c>
      <c r="AE651" s="79">
        <f>VLOOKUP(B651,'Player Data'!$A1:$AE667,19,FALSE)*$Q651*_xlfn.IFERROR((VLOOKUP(P651,'Settings'!$E$28:$F$33,2,FALSE)+1),1)</f>
        <v>0.703880351503317</v>
      </c>
      <c r="AF651" s="79">
        <f>VLOOKUP(B651,'Player Data'!$A1:$AE667,20,FALSE)*$Q651</f>
        <v>1.92247712517926</v>
      </c>
      <c r="AG651" s="79">
        <f>VLOOKUP(B651,'Player Data'!$A1:$AE667,21,FALSE)*$Q651</f>
        <v>6.25601499334424</v>
      </c>
      <c r="AH651" s="81">
        <f>VLOOKUP(B651,'Player Data'!$A1:$AE667,22,FALSE)</f>
        <v>0.235064984757402</v>
      </c>
      <c r="AI651" s="77"/>
      <c r="AJ651" s="89"/>
      <c r="AK651" s="79"/>
      <c r="AL651" s="79"/>
      <c r="AM651" s="79"/>
      <c r="AN651" s="79"/>
      <c r="AO651" s="79"/>
      <c r="AP651" s="79"/>
      <c r="AQ651" s="82"/>
      <c r="AR651" s="83"/>
      <c r="AS651" s="84"/>
    </row>
    <row r="652" ht="21.25" customHeight="1">
      <c r="A652" s="85">
        <f>RANK(K652,K$1:K$665)</f>
        <v>651</v>
      </c>
      <c r="B652" t="s" s="16">
        <v>842</v>
      </c>
      <c r="C652" t="s" s="69">
        <v>127</v>
      </c>
      <c r="D652" t="s" s="70">
        <f>VLOOKUP(B652,'Player Data'!A1:D667,4,FALSE)</f>
        <v>178</v>
      </c>
      <c r="E652" s="102">
        <f>VLOOKUP(B652,'LW'!A1:C152,3,FALSE)</f>
        <v>150</v>
      </c>
      <c r="F652" t="s" s="86">
        <f>VLOOKUP(B652,'Player Data'!A1:B667,2,FALSE)</f>
        <v>149</v>
      </c>
      <c r="G652" s="91">
        <f>VLOOKUP(B652,'Player Data'!A1:D667,3,FALSE)</f>
        <v>32</v>
      </c>
      <c r="H652" s="94">
        <f>_xlfn.IFERROR(VLOOKUP(B652,'ADP'!A1:G665,7,FALSE)/1000000,VLOOKUP(B652,'ADP'!A1:G665,7,FALSE))</f>
        <v>0.775</v>
      </c>
      <c r="I652" s="74">
        <f>IF('Settings'!$E$15="POINTS",((R652*Q652)*'Settings'!$B$12)+(S652*'Settings'!$B$2)+(T652*'Settings'!$B$3)+(U652*'Settings'!$B$4)+(V652*'Settings'!$B$5)+(X652*'Settings'!$B$9)+(AA652*'Settings'!$B$6)+(W652*'Settings'!$B$8)+(AB652*'Settings'!$B$7)+(AC652*'Settings'!$B$14)+(AD652*'Settings'!$B$15)+(AE652*'Settings'!$B$16)+(AF652*'Settings'!$B$17)+(AG652*'Settings'!$B$18)+(Y652*'Settings'!$B$10)+(Z652*'Settings'!$B$11),VLOOKUP(B652,'Standard Deviations'!A1:C666,3,FALSE))</f>
        <v>121.941797678515</v>
      </c>
      <c r="J652" s="75">
        <f>IF(D652="G",I652/AJ652,I652/Q652)</f>
        <v>1.71833717576996</v>
      </c>
      <c r="K652" s="74">
        <f>IF('Settings'!$E$18="C/LW/RW",VLOOKUP(B652,'LW'!A1:F152,6,FALSE),VLOOKUP(B652,'F'!A1:F392,6,FALSE))</f>
        <v>-209.778314087697</v>
      </c>
      <c r="L652" s="76">
        <f>_xlfn.IFERROR(K652/H652,"N/A")</f>
        <v>-270.681695597028</v>
      </c>
      <c r="M652" s="109">
        <f>IF('Settings'!$E$9="YAHOO",VLOOKUP(B652,'ADP'!A1:E665,2,FALSE),IF('Settings'!$E$9="ESPN",VLOOKUP(B652,'ADP'!A1:E665,3,FALSE),IF('Settings'!$E$9="FANTRAX",VLOOKUP(B652,'ADP'!A1:E665,4,FALSE),VLOOKUP(B652,'ADP'!A1:E665,5,FALSE))))</f>
        <v>0</v>
      </c>
      <c r="N652" s="79">
        <f>_xlfn.IFERROR(M652-A652,"N/A")</f>
        <v>-651</v>
      </c>
      <c r="O652" s="77"/>
      <c r="P652" t="s" s="78">
        <f>IF('Settings'!$E$27="ON",VLOOKUP(B652,'ADP'!A1:H665,8,FALSE)," ")</f>
        <v>138</v>
      </c>
      <c r="Q652" s="79">
        <f>IF('Settings'!$E$12="YES",VLOOKUP(B652,'Player Data'!A1:E667,5,FALSE),82)</f>
        <v>70.965</v>
      </c>
      <c r="R652" s="77">
        <f>VLOOKUP(B652,'Player Data'!$A1:$AE667,6,FALSE)</f>
        <v>11.8193815239336</v>
      </c>
      <c r="S652" s="79">
        <f>VLOOKUP(B652,'Player Data'!$A1:$AE667,7,FALSE)*$Q652*_xlfn.IFERROR((VLOOKUP(P652,'Settings'!$E$28:$F$33,2,FALSE)+1),1)</f>
        <v>4.11989213655045</v>
      </c>
      <c r="T652" s="79">
        <f>VLOOKUP(B652,'Player Data'!$A1:$AE667,8,FALSE)*$Q652*_xlfn.IFERROR((VLOOKUP(P652,'Settings'!$E$28:$F$33,2,FALSE)+1),1)</f>
        <v>8.7919348551233</v>
      </c>
      <c r="U652" s="79">
        <f>SUM(S652:T652)</f>
        <v>12.9118269916738</v>
      </c>
      <c r="V652" s="79">
        <f>VLOOKUP(B652,'Player Data'!$A1:$AE667,10,FALSE)*$Q652*_xlfn.IFERROR(((VLOOKUP(P652,'Settings'!$E$28:$F$33,2,FALSE)/2)+1),1)</f>
        <v>72.37079481161059</v>
      </c>
      <c r="W652" s="79">
        <f>VLOOKUP(B652,'Player Data'!$A1:$AE667,11,FALSE)*$Q652*_xlfn.IFERROR((VLOOKUP(P652,'Settings'!$E$28:$F$33,2,FALSE)+1),1)</f>
        <v>0.0435252785907592</v>
      </c>
      <c r="X652" s="79">
        <f>VLOOKUP(B652,'Player Data'!$A1:$AE667,12,FALSE)*$Q652*_xlfn.IFERROR((VLOOKUP(P652,'Settings'!$E$28:$F$33,2,FALSE)+1),1)</f>
        <v>0.108993585718465</v>
      </c>
      <c r="Y652" s="79">
        <f>VLOOKUP(B652,'Player Data'!$A1:$AE667,13,FALSE)*$Q652</f>
        <v>0.267079017014307</v>
      </c>
      <c r="Z652" s="79">
        <f>VLOOKUP(B652,'Player Data'!$A1:$AE667,14,FALSE)*$Q652</f>
        <v>0.475377985584142</v>
      </c>
      <c r="AA652" s="79">
        <f>VLOOKUP(B652,'Player Data'!$A1:$AE667,15,FALSE)*$Q652</f>
        <v>34.8224763639857</v>
      </c>
      <c r="AB652" s="79">
        <f>VLOOKUP(B652,'Player Data'!$A1:$AE667,16,FALSE)*$Q652</f>
        <v>77.39761738381171</v>
      </c>
      <c r="AC652" s="79">
        <f>VLOOKUP(B652,'Player Data'!$A1:$AE667,17,FALSE)*$Q652*_xlfn.IFERROR((VLOOKUP(P652,'Settings'!$E$28:$F$33,2,FALSE)+1),1)</f>
        <v>0.365750958083221</v>
      </c>
      <c r="AD652" s="79">
        <f>VLOOKUP(B652,'Player Data'!$A1:$AE667,18,FALSE)*$Q652</f>
        <v>25.7656134024994</v>
      </c>
      <c r="AE652" s="79">
        <f>VLOOKUP(B652,'Player Data'!$A1:$AE667,19,FALSE)*$Q652*_xlfn.IFERROR((VLOOKUP(P652,'Settings'!$E$28:$F$33,2,FALSE)+1),1)</f>
        <v>0.701871954058192</v>
      </c>
      <c r="AF652" s="79">
        <f>VLOOKUP(B652,'Player Data'!$A1:$AE667,20,FALSE)*$Q652</f>
        <v>286.547681588876</v>
      </c>
      <c r="AG652" s="79">
        <f>VLOOKUP(B652,'Player Data'!$A1:$AE667,21,FALSE)*$Q652</f>
        <v>228.883863165996</v>
      </c>
      <c r="AH652" s="81">
        <f>VLOOKUP(B652,'Player Data'!$A1:$AE667,22,FALSE)</f>
        <v>0.555937416917609</v>
      </c>
      <c r="AI652" s="77"/>
      <c r="AJ652" s="79"/>
      <c r="AK652" s="79"/>
      <c r="AL652" s="79"/>
      <c r="AM652" s="79"/>
      <c r="AN652" s="79"/>
      <c r="AO652" s="79"/>
      <c r="AP652" s="79"/>
      <c r="AQ652" s="82"/>
      <c r="AR652" s="83"/>
      <c r="AS652" s="84"/>
    </row>
    <row r="653" ht="21.25" customHeight="1">
      <c r="A653" s="85">
        <f>RANK(K653,K$1:K$665)</f>
        <v>652</v>
      </c>
      <c r="B653" t="s" s="16">
        <v>843</v>
      </c>
      <c r="C653" t="s" s="69">
        <v>127</v>
      </c>
      <c r="D653" t="s" s="70">
        <f>VLOOKUP(B653,'Player Data'!A1:D667,4,FALSE)</f>
        <v>140</v>
      </c>
      <c r="E653" s="90">
        <f>VLOOKUP(B653,'RW'!A1:F136,3,FALSE)</f>
        <v>132</v>
      </c>
      <c r="F653" t="s" s="103">
        <f>VLOOKUP(B653,'Player Data'!A1:B667,2,FALSE)</f>
        <v>190</v>
      </c>
      <c r="G653" s="11">
        <f>VLOOKUP(B653,'Player Data'!A1:D667,3,FALSE)</f>
        <v>29</v>
      </c>
      <c r="H653" s="94">
        <f>_xlfn.IFERROR(VLOOKUP(B653,'ADP'!A1:G665,7,FALSE)/1000000,VLOOKUP(B653,'ADP'!A1:G665,7,FALSE))</f>
        <v>0.775</v>
      </c>
      <c r="I653" s="74">
        <f>IF('Settings'!$E$15="POINTS",((R653*Q653)*'Settings'!$B$12)+(S653*'Settings'!$B$2)+(T653*'Settings'!$B$3)+(U653*'Settings'!$B$4)+(V653*'Settings'!$B$5)+(X653*'Settings'!$B$9)+(AA653*'Settings'!$B$6)+(W653*'Settings'!$B$8)+(AB653*'Settings'!$B$7)+(AC653*'Settings'!$B$14)+(AD653*'Settings'!$B$15)+(AE653*'Settings'!$B$16)+(AF653*'Settings'!$B$17)+(AG653*'Settings'!$B$18)+(Y653*'Settings'!$B$10)+(Z653*'Settings'!$B$11),VLOOKUP(B653,'Standard Deviations'!A1:C666,3,FALSE))</f>
        <v>119.087911699250</v>
      </c>
      <c r="J653" s="75">
        <f>IF(D653="G",I653/AJ653,I653/Q653)</f>
        <v>1.86585055541324</v>
      </c>
      <c r="K653" s="74">
        <f>IF('Settings'!$E$18="C/LW/RW",VLOOKUP(B653,'RW'!A1:F136,6,FALSE),VLOOKUP(B653,'F'!A1:F392,6,FALSE))</f>
        <v>-210.603982381928</v>
      </c>
      <c r="L653" s="76">
        <f>_xlfn.IFERROR(K653/H653,"N/A")</f>
        <v>-271.747074041197</v>
      </c>
      <c r="M653" s="109">
        <f>IF('Settings'!$E$9="YAHOO",VLOOKUP(B653,'ADP'!A1:E665,2,FALSE),IF('Settings'!$E$9="ESPN",VLOOKUP(B653,'ADP'!A1:E665,3,FALSE),IF('Settings'!$E$9="FANTRAX",VLOOKUP(B653,'ADP'!A1:E665,4,FALSE),VLOOKUP(B653,'ADP'!A1:E665,5,FALSE))))</f>
        <v>0</v>
      </c>
      <c r="N653" s="79">
        <f>_xlfn.IFERROR(M653-A653,"N/A")</f>
        <v>-652</v>
      </c>
      <c r="O653" s="77"/>
      <c r="P653" t="s" s="78">
        <f>IF('Settings'!$E$27="ON",VLOOKUP(B653,'ADP'!A1:H665,8,FALSE)," ")</f>
        <v>138</v>
      </c>
      <c r="Q653" s="79">
        <f>IF('Settings'!$E$12="YES",VLOOKUP(B653,'Player Data'!A1:E667,5,FALSE),82)</f>
        <v>63.825</v>
      </c>
      <c r="R653" s="77">
        <f>VLOOKUP(B653,'Player Data'!$A1:$AE667,6,FALSE)</f>
        <v>11.3208899608083</v>
      </c>
      <c r="S653" s="79">
        <f>VLOOKUP(B653,'Player Data'!$A1:$AE667,7,FALSE)*$Q653*_xlfn.IFERROR((VLOOKUP(P653,'Settings'!$E$28:$F$33,2,FALSE)+1),1)</f>
        <v>7.23867514514562</v>
      </c>
      <c r="T653" s="79">
        <f>VLOOKUP(B653,'Player Data'!$A1:$AE667,8,FALSE)*$Q653*_xlfn.IFERROR((VLOOKUP(P653,'Settings'!$E$28:$F$33,2,FALSE)+1),1)</f>
        <v>10.7407150334712</v>
      </c>
      <c r="U653" s="79">
        <f>SUM(S653:T653)</f>
        <v>17.9793901786168</v>
      </c>
      <c r="V653" s="79">
        <f>VLOOKUP(B653,'Player Data'!$A1:$AE667,10,FALSE)*$Q653*_xlfn.IFERROR(((VLOOKUP(P653,'Settings'!$E$28:$F$33,2,FALSE)/2)+1),1)</f>
        <v>61.3829277683157</v>
      </c>
      <c r="W653" s="79">
        <f>VLOOKUP(B653,'Player Data'!$A1:$AE667,11,FALSE)*$Q653*_xlfn.IFERROR((VLOOKUP(P653,'Settings'!$E$28:$F$33,2,FALSE)+1),1)</f>
        <v>0.09627660619538091</v>
      </c>
      <c r="X653" s="79">
        <f>VLOOKUP(B653,'Player Data'!$A1:$AE667,12,FALSE)*$Q653*_xlfn.IFERROR((VLOOKUP(P653,'Settings'!$E$28:$F$33,2,FALSE)+1),1)</f>
        <v>0.270763891852415</v>
      </c>
      <c r="Y653" s="79">
        <f>VLOOKUP(B653,'Player Data'!$A1:$AE667,13,FALSE)*$Q653</f>
        <v>0.0261742311085908</v>
      </c>
      <c r="Z653" s="79">
        <f>VLOOKUP(B653,'Player Data'!$A1:$AE667,14,FALSE)*$Q653</f>
        <v>0.0449370328154872</v>
      </c>
      <c r="AA653" s="79">
        <f>VLOOKUP(B653,'Player Data'!$A1:$AE667,15,FALSE)*$Q653</f>
        <v>34.9168102933426</v>
      </c>
      <c r="AB653" s="79">
        <f>VLOOKUP(B653,'Player Data'!$A1:$AE667,16,FALSE)*$Q653</f>
        <v>59.2134141106484</v>
      </c>
      <c r="AC653" s="79">
        <f>VLOOKUP(B653,'Player Data'!$A1:$AE667,17,FALSE)*$Q653*_xlfn.IFERROR((VLOOKUP(P653,'Settings'!$E$28:$F$33,2,FALSE)+1),1)</f>
        <v>1.47755793243557</v>
      </c>
      <c r="AD653" s="79">
        <f>VLOOKUP(B653,'Player Data'!$A1:$AE667,18,FALSE)*$Q653</f>
        <v>13.8873332635379</v>
      </c>
      <c r="AE653" s="79">
        <f>VLOOKUP(B653,'Player Data'!$A1:$AE667,19,FALSE)*$Q653*_xlfn.IFERROR((VLOOKUP(P653,'Settings'!$E$28:$F$33,2,FALSE)+1),1)</f>
        <v>1.13762250018181</v>
      </c>
      <c r="AF653" s="79">
        <f>VLOOKUP(B653,'Player Data'!$A1:$AE667,20,FALSE)*$Q653</f>
        <v>1.75027218856129</v>
      </c>
      <c r="AG653" s="79">
        <f>VLOOKUP(B653,'Player Data'!$A1:$AE667,21,FALSE)*$Q653</f>
        <v>2.71453690623604</v>
      </c>
      <c r="AH653" s="81">
        <f>VLOOKUP(B653,'Player Data'!$A1:$AE667,22,FALSE)</f>
        <v>0.39201501148186</v>
      </c>
      <c r="AI653" s="77"/>
      <c r="AJ653" s="79"/>
      <c r="AK653" s="79"/>
      <c r="AL653" s="79"/>
      <c r="AM653" s="79"/>
      <c r="AN653" s="79"/>
      <c r="AO653" s="79"/>
      <c r="AP653" s="79"/>
      <c r="AQ653" s="82"/>
      <c r="AR653" s="83"/>
      <c r="AS653" s="84"/>
    </row>
    <row r="654" ht="21.25" customHeight="1">
      <c r="A654" s="85">
        <f>RANK(K654,K$1:K$665)</f>
        <v>646</v>
      </c>
      <c r="B654" t="s" s="16">
        <v>844</v>
      </c>
      <c r="C654" t="s" s="69">
        <v>127</v>
      </c>
      <c r="D654" t="s" s="70">
        <f>VLOOKUP(B654,'Player Data'!A1:D667,4,FALSE)</f>
        <v>153</v>
      </c>
      <c r="E654" s="95">
        <f>VLOOKUP(B654,'D'!A1:C213,3,FALSE)</f>
        <v>208</v>
      </c>
      <c r="F654" t="s" s="78">
        <f>VLOOKUP(B654,'Player Data'!A1:B667,2,FALSE)</f>
        <v>194</v>
      </c>
      <c r="G654" s="11">
        <f>VLOOKUP(B654,'Player Data'!A1:D667,3,FALSE)</f>
        <v>29</v>
      </c>
      <c r="H654" s="73">
        <f>_xlfn.IFERROR(VLOOKUP(B654,'ADP'!A1:G665,7,FALSE)/1000000,VLOOKUP(B654,'ADP'!A1:G665,7,FALSE))</f>
        <v>0.775</v>
      </c>
      <c r="I654" s="74">
        <f>IF('Settings'!$E$15="POINTS",((R654*Q654)*'Settings'!$B$12)+(S654*'Settings'!$B$2)+(T654*'Settings'!$B$3)+(U654*'Settings'!$B$4)+(V654*'Settings'!$B$5)+(X654*'Settings'!$B$9)+(AA654*'Settings'!$B$6)+(W654*'Settings'!$B$8)+(AB654*'Settings'!$B$7)+(AC654*'Settings'!$B$14)+(AD654*'Settings'!$B$15)+(AE654*'Settings'!$B$16)+(AF654*'Settings'!$B$17)+(AG654*'Settings'!$B$18)+(U654*'Settings'!$B$13)+(Y654*'Settings'!$B$10)+(Z654*'Settings'!$B$11),VLOOKUP(B654,'Standard Deviations'!A1:C666,3,FALSE))</f>
        <v>125.904921694293</v>
      </c>
      <c r="J654" s="75">
        <f>IF(D654="G",I654/AJ654,I654/Q654)</f>
        <v>2.02712802599087</v>
      </c>
      <c r="K654" s="74">
        <f>VLOOKUP(B654,'D'!A1:F213,6,FALSE)</f>
        <v>-205.635286225789</v>
      </c>
      <c r="L654" s="76">
        <f>_xlfn.IFERROR(K654/H654,"N/A")</f>
        <v>-265.335853194566</v>
      </c>
      <c r="M654" s="109">
        <f>IF('Settings'!$E$9="YAHOO",VLOOKUP(B654,'ADP'!A1:E665,2,FALSE),IF('Settings'!$E$9="ESPN",VLOOKUP(B654,'ADP'!A1:E665,3,FALSE),IF('Settings'!$E$9="FANTRAX",VLOOKUP(B654,'ADP'!A1:E665,4,FALSE),VLOOKUP(B654,'ADP'!A1:E665,5,FALSE))))</f>
        <v>0</v>
      </c>
      <c r="N654" s="79">
        <f>_xlfn.IFERROR(M654-A654,"N/A")</f>
        <v>-646</v>
      </c>
      <c r="O654" s="77"/>
      <c r="P654" t="s" s="78">
        <f>IF('Settings'!$E$27="ON",VLOOKUP(B654,'ADP'!A1:H665,8,FALSE)," ")</f>
        <v>138</v>
      </c>
      <c r="Q654" s="79">
        <f>IF('Settings'!$E$12="YES",VLOOKUP(B654,'Player Data'!A1:E667,5,FALSE),82)</f>
        <v>62.11</v>
      </c>
      <c r="R654" s="77">
        <f>VLOOKUP(B654,'Player Data'!$A1:$AE667,6,FALSE)</f>
        <v>13.5297619488222</v>
      </c>
      <c r="S654" s="79">
        <f>VLOOKUP(B654,'Player Data'!$A1:$AE667,7,FALSE)*$Q654*_xlfn.IFERROR((VLOOKUP(P654,'Settings'!$E$28:$F$33,2,FALSE)+1),1)</f>
        <v>2.79988522807899</v>
      </c>
      <c r="T654" s="79">
        <f>VLOOKUP(B654,'Player Data'!$A1:$AE667,8,FALSE)*$Q654*_xlfn.IFERROR((VLOOKUP(P654,'Settings'!$E$28:$F$33,2,FALSE)+1),1)</f>
        <v>8.26354405186011</v>
      </c>
      <c r="U654" s="79">
        <f>SUM(S654:T654)</f>
        <v>11.0634292799391</v>
      </c>
      <c r="V654" s="79">
        <f>VLOOKUP(B654,'Player Data'!$A1:$AE667,10,FALSE)*$Q654*_xlfn.IFERROR(((VLOOKUP(P654,'Settings'!$E$28:$F$33,2,FALSE)/2)+1),1)</f>
        <v>53.0977824181048</v>
      </c>
      <c r="W654" s="79">
        <f>VLOOKUP(B654,'Player Data'!$A1:$AE667,11,FALSE)*$Q654*_xlfn.IFERROR((VLOOKUP(P654,'Settings'!$E$28:$F$33,2,FALSE)+1),1)</f>
        <v>0.0101932414117539</v>
      </c>
      <c r="X654" s="79">
        <f>VLOOKUP(B654,'Player Data'!$A1:$AE667,12,FALSE)*$Q654*_xlfn.IFERROR((VLOOKUP(P654,'Settings'!$E$28:$F$33,2,FALSE)+1),1)</f>
        <v>0.06580423553257191</v>
      </c>
      <c r="Y654" s="79">
        <f>VLOOKUP(B654,'Player Data'!$A1:$AE667,13,FALSE)*$Q654</f>
        <v>0.0192392705856224</v>
      </c>
      <c r="Z654" s="79">
        <f>VLOOKUP(B654,'Player Data'!$A1:$AE667,14,FALSE)*$Q654</f>
        <v>0.0959967604510374</v>
      </c>
      <c r="AA654" s="79">
        <f>VLOOKUP(B654,'Player Data'!$A1:$AE667,15,FALSE)*$Q654</f>
        <v>70.2150354439494</v>
      </c>
      <c r="AB654" s="79">
        <f>VLOOKUP(B654,'Player Data'!$A1:$AE667,16,FALSE)*$Q654</f>
        <v>65.3202329027031</v>
      </c>
      <c r="AC654" s="79">
        <f>VLOOKUP(B654,'Player Data'!$A1:$AE667,17,FALSE)*$Q654*_xlfn.IFERROR((VLOOKUP(P654,'Settings'!$E$28:$F$33,2,FALSE)+1),1)</f>
        <v>0.175422809076931</v>
      </c>
      <c r="AD654" s="79">
        <f>VLOOKUP(B654,'Player Data'!$A1:$AE667,18,FALSE)*$Q654</f>
        <v>16.4398045597081</v>
      </c>
      <c r="AE654" s="79">
        <f>VLOOKUP(B654,'Player Data'!$A1:$AE667,19,FALSE)*$Q654*_xlfn.IFERROR((VLOOKUP(P654,'Settings'!$E$28:$F$33,2,FALSE)+1),1)</f>
        <v>0.422436382634801</v>
      </c>
      <c r="AF654" s="79">
        <f>VLOOKUP(B654,'Player Data'!$A1:$AE667,20,FALSE)*$Q654</f>
        <v>0</v>
      </c>
      <c r="AG654" s="79">
        <f>VLOOKUP(B654,'Player Data'!$A1:$AE667,21,FALSE)*$Q654</f>
        <v>0</v>
      </c>
      <c r="AH654" s="81">
        <f>VLOOKUP(B654,'Player Data'!$A1:$AE667,22,FALSE)</f>
        <v>0</v>
      </c>
      <c r="AI654" s="77"/>
      <c r="AJ654" s="89"/>
      <c r="AK654" s="79"/>
      <c r="AL654" s="79"/>
      <c r="AM654" s="79"/>
      <c r="AN654" s="79"/>
      <c r="AO654" s="79"/>
      <c r="AP654" s="79"/>
      <c r="AQ654" s="82"/>
      <c r="AR654" s="83"/>
      <c r="AS654" s="84"/>
    </row>
    <row r="655" ht="21.25" customHeight="1">
      <c r="A655" s="85">
        <f>RANK(K655,K$1:K$665)</f>
        <v>657</v>
      </c>
      <c r="B655" t="s" s="16">
        <v>845</v>
      </c>
      <c r="C655" t="s" s="69">
        <v>127</v>
      </c>
      <c r="D655" t="s" s="70">
        <f>VLOOKUP(B655,'Player Data'!A1:D667,4,FALSE)</f>
        <v>128</v>
      </c>
      <c r="E655" s="71">
        <f>VLOOKUP(B655,'C'!A1:C206,3,FALSE)</f>
        <v>199</v>
      </c>
      <c r="F655" t="s" s="86">
        <f>VLOOKUP(B655,'Player Data'!A1:B667,2,FALSE)</f>
        <v>165</v>
      </c>
      <c r="G655" s="11">
        <f>VLOOKUP(B655,'Player Data'!A1:D667,3,FALSE)</f>
        <v>29</v>
      </c>
      <c r="H655" s="73">
        <f>_xlfn.IFERROR(VLOOKUP(B655,'ADP'!A1:G665,7,FALSE)/1000000,VLOOKUP(B655,'ADP'!A1:G665,7,FALSE))</f>
        <v>0.8</v>
      </c>
      <c r="I655" s="74">
        <f>IF('Settings'!$E$15="POINTS",((R655*Q655)*'Settings'!$B$12)+(S655*'Settings'!$B$2)+(T655*'Settings'!$B$3)+(U655*'Settings'!$B$4)+(V655*'Settings'!$B$5)+(X655*'Settings'!$B$9)+(AA655*'Settings'!$B$6)+(W655*'Settings'!$B$8)+(AB655*'Settings'!$B$7)+(AC655*'Settings'!$B$14)+(AD655*'Settings'!$B$15)+(AE655*'Settings'!$B$16)+(AF655*'Settings'!$B$17)+(AG655*'Settings'!$B$18)+(Y655*'Settings'!$B$10)+(Z655*'Settings'!$B$11),VLOOKUP(B655,'Standard Deviations'!A1:C666,3,FALSE))</f>
        <v>112.602252088172</v>
      </c>
      <c r="J655" s="75">
        <f>IF(D655="G",I655/AJ655,I655/Q655)</f>
        <v>1.80293414599587</v>
      </c>
      <c r="K655" s="74">
        <f>IF('Settings'!$E$18="C/LW/RW",VLOOKUP(B655,'C'!A1:F206,6,FALSE),VLOOKUP(B655,'F'!A1:F392,6,FALSE))</f>
        <v>-217.089641993006</v>
      </c>
      <c r="L655" s="76">
        <f>_xlfn.IFERROR(K655/H655,"N/A")</f>
        <v>-271.362052491258</v>
      </c>
      <c r="M655" s="109">
        <f>IF('Settings'!$E$9="YAHOO",VLOOKUP(B655,'ADP'!A1:E665,2,FALSE),IF('Settings'!$E$9="ESPN",VLOOKUP(B655,'ADP'!A1:E665,3,FALSE),IF('Settings'!$E$9="FANTRAX",VLOOKUP(B655,'ADP'!A1:E665,4,FALSE),VLOOKUP(B655,'ADP'!A1:E665,5,FALSE))))</f>
        <v>0</v>
      </c>
      <c r="N655" s="79">
        <f>_xlfn.IFERROR(M655-A655,"N/A")</f>
        <v>-657</v>
      </c>
      <c r="O655" s="77"/>
      <c r="P655" t="s" s="78">
        <f>IF('Settings'!$E$27="ON",VLOOKUP(B655,'ADP'!A1:H665,8,FALSE)," ")</f>
        <v>138</v>
      </c>
      <c r="Q655" s="79">
        <f>IF('Settings'!$E$12="YES",VLOOKUP(B655,'Player Data'!A1:E667,5,FALSE),82)</f>
        <v>62.455</v>
      </c>
      <c r="R655" s="77">
        <f>VLOOKUP(B655,'Player Data'!$A1:$AE667,6,FALSE)</f>
        <v>12.1755226675134</v>
      </c>
      <c r="S655" s="79">
        <f>VLOOKUP(B655,'Player Data'!$A1:$AE667,7,FALSE)*$Q655*_xlfn.IFERROR((VLOOKUP(P655,'Settings'!$E$28:$F$33,2,FALSE)+1),1)</f>
        <v>7.57313976326872</v>
      </c>
      <c r="T655" s="79">
        <f>VLOOKUP(B655,'Player Data'!$A1:$AE667,8,FALSE)*$Q655*_xlfn.IFERROR((VLOOKUP(P655,'Settings'!$E$28:$F$33,2,FALSE)+1),1)</f>
        <v>8.082495307173129</v>
      </c>
      <c r="U655" s="79">
        <f>SUM(S655:T655)</f>
        <v>15.6556350704419</v>
      </c>
      <c r="V655" s="79">
        <f>VLOOKUP(B655,'Player Data'!$A1:$AE667,10,FALSE)*$Q655*_xlfn.IFERROR(((VLOOKUP(P655,'Settings'!$E$28:$F$33,2,FALSE)/2)+1),1)</f>
        <v>78.54767440788859</v>
      </c>
      <c r="W655" s="79">
        <f>VLOOKUP(B655,'Player Data'!$A1:$AE667,11,FALSE)*$Q655*_xlfn.IFERROR((VLOOKUP(P655,'Settings'!$E$28:$F$33,2,FALSE)+1),1)</f>
        <v>0.222281708064831</v>
      </c>
      <c r="X655" s="79">
        <f>VLOOKUP(B655,'Player Data'!$A1:$AE667,12,FALSE)*$Q655*_xlfn.IFERROR((VLOOKUP(P655,'Settings'!$E$28:$F$33,2,FALSE)+1),1)</f>
        <v>0.6981575879267879</v>
      </c>
      <c r="Y655" s="79">
        <f>VLOOKUP(B655,'Player Data'!$A1:$AE667,13,FALSE)*$Q655</f>
        <v>0.9861139262397119</v>
      </c>
      <c r="Z655" s="79">
        <f>VLOOKUP(B655,'Player Data'!$A1:$AE667,14,FALSE)*$Q655</f>
        <v>1.08240885196408</v>
      </c>
      <c r="AA655" s="79">
        <f>VLOOKUP(B655,'Player Data'!$A1:$AE667,15,FALSE)*$Q655</f>
        <v>28.3682300800526</v>
      </c>
      <c r="AB655" s="79">
        <f>VLOOKUP(B655,'Player Data'!$A1:$AE667,16,FALSE)*$Q655</f>
        <v>49.4604941376458</v>
      </c>
      <c r="AC655" s="79">
        <f>VLOOKUP(B655,'Player Data'!$A1:$AE667,17,FALSE)*$Q655*_xlfn.IFERROR((VLOOKUP(P655,'Settings'!$E$28:$F$33,2,FALSE)+1),1)</f>
        <v>2.38743490768897</v>
      </c>
      <c r="AD655" s="79">
        <f>VLOOKUP(B655,'Player Data'!$A1:$AE667,18,FALSE)*$Q655</f>
        <v>18.7488202065875</v>
      </c>
      <c r="AE655" s="79">
        <f>VLOOKUP(B655,'Player Data'!$A1:$AE667,19,FALSE)*$Q655*_xlfn.IFERROR((VLOOKUP(P655,'Settings'!$E$28:$F$33,2,FALSE)+1),1)</f>
        <v>1.0723022155121</v>
      </c>
      <c r="AF655" s="79">
        <f>VLOOKUP(B655,'Player Data'!$A1:$AE667,20,FALSE)*$Q655</f>
        <v>184.057067744712</v>
      </c>
      <c r="AG655" s="79">
        <f>VLOOKUP(B655,'Player Data'!$A1:$AE667,21,FALSE)*$Q655</f>
        <v>166.072832506013</v>
      </c>
      <c r="AH655" s="81">
        <f>VLOOKUP(B655,'Player Data'!$A1:$AE667,22,FALSE)</f>
        <v>0.525682232831045</v>
      </c>
      <c r="AI655" s="77"/>
      <c r="AJ655" s="79"/>
      <c r="AK655" s="79"/>
      <c r="AL655" s="79"/>
      <c r="AM655" s="79"/>
      <c r="AN655" s="79"/>
      <c r="AO655" s="79"/>
      <c r="AP655" s="79"/>
      <c r="AQ655" s="82"/>
      <c r="AR655" s="83"/>
      <c r="AS655" s="84"/>
    </row>
    <row r="656" ht="21.25" customHeight="1">
      <c r="A656" s="85">
        <f>RANK(K656,K$1:K$665)</f>
        <v>658</v>
      </c>
      <c r="B656" t="s" s="16">
        <v>846</v>
      </c>
      <c r="C656" t="s" s="69">
        <v>127</v>
      </c>
      <c r="D656" t="s" s="70">
        <f>VLOOKUP(B656,'Player Data'!A1:D667,4,FALSE)</f>
        <v>128</v>
      </c>
      <c r="E656" s="71">
        <f>VLOOKUP(B656,'C'!A1:C206,3,FALSE)</f>
        <v>200</v>
      </c>
      <c r="F656" t="s" s="86">
        <f>VLOOKUP(B656,'Player Data'!A1:B667,2,FALSE)</f>
        <v>129</v>
      </c>
      <c r="G656" s="91">
        <f>VLOOKUP(B656,'Player Data'!A1:D667,3,FALSE)</f>
        <v>31</v>
      </c>
      <c r="H656" s="73">
        <f>_xlfn.IFERROR(VLOOKUP(B656,'ADP'!A1:G665,7,FALSE)/1000000,VLOOKUP(B656,'ADP'!A1:G665,7,FALSE))</f>
        <v>1.45</v>
      </c>
      <c r="I656" s="74">
        <f>IF('Settings'!$E$15="POINTS",((R656*Q656)*'Settings'!$B$12)+(S656*'Settings'!$B$2)+(T656*'Settings'!$B$3)+(U656*'Settings'!$B$4)+(V656*'Settings'!$B$5)+(X656*'Settings'!$B$9)+(AA656*'Settings'!$B$6)+(W656*'Settings'!$B$8)+(AB656*'Settings'!$B$7)+(AC656*'Settings'!$B$14)+(AD656*'Settings'!$B$15)+(AE656*'Settings'!$B$16)+(AF656*'Settings'!$B$17)+(AG656*'Settings'!$B$18)+(Y656*'Settings'!$B$10)+(Z656*'Settings'!$B$11),VLOOKUP(B656,'Standard Deviations'!A1:C666,3,FALSE))</f>
        <v>108.858547198456</v>
      </c>
      <c r="J656" s="75">
        <f>IF(D656="G",I656/AJ656,I656/Q656)</f>
        <v>1.42526983991956</v>
      </c>
      <c r="K656" s="74">
        <f>IF('Settings'!$E$18="C/LW/RW",VLOOKUP(B656,'C'!A1:F206,6,FALSE),VLOOKUP(B656,'F'!A1:F392,6,FALSE))</f>
        <v>-220.833346882722</v>
      </c>
      <c r="L656" s="76">
        <f>_xlfn.IFERROR(K656/H656,"N/A")</f>
        <v>-152.298859919119</v>
      </c>
      <c r="M656" s="109">
        <f>IF('Settings'!$E$9="YAHOO",VLOOKUP(B656,'ADP'!A1:E665,2,FALSE),IF('Settings'!$E$9="ESPN",VLOOKUP(B656,'ADP'!A1:E665,3,FALSE),IF('Settings'!$E$9="FANTRAX",VLOOKUP(B656,'ADP'!A1:E665,4,FALSE),VLOOKUP(B656,'ADP'!A1:E665,5,FALSE))))</f>
        <v>0</v>
      </c>
      <c r="N656" s="79">
        <f>_xlfn.IFERROR(M656-A656,"N/A")</f>
        <v>-658</v>
      </c>
      <c r="O656" s="77"/>
      <c r="P656" t="s" s="78">
        <f>IF('Settings'!$E$27="ON",VLOOKUP(B656,'ADP'!A1:H665,8,FALSE)," ")</f>
        <v>138</v>
      </c>
      <c r="Q656" s="79">
        <f>IF('Settings'!$E$12="YES",VLOOKUP(B656,'Player Data'!A1:E667,5,FALSE),82)</f>
        <v>76.3775</v>
      </c>
      <c r="R656" s="77">
        <f>VLOOKUP(B656,'Player Data'!$A1:$AE667,6,FALSE)</f>
        <v>12.0166785433107</v>
      </c>
      <c r="S656" s="79">
        <f>VLOOKUP(B656,'Player Data'!$A1:$AE667,7,FALSE)*$Q656*_xlfn.IFERROR((VLOOKUP(P656,'Settings'!$E$28:$F$33,2,FALSE)+1),1)</f>
        <v>5.23545679711374</v>
      </c>
      <c r="T656" s="79">
        <f>VLOOKUP(B656,'Player Data'!$A1:$AE667,8,FALSE)*$Q656*_xlfn.IFERROR((VLOOKUP(P656,'Settings'!$E$28:$F$33,2,FALSE)+1),1)</f>
        <v>9.02938707846921</v>
      </c>
      <c r="U656" s="79">
        <f>SUM(S656:T656)</f>
        <v>14.264843875583</v>
      </c>
      <c r="V656" s="79">
        <f>VLOOKUP(B656,'Player Data'!$A1:$AE667,10,FALSE)*$Q656*_xlfn.IFERROR(((VLOOKUP(P656,'Settings'!$E$28:$F$33,2,FALSE)/2)+1),1)</f>
        <v>74.615413744653</v>
      </c>
      <c r="W656" s="79">
        <f>VLOOKUP(B656,'Player Data'!$A1:$AE667,11,FALSE)*$Q656*_xlfn.IFERROR((VLOOKUP(P656,'Settings'!$E$28:$F$33,2,FALSE)+1),1)</f>
        <v>0.0233962191172479</v>
      </c>
      <c r="X656" s="79">
        <f>VLOOKUP(B656,'Player Data'!$A1:$AE667,12,FALSE)*$Q656*_xlfn.IFERROR((VLOOKUP(P656,'Settings'!$E$28:$F$33,2,FALSE)+1),1)</f>
        <v>0.0570162759866883</v>
      </c>
      <c r="Y656" s="79">
        <f>VLOOKUP(B656,'Player Data'!$A1:$AE667,13,FALSE)*$Q656</f>
        <v>1.07961812250118</v>
      </c>
      <c r="Z656" s="79">
        <f>VLOOKUP(B656,'Player Data'!$A1:$AE667,14,FALSE)*$Q656</f>
        <v>1.64116381105152</v>
      </c>
      <c r="AA656" s="79">
        <f>VLOOKUP(B656,'Player Data'!$A1:$AE667,15,FALSE)*$Q656</f>
        <v>25.8223503257896</v>
      </c>
      <c r="AB656" s="79">
        <f>VLOOKUP(B656,'Player Data'!$A1:$AE667,16,FALSE)*$Q656</f>
        <v>56.6547528190006</v>
      </c>
      <c r="AC656" s="79">
        <f>VLOOKUP(B656,'Player Data'!$A1:$AE667,17,FALSE)*$Q656*_xlfn.IFERROR((VLOOKUP(P656,'Settings'!$E$28:$F$33,2,FALSE)+1),1)</f>
        <v>5.16632828799193</v>
      </c>
      <c r="AD656" s="79">
        <f>VLOOKUP(B656,'Player Data'!$A1:$AE667,18,FALSE)*$Q656</f>
        <v>29.2469594731541</v>
      </c>
      <c r="AE656" s="79">
        <f>VLOOKUP(B656,'Player Data'!$A1:$AE667,19,FALSE)*$Q656*_xlfn.IFERROR((VLOOKUP(P656,'Settings'!$E$28:$F$33,2,FALSE)+1),1)</f>
        <v>0.845396210952189</v>
      </c>
      <c r="AF656" s="79">
        <f>VLOOKUP(B656,'Player Data'!$A1:$AE667,20,FALSE)*$Q656</f>
        <v>29.2477632830822</v>
      </c>
      <c r="AG656" s="79">
        <f>VLOOKUP(B656,'Player Data'!$A1:$AE667,21,FALSE)*$Q656</f>
        <v>39.2755808156624</v>
      </c>
      <c r="AH656" s="81">
        <f>VLOOKUP(B656,'Player Data'!$A1:$AE667,22,FALSE)</f>
        <v>0.42682918745085</v>
      </c>
      <c r="AI656" s="77"/>
      <c r="AJ656" s="89"/>
      <c r="AK656" s="79"/>
      <c r="AL656" s="79"/>
      <c r="AM656" s="79"/>
      <c r="AN656" s="79"/>
      <c r="AO656" s="79"/>
      <c r="AP656" s="79"/>
      <c r="AQ656" s="82"/>
      <c r="AR656" s="83"/>
      <c r="AS656" s="84"/>
    </row>
    <row r="657" ht="21.25" customHeight="1">
      <c r="A657" s="85">
        <f>RANK(K657,K$1:K$665)</f>
        <v>659</v>
      </c>
      <c r="B657" t="s" s="16">
        <v>847</v>
      </c>
      <c r="C657" t="s" s="69">
        <v>127</v>
      </c>
      <c r="D657" t="s" s="70">
        <f>VLOOKUP(B657,'Player Data'!A1:D667,4,FALSE)</f>
        <v>128</v>
      </c>
      <c r="E657" s="71">
        <f>VLOOKUP(B657,'C'!A1:C206,3,FALSE)</f>
        <v>201</v>
      </c>
      <c r="F657" t="s" s="92">
        <f>VLOOKUP(B657,'Player Data'!A1:B667,2,FALSE)</f>
        <v>170</v>
      </c>
      <c r="G657" s="91">
        <f>VLOOKUP(B657,'Player Data'!A1:D667,3,FALSE)</f>
        <v>31</v>
      </c>
      <c r="H657" s="73">
        <f>_xlfn.IFERROR(VLOOKUP(B657,'ADP'!A1:G665,7,FALSE)/1000000,VLOOKUP(B657,'ADP'!A1:G665,7,FALSE))</f>
        <v>0.7875</v>
      </c>
      <c r="I657" s="74">
        <f>IF('Settings'!$E$15="POINTS",((R657*Q657)*'Settings'!$B$12)+(S657*'Settings'!$B$2)+(T657*'Settings'!$B$3)+(U657*'Settings'!$B$4)+(V657*'Settings'!$B$5)+(X657*'Settings'!$B$9)+(AA657*'Settings'!$B$6)+(W657*'Settings'!$B$8)+(AB657*'Settings'!$B$7)+(AC657*'Settings'!$B$14)+(AD657*'Settings'!$B$15)+(AE657*'Settings'!$B$16)+(AF657*'Settings'!$B$17)+(AG657*'Settings'!$B$18)+(Y657*'Settings'!$B$10)+(Z657*'Settings'!$B$11),VLOOKUP(B657,'Standard Deviations'!A1:C666,3,FALSE))</f>
        <v>107.852626998929</v>
      </c>
      <c r="J657" s="75">
        <f>IF(D657="G",I657/AJ657,I657/Q657)</f>
        <v>1.72137302687621</v>
      </c>
      <c r="K657" s="74">
        <f>IF('Settings'!$E$18="C/LW/RW",VLOOKUP(B657,'C'!A1:F206,6,FALSE),VLOOKUP(B657,'F'!A1:F392,6,FALSE))</f>
        <v>-221.839267082249</v>
      </c>
      <c r="L657" s="76">
        <f>_xlfn.IFERROR(K657/H657,"N/A")</f>
        <v>-281.700656612380</v>
      </c>
      <c r="M657" s="109">
        <f>IF('Settings'!$E$9="YAHOO",VLOOKUP(B657,'ADP'!A1:E665,2,FALSE),IF('Settings'!$E$9="ESPN",VLOOKUP(B657,'ADP'!A1:E665,3,FALSE),IF('Settings'!$E$9="FANTRAX",VLOOKUP(B657,'ADP'!A1:E665,4,FALSE),VLOOKUP(B657,'ADP'!A1:E665,5,FALSE))))</f>
        <v>0</v>
      </c>
      <c r="N657" s="79">
        <f>_xlfn.IFERROR(M657-A657,"N/A")</f>
        <v>-659</v>
      </c>
      <c r="O657" s="77"/>
      <c r="P657" t="s" s="78">
        <f>IF('Settings'!$E$27="ON",VLOOKUP(B657,'ADP'!A1:H665,8,FALSE)," ")</f>
        <v>138</v>
      </c>
      <c r="Q657" s="79">
        <f>IF('Settings'!$E$12="YES",VLOOKUP(B657,'Player Data'!A1:E667,5,FALSE),82)</f>
        <v>62.655</v>
      </c>
      <c r="R657" s="77">
        <f>VLOOKUP(B657,'Player Data'!$A1:$AE667,6,FALSE)</f>
        <v>10.7889533592891</v>
      </c>
      <c r="S657" s="79">
        <f>VLOOKUP(B657,'Player Data'!$A1:$AE667,7,FALSE)*$Q657*_xlfn.IFERROR((VLOOKUP(P657,'Settings'!$E$28:$F$33,2,FALSE)+1),1)</f>
        <v>5.12316224749556</v>
      </c>
      <c r="T657" s="79">
        <f>VLOOKUP(B657,'Player Data'!$A1:$AE667,8,FALSE)*$Q657*_xlfn.IFERROR((VLOOKUP(P657,'Settings'!$E$28:$F$33,2,FALSE)+1),1)</f>
        <v>9.82498606870076</v>
      </c>
      <c r="U657" s="79">
        <f>SUM(S657:T657)</f>
        <v>14.9481483161963</v>
      </c>
      <c r="V657" s="79">
        <f>VLOOKUP(B657,'Player Data'!$A1:$AE667,10,FALSE)*$Q657*_xlfn.IFERROR(((VLOOKUP(P657,'Settings'!$E$28:$F$33,2,FALSE)/2)+1),1)</f>
        <v>90.58550444528839</v>
      </c>
      <c r="W657" s="79">
        <f>VLOOKUP(B657,'Player Data'!$A1:$AE667,11,FALSE)*$Q657*_xlfn.IFERROR((VLOOKUP(P657,'Settings'!$E$28:$F$33,2,FALSE)+1),1)</f>
        <v>0.526885452160152</v>
      </c>
      <c r="X657" s="79">
        <f>VLOOKUP(B657,'Player Data'!$A1:$AE667,12,FALSE)*$Q657*_xlfn.IFERROR((VLOOKUP(P657,'Settings'!$E$28:$F$33,2,FALSE)+1),1)</f>
        <v>1.19837320444153</v>
      </c>
      <c r="Y657" s="79">
        <f>VLOOKUP(B657,'Player Data'!$A1:$AE667,13,FALSE)*$Q657</f>
        <v>0.00158068063683697</v>
      </c>
      <c r="Z657" s="79">
        <f>VLOOKUP(B657,'Player Data'!$A1:$AE667,14,FALSE)*$Q657</f>
        <v>0.00279082145720932</v>
      </c>
      <c r="AA657" s="79">
        <f>VLOOKUP(B657,'Player Data'!$A1:$AE667,15,FALSE)*$Q657</f>
        <v>25.816281272253</v>
      </c>
      <c r="AB657" s="79">
        <f>VLOOKUP(B657,'Player Data'!$A1:$AE667,16,FALSE)*$Q657</f>
        <v>51.9439401814801</v>
      </c>
      <c r="AC657" s="79">
        <f>VLOOKUP(B657,'Player Data'!$A1:$AE667,17,FALSE)*$Q657*_xlfn.IFERROR((VLOOKUP(P657,'Settings'!$E$28:$F$33,2,FALSE)+1),1)</f>
        <v>2.10119337295617</v>
      </c>
      <c r="AD657" s="79">
        <f>VLOOKUP(B657,'Player Data'!$A1:$AE667,18,FALSE)*$Q657</f>
        <v>16.2650898007923</v>
      </c>
      <c r="AE657" s="79">
        <f>VLOOKUP(B657,'Player Data'!$A1:$AE667,19,FALSE)*$Q657*_xlfn.IFERROR((VLOOKUP(P657,'Settings'!$E$28:$F$33,2,FALSE)+1),1)</f>
        <v>0.837423411304888</v>
      </c>
      <c r="AF657" s="79">
        <f>VLOOKUP(B657,'Player Data'!$A1:$AE667,20,FALSE)*$Q657</f>
        <v>173.413468533736</v>
      </c>
      <c r="AG657" s="79">
        <f>VLOOKUP(B657,'Player Data'!$A1:$AE667,21,FALSE)*$Q657</f>
        <v>169.020607980433</v>
      </c>
      <c r="AH657" s="81">
        <f>VLOOKUP(B657,'Player Data'!$A1:$AE667,22,FALSE)</f>
        <v>0.506414169696576</v>
      </c>
      <c r="AI657" s="77"/>
      <c r="AJ657" s="89"/>
      <c r="AK657" s="79"/>
      <c r="AL657" s="79"/>
      <c r="AM657" s="79"/>
      <c r="AN657" s="79"/>
      <c r="AO657" s="79"/>
      <c r="AP657" s="79"/>
      <c r="AQ657" s="82"/>
      <c r="AR657" s="83"/>
      <c r="AS657" s="84"/>
    </row>
    <row r="658" ht="21.25" customHeight="1">
      <c r="A658" s="85">
        <f>RANK(K658,K$1:K$665)</f>
        <v>654</v>
      </c>
      <c r="B658" t="s" s="16">
        <v>848</v>
      </c>
      <c r="C658" t="s" s="69">
        <v>127</v>
      </c>
      <c r="D658" t="s" s="70">
        <f>VLOOKUP(B658,'Player Data'!A1:D667,4,FALSE)</f>
        <v>153</v>
      </c>
      <c r="E658" s="95">
        <f>VLOOKUP(B658,'D'!A1:C213,3,FALSE)</f>
        <v>209</v>
      </c>
      <c r="F658" t="s" s="92">
        <f>VLOOKUP(B658,'Player Data'!A1:B667,2,FALSE)</f>
        <v>170</v>
      </c>
      <c r="G658" s="96">
        <f>VLOOKUP(B658,'Player Data'!A1:D667,3,FALSE)</f>
        <v>23</v>
      </c>
      <c r="H658" s="94">
        <f>_xlfn.IFERROR(VLOOKUP(B658,'ADP'!A1:G665,7,FALSE)/1000000,VLOOKUP(B658,'ADP'!A1:G665,7,FALSE))</f>
        <v>0.8125</v>
      </c>
      <c r="I658" s="74">
        <f>IF('Settings'!$E$15="POINTS",((R658*Q658)*'Settings'!$B$12)+(S658*'Settings'!$B$2)+(T658*'Settings'!$B$3)+(U658*'Settings'!$B$4)+(V658*'Settings'!$B$5)+(X658*'Settings'!$B$9)+(AA658*'Settings'!$B$6)+(W658*'Settings'!$B$8)+(AB658*'Settings'!$B$7)+(AC658*'Settings'!$B$14)+(AD658*'Settings'!$B$15)+(AE658*'Settings'!$B$16)+(AF658*'Settings'!$B$17)+(AG658*'Settings'!$B$18)+(U658*'Settings'!$B$13)+(Y658*'Settings'!$B$10)+(Z658*'Settings'!$B$11),VLOOKUP(B658,'Standard Deviations'!A1:C666,3,FALSE))</f>
        <v>117.508001254034</v>
      </c>
      <c r="J658" s="75">
        <f>IF(D658="G",I658/AJ658,I658/Q658)</f>
        <v>2.0650762489176</v>
      </c>
      <c r="K658" s="74">
        <f>VLOOKUP(B658,'D'!A1:F213,6,FALSE)</f>
        <v>-214.032206666048</v>
      </c>
      <c r="L658" s="76">
        <f>_xlfn.IFERROR(K658/H658,"N/A")</f>
        <v>-263.424254358213</v>
      </c>
      <c r="M658" s="109">
        <f>IF('Settings'!$E$9="YAHOO",VLOOKUP(B658,'ADP'!A1:E665,2,FALSE),IF('Settings'!$E$9="ESPN",VLOOKUP(B658,'ADP'!A1:E665,3,FALSE),IF('Settings'!$E$9="FANTRAX",VLOOKUP(B658,'ADP'!A1:E665,4,FALSE),VLOOKUP(B658,'ADP'!A1:E665,5,FALSE))))</f>
        <v>0</v>
      </c>
      <c r="N658" s="79">
        <f>_xlfn.IFERROR(M658-A658,"N/A")</f>
        <v>-654</v>
      </c>
      <c r="O658" s="77"/>
      <c r="P658" t="s" s="78">
        <f>IF('Settings'!$E$27="ON",VLOOKUP(B658,'ADP'!A1:H665,8,FALSE)," ")</f>
        <v>138</v>
      </c>
      <c r="Q658" s="79">
        <f>IF('Settings'!$E$12="YES",VLOOKUP(B658,'Player Data'!A1:E667,5,FALSE),82)</f>
        <v>56.9025</v>
      </c>
      <c r="R658" s="77">
        <f>VLOOKUP(B658,'Player Data'!$A1:$AE667,6,FALSE)</f>
        <v>14.6430171797816</v>
      </c>
      <c r="S658" s="79">
        <f>VLOOKUP(B658,'Player Data'!$A1:$AE667,7,FALSE)*$Q658*_xlfn.IFERROR((VLOOKUP(P658,'Settings'!$E$28:$F$33,2,FALSE)+1),1)</f>
        <v>3.09218748365613</v>
      </c>
      <c r="T658" s="79">
        <f>VLOOKUP(B658,'Player Data'!$A1:$AE667,8,FALSE)*$Q658*_xlfn.IFERROR((VLOOKUP(P658,'Settings'!$E$28:$F$33,2,FALSE)+1),1)</f>
        <v>10.0298804892599</v>
      </c>
      <c r="U658" s="79">
        <f>SUM(S658:T658)</f>
        <v>13.122067972916</v>
      </c>
      <c r="V658" s="79">
        <f>VLOOKUP(B658,'Player Data'!$A1:$AE667,10,FALSE)*$Q658*_xlfn.IFERROR(((VLOOKUP(P658,'Settings'!$E$28:$F$33,2,FALSE)/2)+1),1)</f>
        <v>65.1908522707687</v>
      </c>
      <c r="W658" s="79">
        <f>VLOOKUP(B658,'Player Data'!$A1:$AE667,11,FALSE)*$Q658*_xlfn.IFERROR((VLOOKUP(P658,'Settings'!$E$28:$F$33,2,FALSE)+1),1)</f>
        <v>0.0132331434990367</v>
      </c>
      <c r="X658" s="79">
        <f>VLOOKUP(B658,'Player Data'!$A1:$AE667,12,FALSE)*$Q658*_xlfn.IFERROR((VLOOKUP(P658,'Settings'!$E$28:$F$33,2,FALSE)+1),1)</f>
        <v>0.08425806950801031</v>
      </c>
      <c r="Y658" s="79">
        <f>VLOOKUP(B658,'Player Data'!$A1:$AE667,13,FALSE)*$Q658</f>
        <v>0.00610832632222973</v>
      </c>
      <c r="Z658" s="79">
        <f>VLOOKUP(B658,'Player Data'!$A1:$AE667,14,FALSE)*$Q658</f>
        <v>0.0300605655703816</v>
      </c>
      <c r="AA658" s="79">
        <f>VLOOKUP(B658,'Player Data'!$A1:$AE667,15,FALSE)*$Q658</f>
        <v>54.4763607311638</v>
      </c>
      <c r="AB658" s="79">
        <f>VLOOKUP(B658,'Player Data'!$A1:$AE667,16,FALSE)*$Q658</f>
        <v>56.026030495289</v>
      </c>
      <c r="AC658" s="79">
        <f>VLOOKUP(B658,'Player Data'!$A1:$AE667,17,FALSE)*$Q658*_xlfn.IFERROR((VLOOKUP(P658,'Settings'!$E$28:$F$33,2,FALSE)+1),1)</f>
        <v>1.32960729573727</v>
      </c>
      <c r="AD658" s="79">
        <f>VLOOKUP(B658,'Player Data'!$A1:$AE667,18,FALSE)*$Q658</f>
        <v>17.9272814590669</v>
      </c>
      <c r="AE658" s="79">
        <f>VLOOKUP(B658,'Player Data'!$A1:$AE667,19,FALSE)*$Q658*_xlfn.IFERROR((VLOOKUP(P658,'Settings'!$E$28:$F$33,2,FALSE)+1),1)</f>
        <v>0.505443721253108</v>
      </c>
      <c r="AF658" s="79">
        <f>VLOOKUP(B658,'Player Data'!$A1:$AE667,20,FALSE)*$Q658</f>
        <v>0</v>
      </c>
      <c r="AG658" s="79">
        <f>VLOOKUP(B658,'Player Data'!$A1:$AE667,21,FALSE)*$Q658</f>
        <v>0</v>
      </c>
      <c r="AH658" s="81">
        <f>VLOOKUP(B658,'Player Data'!$A1:$AE667,22,FALSE)</f>
        <v>0</v>
      </c>
      <c r="AI658" s="77"/>
      <c r="AJ658" s="79"/>
      <c r="AK658" s="79"/>
      <c r="AL658" s="79"/>
      <c r="AM658" s="79"/>
      <c r="AN658" s="79"/>
      <c r="AO658" s="79"/>
      <c r="AP658" s="79"/>
      <c r="AQ658" s="82"/>
      <c r="AR658" s="83"/>
      <c r="AS658" s="84"/>
    </row>
    <row r="659" ht="21.25" customHeight="1">
      <c r="A659" s="85">
        <f>RANK(K659,K$1:K$665)</f>
        <v>655</v>
      </c>
      <c r="B659" t="s" s="16">
        <v>849</v>
      </c>
      <c r="C659" t="s" s="69">
        <v>127</v>
      </c>
      <c r="D659" t="s" s="70">
        <f>VLOOKUP(B659,'Player Data'!A1:D667,4,FALSE)</f>
        <v>153</v>
      </c>
      <c r="E659" s="95">
        <f>VLOOKUP(B659,'D'!A1:C213,3,FALSE)</f>
        <v>210</v>
      </c>
      <c r="F659" t="s" s="104">
        <f>VLOOKUP(B659,'Player Data'!A1:B667,2,FALSE)</f>
        <v>271</v>
      </c>
      <c r="G659" s="96">
        <f>VLOOKUP(B659,'Player Data'!A1:D667,3,FALSE)</f>
        <v>21</v>
      </c>
      <c r="H659" s="73">
        <f>_xlfn.IFERROR(VLOOKUP(B659,'ADP'!A1:G665,7,FALSE)/1000000,VLOOKUP(B659,'ADP'!A1:G665,7,FALSE))</f>
        <v>0.863</v>
      </c>
      <c r="I659" s="74">
        <f>IF('Settings'!$E$15="POINTS",((R659*Q659)*'Settings'!$B$12)+(S659*'Settings'!$B$2)+(T659*'Settings'!$B$3)+(U659*'Settings'!$B$4)+(V659*'Settings'!$B$5)+(X659*'Settings'!$B$9)+(AA659*'Settings'!$B$6)+(W659*'Settings'!$B$8)+(AB659*'Settings'!$B$7)+(AC659*'Settings'!$B$14)+(AD659*'Settings'!$B$15)+(AE659*'Settings'!$B$16)+(AF659*'Settings'!$B$17)+(AG659*'Settings'!$B$18)+(U659*'Settings'!$B$13)+(Y659*'Settings'!$B$10)+(Z659*'Settings'!$B$11),VLOOKUP(B659,'Standard Deviations'!A1:C666,3,FALSE))</f>
        <v>116.771735223713</v>
      </c>
      <c r="J659" s="75">
        <f>IF(D659="G",I659/AJ659,I659/Q659)</f>
        <v>2.00037233787945</v>
      </c>
      <c r="K659" s="74">
        <f>VLOOKUP(B659,'D'!A1:F213,6,FALSE)</f>
        <v>-214.768472696369</v>
      </c>
      <c r="L659" s="76">
        <f>_xlfn.IFERROR(K659/H659,"N/A")</f>
        <v>-248.862656658597</v>
      </c>
      <c r="M659" s="109">
        <f>IF('Settings'!$E$9="YAHOO",VLOOKUP(B659,'ADP'!A1:E665,2,FALSE),IF('Settings'!$E$9="ESPN",VLOOKUP(B659,'ADP'!A1:E665,3,FALSE),IF('Settings'!$E$9="FANTRAX",VLOOKUP(B659,'ADP'!A1:E665,4,FALSE),VLOOKUP(B659,'ADP'!A1:E665,5,FALSE))))</f>
        <v>0</v>
      </c>
      <c r="N659" s="79">
        <f>_xlfn.IFERROR(M659-A659,"N/A")</f>
        <v>-655</v>
      </c>
      <c r="O659" s="77"/>
      <c r="P659" t="s" s="78">
        <f>IF('Settings'!$E$27="ON",VLOOKUP(B659,'ADP'!A1:H665,8,FALSE)," ")</f>
        <v>138</v>
      </c>
      <c r="Q659" s="79">
        <f>IF('Settings'!$E$12="YES",VLOOKUP(B659,'Player Data'!A1:E667,5,FALSE),82)</f>
        <v>58.375</v>
      </c>
      <c r="R659" s="77">
        <f>VLOOKUP(B659,'Player Data'!$A1:$AE667,6,FALSE)</f>
        <v>11.9319344977847</v>
      </c>
      <c r="S659" s="79">
        <f>VLOOKUP(B659,'Player Data'!$A1:$AE667,7,FALSE)*$Q659*_xlfn.IFERROR((VLOOKUP(P659,'Settings'!$E$28:$F$33,2,FALSE)+1),1)</f>
        <v>9.67935051114006</v>
      </c>
      <c r="T659" s="79">
        <f>VLOOKUP(B659,'Player Data'!$A1:$AE667,8,FALSE)*$Q659*_xlfn.IFERROR((VLOOKUP(P659,'Settings'!$E$28:$F$33,2,FALSE)+1),1)</f>
        <v>10.4682469513232</v>
      </c>
      <c r="U659" s="79">
        <f>SUM(S659:T659)</f>
        <v>20.1475974624633</v>
      </c>
      <c r="V659" s="79">
        <f>VLOOKUP(B659,'Player Data'!$A1:$AE667,10,FALSE)*$Q659*_xlfn.IFERROR(((VLOOKUP(P659,'Settings'!$E$28:$F$33,2,FALSE)/2)+1),1)</f>
        <v>81.08847710293919</v>
      </c>
      <c r="W659" s="79">
        <f>VLOOKUP(B659,'Player Data'!$A1:$AE667,11,FALSE)*$Q659*_xlfn.IFERROR((VLOOKUP(P659,'Settings'!$E$28:$F$33,2,FALSE)+1),1)</f>
        <v>0.498610182482284</v>
      </c>
      <c r="X659" s="79">
        <f>VLOOKUP(B659,'Player Data'!$A1:$AE667,12,FALSE)*$Q659*_xlfn.IFERROR((VLOOKUP(P659,'Settings'!$E$28:$F$33,2,FALSE)+1),1)</f>
        <v>1.15551126622984</v>
      </c>
      <c r="Y659" s="79">
        <f>VLOOKUP(B659,'Player Data'!$A1:$AE667,13,FALSE)*$Q659</f>
        <v>0.00169695458775062</v>
      </c>
      <c r="Z659" s="79">
        <f>VLOOKUP(B659,'Player Data'!$A1:$AE667,14,FALSE)*$Q659</f>
        <v>0.00288107257284471</v>
      </c>
      <c r="AA659" s="79">
        <f>VLOOKUP(B659,'Player Data'!$A1:$AE667,15,FALSE)*$Q659</f>
        <v>27.103206368964</v>
      </c>
      <c r="AB659" s="79">
        <f>VLOOKUP(B659,'Player Data'!$A1:$AE667,16,FALSE)*$Q659</f>
        <v>43.4204831651778</v>
      </c>
      <c r="AC659" s="79">
        <f>VLOOKUP(B659,'Player Data'!$A1:$AE667,17,FALSE)*$Q659*_xlfn.IFERROR((VLOOKUP(P659,'Settings'!$E$28:$F$33,2,FALSE)+1),1)</f>
        <v>-2.6085919163689</v>
      </c>
      <c r="AD659" s="79">
        <f>VLOOKUP(B659,'Player Data'!$A1:$AE667,18,FALSE)*$Q659</f>
        <v>17.1049151350335</v>
      </c>
      <c r="AE659" s="79">
        <f>VLOOKUP(B659,'Player Data'!$A1:$AE667,19,FALSE)*$Q659*_xlfn.IFERROR((VLOOKUP(P659,'Settings'!$E$28:$F$33,2,FALSE)+1),1)</f>
        <v>1.16533662895068</v>
      </c>
      <c r="AF659" s="79">
        <f>VLOOKUP(B659,'Player Data'!$A1:$AE667,20,FALSE)*$Q659</f>
        <v>2.31881841769819</v>
      </c>
      <c r="AG659" s="79">
        <f>VLOOKUP(B659,'Player Data'!$A1:$AE667,21,FALSE)*$Q659</f>
        <v>2.31881841769819</v>
      </c>
      <c r="AH659" s="81">
        <f>VLOOKUP(B659,'Player Data'!$A1:$AE667,22,FALSE)</f>
        <v>0.5</v>
      </c>
      <c r="AI659" s="77"/>
      <c r="AJ659" s="79"/>
      <c r="AK659" s="79"/>
      <c r="AL659" s="79"/>
      <c r="AM659" s="79"/>
      <c r="AN659" s="79"/>
      <c r="AO659" s="79"/>
      <c r="AP659" s="79"/>
      <c r="AQ659" s="82"/>
      <c r="AR659" s="83"/>
      <c r="AS659" s="84"/>
    </row>
    <row r="660" ht="21.25" customHeight="1">
      <c r="A660" s="85">
        <f>RANK(K660,K$1:K$665)</f>
        <v>656</v>
      </c>
      <c r="B660" t="s" s="16">
        <v>850</v>
      </c>
      <c r="C660" t="s" s="69">
        <v>127</v>
      </c>
      <c r="D660" t="s" s="70">
        <f>VLOOKUP(B660,'Player Data'!A1:D667,4,FALSE)</f>
        <v>153</v>
      </c>
      <c r="E660" s="95">
        <f>VLOOKUP(B660,'D'!A1:C213,3,FALSE)</f>
        <v>211</v>
      </c>
      <c r="F660" t="s" s="78">
        <f>VLOOKUP(B660,'Player Data'!A1:B667,2,FALSE)</f>
        <v>194</v>
      </c>
      <c r="G660" s="96">
        <f>VLOOKUP(B660,'Player Data'!A1:D667,3,FALSE)</f>
        <v>23</v>
      </c>
      <c r="H660" s="73">
        <f>_xlfn.IFERROR(VLOOKUP(B660,'ADP'!A1:G665,7,FALSE)/1000000,VLOOKUP(B660,'ADP'!A1:G665,7,FALSE))</f>
        <v>0.775</v>
      </c>
      <c r="I660" s="74">
        <f>IF('Settings'!$E$15="POINTS",((R660*Q660)*'Settings'!$B$12)+(S660*'Settings'!$B$2)+(T660*'Settings'!$B$3)+(U660*'Settings'!$B$4)+(V660*'Settings'!$B$5)+(X660*'Settings'!$B$9)+(AA660*'Settings'!$B$6)+(W660*'Settings'!$B$8)+(AB660*'Settings'!$B$7)+(AC660*'Settings'!$B$14)+(AD660*'Settings'!$B$15)+(AE660*'Settings'!$B$16)+(AF660*'Settings'!$B$17)+(AG660*'Settings'!$B$18)+(U660*'Settings'!$B$13)+(Y660*'Settings'!$B$10)+(Z660*'Settings'!$B$11),VLOOKUP(B660,'Standard Deviations'!A1:C666,3,FALSE))</f>
        <v>115.986987639388</v>
      </c>
      <c r="J660" s="75">
        <f>IF(D660="G",I660/AJ660,I660/Q660)</f>
        <v>2.10885432071615</v>
      </c>
      <c r="K660" s="74">
        <f>VLOOKUP(B660,'D'!A1:F213,6,FALSE)</f>
        <v>-215.553220280694</v>
      </c>
      <c r="L660" s="76">
        <f>_xlfn.IFERROR(K660/H660,"N/A")</f>
        <v>-278.133187458960</v>
      </c>
      <c r="M660" s="109">
        <f>IF('Settings'!$E$9="YAHOO",VLOOKUP(B660,'ADP'!A1:E665,2,FALSE),IF('Settings'!$E$9="ESPN",VLOOKUP(B660,'ADP'!A1:E665,3,FALSE),IF('Settings'!$E$9="FANTRAX",VLOOKUP(B660,'ADP'!A1:E665,4,FALSE),VLOOKUP(B660,'ADP'!A1:E665,5,FALSE))))</f>
        <v>0</v>
      </c>
      <c r="N660" s="79">
        <f>_xlfn.IFERROR(M660-A660,"N/A")</f>
        <v>-656</v>
      </c>
      <c r="O660" s="77"/>
      <c r="P660" t="s" s="78">
        <f>IF('Settings'!$E$27="ON",VLOOKUP(B660,'ADP'!A1:H665,8,FALSE)," ")</f>
        <v>138</v>
      </c>
      <c r="Q660" s="79">
        <f>IF('Settings'!$E$12="YES",VLOOKUP(B660,'Player Data'!A1:E667,5,FALSE),82)</f>
        <v>55</v>
      </c>
      <c r="R660" s="77">
        <f>VLOOKUP(B660,'Player Data'!$A1:$AE667,6,FALSE)</f>
        <v>13.9889564529031</v>
      </c>
      <c r="S660" s="79">
        <f>VLOOKUP(B660,'Player Data'!$A1:$AE667,7,FALSE)*$Q660*_xlfn.IFERROR((VLOOKUP(P660,'Settings'!$E$28:$F$33,2,FALSE)+1),1)</f>
        <v>1.7982672017894</v>
      </c>
      <c r="T660" s="79">
        <f>VLOOKUP(B660,'Player Data'!$A1:$AE667,8,FALSE)*$Q660*_xlfn.IFERROR((VLOOKUP(P660,'Settings'!$E$28:$F$33,2,FALSE)+1),1)</f>
        <v>8.610702758499</v>
      </c>
      <c r="U660" s="79">
        <f>SUM(S660:T660)</f>
        <v>10.4089699602884</v>
      </c>
      <c r="V660" s="79">
        <f>VLOOKUP(B660,'Player Data'!$A1:$AE667,10,FALSE)*$Q660*_xlfn.IFERROR(((VLOOKUP(P660,'Settings'!$E$28:$F$33,2,FALSE)/2)+1),1)</f>
        <v>50.0044834559694</v>
      </c>
      <c r="W660" s="79">
        <f>VLOOKUP(B660,'Player Data'!$A1:$AE667,11,FALSE)*$Q660*_xlfn.IFERROR((VLOOKUP(P660,'Settings'!$E$28:$F$33,2,FALSE)+1),1)</f>
        <v>0.00200234156043661</v>
      </c>
      <c r="X660" s="79">
        <f>VLOOKUP(B660,'Player Data'!$A1:$AE667,12,FALSE)*$Q660*_xlfn.IFERROR((VLOOKUP(P660,'Settings'!$E$28:$F$33,2,FALSE)+1),1)</f>
        <v>0.012566993060547</v>
      </c>
      <c r="Y660" s="79">
        <f>VLOOKUP(B660,'Player Data'!$A1:$AE667,13,FALSE)*$Q660</f>
        <v>0.0374630663553102</v>
      </c>
      <c r="Z660" s="79">
        <f>VLOOKUP(B660,'Player Data'!$A1:$AE667,14,FALSE)*$Q660</f>
        <v>0.181728470603004</v>
      </c>
      <c r="AA660" s="79">
        <f>VLOOKUP(B660,'Player Data'!$A1:$AE667,15,FALSE)*$Q660</f>
        <v>58.659441947606</v>
      </c>
      <c r="AB660" s="79">
        <f>VLOOKUP(B660,'Player Data'!$A1:$AE667,16,FALSE)*$Q660</f>
        <v>67.1702355027776</v>
      </c>
      <c r="AC660" s="79">
        <f>VLOOKUP(B660,'Player Data'!$A1:$AE667,17,FALSE)*$Q660*_xlfn.IFERROR((VLOOKUP(P660,'Settings'!$E$28:$F$33,2,FALSE)+1),1)</f>
        <v>2.05520037463267</v>
      </c>
      <c r="AD660" s="79">
        <f>VLOOKUP(B660,'Player Data'!$A1:$AE667,18,FALSE)*$Q660</f>
        <v>18.3701466596856</v>
      </c>
      <c r="AE660" s="79">
        <f>VLOOKUP(B660,'Player Data'!$A1:$AE667,19,FALSE)*$Q660*_xlfn.IFERROR((VLOOKUP(P660,'Settings'!$E$28:$F$33,2,FALSE)+1),1)</f>
        <v>0.2713159397094</v>
      </c>
      <c r="AF660" s="79">
        <f>VLOOKUP(B660,'Player Data'!$A1:$AE667,20,FALSE)*$Q660</f>
        <v>0</v>
      </c>
      <c r="AG660" s="79">
        <f>VLOOKUP(B660,'Player Data'!$A1:$AE667,21,FALSE)*$Q660</f>
        <v>0</v>
      </c>
      <c r="AH660" s="81">
        <f>VLOOKUP(B660,'Player Data'!$A1:$AE667,22,FALSE)</f>
        <v>0</v>
      </c>
      <c r="AI660" s="77"/>
      <c r="AJ660" s="89"/>
      <c r="AK660" s="79"/>
      <c r="AL660" s="79"/>
      <c r="AM660" s="79"/>
      <c r="AN660" s="79"/>
      <c r="AO660" s="79"/>
      <c r="AP660" s="79"/>
      <c r="AQ660" s="82"/>
      <c r="AR660" s="83"/>
      <c r="AS660" s="84"/>
    </row>
    <row r="661" ht="21.25" customHeight="1">
      <c r="A661" s="85">
        <f>RANK(K661,K$1:K$665)</f>
        <v>660</v>
      </c>
      <c r="B661" t="s" s="16">
        <v>851</v>
      </c>
      <c r="C661" t="s" s="69">
        <v>127</v>
      </c>
      <c r="D661" t="s" s="70">
        <f>VLOOKUP(B661,'Player Data'!A1:D667,4,FALSE)</f>
        <v>140</v>
      </c>
      <c r="E661" s="90">
        <f>VLOOKUP(B661,'RW'!A1:F136,3,FALSE)</f>
        <v>133</v>
      </c>
      <c r="F661" t="s" s="86">
        <f>VLOOKUP(B661,'Player Data'!A1:B667,2,FALSE)</f>
        <v>174</v>
      </c>
      <c r="G661" s="96">
        <f>VLOOKUP(B661,'Player Data'!A1:D667,3,FALSE)</f>
        <v>21</v>
      </c>
      <c r="H661" s="94">
        <f>_xlfn.IFERROR(VLOOKUP(B661,'ADP'!A1:G665,7,FALSE)/1000000,VLOOKUP(B661,'ADP'!A1:G665,7,FALSE))</f>
        <v>0.925</v>
      </c>
      <c r="I661" s="74">
        <f>IF('Settings'!$E$15="POINTS",((R661*Q661)*'Settings'!$B$12)+(S661*'Settings'!$B$2)+(T661*'Settings'!$B$3)+(U661*'Settings'!$B$4)+(V661*'Settings'!$B$5)+(X661*'Settings'!$B$9)+(AA661*'Settings'!$B$6)+(W661*'Settings'!$B$8)+(AB661*'Settings'!$B$7)+(AC661*'Settings'!$B$14)+(AD661*'Settings'!$B$15)+(AE661*'Settings'!$B$16)+(AF661*'Settings'!$B$17)+(AG661*'Settings'!$B$18)+(Y661*'Settings'!$B$10)+(Z661*'Settings'!$B$11),VLOOKUP(B661,'Standard Deviations'!A1:C666,3,FALSE))</f>
        <v>103.815607065528</v>
      </c>
      <c r="J661" s="75">
        <f>IF(D661="G",I661/AJ661,I661/Q661)</f>
        <v>1.67147974666765</v>
      </c>
      <c r="K661" s="74">
        <f>IF('Settings'!$E$18="C/LW/RW",VLOOKUP(B661,'RW'!A1:F136,6,FALSE),VLOOKUP(B661,'F'!A1:F392,6,FALSE))</f>
        <v>-225.876287015650</v>
      </c>
      <c r="L661" s="76">
        <f>_xlfn.IFERROR(K661/H661,"N/A")</f>
        <v>-244.190580557459</v>
      </c>
      <c r="M661" s="109">
        <f>IF('Settings'!$E$9="YAHOO",VLOOKUP(B661,'ADP'!A1:E665,2,FALSE),IF('Settings'!$E$9="ESPN",VLOOKUP(B661,'ADP'!A1:E665,3,FALSE),IF('Settings'!$E$9="FANTRAX",VLOOKUP(B661,'ADP'!A1:E665,4,FALSE),VLOOKUP(B661,'ADP'!A1:E665,5,FALSE))))</f>
        <v>0</v>
      </c>
      <c r="N661" s="79">
        <f>_xlfn.IFERROR(M661-A661,"N/A")</f>
        <v>-660</v>
      </c>
      <c r="O661" s="77"/>
      <c r="P661" t="s" s="78">
        <f>IF('Settings'!$E$27="ON",VLOOKUP(B661,'ADP'!A1:H665,8,FALSE)," ")</f>
        <v>138</v>
      </c>
      <c r="Q661" s="79">
        <f>IF('Settings'!$E$12="YES",VLOOKUP(B661,'Player Data'!A1:E667,5,FALSE),82)</f>
        <v>62.11</v>
      </c>
      <c r="R661" s="108">
        <f>VLOOKUP(B661,'Player Data'!$A1:$AE667,6,FALSE)</f>
        <v>11.4696262009113</v>
      </c>
      <c r="S661" s="79">
        <f>VLOOKUP(B661,'Player Data'!$A1:$AE667,7,FALSE)*$Q661*_xlfn.IFERROR((VLOOKUP(P661,'Settings'!$E$28:$F$33,2,FALSE)+1),1)</f>
        <v>6.50106075779246</v>
      </c>
      <c r="T661" s="79">
        <f>VLOOKUP(B661,'Player Data'!$A1:$AE667,8,FALSE)*$Q661*_xlfn.IFERROR((VLOOKUP(P661,'Settings'!$E$28:$F$33,2,FALSE)+1),1)</f>
        <v>10.3731205588797</v>
      </c>
      <c r="U661" s="79">
        <f>SUM(S661:T661)</f>
        <v>16.8741813166722</v>
      </c>
      <c r="V661" s="79">
        <f>VLOOKUP(B661,'Player Data'!$A1:$AE667,10,FALSE)*$Q661*_xlfn.IFERROR(((VLOOKUP(P661,'Settings'!$E$28:$F$33,2,FALSE)/2)+1),1)</f>
        <v>91.3495078873019</v>
      </c>
      <c r="W661" s="79">
        <f>VLOOKUP(B661,'Player Data'!$A1:$AE667,11,FALSE)*$Q661*_xlfn.IFERROR((VLOOKUP(P661,'Settings'!$E$28:$F$33,2,FALSE)+1),1)</f>
        <v>1.56931534782405</v>
      </c>
      <c r="X661" s="79">
        <f>VLOOKUP(B661,'Player Data'!$A1:$AE667,12,FALSE)*$Q661*_xlfn.IFERROR((VLOOKUP(P661,'Settings'!$E$28:$F$33,2,FALSE)+1),1)</f>
        <v>2.6729074339611</v>
      </c>
      <c r="Y661" s="79">
        <f>VLOOKUP(B661,'Player Data'!$A1:$AE667,13,FALSE)*$Q661</f>
        <v>0.114852853304461</v>
      </c>
      <c r="Z661" s="79">
        <f>VLOOKUP(B661,'Player Data'!$A1:$AE667,14,FALSE)*$Q661</f>
        <v>0.191235891923667</v>
      </c>
      <c r="AA661" s="79">
        <f>VLOOKUP(B661,'Player Data'!$A1:$AE667,15,FALSE)*$Q661</f>
        <v>17.8738947207822</v>
      </c>
      <c r="AB661" s="79">
        <f>VLOOKUP(B661,'Player Data'!$A1:$AE667,16,FALSE)*$Q661</f>
        <v>44.4484384755112</v>
      </c>
      <c r="AC661" s="79">
        <f>VLOOKUP(B661,'Player Data'!$A1:$AE667,17,FALSE)*$Q661*_xlfn.IFERROR((VLOOKUP(P661,'Settings'!$E$28:$F$33,2,FALSE)+1),1)</f>
        <v>-3.49365803069542</v>
      </c>
      <c r="AD661" s="79">
        <f>VLOOKUP(B661,'Player Data'!$A1:$AE667,18,FALSE)*$Q661</f>
        <v>17.8209130439544</v>
      </c>
      <c r="AE661" s="79">
        <f>VLOOKUP(B661,'Player Data'!$A1:$AE667,19,FALSE)*$Q661*_xlfn.IFERROR((VLOOKUP(P661,'Settings'!$E$28:$F$33,2,FALSE)+1),1)</f>
        <v>0.9444986701507599</v>
      </c>
      <c r="AF661" s="79">
        <f>VLOOKUP(B661,'Player Data'!$A1:$AE667,20,FALSE)*$Q661</f>
        <v>8.022051252644699</v>
      </c>
      <c r="AG661" s="79">
        <f>VLOOKUP(B661,'Player Data'!$A1:$AE667,21,FALSE)*$Q661</f>
        <v>23.3244514782949</v>
      </c>
      <c r="AH661" s="81">
        <f>VLOOKUP(B661,'Player Data'!$A1:$AE667,22,FALSE)</f>
        <v>0.255915351115925</v>
      </c>
      <c r="AI661" s="77"/>
      <c r="AJ661" s="89"/>
      <c r="AK661" s="79"/>
      <c r="AL661" s="79"/>
      <c r="AM661" s="79"/>
      <c r="AN661" s="79"/>
      <c r="AO661" s="79"/>
      <c r="AP661" s="79"/>
      <c r="AQ661" s="82"/>
      <c r="AR661" s="83"/>
      <c r="AS661" s="84"/>
    </row>
    <row r="662" ht="21.25" customHeight="1">
      <c r="A662" s="85">
        <f>RANK(K662,K$1:K$665)</f>
        <v>661</v>
      </c>
      <c r="B662" t="s" s="16">
        <v>852</v>
      </c>
      <c r="C662" t="s" s="69">
        <v>127</v>
      </c>
      <c r="D662" t="s" s="70">
        <f>VLOOKUP(B662,'Player Data'!A1:D667,4,FALSE)</f>
        <v>128</v>
      </c>
      <c r="E662" s="71">
        <f>VLOOKUP(B662,'C'!A1:C206,3,FALSE)</f>
        <v>202</v>
      </c>
      <c r="F662" t="s" s="78">
        <f>VLOOKUP(B662,'Player Data'!A1:B667,2,FALSE)</f>
        <v>168</v>
      </c>
      <c r="G662" s="11">
        <f>VLOOKUP(B662,'Player Data'!A1:D667,3,FALSE)</f>
        <v>24</v>
      </c>
      <c r="H662" s="73">
        <f>_xlfn.IFERROR(VLOOKUP(B662,'ADP'!A1:G665,7,FALSE)/1000000,VLOOKUP(B662,'ADP'!A1:G665,7,FALSE))</f>
        <v>0.835</v>
      </c>
      <c r="I662" s="74">
        <f>IF('Settings'!$E$15="POINTS",((R662*Q662)*'Settings'!$B$12)+(S662*'Settings'!$B$2)+(T662*'Settings'!$B$3)+(U662*'Settings'!$B$4)+(V662*'Settings'!$B$5)+(X662*'Settings'!$B$9)+(AA662*'Settings'!$B$6)+(W662*'Settings'!$B$8)+(AB662*'Settings'!$B$7)+(AC662*'Settings'!$B$14)+(AD662*'Settings'!$B$15)+(AE662*'Settings'!$B$16)+(AF662*'Settings'!$B$17)+(AG662*'Settings'!$B$18)+(Y662*'Settings'!$B$10)+(Z662*'Settings'!$B$11),VLOOKUP(B662,'Standard Deviations'!A1:C666,3,FALSE))</f>
        <v>98.4974128592571</v>
      </c>
      <c r="J662" s="75">
        <f>IF(D662="G",I662/AJ662,I662/Q662)</f>
        <v>1.51191393160531</v>
      </c>
      <c r="K662" s="74">
        <f>IF('Settings'!$E$18="C/LW/RW",VLOOKUP(B662,'C'!A1:F206,6,FALSE),VLOOKUP(B662,'F'!A1:F392,6,FALSE))</f>
        <v>-231.194481221921</v>
      </c>
      <c r="L662" s="76">
        <f>_xlfn.IFERROR(K662/H662,"N/A")</f>
        <v>-276.879618229846</v>
      </c>
      <c r="M662" s="109">
        <f>IF('Settings'!$E$9="YAHOO",VLOOKUP(B662,'ADP'!A1:E665,2,FALSE),IF('Settings'!$E$9="ESPN",VLOOKUP(B662,'ADP'!A1:E665,3,FALSE),IF('Settings'!$E$9="FANTRAX",VLOOKUP(B662,'ADP'!A1:E665,4,FALSE),VLOOKUP(B662,'ADP'!A1:E665,5,FALSE))))</f>
        <v>0</v>
      </c>
      <c r="N662" s="79">
        <f>_xlfn.IFERROR(M662-A662,"N/A")</f>
        <v>-661</v>
      </c>
      <c r="O662" s="77"/>
      <c r="P662" t="s" s="78">
        <f>IF('Settings'!$E$27="ON",VLOOKUP(B662,'ADP'!A1:H665,8,FALSE)," ")</f>
        <v>138</v>
      </c>
      <c r="Q662" s="79">
        <f>IF('Settings'!$E$12="YES",VLOOKUP(B662,'Player Data'!A1:E667,5,FALSE),82)</f>
        <v>65.14749999999999</v>
      </c>
      <c r="R662" s="77">
        <f>VLOOKUP(B662,'Player Data'!$A1:$AE667,6,FALSE)</f>
        <v>9.370518061413209</v>
      </c>
      <c r="S662" s="79">
        <f>VLOOKUP(B662,'Player Data'!$A1:$AE667,7,FALSE)*$Q662*_xlfn.IFERROR((VLOOKUP(P662,'Settings'!$E$28:$F$33,2,FALSE)+1),1)</f>
        <v>3.89213491911916</v>
      </c>
      <c r="T662" s="79">
        <f>VLOOKUP(B662,'Player Data'!$A1:$AE667,8,FALSE)*$Q662*_xlfn.IFERROR((VLOOKUP(P662,'Settings'!$E$28:$F$33,2,FALSE)+1),1)</f>
        <v>7.48217383209396</v>
      </c>
      <c r="U662" s="79">
        <f>SUM(S662:T662)</f>
        <v>11.3743087512131</v>
      </c>
      <c r="V662" s="79">
        <f>VLOOKUP(B662,'Player Data'!$A1:$AE667,10,FALSE)*$Q662*_xlfn.IFERROR(((VLOOKUP(P662,'Settings'!$E$28:$F$33,2,FALSE)/2)+1),1)</f>
        <v>53.4134403876206</v>
      </c>
      <c r="W662" s="79">
        <f>VLOOKUP(B662,'Player Data'!$A1:$AE667,11,FALSE)*$Q662*_xlfn.IFERROR((VLOOKUP(P662,'Settings'!$E$28:$F$33,2,FALSE)+1),1)</f>
        <v>0.0379073104415517</v>
      </c>
      <c r="X662" s="79">
        <f>VLOOKUP(B662,'Player Data'!$A1:$AE667,12,FALSE)*$Q662*_xlfn.IFERROR((VLOOKUP(P662,'Settings'!$E$28:$F$33,2,FALSE)+1),1)</f>
        <v>0.0865937874243532</v>
      </c>
      <c r="Y662" s="79">
        <f>VLOOKUP(B662,'Player Data'!$A1:$AE667,13,FALSE)*$Q662</f>
        <v>0.139550906073328</v>
      </c>
      <c r="Z662" s="79">
        <f>VLOOKUP(B662,'Player Data'!$A1:$AE667,14,FALSE)*$Q662</f>
        <v>0.5789144070946211</v>
      </c>
      <c r="AA662" s="79">
        <f>VLOOKUP(B662,'Player Data'!$A1:$AE667,15,FALSE)*$Q662</f>
        <v>31.4180160359169</v>
      </c>
      <c r="AB662" s="79">
        <f>VLOOKUP(B662,'Player Data'!$A1:$AE667,16,FALSE)*$Q662</f>
        <v>58.0371026013349</v>
      </c>
      <c r="AC662" s="79">
        <f>VLOOKUP(B662,'Player Data'!$A1:$AE667,17,FALSE)*$Q662*_xlfn.IFERROR((VLOOKUP(P662,'Settings'!$E$28:$F$33,2,FALSE)+1),1)</f>
        <v>1.29519147883575</v>
      </c>
      <c r="AD662" s="79">
        <f>VLOOKUP(B662,'Player Data'!$A1:$AE667,18,FALSE)*$Q662</f>
        <v>9.929944221874919</v>
      </c>
      <c r="AE662" s="79">
        <f>VLOOKUP(B662,'Player Data'!$A1:$AE667,19,FALSE)*$Q662*_xlfn.IFERROR((VLOOKUP(P662,'Settings'!$E$28:$F$33,2,FALSE)+1),1)</f>
        <v>0.646976190346942</v>
      </c>
      <c r="AF662" s="79">
        <f>VLOOKUP(B662,'Player Data'!$A1:$AE667,20,FALSE)*$Q662</f>
        <v>164.156188563349</v>
      </c>
      <c r="AG662" s="79">
        <f>VLOOKUP(B662,'Player Data'!$A1:$AE667,21,FALSE)*$Q662</f>
        <v>152.779545459594</v>
      </c>
      <c r="AH662" s="81">
        <f>VLOOKUP(B662,'Player Data'!$A1:$AE667,22,FALSE)</f>
        <v>0.517947870628769</v>
      </c>
      <c r="AI662" s="77"/>
      <c r="AJ662" s="89"/>
      <c r="AK662" s="79"/>
      <c r="AL662" s="79"/>
      <c r="AM662" s="79"/>
      <c r="AN662" s="79"/>
      <c r="AO662" s="79"/>
      <c r="AP662" s="79"/>
      <c r="AQ662" s="82"/>
      <c r="AR662" s="83"/>
      <c r="AS662" s="84"/>
    </row>
    <row r="663" ht="21.25" customHeight="1">
      <c r="A663" s="85">
        <f>RANK(K663,K$1:K$665)</f>
        <v>662</v>
      </c>
      <c r="B663" t="s" s="16">
        <v>853</v>
      </c>
      <c r="C663" t="s" s="69">
        <v>127</v>
      </c>
      <c r="D663" t="s" s="70">
        <f>VLOOKUP(B663,'Player Data'!A1:D667,4,FALSE)</f>
        <v>128</v>
      </c>
      <c r="E663" s="71">
        <f>VLOOKUP(B663,'C'!A1:C206,3,FALSE)</f>
        <v>203</v>
      </c>
      <c r="F663" t="s" s="88">
        <f>VLOOKUP(B663,'Player Data'!A1:B667,2,FALSE)</f>
        <v>137</v>
      </c>
      <c r="G663" s="11">
        <f>VLOOKUP(B663,'Player Data'!A1:D667,3,FALSE)</f>
        <v>28</v>
      </c>
      <c r="H663" s="73">
        <f>_xlfn.IFERROR(VLOOKUP(B663,'ADP'!A1:G665,7,FALSE)/1000000,VLOOKUP(B663,'ADP'!A1:G665,7,FALSE))</f>
        <v>0.775</v>
      </c>
      <c r="I663" s="74">
        <f>IF('Settings'!$E$15="POINTS",((R663*Q663)*'Settings'!$B$12)+(S663*'Settings'!$B$2)+(T663*'Settings'!$B$3)+(U663*'Settings'!$B$4)+(V663*'Settings'!$B$5)+(X663*'Settings'!$B$9)+(AA663*'Settings'!$B$6)+(W663*'Settings'!$B$8)+(AB663*'Settings'!$B$7)+(AC663*'Settings'!$B$14)+(AD663*'Settings'!$B$15)+(AE663*'Settings'!$B$16)+(AF663*'Settings'!$B$17)+(AG663*'Settings'!$B$18)+(Y663*'Settings'!$B$10)+(Z663*'Settings'!$B$11),VLOOKUP(B663,'Standard Deviations'!A1:C666,3,FALSE))</f>
        <v>96.9668223762322</v>
      </c>
      <c r="J663" s="75">
        <f>IF(D663="G",I663/AJ663,I663/Q663)</f>
        <v>1.41505760490671</v>
      </c>
      <c r="K663" s="74">
        <f>IF('Settings'!$E$18="C/LW/RW",VLOOKUP(B663,'C'!A1:F206,6,FALSE),VLOOKUP(B663,'F'!A1:F392,6,FALSE))</f>
        <v>-232.725071704946</v>
      </c>
      <c r="L663" s="76">
        <f>_xlfn.IFERROR(K663/H663,"N/A")</f>
        <v>-300.290415103156</v>
      </c>
      <c r="M663" s="109">
        <f>IF('Settings'!$E$9="YAHOO",VLOOKUP(B663,'ADP'!A1:E665,2,FALSE),IF('Settings'!$E$9="ESPN",VLOOKUP(B663,'ADP'!A1:E665,3,FALSE),IF('Settings'!$E$9="FANTRAX",VLOOKUP(B663,'ADP'!A1:E665,4,FALSE),VLOOKUP(B663,'ADP'!A1:E665,5,FALSE))))</f>
        <v>0</v>
      </c>
      <c r="N663" s="79">
        <f>_xlfn.IFERROR(M663-A663,"N/A")</f>
        <v>-662</v>
      </c>
      <c r="O663" s="77"/>
      <c r="P663" t="s" s="78">
        <f>IF('Settings'!$E$27="ON",VLOOKUP(B663,'ADP'!A1:H665,8,FALSE)," ")</f>
        <v>138</v>
      </c>
      <c r="Q663" s="79">
        <f>IF('Settings'!$E$12="YES",VLOOKUP(B663,'Player Data'!A1:E667,5,FALSE),82)</f>
        <v>68.52500000000001</v>
      </c>
      <c r="R663" s="77">
        <f>VLOOKUP(B663,'Player Data'!$A1:$AE667,6,FALSE)</f>
        <v>6.37778321793296</v>
      </c>
      <c r="S663" s="79">
        <f>VLOOKUP(B663,'Player Data'!$A1:$AE667,7,FALSE)*$Q663*_xlfn.IFERROR((VLOOKUP(P663,'Settings'!$E$28:$F$33,2,FALSE)+1),1)</f>
        <v>3.09753417013492</v>
      </c>
      <c r="T663" s="79">
        <f>VLOOKUP(B663,'Player Data'!$A1:$AE667,8,FALSE)*$Q663*_xlfn.IFERROR((VLOOKUP(P663,'Settings'!$E$28:$F$33,2,FALSE)+1),1)</f>
        <v>4.0957455863709</v>
      </c>
      <c r="U663" s="79">
        <f>SUM(S663:T663)</f>
        <v>7.19327975650582</v>
      </c>
      <c r="V663" s="79">
        <f>VLOOKUP(B663,'Player Data'!$A1:$AE667,10,FALSE)*$Q663*_xlfn.IFERROR(((VLOOKUP(P663,'Settings'!$E$28:$F$33,2,FALSE)/2)+1),1)</f>
        <v>45.9292708454366</v>
      </c>
      <c r="W663" s="79">
        <f>VLOOKUP(B663,'Player Data'!$A1:$AE667,11,FALSE)*$Q663*_xlfn.IFERROR((VLOOKUP(P663,'Settings'!$E$28:$F$33,2,FALSE)+1),1)</f>
        <v>0.0462935082000952</v>
      </c>
      <c r="X663" s="79">
        <f>VLOOKUP(B663,'Player Data'!$A1:$AE667,12,FALSE)*$Q663*_xlfn.IFERROR((VLOOKUP(P663,'Settings'!$E$28:$F$33,2,FALSE)+1),1)</f>
        <v>0.108748696324299</v>
      </c>
      <c r="Y663" s="79">
        <f>VLOOKUP(B663,'Player Data'!$A1:$AE667,13,FALSE)*$Q663</f>
        <v>0</v>
      </c>
      <c r="Z663" s="79">
        <f>VLOOKUP(B663,'Player Data'!$A1:$AE667,14,FALSE)*$Q663</f>
        <v>0</v>
      </c>
      <c r="AA663" s="79">
        <f>VLOOKUP(B663,'Player Data'!$A1:$AE667,15,FALSE)*$Q663</f>
        <v>18.257984430873</v>
      </c>
      <c r="AB663" s="79">
        <f>VLOOKUP(B663,'Player Data'!$A1:$AE667,16,FALSE)*$Q663</f>
        <v>97.8613035227126</v>
      </c>
      <c r="AC663" s="79">
        <f>VLOOKUP(B663,'Player Data'!$A1:$AE667,17,FALSE)*$Q663*_xlfn.IFERROR((VLOOKUP(P663,'Settings'!$E$28:$F$33,2,FALSE)+1),1)</f>
        <v>-1.23651782295832</v>
      </c>
      <c r="AD663" s="79">
        <f>VLOOKUP(B663,'Player Data'!$A1:$AE667,18,FALSE)*$Q663</f>
        <v>40.2776530005761</v>
      </c>
      <c r="AE663" s="79">
        <f>VLOOKUP(B663,'Player Data'!$A1:$AE667,19,FALSE)*$Q663*_xlfn.IFERROR((VLOOKUP(P663,'Settings'!$E$28:$F$33,2,FALSE)+1),1)</f>
        <v>0.480936286492179</v>
      </c>
      <c r="AF663" s="79">
        <f>VLOOKUP(B663,'Player Data'!$A1:$AE667,20,FALSE)*$Q663</f>
        <v>22.2391394402897</v>
      </c>
      <c r="AG663" s="79">
        <f>VLOOKUP(B663,'Player Data'!$A1:$AE667,21,FALSE)*$Q663</f>
        <v>21.2194961355279</v>
      </c>
      <c r="AH663" s="81">
        <f>VLOOKUP(B663,'Player Data'!$A1:$AE667,22,FALSE)</f>
        <v>0.511731193251373</v>
      </c>
      <c r="AI663" s="77"/>
      <c r="AJ663" s="89"/>
      <c r="AK663" s="79"/>
      <c r="AL663" s="79"/>
      <c r="AM663" s="79"/>
      <c r="AN663" s="79"/>
      <c r="AO663" s="79"/>
      <c r="AP663" s="79"/>
      <c r="AQ663" s="82"/>
      <c r="AR663" s="83"/>
      <c r="AS663" s="84"/>
    </row>
    <row r="664" ht="21.25" customHeight="1">
      <c r="A664" s="85">
        <f>RANK(K664,K$1:K$665)</f>
        <v>663</v>
      </c>
      <c r="B664" t="s" s="16">
        <v>854</v>
      </c>
      <c r="C664" t="s" s="69">
        <v>127</v>
      </c>
      <c r="D664" t="s" s="70">
        <f>VLOOKUP(B664,'Player Data'!A1:D667,4,FALSE)</f>
        <v>140</v>
      </c>
      <c r="E664" s="90">
        <f>VLOOKUP(B664,'RW'!A1:F136,3,FALSE)</f>
        <v>134</v>
      </c>
      <c r="F664" t="s" s="86">
        <f>VLOOKUP(B664,'Player Data'!A1:B667,2,FALSE)</f>
        <v>129</v>
      </c>
      <c r="G664" s="91">
        <f>VLOOKUP(B664,'Player Data'!A1:D667,3,FALSE)</f>
        <v>30</v>
      </c>
      <c r="H664" s="94">
        <f>_xlfn.IFERROR(VLOOKUP(B664,'ADP'!A1:G665,7,FALSE)/1000000,VLOOKUP(B664,'ADP'!A1:G665,7,FALSE))</f>
        <v>1</v>
      </c>
      <c r="I664" s="74">
        <f>IF('Settings'!$E$15="POINTS",((R664*Q664)*'Settings'!$B$12)+(S664*'Settings'!$B$2)+(T664*'Settings'!$B$3)+(U664*'Settings'!$B$4)+(V664*'Settings'!$B$5)+(X664*'Settings'!$B$9)+(AA664*'Settings'!$B$6)+(W664*'Settings'!$B$8)+(AB664*'Settings'!$B$7)+(AC664*'Settings'!$B$14)+(AD664*'Settings'!$B$15)+(AE664*'Settings'!$B$16)+(AF664*'Settings'!$B$17)+(AG664*'Settings'!$B$18)+(Y664*'Settings'!$B$10)+(Z664*'Settings'!$B$11),VLOOKUP(B664,'Standard Deviations'!A1:C666,3,FALSE))</f>
        <v>93.8423248896289</v>
      </c>
      <c r="J664" s="75">
        <f>IF(D664="G",I664/AJ664,I664/Q664)</f>
        <v>1.38917619465792</v>
      </c>
      <c r="K664" s="74">
        <f>IF('Settings'!$E$18="C/LW/RW",VLOOKUP(B664,'RW'!A1:F136,6,FALSE),VLOOKUP(B664,'F'!A1:F392,6,FALSE))</f>
        <v>-235.849569191549</v>
      </c>
      <c r="L664" s="76">
        <f>_xlfn.IFERROR(K664/H664,"N/A")</f>
        <v>-235.849569191549</v>
      </c>
      <c r="M664" s="109">
        <f>IF('Settings'!$E$9="YAHOO",VLOOKUP(B664,'ADP'!A1:E665,2,FALSE),IF('Settings'!$E$9="ESPN",VLOOKUP(B664,'ADP'!A1:E665,3,FALSE),IF('Settings'!$E$9="FANTRAX",VLOOKUP(B664,'ADP'!A1:E665,4,FALSE),VLOOKUP(B664,'ADP'!A1:E665,5,FALSE))))</f>
        <v>0</v>
      </c>
      <c r="N664" s="79">
        <f>_xlfn.IFERROR(M664-A664,"N/A")</f>
        <v>-663</v>
      </c>
      <c r="O664" s="77"/>
      <c r="P664" t="s" s="78">
        <f>IF('Settings'!$E$27="ON",VLOOKUP(B664,'ADP'!A1:H665,8,FALSE)," ")</f>
        <v>138</v>
      </c>
      <c r="Q664" s="79">
        <f>IF('Settings'!$E$12="YES",VLOOKUP(B664,'Player Data'!A1:E667,5,FALSE),82)</f>
        <v>67.55249999999999</v>
      </c>
      <c r="R664" s="77">
        <f>VLOOKUP(B664,'Player Data'!$A1:$AE667,6,FALSE)</f>
        <v>11.8875302450477</v>
      </c>
      <c r="S664" s="79">
        <f>VLOOKUP(B664,'Player Data'!$A1:$AE667,7,FALSE)*$Q664*_xlfn.IFERROR((VLOOKUP(P664,'Settings'!$E$28:$F$33,2,FALSE)+1),1)</f>
        <v>3.81646228923783</v>
      </c>
      <c r="T664" s="79">
        <f>VLOOKUP(B664,'Player Data'!$A1:$AE667,8,FALSE)*$Q664*_xlfn.IFERROR((VLOOKUP(P664,'Settings'!$E$28:$F$33,2,FALSE)+1),1)</f>
        <v>7.79030010336779</v>
      </c>
      <c r="U664" s="79">
        <f>SUM(S664:T664)</f>
        <v>11.6067623926056</v>
      </c>
      <c r="V664" s="79">
        <f>VLOOKUP(B664,'Player Data'!$A1:$AE667,10,FALSE)*$Q664*_xlfn.IFERROR(((VLOOKUP(P664,'Settings'!$E$28:$F$33,2,FALSE)/2)+1),1)</f>
        <v>86.5343435016283</v>
      </c>
      <c r="W664" s="79">
        <f>VLOOKUP(B664,'Player Data'!$A1:$AE667,11,FALSE)*$Q664*_xlfn.IFERROR((VLOOKUP(P664,'Settings'!$E$28:$F$33,2,FALSE)+1),1)</f>
        <v>0.108250203000337</v>
      </c>
      <c r="X664" s="79">
        <f>VLOOKUP(B664,'Player Data'!$A1:$AE667,12,FALSE)*$Q664*_xlfn.IFERROR((VLOOKUP(P664,'Settings'!$E$28:$F$33,2,FALSE)+1),1)</f>
        <v>0.559980388947842</v>
      </c>
      <c r="Y664" s="79">
        <f>VLOOKUP(B664,'Player Data'!$A1:$AE667,13,FALSE)*$Q664</f>
        <v>0.271633453974689</v>
      </c>
      <c r="Z664" s="79">
        <f>VLOOKUP(B664,'Player Data'!$A1:$AE667,14,FALSE)*$Q664</f>
        <v>0.890357984520457</v>
      </c>
      <c r="AA664" s="79">
        <f>VLOOKUP(B664,'Player Data'!$A1:$AE667,15,FALSE)*$Q664</f>
        <v>24.3680971406381</v>
      </c>
      <c r="AB664" s="79">
        <f>VLOOKUP(B664,'Player Data'!$A1:$AE667,16,FALSE)*$Q664</f>
        <v>42.6884118809024</v>
      </c>
      <c r="AC664" s="79">
        <f>VLOOKUP(B664,'Player Data'!$A1:$AE667,17,FALSE)*$Q664*_xlfn.IFERROR((VLOOKUP(P664,'Settings'!$E$28:$F$33,2,FALSE)+1),1)</f>
        <v>3.98396564347613</v>
      </c>
      <c r="AD664" s="79">
        <f>VLOOKUP(B664,'Player Data'!$A1:$AE667,18,FALSE)*$Q664</f>
        <v>11.1917224018828</v>
      </c>
      <c r="AE664" s="79">
        <f>VLOOKUP(B664,'Player Data'!$A1:$AE667,19,FALSE)*$Q664*_xlfn.IFERROR((VLOOKUP(P664,'Settings'!$E$28:$F$33,2,FALSE)+1),1)</f>
        <v>0.61626384928671</v>
      </c>
      <c r="AF664" s="79">
        <f>VLOOKUP(B664,'Player Data'!$A1:$AE667,20,FALSE)*$Q664</f>
        <v>18.3423307704307</v>
      </c>
      <c r="AG664" s="79">
        <f>VLOOKUP(B664,'Player Data'!$A1:$AE667,21,FALSE)*$Q664</f>
        <v>28.6212107470299</v>
      </c>
      <c r="AH664" s="81">
        <f>VLOOKUP(B664,'Player Data'!$A1:$AE667,22,FALSE)</f>
        <v>0.390565323179709</v>
      </c>
      <c r="AI664" s="77"/>
      <c r="AJ664" s="89"/>
      <c r="AK664" s="79"/>
      <c r="AL664" s="79"/>
      <c r="AM664" s="79"/>
      <c r="AN664" s="79"/>
      <c r="AO664" s="79"/>
      <c r="AP664" s="79"/>
      <c r="AQ664" s="82"/>
      <c r="AR664" s="83"/>
      <c r="AS664" s="84"/>
    </row>
    <row r="665" ht="21.25" customHeight="1">
      <c r="A665" s="85">
        <f>RANK(K665,K$1:K$665)</f>
        <v>664</v>
      </c>
      <c r="B665" t="s" s="16">
        <v>855</v>
      </c>
      <c r="C665" t="s" s="69">
        <v>127</v>
      </c>
      <c r="D665" t="s" s="70">
        <f>VLOOKUP(B665,'Player Data'!A1:D667,4,FALSE)</f>
        <v>128</v>
      </c>
      <c r="E665" s="71">
        <f>VLOOKUP(B665,'C'!A1:C206,3,FALSE)</f>
        <v>204</v>
      </c>
      <c r="F665" t="s" s="92">
        <f>VLOOKUP(B665,'Player Data'!A1:B667,2,FALSE)</f>
        <v>170</v>
      </c>
      <c r="G665" s="96">
        <f>VLOOKUP(B665,'Player Data'!A1:D667,3,FALSE)</f>
        <v>22</v>
      </c>
      <c r="H665" s="94">
        <f>_xlfn.IFERROR(VLOOKUP(B665,'ADP'!A1:G665,7,FALSE)/1000000,VLOOKUP(B665,'ADP'!A1:G665,7,FALSE))</f>
        <v>0.82</v>
      </c>
      <c r="I665" s="74">
        <f>IF('Settings'!$E$15="POINTS",((R665*Q665)*'Settings'!$B$12)+(S665*'Settings'!$B$2)+(T665*'Settings'!$B$3)+(U665*'Settings'!$B$4)+(V665*'Settings'!$B$5)+(X665*'Settings'!$B$9)+(AA665*'Settings'!$B$6)+(W665*'Settings'!$B$8)+(AB665*'Settings'!$B$7)+(AC665*'Settings'!$B$14)+(AD665*'Settings'!$B$15)+(AE665*'Settings'!$B$16)+(AF665*'Settings'!$B$17)+(AG665*'Settings'!$B$18)+(Y665*'Settings'!$B$10)+(Z665*'Settings'!$B$11),VLOOKUP(B665,'Standard Deviations'!A1:C666,3,FALSE))</f>
        <v>83.8440989246798</v>
      </c>
      <c r="J665" s="75">
        <f>IF(D665="G",I665/AJ665,I665/Q665)</f>
        <v>1.4349494938333</v>
      </c>
      <c r="K665" s="74">
        <f>IF('Settings'!$E$18="C/LW/RW",VLOOKUP(B665,'C'!A1:F206,6,FALSE),VLOOKUP(B665,'F'!A1:F392,6,FALSE))</f>
        <v>-245.847795156498</v>
      </c>
      <c r="L665" s="76">
        <f>_xlfn.IFERROR(K665/H665,"N/A")</f>
        <v>-299.814384337193</v>
      </c>
      <c r="M665" s="109">
        <f>IF('Settings'!$E$9="YAHOO",VLOOKUP(B665,'ADP'!A1:E665,2,FALSE),IF('Settings'!$E$9="ESPN",VLOOKUP(B665,'ADP'!A1:E665,3,FALSE),IF('Settings'!$E$9="FANTRAX",VLOOKUP(B665,'ADP'!A1:E665,4,FALSE),VLOOKUP(B665,'ADP'!A1:E665,5,FALSE))))</f>
        <v>0</v>
      </c>
      <c r="N665" s="79">
        <f>_xlfn.IFERROR(M665-A665,"N/A")</f>
        <v>-664</v>
      </c>
      <c r="O665" s="77"/>
      <c r="P665" t="s" s="78">
        <f>IF('Settings'!$E$27="ON",VLOOKUP(B665,'ADP'!A1:H665,8,FALSE)," ")</f>
        <v>138</v>
      </c>
      <c r="Q665" s="79">
        <f>IF('Settings'!$E$12="YES",VLOOKUP(B665,'Player Data'!A1:E667,5,FALSE),82)</f>
        <v>58.43</v>
      </c>
      <c r="R665" s="77">
        <f>VLOOKUP(B665,'Player Data'!$A1:$AE667,6,FALSE)</f>
        <v>5.6243566799052</v>
      </c>
      <c r="S665" s="79">
        <f>VLOOKUP(B665,'Player Data'!$A1:$AE667,7,FALSE)*$Q665*_xlfn.IFERROR((VLOOKUP(P665,'Settings'!$E$28:$F$33,2,FALSE)+1),1)</f>
        <v>3.45198786393264</v>
      </c>
      <c r="T665" s="79">
        <f>VLOOKUP(B665,'Player Data'!$A1:$AE667,8,FALSE)*$Q665*_xlfn.IFERROR((VLOOKUP(P665,'Settings'!$E$28:$F$33,2,FALSE)+1),1)</f>
        <v>4.27164896451778</v>
      </c>
      <c r="U665" s="79">
        <f>SUM(S665:T665)</f>
        <v>7.72363682845042</v>
      </c>
      <c r="V665" s="79">
        <f>VLOOKUP(B665,'Player Data'!$A1:$AE667,10,FALSE)*$Q665*_xlfn.IFERROR(((VLOOKUP(P665,'Settings'!$E$28:$F$33,2,FALSE)/2)+1),1)</f>
        <v>36.9474798906443</v>
      </c>
      <c r="W665" s="79">
        <f>VLOOKUP(B665,'Player Data'!$A1:$AE667,11,FALSE)*$Q665*_xlfn.IFERROR((VLOOKUP(P665,'Settings'!$E$28:$F$33,2,FALSE)+1),1)</f>
        <v>0.0467493017497507</v>
      </c>
      <c r="X665" s="79">
        <f>VLOOKUP(B665,'Player Data'!$A1:$AE667,12,FALSE)*$Q665*_xlfn.IFERROR((VLOOKUP(P665,'Settings'!$E$28:$F$33,2,FALSE)+1),1)</f>
        <v>0.107915278660805</v>
      </c>
      <c r="Y665" s="79">
        <f>VLOOKUP(B665,'Player Data'!$A1:$AE667,13,FALSE)*$Q665</f>
        <v>0.0006714250303321301</v>
      </c>
      <c r="Z665" s="79">
        <f>VLOOKUP(B665,'Player Data'!$A1:$AE667,14,FALSE)*$Q665</f>
        <v>0.00113547158944624</v>
      </c>
      <c r="AA665" s="79">
        <f>VLOOKUP(B665,'Player Data'!$A1:$AE667,15,FALSE)*$Q665</f>
        <v>14.8292665131471</v>
      </c>
      <c r="AB665" s="79">
        <f>VLOOKUP(B665,'Player Data'!$A1:$AE667,16,FALSE)*$Q665</f>
        <v>79.79133451600811</v>
      </c>
      <c r="AC665" s="79">
        <f>VLOOKUP(B665,'Player Data'!$A1:$AE667,17,FALSE)*$Q665*_xlfn.IFERROR((VLOOKUP(P665,'Settings'!$E$28:$F$33,2,FALSE)+1),1)</f>
        <v>2.48886867956135</v>
      </c>
      <c r="AD665" s="79">
        <f>VLOOKUP(B665,'Player Data'!$A1:$AE667,18,FALSE)*$Q665</f>
        <v>25.0981457886882</v>
      </c>
      <c r="AE665" s="79">
        <f>VLOOKUP(B665,'Player Data'!$A1:$AE667,19,FALSE)*$Q665*_xlfn.IFERROR((VLOOKUP(P665,'Settings'!$E$28:$F$33,2,FALSE)+1),1)</f>
        <v>0.564256081136351</v>
      </c>
      <c r="AF665" s="79">
        <f>VLOOKUP(B665,'Player Data'!$A1:$AE667,20,FALSE)*$Q665</f>
        <v>13.7459441935317</v>
      </c>
      <c r="AG665" s="79">
        <f>VLOOKUP(B665,'Player Data'!$A1:$AE667,21,FALSE)*$Q665</f>
        <v>13.7459441935318</v>
      </c>
      <c r="AH665" s="81">
        <f>VLOOKUP(B665,'Player Data'!$A1:$AE667,22,FALSE)</f>
        <v>0.5</v>
      </c>
      <c r="AI665" s="77"/>
      <c r="AJ665" s="89"/>
      <c r="AK665" s="79"/>
      <c r="AL665" s="79"/>
      <c r="AM665" s="79"/>
      <c r="AN665" s="79"/>
      <c r="AO665" s="79"/>
      <c r="AP665" s="79"/>
      <c r="AQ665" s="82"/>
      <c r="AR665" s="83"/>
      <c r="AS665" s="93"/>
    </row>
  </sheetData>
  <mergeCells count="1">
    <mergeCell ref="D1:E1"/>
  </mergeCells>
  <conditionalFormatting sqref="D2:E665">
    <cfRule type="containsText" dxfId="0" priority="1" stopIfTrue="1" text="/">
      <formula>NOT(ISERROR(FIND(UPPER("/"),UPPER(D2))))</formula>
      <formula>"/"</formula>
    </cfRule>
    <cfRule type="containsText" dxfId="1" priority="2" stopIfTrue="1" text="C">
      <formula>NOT(ISERROR(FIND(UPPER("C"),UPPER(D2))))</formula>
      <formula>"C"</formula>
    </cfRule>
    <cfRule type="containsText" dxfId="2" priority="3" stopIfTrue="1" text="D">
      <formula>NOT(ISERROR(FIND(UPPER("D"),UPPER(D2))))</formula>
      <formula>"D"</formula>
    </cfRule>
    <cfRule type="containsText" dxfId="3" priority="4" stopIfTrue="1" text="LW">
      <formula>NOT(ISERROR(FIND(UPPER("LW"),UPPER(D2))))</formula>
      <formula>"LW"</formula>
    </cfRule>
    <cfRule type="containsText" dxfId="4" priority="5" stopIfTrue="1" text="RW">
      <formula>NOT(ISERROR(FIND(UPPER("RW"),UPPER(D2))))</formula>
      <formula>"RW"</formula>
    </cfRule>
    <cfRule type="containsText" dxfId="5" priority="6" stopIfTrue="1" text="G">
      <formula>NOT(ISERROR(FIND(UPPER("G"),UPPER(D2))))</formula>
      <formula>"G"</formula>
    </cfRule>
  </conditionalFormatting>
  <conditionalFormatting sqref="N2:N665">
    <cfRule type="cellIs" dxfId="6" priority="1" operator="between" stopIfTrue="1">
      <formula>10</formula>
      <formula>23</formula>
    </cfRule>
    <cfRule type="cellIs" dxfId="7" priority="2" operator="between" stopIfTrue="1">
      <formula>-10</formula>
      <formula>-23</formula>
    </cfRule>
    <cfRule type="cellIs" dxfId="8" priority="3" operator="greaterThanOrEqual" stopIfTrue="1">
      <formula>24</formula>
    </cfRule>
    <cfRule type="cellIs" dxfId="9" priority="4" operator="lessThanOrEqual" stopIfTrue="1">
      <formula>-23</formula>
    </cfRule>
    <cfRule type="cellIs" dxfId="10" priority="5" operator="between" stopIfTrue="1">
      <formula>-9</formula>
      <formula>9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464"/>
  <sheetViews>
    <sheetView workbookViewId="0" showGridLines="0" defaultGridColor="1"/>
  </sheetViews>
  <sheetFormatPr defaultColWidth="8" defaultRowHeight="16.25" customHeight="1" outlineLevelRow="0" outlineLevelCol="0"/>
  <cols>
    <col min="1" max="1" width="28.3516" style="112" customWidth="1"/>
    <col min="2" max="2" width="7.17188" style="112" customWidth="1"/>
    <col min="3" max="3" width="6" style="112" customWidth="1"/>
    <col min="4" max="7" width="8.35156" style="112" customWidth="1"/>
    <col min="8" max="8" width="3.5" style="112" customWidth="1"/>
    <col min="9" max="29" width="7.17188" style="112" customWidth="1"/>
    <col min="30" max="30" width="18.8516" style="112" customWidth="1"/>
    <col min="31" max="32" width="11.8516" style="112" customWidth="1"/>
    <col min="33" max="16384" width="8" style="112" customWidth="1"/>
  </cols>
  <sheetData>
    <row r="1" ht="21.25" customHeight="1">
      <c r="A1" t="s" s="113">
        <v>856</v>
      </c>
      <c r="B1" t="s" s="60">
        <v>91</v>
      </c>
      <c r="C1" s="61"/>
      <c r="D1" t="s" s="60">
        <v>92</v>
      </c>
      <c r="E1" t="s" s="60">
        <v>93</v>
      </c>
      <c r="F1" t="s" s="63">
        <v>95</v>
      </c>
      <c r="G1" t="s" s="63">
        <v>97</v>
      </c>
      <c r="H1" s="64"/>
      <c r="I1" t="s" s="66">
        <v>102</v>
      </c>
      <c r="J1" t="s" s="66">
        <v>55</v>
      </c>
      <c r="K1" t="s" s="66">
        <v>103</v>
      </c>
      <c r="L1" t="s" s="66">
        <v>104</v>
      </c>
      <c r="M1" t="s" s="66">
        <v>105</v>
      </c>
      <c r="N1" t="s" s="66">
        <v>106</v>
      </c>
      <c r="O1" t="s" s="66">
        <v>107</v>
      </c>
      <c r="P1" t="s" s="66">
        <v>63</v>
      </c>
      <c r="Q1" t="s" s="66">
        <v>108</v>
      </c>
      <c r="R1" t="s" s="66">
        <v>109</v>
      </c>
      <c r="S1" t="s" s="66">
        <v>110</v>
      </c>
      <c r="T1" t="s" s="66">
        <v>111</v>
      </c>
      <c r="U1" t="s" s="66">
        <v>112</v>
      </c>
      <c r="V1" t="s" s="66">
        <v>113</v>
      </c>
      <c r="W1" t="s" s="66">
        <v>114</v>
      </c>
      <c r="X1" t="s" s="66">
        <v>115</v>
      </c>
      <c r="Y1" t="s" s="66">
        <v>116</v>
      </c>
      <c r="Z1" t="s" s="66">
        <v>117</v>
      </c>
      <c r="AA1" s="114"/>
      <c r="AB1" s="115"/>
      <c r="AC1" s="115"/>
      <c r="AD1" t="s" s="59">
        <v>857</v>
      </c>
      <c r="AE1" t="s" s="63">
        <v>95</v>
      </c>
      <c r="AF1" t="s" s="116">
        <v>97</v>
      </c>
    </row>
    <row r="2" ht="21.25" customHeight="1">
      <c r="A2" t="s" s="10">
        <v>126</v>
      </c>
      <c r="B2" t="s" s="117">
        <f>_xlfn.IFERROR(VLOOKUP($A2,'The List'!$B1:$AS665,3,FALSE)," ")</f>
        <v>128</v>
      </c>
      <c r="C2" s="118">
        <f>_xlfn.IFERROR(VLOOKUP($A2,'The List'!$B1:$AS665,4,FALSE)," ")</f>
        <v>1</v>
      </c>
      <c r="D2" t="s" s="86">
        <f>_xlfn.IFERROR(VLOOKUP($A2,'The List'!$B1:$AS665,5,FALSE)," ")</f>
        <v>129</v>
      </c>
      <c r="E2" s="119">
        <f>_xlfn.IFERROR(VLOOKUP($A2,'The List'!$B1:$AS665,6,FALSE)," ")</f>
        <v>27</v>
      </c>
      <c r="F2" s="74">
        <f>_xlfn.IFERROR(VLOOKUP($A2,'The List'!$B1:$AS665,8,FALSE)," ")</f>
        <v>538.262931176885</v>
      </c>
      <c r="G2" s="74">
        <f>_xlfn.IFERROR(VLOOKUP($A2,'The List'!$B1:$AS665,10,FALSE)," ")</f>
        <v>208.571037095707</v>
      </c>
      <c r="H2" s="77"/>
      <c r="I2" s="79">
        <f>_xlfn.IFERROR(VLOOKUP($A2,'The List'!$B1:$AS665,16,FALSE)," ")</f>
        <v>80.765</v>
      </c>
      <c r="J2" s="79">
        <f>_xlfn.IFERROR(VLOOKUP($A2,'The List'!$B1:$AS665,17,FALSE)," ")</f>
        <v>21.6129883297758</v>
      </c>
      <c r="K2" s="79">
        <f>_xlfn.IFERROR(VLOOKUP($A2,'The List'!$B1:$AS665,18,FALSE)," ")</f>
        <v>45.6906800009808</v>
      </c>
      <c r="L2" s="79">
        <f>_xlfn.IFERROR(VLOOKUP($A2,'The List'!$B1:$AS665,19,FALSE)," ")</f>
        <v>93.7926898751446</v>
      </c>
      <c r="M2" s="79">
        <f>_xlfn.IFERROR(VLOOKUP($A2,'The List'!$B1:$AS665,20,FALSE)," ")</f>
        <v>139.483369876125</v>
      </c>
      <c r="N2" s="79">
        <f>_xlfn.IFERROR(VLOOKUP($A2,'The List'!$B1:$AS665,21,FALSE)," ")</f>
        <v>304.179987392462</v>
      </c>
      <c r="O2" s="79">
        <f>_xlfn.IFERROR(VLOOKUP($A2,'The List'!$B1:$AS665,22,FALSE)," ")</f>
        <v>11.8157139425623</v>
      </c>
      <c r="P2" s="79">
        <f>_xlfn.IFERROR(VLOOKUP($A2,'The List'!$B1:$AS665,23,FALSE)," ")</f>
        <v>51.8528328856009</v>
      </c>
      <c r="Q2" s="79">
        <f>_xlfn.IFERROR(VLOOKUP($A2,'The List'!$B1:$AS665,24,FALSE)," ")</f>
        <v>0.895206772085864</v>
      </c>
      <c r="R2" s="79">
        <f>_xlfn.IFERROR(VLOOKUP($A2,'The List'!$B1:$AS665,25,FALSE)," ")</f>
        <v>1.58230114068738</v>
      </c>
      <c r="S2" s="79">
        <f>_xlfn.IFERROR(VLOOKUP($A2,'The List'!$B1:$AS665,26,FALSE)," ")</f>
        <v>40.3513477512772</v>
      </c>
      <c r="T2" s="79">
        <f>_xlfn.IFERROR(VLOOKUP($A2,'The List'!$B1:$AS665,27,FALSE)," ")</f>
        <v>107.669457836909</v>
      </c>
      <c r="U2" s="79">
        <f>_xlfn.IFERROR(VLOOKUP($A2,'The List'!$B1:$AS665,28,FALSE)," ")</f>
        <v>13.534564702728</v>
      </c>
      <c r="V2" s="79">
        <f>_xlfn.IFERROR(VLOOKUP($A2,'The List'!$B1:$AS665,29,FALSE)," ")</f>
        <v>35.5561953791529</v>
      </c>
      <c r="W2" s="79">
        <f>_xlfn.IFERROR(VLOOKUP($A2,'The List'!$B1:$AS665,30,FALSE)," ")</f>
        <v>7.37790974991004</v>
      </c>
      <c r="X2" s="79">
        <f>_xlfn.IFERROR(VLOOKUP($A2,'The List'!$B1:$AS665,31,FALSE)," ")</f>
        <v>494.765604354688</v>
      </c>
      <c r="Y2" s="79">
        <f>_xlfn.IFERROR(VLOOKUP($A2,'The List'!$B1:$AS665,32,FALSE)," ")</f>
        <v>456.391649697303</v>
      </c>
      <c r="Z2" s="81">
        <f>_xlfn.IFERROR(VLOOKUP($A2,'The List'!$B1:$AS665,33,FALSE)," ")</f>
        <v>0.520172245174975</v>
      </c>
      <c r="AA2" s="120"/>
      <c r="AB2" s="121"/>
      <c r="AC2" s="121"/>
      <c r="AD2" t="s" s="16">
        <v>856</v>
      </c>
      <c r="AE2" s="74">
        <f>VLOOKUP(AD2,T1:Y464,2,FALSE)</f>
        <v>2200.439905945980</v>
      </c>
      <c r="AF2" s="122">
        <f>VLOOKUP(AD2,T1:AA464,5,FALSE)</f>
        <v>610.204783532744</v>
      </c>
    </row>
    <row r="3" ht="21.25" customHeight="1">
      <c r="A3" s="50"/>
      <c r="B3" t="s" s="117">
        <f>_xlfn.IFERROR(VLOOKUP($A3,'The List'!$B1:$AS665,3,FALSE)," ")</f>
        <v>858</v>
      </c>
      <c r="C3" t="s" s="123">
        <f>_xlfn.IFERROR(VLOOKUP($A3,'The List'!$B1:$AS665,4,FALSE)," ")</f>
        <v>858</v>
      </c>
      <c r="D3" t="s" s="86">
        <f>_xlfn.IFERROR(VLOOKUP($A3,'The List'!$B1:$AS665,5,FALSE)," ")</f>
        <v>858</v>
      </c>
      <c r="E3" t="s" s="86">
        <f>_xlfn.IFERROR(VLOOKUP($A3,'The List'!$B1:$AS665,6,FALSE)," ")</f>
        <v>858</v>
      </c>
      <c r="F3" t="s" s="124">
        <f>_xlfn.IFERROR(VLOOKUP($A3,'The List'!$B1:$AS665,8,FALSE)," ")</f>
        <v>858</v>
      </c>
      <c r="G3" t="s" s="124">
        <f>_xlfn.IFERROR(VLOOKUP($A3,'The List'!$B1:$AS665,10,FALSE)," ")</f>
        <v>858</v>
      </c>
      <c r="H3" s="77"/>
      <c r="I3" t="s" s="125">
        <f>_xlfn.IFERROR(VLOOKUP($A3,'The List'!$B1:$AS665,16,FALSE)," ")</f>
        <v>858</v>
      </c>
      <c r="J3" t="s" s="125">
        <f>_xlfn.IFERROR(VLOOKUP($A3,'The List'!$B1:$AS665,17,FALSE)," ")</f>
        <v>858</v>
      </c>
      <c r="K3" t="s" s="125">
        <f>_xlfn.IFERROR(VLOOKUP($A3,'The List'!$B1:$AS665,18,FALSE)," ")</f>
        <v>858</v>
      </c>
      <c r="L3" t="s" s="125">
        <f>_xlfn.IFERROR(VLOOKUP($A3,'The List'!$B1:$AS665,19,FALSE)," ")</f>
        <v>858</v>
      </c>
      <c r="M3" t="s" s="125">
        <f>_xlfn.IFERROR(VLOOKUP($A3,'The List'!$B1:$AS665,20,FALSE)," ")</f>
        <v>858</v>
      </c>
      <c r="N3" t="s" s="125">
        <f>_xlfn.IFERROR(VLOOKUP($A3,'The List'!$B1:$AS665,21,FALSE)," ")</f>
        <v>858</v>
      </c>
      <c r="O3" t="s" s="125">
        <f>_xlfn.IFERROR(VLOOKUP($A3,'The List'!$B1:$AS665,22,FALSE)," ")</f>
        <v>858</v>
      </c>
      <c r="P3" t="s" s="125">
        <f>_xlfn.IFERROR(VLOOKUP($A3,'The List'!$B1:$AS665,23,FALSE)," ")</f>
        <v>858</v>
      </c>
      <c r="Q3" t="s" s="125">
        <f>_xlfn.IFERROR(VLOOKUP($A3,'The List'!$B1:$AS665,24,FALSE)," ")</f>
        <v>858</v>
      </c>
      <c r="R3" t="s" s="125">
        <f>_xlfn.IFERROR(VLOOKUP($A3,'The List'!$B1:$AS665,25,FALSE)," ")</f>
        <v>858</v>
      </c>
      <c r="S3" t="s" s="125">
        <f>_xlfn.IFERROR(VLOOKUP($A3,'The List'!$B1:$AS665,26,FALSE)," ")</f>
        <v>858</v>
      </c>
      <c r="T3" t="s" s="125">
        <f>_xlfn.IFERROR(VLOOKUP($A3,'The List'!$B1:$AS665,27,FALSE)," ")</f>
        <v>858</v>
      </c>
      <c r="U3" t="s" s="125">
        <f>_xlfn.IFERROR(VLOOKUP($A3,'The List'!$B1:$AS665,28,FALSE)," ")</f>
        <v>858</v>
      </c>
      <c r="V3" t="s" s="125">
        <f>_xlfn.IFERROR(VLOOKUP($A3,'The List'!$B1:$AS665,29,FALSE)," ")</f>
        <v>858</v>
      </c>
      <c r="W3" t="s" s="125">
        <f>_xlfn.IFERROR(VLOOKUP($A3,'The List'!$B1:$AS665,30,FALSE)," ")</f>
        <v>858</v>
      </c>
      <c r="X3" t="s" s="125">
        <f>_xlfn.IFERROR(VLOOKUP($A3,'The List'!$B1:$AS665,31,FALSE)," ")</f>
        <v>858</v>
      </c>
      <c r="Y3" t="s" s="125">
        <f>_xlfn.IFERROR(VLOOKUP($A3,'The List'!$B1:$AS665,32,FALSE)," ")</f>
        <v>858</v>
      </c>
      <c r="Z3" t="s" s="125">
        <f>_xlfn.IFERROR(VLOOKUP($A3,'The List'!$B1:$AS665,33,FALSE)," ")</f>
        <v>858</v>
      </c>
      <c r="AA3" s="120"/>
      <c r="AB3" s="121"/>
      <c r="AC3" s="121"/>
      <c r="AD3" t="s" s="16">
        <v>859</v>
      </c>
      <c r="AE3" s="74">
        <f>VLOOKUP(AD3,T1:Y464,2,FALSE)</f>
        <v>0</v>
      </c>
      <c r="AF3" s="122">
        <f>VLOOKUP(AD3,T1:AA464,5,FALSE)</f>
        <v>0</v>
      </c>
    </row>
    <row r="4" ht="21.25" customHeight="1">
      <c r="A4" s="50"/>
      <c r="B4" t="s" s="117">
        <f>_xlfn.IFERROR(VLOOKUP($A4,'The List'!$B1:$AS665,3,FALSE)," ")</f>
        <v>858</v>
      </c>
      <c r="C4" t="s" s="123">
        <f>_xlfn.IFERROR(VLOOKUP($A4,'The List'!$B1:$AS665,4,FALSE)," ")</f>
        <v>858</v>
      </c>
      <c r="D4" t="s" s="86">
        <f>_xlfn.IFERROR(VLOOKUP($A4,'The List'!$B1:$AS665,5,FALSE)," ")</f>
        <v>858</v>
      </c>
      <c r="E4" t="s" s="86">
        <f>_xlfn.IFERROR(VLOOKUP($A4,'The List'!$B1:$AS665,6,FALSE)," ")</f>
        <v>858</v>
      </c>
      <c r="F4" t="s" s="124">
        <f>_xlfn.IFERROR(VLOOKUP($A4,'The List'!$B1:$AS665,8,FALSE)," ")</f>
        <v>858</v>
      </c>
      <c r="G4" t="s" s="124">
        <f>_xlfn.IFERROR(VLOOKUP($A4,'The List'!$B1:$AS665,10,FALSE)," ")</f>
        <v>858</v>
      </c>
      <c r="H4" s="77"/>
      <c r="I4" t="s" s="125">
        <f>_xlfn.IFERROR(VLOOKUP($A4,'The List'!$B1:$AS665,16,FALSE)," ")</f>
        <v>858</v>
      </c>
      <c r="J4" t="s" s="125">
        <f>_xlfn.IFERROR(VLOOKUP($A4,'The List'!$B1:$AS665,17,FALSE)," ")</f>
        <v>858</v>
      </c>
      <c r="K4" t="s" s="125">
        <f>_xlfn.IFERROR(VLOOKUP($A4,'The List'!$B1:$AS665,18,FALSE)," ")</f>
        <v>858</v>
      </c>
      <c r="L4" t="s" s="125">
        <f>_xlfn.IFERROR(VLOOKUP($A4,'The List'!$B1:$AS665,19,FALSE)," ")</f>
        <v>858</v>
      </c>
      <c r="M4" t="s" s="125">
        <f>_xlfn.IFERROR(VLOOKUP($A4,'The List'!$B1:$AS665,20,FALSE)," ")</f>
        <v>858</v>
      </c>
      <c r="N4" t="s" s="125">
        <f>_xlfn.IFERROR(VLOOKUP($A4,'The List'!$B1:$AS665,21,FALSE)," ")</f>
        <v>858</v>
      </c>
      <c r="O4" t="s" s="125">
        <f>_xlfn.IFERROR(VLOOKUP($A4,'The List'!$B1:$AS665,22,FALSE)," ")</f>
        <v>858</v>
      </c>
      <c r="P4" t="s" s="125">
        <f>_xlfn.IFERROR(VLOOKUP($A4,'The List'!$B1:$AS665,23,FALSE)," ")</f>
        <v>858</v>
      </c>
      <c r="Q4" t="s" s="125">
        <f>_xlfn.IFERROR(VLOOKUP($A4,'The List'!$B1:$AS665,24,FALSE)," ")</f>
        <v>858</v>
      </c>
      <c r="R4" t="s" s="125">
        <f>_xlfn.IFERROR(VLOOKUP($A4,'The List'!$B1:$AS665,25,FALSE)," ")</f>
        <v>858</v>
      </c>
      <c r="S4" t="s" s="125">
        <f>_xlfn.IFERROR(VLOOKUP($A4,'The List'!$B1:$AS665,26,FALSE)," ")</f>
        <v>858</v>
      </c>
      <c r="T4" t="s" s="125">
        <f>_xlfn.IFERROR(VLOOKUP($A4,'The List'!$B1:$AS665,27,FALSE)," ")</f>
        <v>858</v>
      </c>
      <c r="U4" t="s" s="125">
        <f>_xlfn.IFERROR(VLOOKUP($A4,'The List'!$B1:$AS665,28,FALSE)," ")</f>
        <v>858</v>
      </c>
      <c r="V4" t="s" s="125">
        <f>_xlfn.IFERROR(VLOOKUP($A4,'The List'!$B1:$AS665,29,FALSE)," ")</f>
        <v>858</v>
      </c>
      <c r="W4" t="s" s="125">
        <f>_xlfn.IFERROR(VLOOKUP($A4,'The List'!$B1:$AS665,30,FALSE)," ")</f>
        <v>858</v>
      </c>
      <c r="X4" t="s" s="125">
        <f>_xlfn.IFERROR(VLOOKUP($A4,'The List'!$B1:$AS665,31,FALSE)," ")</f>
        <v>858</v>
      </c>
      <c r="Y4" t="s" s="125">
        <f>_xlfn.IFERROR(VLOOKUP($A4,'The List'!$B1:$AS665,32,FALSE)," ")</f>
        <v>858</v>
      </c>
      <c r="Z4" t="s" s="125">
        <f>_xlfn.IFERROR(VLOOKUP($A4,'The List'!$B1:$AS665,33,FALSE)," ")</f>
        <v>858</v>
      </c>
      <c r="AA4" s="120"/>
      <c r="AB4" s="121"/>
      <c r="AC4" s="121"/>
      <c r="AD4" t="s" s="16">
        <v>860</v>
      </c>
      <c r="AE4" s="74">
        <f>VLOOKUP(AD4,T1:Y464,2,FALSE)</f>
        <v>0</v>
      </c>
      <c r="AF4" s="122">
        <f>VLOOKUP(AD4,T1:AA464,5,FALSE)</f>
        <v>0</v>
      </c>
    </row>
    <row r="5" ht="21.25" customHeight="1">
      <c r="A5" s="50"/>
      <c r="B5" t="s" s="117">
        <f>_xlfn.IFERROR(VLOOKUP($A5,'The List'!$B1:$AS665,3,FALSE)," ")</f>
        <v>858</v>
      </c>
      <c r="C5" t="s" s="123">
        <f>_xlfn.IFERROR(VLOOKUP($A5,'The List'!$B1:$AS665,4,FALSE)," ")</f>
        <v>858</v>
      </c>
      <c r="D5" t="s" s="86">
        <f>_xlfn.IFERROR(VLOOKUP($A5,'The List'!$B1:$AS665,5,FALSE)," ")</f>
        <v>858</v>
      </c>
      <c r="E5" t="s" s="86">
        <f>_xlfn.IFERROR(VLOOKUP($A5,'The List'!$B1:$AS665,6,FALSE)," ")</f>
        <v>858</v>
      </c>
      <c r="F5" t="s" s="124">
        <f>_xlfn.IFERROR(VLOOKUP($A5,'The List'!$B1:$AS665,8,FALSE)," ")</f>
        <v>858</v>
      </c>
      <c r="G5" t="s" s="124">
        <f>_xlfn.IFERROR(VLOOKUP($A5,'The List'!$B1:$AS665,10,FALSE)," ")</f>
        <v>858</v>
      </c>
      <c r="H5" s="77"/>
      <c r="I5" t="s" s="125">
        <f>_xlfn.IFERROR(VLOOKUP($A5,'The List'!$B1:$AS665,16,FALSE)," ")</f>
        <v>858</v>
      </c>
      <c r="J5" t="s" s="125">
        <f>_xlfn.IFERROR(VLOOKUP($A5,'The List'!$B1:$AS665,17,FALSE)," ")</f>
        <v>858</v>
      </c>
      <c r="K5" t="s" s="125">
        <f>_xlfn.IFERROR(VLOOKUP($A5,'The List'!$B1:$AS665,18,FALSE)," ")</f>
        <v>858</v>
      </c>
      <c r="L5" t="s" s="125">
        <f>_xlfn.IFERROR(VLOOKUP($A5,'The List'!$B1:$AS665,19,FALSE)," ")</f>
        <v>858</v>
      </c>
      <c r="M5" t="s" s="125">
        <f>_xlfn.IFERROR(VLOOKUP($A5,'The List'!$B1:$AS665,20,FALSE)," ")</f>
        <v>858</v>
      </c>
      <c r="N5" t="s" s="125">
        <f>_xlfn.IFERROR(VLOOKUP($A5,'The List'!$B1:$AS665,21,FALSE)," ")</f>
        <v>858</v>
      </c>
      <c r="O5" t="s" s="125">
        <f>_xlfn.IFERROR(VLOOKUP($A5,'The List'!$B1:$AS665,22,FALSE)," ")</f>
        <v>858</v>
      </c>
      <c r="P5" t="s" s="125">
        <f>_xlfn.IFERROR(VLOOKUP($A5,'The List'!$B1:$AS665,23,FALSE)," ")</f>
        <v>858</v>
      </c>
      <c r="Q5" t="s" s="125">
        <f>_xlfn.IFERROR(VLOOKUP($A5,'The List'!$B1:$AS665,24,FALSE)," ")</f>
        <v>858</v>
      </c>
      <c r="R5" t="s" s="125">
        <f>_xlfn.IFERROR(VLOOKUP($A5,'The List'!$B1:$AS665,25,FALSE)," ")</f>
        <v>858</v>
      </c>
      <c r="S5" t="s" s="125">
        <f>_xlfn.IFERROR(VLOOKUP($A5,'The List'!$B1:$AS665,26,FALSE)," ")</f>
        <v>858</v>
      </c>
      <c r="T5" t="s" s="125">
        <f>_xlfn.IFERROR(VLOOKUP($A5,'The List'!$B1:$AS665,27,FALSE)," ")</f>
        <v>858</v>
      </c>
      <c r="U5" t="s" s="125">
        <f>_xlfn.IFERROR(VLOOKUP($A5,'The List'!$B1:$AS665,28,FALSE)," ")</f>
        <v>858</v>
      </c>
      <c r="V5" t="s" s="125">
        <f>_xlfn.IFERROR(VLOOKUP($A5,'The List'!$B1:$AS665,29,FALSE)," ")</f>
        <v>858</v>
      </c>
      <c r="W5" t="s" s="125">
        <f>_xlfn.IFERROR(VLOOKUP($A5,'The List'!$B1:$AS665,30,FALSE)," ")</f>
        <v>858</v>
      </c>
      <c r="X5" t="s" s="125">
        <f>_xlfn.IFERROR(VLOOKUP($A5,'The List'!$B1:$AS665,31,FALSE)," ")</f>
        <v>858</v>
      </c>
      <c r="Y5" t="s" s="125">
        <f>_xlfn.IFERROR(VLOOKUP($A5,'The List'!$B1:$AS665,32,FALSE)," ")</f>
        <v>858</v>
      </c>
      <c r="Z5" t="s" s="125">
        <f>_xlfn.IFERROR(VLOOKUP($A5,'The List'!$B1:$AS665,33,FALSE)," ")</f>
        <v>858</v>
      </c>
      <c r="AA5" s="120"/>
      <c r="AB5" s="121"/>
      <c r="AC5" s="121"/>
      <c r="AD5" t="s" s="16">
        <v>861</v>
      </c>
      <c r="AE5" s="74">
        <f>VLOOKUP(AD5,T1:Y464,2,FALSE)</f>
        <v>0</v>
      </c>
      <c r="AF5" s="122">
        <f>VLOOKUP(AD5,T1:AA464,5,FALSE)</f>
        <v>0</v>
      </c>
    </row>
    <row r="6" ht="21.25" customHeight="1">
      <c r="A6" t="s" s="10">
        <v>150</v>
      </c>
      <c r="B6" t="s" s="126">
        <f>_xlfn.IFERROR(VLOOKUP($A6,'The List'!$B1:$AS665,3,FALSE)," ")</f>
        <v>136</v>
      </c>
      <c r="C6" s="127">
        <f>_xlfn.IFERROR(VLOOKUP($A6,'The List'!$B1:$AS665,4,FALSE)," ")</f>
        <v>3</v>
      </c>
      <c r="D6" t="s" s="86">
        <f>_xlfn.IFERROR(VLOOKUP($A6,'The List'!$B1:$AS665,5,FALSE)," ")</f>
        <v>129</v>
      </c>
      <c r="E6" s="119">
        <f>_xlfn.IFERROR(VLOOKUP($A6,'The List'!$B1:$AS665,6,FALSE)," ")</f>
        <v>28</v>
      </c>
      <c r="F6" s="74">
        <f>_xlfn.IFERROR(VLOOKUP($A6,'The List'!$B1:$AS665,8,FALSE)," ")</f>
        <v>434.174277848426</v>
      </c>
      <c r="G6" s="74">
        <f>_xlfn.IFERROR(VLOOKUP($A6,'The List'!$B1:$AS665,10,FALSE)," ")</f>
        <v>102.454166082214</v>
      </c>
      <c r="H6" s="77"/>
      <c r="I6" s="79">
        <f>_xlfn.IFERROR(VLOOKUP($A6,'The List'!$B1:$AS665,16,FALSE)," ")</f>
        <v>81.3775</v>
      </c>
      <c r="J6" s="79">
        <f>_xlfn.IFERROR(VLOOKUP($A6,'The List'!$B1:$AS665,17,FALSE)," ")</f>
        <v>20.8350842559729</v>
      </c>
      <c r="K6" s="79">
        <f>_xlfn.IFERROR(VLOOKUP($A6,'The List'!$B1:$AS665,18,FALSE)," ")</f>
        <v>46.9308119381676</v>
      </c>
      <c r="L6" s="79">
        <f>_xlfn.IFERROR(VLOOKUP($A6,'The List'!$B1:$AS665,19,FALSE)," ")</f>
        <v>66.8256010656938</v>
      </c>
      <c r="M6" s="79">
        <f>_xlfn.IFERROR(VLOOKUP($A6,'The List'!$B1:$AS665,20,FALSE)," ")</f>
        <v>113.756413003861</v>
      </c>
      <c r="N6" s="79">
        <f>_xlfn.IFERROR(VLOOKUP($A6,'The List'!$B1:$AS665,21,FALSE)," ")</f>
        <v>240.122384425775</v>
      </c>
      <c r="O6" s="79">
        <f>_xlfn.IFERROR(VLOOKUP($A6,'The List'!$B1:$AS665,22,FALSE)," ")</f>
        <v>23.7056952649402</v>
      </c>
      <c r="P6" s="79">
        <f>_xlfn.IFERROR(VLOOKUP($A6,'The List'!$B1:$AS665,23,FALSE)," ")</f>
        <v>45.2525658410297</v>
      </c>
      <c r="Q6" s="79">
        <f>_xlfn.IFERROR(VLOOKUP($A6,'The List'!$B1:$AS665,24,FALSE)," ")</f>
        <v>0.34998682668274</v>
      </c>
      <c r="R6" s="79">
        <f>_xlfn.IFERROR(VLOOKUP($A6,'The List'!$B1:$AS665,25,FALSE)," ")</f>
        <v>0.883707304995054</v>
      </c>
      <c r="S6" s="79">
        <f>_xlfn.IFERROR(VLOOKUP($A6,'The List'!$B1:$AS665,26,FALSE)," ")</f>
        <v>30.8548106867021</v>
      </c>
      <c r="T6" s="79">
        <f>_xlfn.IFERROR(VLOOKUP($A6,'The List'!$B1:$AS665,27,FALSE)," ")</f>
        <v>59.5086519967719</v>
      </c>
      <c r="U6" s="79">
        <f>_xlfn.IFERROR(VLOOKUP($A6,'The List'!$B1:$AS665,28,FALSE)," ")</f>
        <v>9.7749025923976</v>
      </c>
      <c r="V6" s="79">
        <f>_xlfn.IFERROR(VLOOKUP($A6,'The List'!$B1:$AS665,29,FALSE)," ")</f>
        <v>41.9801306551855</v>
      </c>
      <c r="W6" s="79">
        <f>_xlfn.IFERROR(VLOOKUP($A6,'The List'!$B1:$AS665,30,FALSE)," ")</f>
        <v>7.57816024980079</v>
      </c>
      <c r="X6" s="79">
        <f>_xlfn.IFERROR(VLOOKUP($A6,'The List'!$B1:$AS665,31,FALSE)," ")</f>
        <v>818.411181616771</v>
      </c>
      <c r="Y6" s="79">
        <f>_xlfn.IFERROR(VLOOKUP($A6,'The List'!$B1:$AS665,32,FALSE)," ")</f>
        <v>660.576588945211</v>
      </c>
      <c r="Z6" s="81">
        <f>_xlfn.IFERROR(VLOOKUP($A6,'The List'!$B1:$AS665,33,FALSE)," ")</f>
        <v>0.553358991809507</v>
      </c>
      <c r="AA6" s="120"/>
      <c r="AB6" s="121"/>
      <c r="AC6" s="121"/>
      <c r="AD6" t="s" s="16">
        <v>862</v>
      </c>
      <c r="AE6" s="74">
        <f>VLOOKUP(AD6,T1:Y464,2,FALSE)</f>
        <v>0</v>
      </c>
      <c r="AF6" s="122">
        <f>VLOOKUP(AD6,T1:AA464,5,FALSE)</f>
        <v>0</v>
      </c>
    </row>
    <row r="7" ht="21.25" customHeight="1">
      <c r="A7" s="50"/>
      <c r="B7" t="s" s="126">
        <f>_xlfn.IFERROR(VLOOKUP($A7,'The List'!$B1:$AS665,3,FALSE)," ")</f>
        <v>858</v>
      </c>
      <c r="C7" t="s" s="128">
        <f>_xlfn.IFERROR(VLOOKUP($A7,'The List'!$B1:$AS665,4,FALSE)," ")</f>
        <v>858</v>
      </c>
      <c r="D7" t="s" s="86">
        <f>_xlfn.IFERROR(VLOOKUP($A7,'The List'!$B1:$AS665,5,FALSE)," ")</f>
        <v>858</v>
      </c>
      <c r="E7" t="s" s="86">
        <f>_xlfn.IFERROR(VLOOKUP($A7,'The List'!$B1:$AS665,6,FALSE)," ")</f>
        <v>858</v>
      </c>
      <c r="F7" t="s" s="124">
        <f>_xlfn.IFERROR(VLOOKUP($A7,'The List'!$B1:$AS665,8,FALSE)," ")</f>
        <v>858</v>
      </c>
      <c r="G7" t="s" s="124">
        <f>_xlfn.IFERROR(VLOOKUP($A7,'The List'!$B1:$AS665,10,FALSE)," ")</f>
        <v>858</v>
      </c>
      <c r="H7" s="77"/>
      <c r="I7" t="s" s="125">
        <f>_xlfn.IFERROR(VLOOKUP($A7,'The List'!$B1:$AS665,16,FALSE)," ")</f>
        <v>858</v>
      </c>
      <c r="J7" t="s" s="125">
        <f>_xlfn.IFERROR(VLOOKUP($A7,'The List'!$B1:$AS665,17,FALSE)," ")</f>
        <v>858</v>
      </c>
      <c r="K7" t="s" s="125">
        <f>_xlfn.IFERROR(VLOOKUP($A7,'The List'!$B1:$AS665,18,FALSE)," ")</f>
        <v>858</v>
      </c>
      <c r="L7" t="s" s="125">
        <f>_xlfn.IFERROR(VLOOKUP($A7,'The List'!$B1:$AS665,19,FALSE)," ")</f>
        <v>858</v>
      </c>
      <c r="M7" t="s" s="125">
        <f>_xlfn.IFERROR(VLOOKUP($A7,'The List'!$B1:$AS665,20,FALSE)," ")</f>
        <v>858</v>
      </c>
      <c r="N7" t="s" s="125">
        <f>_xlfn.IFERROR(VLOOKUP($A7,'The List'!$B1:$AS665,21,FALSE)," ")</f>
        <v>858</v>
      </c>
      <c r="O7" t="s" s="125">
        <f>_xlfn.IFERROR(VLOOKUP($A7,'The List'!$B1:$AS665,22,FALSE)," ")</f>
        <v>858</v>
      </c>
      <c r="P7" t="s" s="125">
        <f>_xlfn.IFERROR(VLOOKUP($A7,'The List'!$B1:$AS665,23,FALSE)," ")</f>
        <v>858</v>
      </c>
      <c r="Q7" t="s" s="125">
        <f>_xlfn.IFERROR(VLOOKUP($A7,'The List'!$B1:$AS665,24,FALSE)," ")</f>
        <v>858</v>
      </c>
      <c r="R7" t="s" s="125">
        <f>_xlfn.IFERROR(VLOOKUP($A7,'The List'!$B1:$AS665,25,FALSE)," ")</f>
        <v>858</v>
      </c>
      <c r="S7" t="s" s="125">
        <f>_xlfn.IFERROR(VLOOKUP($A7,'The List'!$B1:$AS665,26,FALSE)," ")</f>
        <v>858</v>
      </c>
      <c r="T7" t="s" s="125">
        <f>_xlfn.IFERROR(VLOOKUP($A7,'The List'!$B1:$AS665,27,FALSE)," ")</f>
        <v>858</v>
      </c>
      <c r="U7" t="s" s="125">
        <f>_xlfn.IFERROR(VLOOKUP($A7,'The List'!$B1:$AS665,28,FALSE)," ")</f>
        <v>858</v>
      </c>
      <c r="V7" t="s" s="125">
        <f>_xlfn.IFERROR(VLOOKUP($A7,'The List'!$B1:$AS665,29,FALSE)," ")</f>
        <v>858</v>
      </c>
      <c r="W7" t="s" s="125">
        <f>_xlfn.IFERROR(VLOOKUP($A7,'The List'!$B1:$AS665,30,FALSE)," ")</f>
        <v>858</v>
      </c>
      <c r="X7" t="s" s="125">
        <f>_xlfn.IFERROR(VLOOKUP($A7,'The List'!$B1:$AS665,31,FALSE)," ")</f>
        <v>858</v>
      </c>
      <c r="Y7" t="s" s="125">
        <f>_xlfn.IFERROR(VLOOKUP($A7,'The List'!$B1:$AS665,32,FALSE)," ")</f>
        <v>858</v>
      </c>
      <c r="Z7" t="s" s="125">
        <f>_xlfn.IFERROR(VLOOKUP($A7,'The List'!$B1:$AS665,33,FALSE)," ")</f>
        <v>858</v>
      </c>
      <c r="AA7" s="120"/>
      <c r="AB7" s="121"/>
      <c r="AC7" s="121"/>
      <c r="AD7" t="s" s="16">
        <v>863</v>
      </c>
      <c r="AE7" s="74">
        <f>VLOOKUP(AD7,T1:Y464,2,FALSE)</f>
        <v>0</v>
      </c>
      <c r="AF7" s="122">
        <f>VLOOKUP(AD7,T1:AA464,5,FALSE)</f>
        <v>0</v>
      </c>
    </row>
    <row r="8" ht="21.25" customHeight="1">
      <c r="A8" s="50"/>
      <c r="B8" t="s" s="126">
        <f>_xlfn.IFERROR(VLOOKUP($A8,'The List'!$B1:$AS665,3,FALSE)," ")</f>
        <v>858</v>
      </c>
      <c r="C8" t="s" s="128">
        <f>_xlfn.IFERROR(VLOOKUP($A8,'The List'!$B1:$AS665,4,FALSE)," ")</f>
        <v>858</v>
      </c>
      <c r="D8" t="s" s="86">
        <f>_xlfn.IFERROR(VLOOKUP($A8,'The List'!$B1:$AS665,5,FALSE)," ")</f>
        <v>858</v>
      </c>
      <c r="E8" t="s" s="86">
        <f>_xlfn.IFERROR(VLOOKUP($A8,'The List'!$B1:$AS665,6,FALSE)," ")</f>
        <v>858</v>
      </c>
      <c r="F8" t="s" s="124">
        <f>_xlfn.IFERROR(VLOOKUP($A8,'The List'!$B1:$AS665,8,FALSE)," ")</f>
        <v>858</v>
      </c>
      <c r="G8" t="s" s="124">
        <f>_xlfn.IFERROR(VLOOKUP($A8,'The List'!$B1:$AS665,10,FALSE)," ")</f>
        <v>858</v>
      </c>
      <c r="H8" s="77"/>
      <c r="I8" t="s" s="125">
        <f>_xlfn.IFERROR(VLOOKUP($A8,'The List'!$B1:$AS665,16,FALSE)," ")</f>
        <v>858</v>
      </c>
      <c r="J8" t="s" s="125">
        <f>_xlfn.IFERROR(VLOOKUP($A8,'The List'!$B1:$AS665,17,FALSE)," ")</f>
        <v>858</v>
      </c>
      <c r="K8" t="s" s="125">
        <f>_xlfn.IFERROR(VLOOKUP($A8,'The List'!$B1:$AS665,18,FALSE)," ")</f>
        <v>858</v>
      </c>
      <c r="L8" t="s" s="125">
        <f>_xlfn.IFERROR(VLOOKUP($A8,'The List'!$B1:$AS665,19,FALSE)," ")</f>
        <v>858</v>
      </c>
      <c r="M8" t="s" s="125">
        <f>_xlfn.IFERROR(VLOOKUP($A8,'The List'!$B1:$AS665,20,FALSE)," ")</f>
        <v>858</v>
      </c>
      <c r="N8" t="s" s="125">
        <f>_xlfn.IFERROR(VLOOKUP($A8,'The List'!$B1:$AS665,21,FALSE)," ")</f>
        <v>858</v>
      </c>
      <c r="O8" t="s" s="125">
        <f>_xlfn.IFERROR(VLOOKUP($A8,'The List'!$B1:$AS665,22,FALSE)," ")</f>
        <v>858</v>
      </c>
      <c r="P8" t="s" s="125">
        <f>_xlfn.IFERROR(VLOOKUP($A8,'The List'!$B1:$AS665,23,FALSE)," ")</f>
        <v>858</v>
      </c>
      <c r="Q8" t="s" s="125">
        <f>_xlfn.IFERROR(VLOOKUP($A8,'The List'!$B1:$AS665,24,FALSE)," ")</f>
        <v>858</v>
      </c>
      <c r="R8" t="s" s="125">
        <f>_xlfn.IFERROR(VLOOKUP($A8,'The List'!$B1:$AS665,25,FALSE)," ")</f>
        <v>858</v>
      </c>
      <c r="S8" t="s" s="125">
        <f>_xlfn.IFERROR(VLOOKUP($A8,'The List'!$B1:$AS665,26,FALSE)," ")</f>
        <v>858</v>
      </c>
      <c r="T8" t="s" s="125">
        <f>_xlfn.IFERROR(VLOOKUP($A8,'The List'!$B1:$AS665,27,FALSE)," ")</f>
        <v>858</v>
      </c>
      <c r="U8" t="s" s="125">
        <f>_xlfn.IFERROR(VLOOKUP($A8,'The List'!$B1:$AS665,28,FALSE)," ")</f>
        <v>858</v>
      </c>
      <c r="V8" t="s" s="125">
        <f>_xlfn.IFERROR(VLOOKUP($A8,'The List'!$B1:$AS665,29,FALSE)," ")</f>
        <v>858</v>
      </c>
      <c r="W8" t="s" s="125">
        <f>_xlfn.IFERROR(VLOOKUP($A8,'The List'!$B1:$AS665,30,FALSE)," ")</f>
        <v>858</v>
      </c>
      <c r="X8" t="s" s="125">
        <f>_xlfn.IFERROR(VLOOKUP($A8,'The List'!$B1:$AS665,31,FALSE)," ")</f>
        <v>858</v>
      </c>
      <c r="Y8" t="s" s="125">
        <f>_xlfn.IFERROR(VLOOKUP($A8,'The List'!$B1:$AS665,32,FALSE)," ")</f>
        <v>858</v>
      </c>
      <c r="Z8" t="s" s="125">
        <f>_xlfn.IFERROR(VLOOKUP($A8,'The List'!$B1:$AS665,33,FALSE)," ")</f>
        <v>858</v>
      </c>
      <c r="AA8" s="120"/>
      <c r="AB8" s="121"/>
      <c r="AC8" s="121"/>
      <c r="AD8" t="s" s="16">
        <v>864</v>
      </c>
      <c r="AE8" s="74">
        <f>VLOOKUP(AD8,T1:Y464,2,FALSE)</f>
        <v>0</v>
      </c>
      <c r="AF8" s="122">
        <f>VLOOKUP(AD8,T1:AA464,5,FALSE)</f>
        <v>0</v>
      </c>
    </row>
    <row r="9" ht="21.25" customHeight="1">
      <c r="A9" s="50"/>
      <c r="B9" t="s" s="126">
        <f>_xlfn.IFERROR(VLOOKUP($A9,'The List'!$B1:$AS665,3,FALSE)," ")</f>
        <v>858</v>
      </c>
      <c r="C9" t="s" s="128">
        <f>_xlfn.IFERROR(VLOOKUP($A9,'The List'!$B1:$AS665,4,FALSE)," ")</f>
        <v>858</v>
      </c>
      <c r="D9" t="s" s="86">
        <f>_xlfn.IFERROR(VLOOKUP($A9,'The List'!$B1:$AS665,5,FALSE)," ")</f>
        <v>858</v>
      </c>
      <c r="E9" t="s" s="86">
        <f>_xlfn.IFERROR(VLOOKUP($A9,'The List'!$B1:$AS665,6,FALSE)," ")</f>
        <v>858</v>
      </c>
      <c r="F9" t="s" s="124">
        <f>_xlfn.IFERROR(VLOOKUP($A9,'The List'!$B1:$AS665,8,FALSE)," ")</f>
        <v>858</v>
      </c>
      <c r="G9" t="s" s="124">
        <f>_xlfn.IFERROR(VLOOKUP($A9,'The List'!$B1:$AS665,10,FALSE)," ")</f>
        <v>858</v>
      </c>
      <c r="H9" s="77"/>
      <c r="I9" t="s" s="125">
        <f>_xlfn.IFERROR(VLOOKUP($A9,'The List'!$B1:$AS665,16,FALSE)," ")</f>
        <v>858</v>
      </c>
      <c r="J9" t="s" s="125">
        <f>_xlfn.IFERROR(VLOOKUP($A9,'The List'!$B1:$AS665,17,FALSE)," ")</f>
        <v>858</v>
      </c>
      <c r="K9" t="s" s="125">
        <f>_xlfn.IFERROR(VLOOKUP($A9,'The List'!$B1:$AS665,18,FALSE)," ")</f>
        <v>858</v>
      </c>
      <c r="L9" t="s" s="125">
        <f>_xlfn.IFERROR(VLOOKUP($A9,'The List'!$B1:$AS665,19,FALSE)," ")</f>
        <v>858</v>
      </c>
      <c r="M9" t="s" s="125">
        <f>_xlfn.IFERROR(VLOOKUP($A9,'The List'!$B1:$AS665,20,FALSE)," ")</f>
        <v>858</v>
      </c>
      <c r="N9" t="s" s="125">
        <f>_xlfn.IFERROR(VLOOKUP($A9,'The List'!$B1:$AS665,21,FALSE)," ")</f>
        <v>858</v>
      </c>
      <c r="O9" t="s" s="125">
        <f>_xlfn.IFERROR(VLOOKUP($A9,'The List'!$B1:$AS665,22,FALSE)," ")</f>
        <v>858</v>
      </c>
      <c r="P9" t="s" s="125">
        <f>_xlfn.IFERROR(VLOOKUP($A9,'The List'!$B1:$AS665,23,FALSE)," ")</f>
        <v>858</v>
      </c>
      <c r="Q9" t="s" s="125">
        <f>_xlfn.IFERROR(VLOOKUP($A9,'The List'!$B1:$AS665,24,FALSE)," ")</f>
        <v>858</v>
      </c>
      <c r="R9" t="s" s="125">
        <f>_xlfn.IFERROR(VLOOKUP($A9,'The List'!$B1:$AS665,25,FALSE)," ")</f>
        <v>858</v>
      </c>
      <c r="S9" t="s" s="125">
        <f>_xlfn.IFERROR(VLOOKUP($A9,'The List'!$B1:$AS665,26,FALSE)," ")</f>
        <v>858</v>
      </c>
      <c r="T9" t="s" s="125">
        <f>_xlfn.IFERROR(VLOOKUP($A9,'The List'!$B1:$AS665,27,FALSE)," ")</f>
        <v>858</v>
      </c>
      <c r="U9" t="s" s="125">
        <f>_xlfn.IFERROR(VLOOKUP($A9,'The List'!$B1:$AS665,28,FALSE)," ")</f>
        <v>858</v>
      </c>
      <c r="V9" t="s" s="125">
        <f>_xlfn.IFERROR(VLOOKUP($A9,'The List'!$B1:$AS665,29,FALSE)," ")</f>
        <v>858</v>
      </c>
      <c r="W9" t="s" s="125">
        <f>_xlfn.IFERROR(VLOOKUP($A9,'The List'!$B1:$AS665,30,FALSE)," ")</f>
        <v>858</v>
      </c>
      <c r="X9" t="s" s="125">
        <f>_xlfn.IFERROR(VLOOKUP($A9,'The List'!$B1:$AS665,31,FALSE)," ")</f>
        <v>858</v>
      </c>
      <c r="Y9" t="s" s="125">
        <f>_xlfn.IFERROR(VLOOKUP($A9,'The List'!$B1:$AS665,32,FALSE)," ")</f>
        <v>858</v>
      </c>
      <c r="Z9" t="s" s="125">
        <f>_xlfn.IFERROR(VLOOKUP($A9,'The List'!$B1:$AS665,33,FALSE)," ")</f>
        <v>858</v>
      </c>
      <c r="AA9" s="120"/>
      <c r="AB9" s="121"/>
      <c r="AC9" s="121"/>
      <c r="AD9" t="s" s="16">
        <v>865</v>
      </c>
      <c r="AE9" s="74">
        <f>VLOOKUP(AD9,T1:Y464,2,FALSE)</f>
        <v>0</v>
      </c>
      <c r="AF9" s="122">
        <f>VLOOKUP(AD9,T1:AA464,5,FALSE)</f>
        <v>0</v>
      </c>
    </row>
    <row r="10" ht="21.25" customHeight="1">
      <c r="A10" t="s" s="10">
        <v>139</v>
      </c>
      <c r="B10" t="s" s="129">
        <f>_xlfn.IFERROR(VLOOKUP($A10,'The List'!$B1:$AS665,3,FALSE)," ")</f>
        <v>140</v>
      </c>
      <c r="C10" s="130">
        <f>_xlfn.IFERROR(VLOOKUP($A10,'The List'!$B1:$AS665,4,FALSE)," ")</f>
        <v>1</v>
      </c>
      <c r="D10" t="s" s="86">
        <f>_xlfn.IFERROR(VLOOKUP($A10,'The List'!$B1:$AS665,5,FALSE)," ")</f>
        <v>866</v>
      </c>
      <c r="E10" s="119">
        <f>_xlfn.IFERROR(VLOOKUP($A10,'The List'!$B1:$AS665,6,FALSE)," ")</f>
        <v>31</v>
      </c>
      <c r="F10" s="74">
        <f>_xlfn.IFERROR(VLOOKUP($A10,'The List'!$B1:$AS665,8,FALSE)," ")</f>
        <v>443.587937119207</v>
      </c>
      <c r="G10" s="74">
        <f>_xlfn.IFERROR(VLOOKUP($A10,'The List'!$B1:$AS665,10,FALSE)," ")</f>
        <v>113.896043038029</v>
      </c>
      <c r="H10" s="77"/>
      <c r="I10" s="79">
        <f>_xlfn.IFERROR(VLOOKUP($A10,'The List'!$B1:$AS665,16,FALSE)," ")</f>
        <v>78.35250000000001</v>
      </c>
      <c r="J10" s="79">
        <f>_xlfn.IFERROR(VLOOKUP($A10,'The List'!$B1:$AS665,17,FALSE)," ")</f>
        <v>21.6773910862217</v>
      </c>
      <c r="K10" s="79">
        <f>_xlfn.IFERROR(VLOOKUP($A10,'The List'!$B1:$AS665,18,FALSE)," ")</f>
        <v>37.3737836348773</v>
      </c>
      <c r="L10" s="79">
        <f>_xlfn.IFERROR(VLOOKUP($A10,'The List'!$B1:$AS665,19,FALSE)," ")</f>
        <v>84.81952652727909</v>
      </c>
      <c r="M10" s="79">
        <f>_xlfn.IFERROR(VLOOKUP($A10,'The List'!$B1:$AS665,20,FALSE)," ")</f>
        <v>122.193310162156</v>
      </c>
      <c r="N10" s="79">
        <f>_xlfn.IFERROR(VLOOKUP($A10,'The List'!$B1:$AS665,21,FALSE)," ")</f>
        <v>288.474118554596</v>
      </c>
      <c r="O10" s="79">
        <f>_xlfn.IFERROR(VLOOKUP($A10,'The List'!$B1:$AS665,22,FALSE)," ")</f>
        <v>10.2388453138638</v>
      </c>
      <c r="P10" s="79">
        <f>_xlfn.IFERROR(VLOOKUP($A10,'The List'!$B1:$AS665,23,FALSE)," ")</f>
        <v>45.7485337231125</v>
      </c>
      <c r="Q10" s="79">
        <f>_xlfn.IFERROR(VLOOKUP($A10,'The List'!$B1:$AS665,24,FALSE)," ")</f>
        <v>0.0035410258580855</v>
      </c>
      <c r="R10" s="79">
        <f>_xlfn.IFERROR(VLOOKUP($A10,'The List'!$B1:$AS665,25,FALSE)," ")</f>
        <v>0.00607069924292582</v>
      </c>
      <c r="S10" s="79">
        <f>_xlfn.IFERROR(VLOOKUP($A10,'The List'!$B1:$AS665,26,FALSE)," ")</f>
        <v>32.7692602388885</v>
      </c>
      <c r="T10" s="79">
        <f>_xlfn.IFERROR(VLOOKUP($A10,'The List'!$B1:$AS665,27,FALSE)," ")</f>
        <v>51.2727646900772</v>
      </c>
      <c r="U10" s="79">
        <f>_xlfn.IFERROR(VLOOKUP($A10,'The List'!$B1:$AS665,28,FALSE)," ")</f>
        <v>4.36905720982565</v>
      </c>
      <c r="V10" s="79">
        <f>_xlfn.IFERROR(VLOOKUP($A10,'The List'!$B1:$AS665,29,FALSE)," ")</f>
        <v>32.1873674325966</v>
      </c>
      <c r="W10" s="79">
        <f>_xlfn.IFERROR(VLOOKUP($A10,'The List'!$B1:$AS665,30,FALSE)," ")</f>
        <v>5.88867396904526</v>
      </c>
      <c r="X10" s="79">
        <f>_xlfn.IFERROR(VLOOKUP($A10,'The List'!$B1:$AS665,31,FALSE)," ")</f>
        <v>2.61097986769164</v>
      </c>
      <c r="Y10" s="79">
        <f>_xlfn.IFERROR(VLOOKUP($A10,'The List'!$B1:$AS665,32,FALSE)," ")</f>
        <v>0.818128933800816</v>
      </c>
      <c r="Z10" s="81">
        <f>_xlfn.IFERROR(VLOOKUP($A10,'The List'!$B1:$AS665,33,FALSE)," ")</f>
        <v>0.761416455072892</v>
      </c>
      <c r="AA10" s="120"/>
      <c r="AB10" s="121"/>
      <c r="AC10" s="121"/>
      <c r="AD10" t="s" s="16">
        <v>867</v>
      </c>
      <c r="AE10" s="74">
        <f>VLOOKUP(AD10,T1:Y464,2,FALSE)</f>
        <v>0</v>
      </c>
      <c r="AF10" s="122">
        <f>VLOOKUP(AD10,T1:AA464,5,FALSE)</f>
        <v>0</v>
      </c>
    </row>
    <row r="11" ht="21.25" customHeight="1">
      <c r="A11" s="50"/>
      <c r="B11" t="s" s="129">
        <f>_xlfn.IFERROR(VLOOKUP($A11,'The List'!$B1:$AS665,3,FALSE)," ")</f>
        <v>858</v>
      </c>
      <c r="C11" t="s" s="131">
        <f>_xlfn.IFERROR(VLOOKUP($A11,'The List'!$B1:$AS665,4,FALSE)," ")</f>
        <v>858</v>
      </c>
      <c r="D11" t="s" s="86">
        <f>_xlfn.IFERROR(VLOOKUP($A11,'The List'!$B1:$AS665,5,FALSE)," ")</f>
        <v>858</v>
      </c>
      <c r="E11" t="s" s="86">
        <f>_xlfn.IFERROR(VLOOKUP($A11,'The List'!$B1:$AS665,6,FALSE)," ")</f>
        <v>858</v>
      </c>
      <c r="F11" t="s" s="124">
        <f>_xlfn.IFERROR(VLOOKUP($A11,'The List'!$B1:$AS665,8,FALSE)," ")</f>
        <v>858</v>
      </c>
      <c r="G11" t="s" s="124">
        <f>_xlfn.IFERROR(VLOOKUP($A11,'The List'!$B1:$AS665,10,FALSE)," ")</f>
        <v>858</v>
      </c>
      <c r="H11" s="77"/>
      <c r="I11" t="s" s="125">
        <f>_xlfn.IFERROR(VLOOKUP($A11,'The List'!$B1:$AS665,16,FALSE)," ")</f>
        <v>858</v>
      </c>
      <c r="J11" t="s" s="125">
        <f>_xlfn.IFERROR(VLOOKUP($A11,'The List'!$B1:$AS665,17,FALSE)," ")</f>
        <v>858</v>
      </c>
      <c r="K11" t="s" s="125">
        <f>_xlfn.IFERROR(VLOOKUP($A11,'The List'!$B1:$AS665,18,FALSE)," ")</f>
        <v>858</v>
      </c>
      <c r="L11" t="s" s="125">
        <f>_xlfn.IFERROR(VLOOKUP($A11,'The List'!$B1:$AS665,19,FALSE)," ")</f>
        <v>858</v>
      </c>
      <c r="M11" t="s" s="125">
        <f>_xlfn.IFERROR(VLOOKUP($A11,'The List'!$B1:$AS665,20,FALSE)," ")</f>
        <v>858</v>
      </c>
      <c r="N11" t="s" s="125">
        <f>_xlfn.IFERROR(VLOOKUP($A11,'The List'!$B1:$AS665,21,FALSE)," ")</f>
        <v>858</v>
      </c>
      <c r="O11" t="s" s="125">
        <f>_xlfn.IFERROR(VLOOKUP($A11,'The List'!$B1:$AS665,22,FALSE)," ")</f>
        <v>858</v>
      </c>
      <c r="P11" t="s" s="125">
        <f>_xlfn.IFERROR(VLOOKUP($A11,'The List'!$B1:$AS665,23,FALSE)," ")</f>
        <v>858</v>
      </c>
      <c r="Q11" t="s" s="125">
        <f>_xlfn.IFERROR(VLOOKUP($A11,'The List'!$B1:$AS665,24,FALSE)," ")</f>
        <v>858</v>
      </c>
      <c r="R11" t="s" s="125">
        <f>_xlfn.IFERROR(VLOOKUP($A11,'The List'!$B1:$AS665,25,FALSE)," ")</f>
        <v>858</v>
      </c>
      <c r="S11" t="s" s="125">
        <f>_xlfn.IFERROR(VLOOKUP($A11,'The List'!$B1:$AS665,26,FALSE)," ")</f>
        <v>858</v>
      </c>
      <c r="T11" t="s" s="125">
        <f>_xlfn.IFERROR(VLOOKUP($A11,'The List'!$B1:$AS665,27,FALSE)," ")</f>
        <v>858</v>
      </c>
      <c r="U11" t="s" s="125">
        <f>_xlfn.IFERROR(VLOOKUP($A11,'The List'!$B1:$AS665,28,FALSE)," ")</f>
        <v>858</v>
      </c>
      <c r="V11" t="s" s="125">
        <f>_xlfn.IFERROR(VLOOKUP($A11,'The List'!$B1:$AS665,29,FALSE)," ")</f>
        <v>858</v>
      </c>
      <c r="W11" t="s" s="125">
        <f>_xlfn.IFERROR(VLOOKUP($A11,'The List'!$B1:$AS665,30,FALSE)," ")</f>
        <v>858</v>
      </c>
      <c r="X11" t="s" s="125">
        <f>_xlfn.IFERROR(VLOOKUP($A11,'The List'!$B1:$AS665,31,FALSE)," ")</f>
        <v>858</v>
      </c>
      <c r="Y11" t="s" s="125">
        <f>_xlfn.IFERROR(VLOOKUP($A11,'The List'!$B1:$AS665,32,FALSE)," ")</f>
        <v>858</v>
      </c>
      <c r="Z11" t="s" s="125">
        <f>_xlfn.IFERROR(VLOOKUP($A11,'The List'!$B1:$AS665,33,FALSE)," ")</f>
        <v>858</v>
      </c>
      <c r="AA11" s="120"/>
      <c r="AB11" s="121"/>
      <c r="AC11" s="121"/>
      <c r="AD11" t="s" s="16">
        <v>868</v>
      </c>
      <c r="AE11" s="74">
        <f>VLOOKUP(AD11,T1:Y464,2,FALSE)</f>
        <v>0</v>
      </c>
      <c r="AF11" s="122">
        <f>VLOOKUP(AD11,T1:AA464,5,FALSE)</f>
        <v>0</v>
      </c>
    </row>
    <row r="12" ht="21.25" customHeight="1">
      <c r="A12" s="50"/>
      <c r="B12" t="s" s="129">
        <f>_xlfn.IFERROR(VLOOKUP($A12,'The List'!$B1:$AS665,3,FALSE)," ")</f>
        <v>858</v>
      </c>
      <c r="C12" t="s" s="131">
        <f>_xlfn.IFERROR(VLOOKUP($A12,'The List'!$B1:$AS665,4,FALSE)," ")</f>
        <v>858</v>
      </c>
      <c r="D12" t="s" s="86">
        <f>_xlfn.IFERROR(VLOOKUP($A12,'The List'!$B1:$AS665,5,FALSE)," ")</f>
        <v>858</v>
      </c>
      <c r="E12" t="s" s="86">
        <f>_xlfn.IFERROR(VLOOKUP($A12,'The List'!$B1:$AS665,6,FALSE)," ")</f>
        <v>858</v>
      </c>
      <c r="F12" t="s" s="124">
        <f>_xlfn.IFERROR(VLOOKUP($A12,'The List'!$B1:$AS665,8,FALSE)," ")</f>
        <v>858</v>
      </c>
      <c r="G12" t="s" s="124">
        <f>_xlfn.IFERROR(VLOOKUP($A12,'The List'!$B1:$AS665,10,FALSE)," ")</f>
        <v>858</v>
      </c>
      <c r="H12" s="77"/>
      <c r="I12" t="s" s="125">
        <f>_xlfn.IFERROR(VLOOKUP($A12,'The List'!$B1:$AS665,16,FALSE)," ")</f>
        <v>858</v>
      </c>
      <c r="J12" t="s" s="125">
        <f>_xlfn.IFERROR(VLOOKUP($A12,'The List'!$B1:$AS665,17,FALSE)," ")</f>
        <v>858</v>
      </c>
      <c r="K12" t="s" s="125">
        <f>_xlfn.IFERROR(VLOOKUP($A12,'The List'!$B1:$AS665,18,FALSE)," ")</f>
        <v>858</v>
      </c>
      <c r="L12" t="s" s="125">
        <f>_xlfn.IFERROR(VLOOKUP($A12,'The List'!$B1:$AS665,19,FALSE)," ")</f>
        <v>858</v>
      </c>
      <c r="M12" t="s" s="125">
        <f>_xlfn.IFERROR(VLOOKUP($A12,'The List'!$B1:$AS665,20,FALSE)," ")</f>
        <v>858</v>
      </c>
      <c r="N12" t="s" s="125">
        <f>_xlfn.IFERROR(VLOOKUP($A12,'The List'!$B1:$AS665,21,FALSE)," ")</f>
        <v>858</v>
      </c>
      <c r="O12" t="s" s="125">
        <f>_xlfn.IFERROR(VLOOKUP($A12,'The List'!$B1:$AS665,22,FALSE)," ")</f>
        <v>858</v>
      </c>
      <c r="P12" t="s" s="125">
        <f>_xlfn.IFERROR(VLOOKUP($A12,'The List'!$B1:$AS665,23,FALSE)," ")</f>
        <v>858</v>
      </c>
      <c r="Q12" t="s" s="125">
        <f>_xlfn.IFERROR(VLOOKUP($A12,'The List'!$B1:$AS665,24,FALSE)," ")</f>
        <v>858</v>
      </c>
      <c r="R12" t="s" s="125">
        <f>_xlfn.IFERROR(VLOOKUP($A12,'The List'!$B1:$AS665,25,FALSE)," ")</f>
        <v>858</v>
      </c>
      <c r="S12" t="s" s="125">
        <f>_xlfn.IFERROR(VLOOKUP($A12,'The List'!$B1:$AS665,26,FALSE)," ")</f>
        <v>858</v>
      </c>
      <c r="T12" t="s" s="125">
        <f>_xlfn.IFERROR(VLOOKUP($A12,'The List'!$B1:$AS665,27,FALSE)," ")</f>
        <v>858</v>
      </c>
      <c r="U12" t="s" s="125">
        <f>_xlfn.IFERROR(VLOOKUP($A12,'The List'!$B1:$AS665,28,FALSE)," ")</f>
        <v>858</v>
      </c>
      <c r="V12" t="s" s="125">
        <f>_xlfn.IFERROR(VLOOKUP($A12,'The List'!$B1:$AS665,29,FALSE)," ")</f>
        <v>858</v>
      </c>
      <c r="W12" t="s" s="125">
        <f>_xlfn.IFERROR(VLOOKUP($A12,'The List'!$B1:$AS665,30,FALSE)," ")</f>
        <v>858</v>
      </c>
      <c r="X12" t="s" s="125">
        <f>_xlfn.IFERROR(VLOOKUP($A12,'The List'!$B1:$AS665,31,FALSE)," ")</f>
        <v>858</v>
      </c>
      <c r="Y12" t="s" s="125">
        <f>_xlfn.IFERROR(VLOOKUP($A12,'The List'!$B1:$AS665,32,FALSE)," ")</f>
        <v>858</v>
      </c>
      <c r="Z12" t="s" s="125">
        <f>_xlfn.IFERROR(VLOOKUP($A12,'The List'!$B1:$AS665,33,FALSE)," ")</f>
        <v>858</v>
      </c>
      <c r="AA12" s="120"/>
      <c r="AB12" s="121"/>
      <c r="AC12" s="121"/>
      <c r="AD12" t="s" s="16">
        <v>869</v>
      </c>
      <c r="AE12" s="74">
        <f>VLOOKUP(AD12,T1:Y464,2,FALSE)</f>
        <v>0</v>
      </c>
      <c r="AF12" s="122">
        <f>VLOOKUP(AD12,T1:AA464,5,FALSE)</f>
        <v>0</v>
      </c>
    </row>
    <row r="13" ht="21.25" customHeight="1">
      <c r="A13" s="50"/>
      <c r="B13" t="s" s="129">
        <f>_xlfn.IFERROR(VLOOKUP($A13,'The List'!$B1:$AS665,3,FALSE)," ")</f>
        <v>858</v>
      </c>
      <c r="C13" t="s" s="131">
        <f>_xlfn.IFERROR(VLOOKUP($A13,'The List'!$B1:$AS665,4,FALSE)," ")</f>
        <v>858</v>
      </c>
      <c r="D13" t="s" s="86">
        <f>_xlfn.IFERROR(VLOOKUP($A13,'The List'!$B1:$AS665,5,FALSE)," ")</f>
        <v>858</v>
      </c>
      <c r="E13" t="s" s="86">
        <f>_xlfn.IFERROR(VLOOKUP($A13,'The List'!$B1:$AS665,6,FALSE)," ")</f>
        <v>858</v>
      </c>
      <c r="F13" t="s" s="124">
        <f>_xlfn.IFERROR(VLOOKUP($A13,'The List'!$B1:$AS665,8,FALSE)," ")</f>
        <v>858</v>
      </c>
      <c r="G13" t="s" s="124">
        <f>_xlfn.IFERROR(VLOOKUP($A13,'The List'!$B1:$AS665,10,FALSE)," ")</f>
        <v>858</v>
      </c>
      <c r="H13" s="77"/>
      <c r="I13" t="s" s="125">
        <f>_xlfn.IFERROR(VLOOKUP($A13,'The List'!$B1:$AS665,16,FALSE)," ")</f>
        <v>858</v>
      </c>
      <c r="J13" t="s" s="125">
        <f>_xlfn.IFERROR(VLOOKUP($A13,'The List'!$B1:$AS665,17,FALSE)," ")</f>
        <v>858</v>
      </c>
      <c r="K13" t="s" s="125">
        <f>_xlfn.IFERROR(VLOOKUP($A13,'The List'!$B1:$AS665,18,FALSE)," ")</f>
        <v>858</v>
      </c>
      <c r="L13" t="s" s="125">
        <f>_xlfn.IFERROR(VLOOKUP($A13,'The List'!$B1:$AS665,19,FALSE)," ")</f>
        <v>858</v>
      </c>
      <c r="M13" t="s" s="125">
        <f>_xlfn.IFERROR(VLOOKUP($A13,'The List'!$B1:$AS665,20,FALSE)," ")</f>
        <v>858</v>
      </c>
      <c r="N13" t="s" s="125">
        <f>_xlfn.IFERROR(VLOOKUP($A13,'The List'!$B1:$AS665,21,FALSE)," ")</f>
        <v>858</v>
      </c>
      <c r="O13" t="s" s="125">
        <f>_xlfn.IFERROR(VLOOKUP($A13,'The List'!$B1:$AS665,22,FALSE)," ")</f>
        <v>858</v>
      </c>
      <c r="P13" t="s" s="125">
        <f>_xlfn.IFERROR(VLOOKUP($A13,'The List'!$B1:$AS665,23,FALSE)," ")</f>
        <v>858</v>
      </c>
      <c r="Q13" t="s" s="125">
        <f>_xlfn.IFERROR(VLOOKUP($A13,'The List'!$B1:$AS665,24,FALSE)," ")</f>
        <v>858</v>
      </c>
      <c r="R13" t="s" s="125">
        <f>_xlfn.IFERROR(VLOOKUP($A13,'The List'!$B1:$AS665,25,FALSE)," ")</f>
        <v>858</v>
      </c>
      <c r="S13" t="s" s="125">
        <f>_xlfn.IFERROR(VLOOKUP($A13,'The List'!$B1:$AS665,26,FALSE)," ")</f>
        <v>858</v>
      </c>
      <c r="T13" t="s" s="125">
        <f>_xlfn.IFERROR(VLOOKUP($A13,'The List'!$B1:$AS665,27,FALSE)," ")</f>
        <v>858</v>
      </c>
      <c r="U13" t="s" s="125">
        <f>_xlfn.IFERROR(VLOOKUP($A13,'The List'!$B1:$AS665,28,FALSE)," ")</f>
        <v>858</v>
      </c>
      <c r="V13" t="s" s="125">
        <f>_xlfn.IFERROR(VLOOKUP($A13,'The List'!$B1:$AS665,29,FALSE)," ")</f>
        <v>858</v>
      </c>
      <c r="W13" t="s" s="125">
        <f>_xlfn.IFERROR(VLOOKUP($A13,'The List'!$B1:$AS665,30,FALSE)," ")</f>
        <v>858</v>
      </c>
      <c r="X13" t="s" s="125">
        <f>_xlfn.IFERROR(VLOOKUP($A13,'The List'!$B1:$AS665,31,FALSE)," ")</f>
        <v>858</v>
      </c>
      <c r="Y13" t="s" s="125">
        <f>_xlfn.IFERROR(VLOOKUP($A13,'The List'!$B1:$AS665,32,FALSE)," ")</f>
        <v>858</v>
      </c>
      <c r="Z13" t="s" s="125">
        <f>_xlfn.IFERROR(VLOOKUP($A13,'The List'!$B1:$AS665,33,FALSE)," ")</f>
        <v>858</v>
      </c>
      <c r="AA13" s="120"/>
      <c r="AB13" s="121"/>
      <c r="AC13" s="121"/>
      <c r="AD13" t="s" s="16">
        <v>870</v>
      </c>
      <c r="AE13" s="74">
        <f>VLOOKUP(AD13,T1:Y464,2,FALSE)</f>
        <v>0</v>
      </c>
      <c r="AF13" s="122">
        <f>VLOOKUP(AD13,T1:AA464,5,FALSE)</f>
        <v>0</v>
      </c>
    </row>
    <row r="14" ht="21.25" customHeight="1">
      <c r="A14" t="s" s="10">
        <v>163</v>
      </c>
      <c r="B14" t="s" s="132">
        <f>_xlfn.IFERROR(VLOOKUP($A14,'The List'!$B1:$AS665,3,FALSE)," ")</f>
        <v>153</v>
      </c>
      <c r="C14" s="133">
        <f>_xlfn.IFERROR(VLOOKUP($A14,'The List'!$B1:$AS665,4,FALSE)," ")</f>
        <v>3</v>
      </c>
      <c r="D14" t="s" s="86">
        <f>_xlfn.IFERROR(VLOOKUP($A14,'The List'!$B1:$AS665,5,FALSE)," ")</f>
        <v>871</v>
      </c>
      <c r="E14" s="119">
        <f>_xlfn.IFERROR(VLOOKUP($A14,'The List'!$B1:$AS665,6,FALSE)," ")</f>
        <v>25</v>
      </c>
      <c r="F14" s="74">
        <f>_xlfn.IFERROR(VLOOKUP($A14,'The List'!$B1:$AS665,8,FALSE)," ")</f>
        <v>421.530361173324</v>
      </c>
      <c r="G14" s="74">
        <f>_xlfn.IFERROR(VLOOKUP($A14,'The List'!$B1:$AS665,10,FALSE)," ")</f>
        <v>89.990153253242</v>
      </c>
      <c r="H14" s="77"/>
      <c r="I14" s="79">
        <f>_xlfn.IFERROR(VLOOKUP($A14,'The List'!$B1:$AS665,16,FALSE)," ")</f>
        <v>77.61750000000001</v>
      </c>
      <c r="J14" s="79">
        <f>_xlfn.IFERROR(VLOOKUP($A14,'The List'!$B1:$AS665,17,FALSE)," ")</f>
        <v>25.8365966373684</v>
      </c>
      <c r="K14" s="79">
        <f>_xlfn.IFERROR(VLOOKUP($A14,'The List'!$B1:$AS665,18,FALSE)," ")</f>
        <v>22.1694745746487</v>
      </c>
      <c r="L14" s="79">
        <f>_xlfn.IFERROR(VLOOKUP($A14,'The List'!$B1:$AS665,19,FALSE)," ")</f>
        <v>65.06913378836791</v>
      </c>
      <c r="M14" s="79">
        <f>_xlfn.IFERROR(VLOOKUP($A14,'The List'!$B1:$AS665,20,FALSE)," ")</f>
        <v>87.2386083630166</v>
      </c>
      <c r="N14" s="79">
        <f>_xlfn.IFERROR(VLOOKUP($A14,'The List'!$B1:$AS665,21,FALSE)," ")</f>
        <v>233.990139307589</v>
      </c>
      <c r="O14" s="79">
        <f>_xlfn.IFERROR(VLOOKUP($A14,'The List'!$B1:$AS665,22,FALSE)," ")</f>
        <v>7.25998943579706</v>
      </c>
      <c r="P14" s="79">
        <f>_xlfn.IFERROR(VLOOKUP($A14,'The List'!$B1:$AS665,23,FALSE)," ")</f>
        <v>37.6622293321898</v>
      </c>
      <c r="Q14" s="79">
        <f>_xlfn.IFERROR(VLOOKUP($A14,'The List'!$B1:$AS665,24,FALSE)," ")</f>
        <v>0.492698654373481</v>
      </c>
      <c r="R14" s="79">
        <f>_xlfn.IFERROR(VLOOKUP($A14,'The List'!$B1:$AS665,25,FALSE)," ")</f>
        <v>1.98703008595895</v>
      </c>
      <c r="S14" s="79">
        <f>_xlfn.IFERROR(VLOOKUP($A14,'The List'!$B1:$AS665,26,FALSE)," ")</f>
        <v>139.850452290956</v>
      </c>
      <c r="T14" s="79">
        <f>_xlfn.IFERROR(VLOOKUP($A14,'The List'!$B1:$AS665,27,FALSE)," ")</f>
        <v>59.9570227490988</v>
      </c>
      <c r="U14" s="79">
        <f>_xlfn.IFERROR(VLOOKUP($A14,'The List'!$B1:$AS665,28,FALSE)," ")</f>
        <v>5.01033286125809</v>
      </c>
      <c r="V14" s="79">
        <f>_xlfn.IFERROR(VLOOKUP($A14,'The List'!$B1:$AS665,29,FALSE)," ")</f>
        <v>29.0785201784657</v>
      </c>
      <c r="W14" s="79">
        <f>_xlfn.IFERROR(VLOOKUP($A14,'The List'!$B1:$AS665,30,FALSE)," ")</f>
        <v>3.31235570907632</v>
      </c>
      <c r="X14" s="79">
        <f>_xlfn.IFERROR(VLOOKUP($A14,'The List'!$B1:$AS665,31,FALSE)," ")</f>
        <v>0</v>
      </c>
      <c r="Y14" s="79">
        <f>_xlfn.IFERROR(VLOOKUP($A14,'The List'!$B1:$AS665,32,FALSE)," ")</f>
        <v>0</v>
      </c>
      <c r="Z14" s="81">
        <f>_xlfn.IFERROR(VLOOKUP($A14,'The List'!$B1:$AS665,33,FALSE)," ")</f>
        <v>0</v>
      </c>
      <c r="AA14" s="120"/>
      <c r="AB14" s="121"/>
      <c r="AC14" s="121"/>
      <c r="AD14" t="s" s="16">
        <v>872</v>
      </c>
      <c r="AE14" s="74">
        <f>VLOOKUP(AD14,T1:Y464,2,FALSE)</f>
        <v>0</v>
      </c>
      <c r="AF14" s="122">
        <f>VLOOKUP(AD14,T1:AA464,5,FALSE)</f>
        <v>0</v>
      </c>
    </row>
    <row r="15" ht="21.25" customHeight="1">
      <c r="A15" s="50"/>
      <c r="B15" t="s" s="132">
        <f>_xlfn.IFERROR(VLOOKUP($A15,'The List'!$B1:$AS665,3,FALSE)," ")</f>
        <v>858</v>
      </c>
      <c r="C15" t="s" s="134">
        <f>_xlfn.IFERROR(VLOOKUP($A15,'The List'!$B1:$AS665,4,FALSE)," ")</f>
        <v>858</v>
      </c>
      <c r="D15" t="s" s="86">
        <f>_xlfn.IFERROR(VLOOKUP($A15,'The List'!$B1:$AS665,5,FALSE)," ")</f>
        <v>858</v>
      </c>
      <c r="E15" t="s" s="86">
        <f>_xlfn.IFERROR(VLOOKUP($A15,'The List'!$B1:$AS665,6,FALSE)," ")</f>
        <v>858</v>
      </c>
      <c r="F15" t="s" s="124">
        <f>_xlfn.IFERROR(VLOOKUP($A15,'The List'!$B1:$AS665,8,FALSE)," ")</f>
        <v>858</v>
      </c>
      <c r="G15" t="s" s="124">
        <f>_xlfn.IFERROR(VLOOKUP($A15,'The List'!$B1:$AS665,10,FALSE)," ")</f>
        <v>858</v>
      </c>
      <c r="H15" s="77"/>
      <c r="I15" t="s" s="125">
        <f>_xlfn.IFERROR(VLOOKUP($A15,'The List'!$B1:$AS665,16,FALSE)," ")</f>
        <v>858</v>
      </c>
      <c r="J15" t="s" s="125">
        <f>_xlfn.IFERROR(VLOOKUP($A15,'The List'!$B1:$AS665,17,FALSE)," ")</f>
        <v>858</v>
      </c>
      <c r="K15" t="s" s="125">
        <f>_xlfn.IFERROR(VLOOKUP($A15,'The List'!$B1:$AS665,18,FALSE)," ")</f>
        <v>858</v>
      </c>
      <c r="L15" t="s" s="125">
        <f>_xlfn.IFERROR(VLOOKUP($A15,'The List'!$B1:$AS665,19,FALSE)," ")</f>
        <v>858</v>
      </c>
      <c r="M15" t="s" s="125">
        <f>_xlfn.IFERROR(VLOOKUP($A15,'The List'!$B1:$AS665,20,FALSE)," ")</f>
        <v>858</v>
      </c>
      <c r="N15" t="s" s="125">
        <f>_xlfn.IFERROR(VLOOKUP($A15,'The List'!$B1:$AS665,21,FALSE)," ")</f>
        <v>858</v>
      </c>
      <c r="O15" t="s" s="125">
        <f>_xlfn.IFERROR(VLOOKUP($A15,'The List'!$B1:$AS665,22,FALSE)," ")</f>
        <v>858</v>
      </c>
      <c r="P15" t="s" s="125">
        <f>_xlfn.IFERROR(VLOOKUP($A15,'The List'!$B1:$AS665,23,FALSE)," ")</f>
        <v>858</v>
      </c>
      <c r="Q15" t="s" s="125">
        <f>_xlfn.IFERROR(VLOOKUP($A15,'The List'!$B1:$AS665,24,FALSE)," ")</f>
        <v>858</v>
      </c>
      <c r="R15" t="s" s="125">
        <f>_xlfn.IFERROR(VLOOKUP($A15,'The List'!$B1:$AS665,25,FALSE)," ")</f>
        <v>858</v>
      </c>
      <c r="S15" t="s" s="125">
        <f>_xlfn.IFERROR(VLOOKUP($A15,'The List'!$B1:$AS665,26,FALSE)," ")</f>
        <v>858</v>
      </c>
      <c r="T15" t="s" s="125">
        <f>_xlfn.IFERROR(VLOOKUP($A15,'The List'!$B1:$AS665,27,FALSE)," ")</f>
        <v>858</v>
      </c>
      <c r="U15" t="s" s="125">
        <f>_xlfn.IFERROR(VLOOKUP($A15,'The List'!$B1:$AS665,28,FALSE)," ")</f>
        <v>858</v>
      </c>
      <c r="V15" t="s" s="125">
        <f>_xlfn.IFERROR(VLOOKUP($A15,'The List'!$B1:$AS665,29,FALSE)," ")</f>
        <v>858</v>
      </c>
      <c r="W15" t="s" s="125">
        <f>_xlfn.IFERROR(VLOOKUP($A15,'The List'!$B1:$AS665,30,FALSE)," ")</f>
        <v>858</v>
      </c>
      <c r="X15" t="s" s="125">
        <f>_xlfn.IFERROR(VLOOKUP($A15,'The List'!$B1:$AS665,31,FALSE)," ")</f>
        <v>858</v>
      </c>
      <c r="Y15" t="s" s="125">
        <f>_xlfn.IFERROR(VLOOKUP($A15,'The List'!$B1:$AS665,32,FALSE)," ")</f>
        <v>858</v>
      </c>
      <c r="Z15" t="s" s="125">
        <f>_xlfn.IFERROR(VLOOKUP($A15,'The List'!$B1:$AS665,33,FALSE)," ")</f>
        <v>858</v>
      </c>
      <c r="AA15" s="120"/>
      <c r="AB15" s="121"/>
      <c r="AC15" s="121"/>
      <c r="AD15" t="s" s="16">
        <v>873</v>
      </c>
      <c r="AE15" s="74">
        <f>VLOOKUP(AD15,T1:Y464,2,FALSE)</f>
        <v>0</v>
      </c>
      <c r="AF15" s="122">
        <f>VLOOKUP(AD15,T1:AA464,5,FALSE)</f>
        <v>0</v>
      </c>
    </row>
    <row r="16" ht="21.25" customHeight="1">
      <c r="A16" s="50"/>
      <c r="B16" t="s" s="132">
        <f>_xlfn.IFERROR(VLOOKUP($A16,'The List'!$B1:$AS665,3,FALSE)," ")</f>
        <v>858</v>
      </c>
      <c r="C16" t="s" s="134">
        <f>_xlfn.IFERROR(VLOOKUP($A16,'The List'!$B1:$AS665,4,FALSE)," ")</f>
        <v>858</v>
      </c>
      <c r="D16" t="s" s="86">
        <f>_xlfn.IFERROR(VLOOKUP($A16,'The List'!$B1:$AS665,5,FALSE)," ")</f>
        <v>858</v>
      </c>
      <c r="E16" t="s" s="86">
        <f>_xlfn.IFERROR(VLOOKUP($A16,'The List'!$B1:$AS665,6,FALSE)," ")</f>
        <v>858</v>
      </c>
      <c r="F16" t="s" s="124">
        <f>_xlfn.IFERROR(VLOOKUP($A16,'The List'!$B1:$AS665,8,FALSE)," ")</f>
        <v>858</v>
      </c>
      <c r="G16" t="s" s="124">
        <f>_xlfn.IFERROR(VLOOKUP($A16,'The List'!$B1:$AS665,10,FALSE)," ")</f>
        <v>858</v>
      </c>
      <c r="H16" s="77"/>
      <c r="I16" t="s" s="125">
        <f>_xlfn.IFERROR(VLOOKUP($A16,'The List'!$B1:$AS665,16,FALSE)," ")</f>
        <v>858</v>
      </c>
      <c r="J16" t="s" s="125">
        <f>_xlfn.IFERROR(VLOOKUP($A16,'The List'!$B1:$AS665,17,FALSE)," ")</f>
        <v>858</v>
      </c>
      <c r="K16" t="s" s="125">
        <f>_xlfn.IFERROR(VLOOKUP($A16,'The List'!$B1:$AS665,18,FALSE)," ")</f>
        <v>858</v>
      </c>
      <c r="L16" t="s" s="125">
        <f>_xlfn.IFERROR(VLOOKUP($A16,'The List'!$B1:$AS665,19,FALSE)," ")</f>
        <v>858</v>
      </c>
      <c r="M16" t="s" s="125">
        <f>_xlfn.IFERROR(VLOOKUP($A16,'The List'!$B1:$AS665,20,FALSE)," ")</f>
        <v>858</v>
      </c>
      <c r="N16" t="s" s="125">
        <f>_xlfn.IFERROR(VLOOKUP($A16,'The List'!$B1:$AS665,21,FALSE)," ")</f>
        <v>858</v>
      </c>
      <c r="O16" t="s" s="125">
        <f>_xlfn.IFERROR(VLOOKUP($A16,'The List'!$B1:$AS665,22,FALSE)," ")</f>
        <v>858</v>
      </c>
      <c r="P16" t="s" s="125">
        <f>_xlfn.IFERROR(VLOOKUP($A16,'The List'!$B1:$AS665,23,FALSE)," ")</f>
        <v>858</v>
      </c>
      <c r="Q16" t="s" s="125">
        <f>_xlfn.IFERROR(VLOOKUP($A16,'The List'!$B1:$AS665,24,FALSE)," ")</f>
        <v>858</v>
      </c>
      <c r="R16" t="s" s="125">
        <f>_xlfn.IFERROR(VLOOKUP($A16,'The List'!$B1:$AS665,25,FALSE)," ")</f>
        <v>858</v>
      </c>
      <c r="S16" t="s" s="125">
        <f>_xlfn.IFERROR(VLOOKUP($A16,'The List'!$B1:$AS665,26,FALSE)," ")</f>
        <v>858</v>
      </c>
      <c r="T16" t="s" s="125">
        <f>_xlfn.IFERROR(VLOOKUP($A16,'The List'!$B1:$AS665,27,FALSE)," ")</f>
        <v>858</v>
      </c>
      <c r="U16" t="s" s="125">
        <f>_xlfn.IFERROR(VLOOKUP($A16,'The List'!$B1:$AS665,28,FALSE)," ")</f>
        <v>858</v>
      </c>
      <c r="V16" t="s" s="125">
        <f>_xlfn.IFERROR(VLOOKUP($A16,'The List'!$B1:$AS665,29,FALSE)," ")</f>
        <v>858</v>
      </c>
      <c r="W16" t="s" s="125">
        <f>_xlfn.IFERROR(VLOOKUP($A16,'The List'!$B1:$AS665,30,FALSE)," ")</f>
        <v>858</v>
      </c>
      <c r="X16" t="s" s="125">
        <f>_xlfn.IFERROR(VLOOKUP($A16,'The List'!$B1:$AS665,31,FALSE)," ")</f>
        <v>858</v>
      </c>
      <c r="Y16" t="s" s="125">
        <f>_xlfn.IFERROR(VLOOKUP($A16,'The List'!$B1:$AS665,32,FALSE)," ")</f>
        <v>858</v>
      </c>
      <c r="Z16" t="s" s="125">
        <f>_xlfn.IFERROR(VLOOKUP($A16,'The List'!$B1:$AS665,33,FALSE)," ")</f>
        <v>858</v>
      </c>
      <c r="AA16" s="120"/>
      <c r="AB16" s="121"/>
      <c r="AC16" s="121"/>
      <c r="AD16" t="s" s="16">
        <v>874</v>
      </c>
      <c r="AE16" s="74">
        <f>VLOOKUP(AD16,T1:Y464,2,FALSE)</f>
        <v>0</v>
      </c>
      <c r="AF16" s="122">
        <f>VLOOKUP(AD16,T1:AA464,5,FALSE)</f>
        <v>0</v>
      </c>
    </row>
    <row r="17" ht="21.25" customHeight="1">
      <c r="A17" s="50"/>
      <c r="B17" t="s" s="132">
        <f>_xlfn.IFERROR(VLOOKUP($A17,'The List'!$B1:$AS665,3,FALSE)," ")</f>
        <v>858</v>
      </c>
      <c r="C17" t="s" s="134">
        <f>_xlfn.IFERROR(VLOOKUP($A17,'The List'!$B1:$AS665,4,FALSE)," ")</f>
        <v>858</v>
      </c>
      <c r="D17" t="s" s="86">
        <f>_xlfn.IFERROR(VLOOKUP($A17,'The List'!$B1:$AS665,5,FALSE)," ")</f>
        <v>858</v>
      </c>
      <c r="E17" t="s" s="86">
        <f>_xlfn.IFERROR(VLOOKUP($A17,'The List'!$B1:$AS665,6,FALSE)," ")</f>
        <v>858</v>
      </c>
      <c r="F17" t="s" s="124">
        <f>_xlfn.IFERROR(VLOOKUP($A17,'The List'!$B1:$AS665,8,FALSE)," ")</f>
        <v>858</v>
      </c>
      <c r="G17" t="s" s="124">
        <f>_xlfn.IFERROR(VLOOKUP($A17,'The List'!$B1:$AS665,10,FALSE)," ")</f>
        <v>858</v>
      </c>
      <c r="H17" s="77"/>
      <c r="I17" t="s" s="125">
        <f>_xlfn.IFERROR(VLOOKUP($A17,'The List'!$B1:$AS665,16,FALSE)," ")</f>
        <v>858</v>
      </c>
      <c r="J17" t="s" s="125">
        <f>_xlfn.IFERROR(VLOOKUP($A17,'The List'!$B1:$AS665,17,FALSE)," ")</f>
        <v>858</v>
      </c>
      <c r="K17" t="s" s="125">
        <f>_xlfn.IFERROR(VLOOKUP($A17,'The List'!$B1:$AS665,18,FALSE)," ")</f>
        <v>858</v>
      </c>
      <c r="L17" t="s" s="125">
        <f>_xlfn.IFERROR(VLOOKUP($A17,'The List'!$B1:$AS665,19,FALSE)," ")</f>
        <v>858</v>
      </c>
      <c r="M17" t="s" s="125">
        <f>_xlfn.IFERROR(VLOOKUP($A17,'The List'!$B1:$AS665,20,FALSE)," ")</f>
        <v>858</v>
      </c>
      <c r="N17" t="s" s="125">
        <f>_xlfn.IFERROR(VLOOKUP($A17,'The List'!$B1:$AS665,21,FALSE)," ")</f>
        <v>858</v>
      </c>
      <c r="O17" t="s" s="125">
        <f>_xlfn.IFERROR(VLOOKUP($A17,'The List'!$B1:$AS665,22,FALSE)," ")</f>
        <v>858</v>
      </c>
      <c r="P17" t="s" s="125">
        <f>_xlfn.IFERROR(VLOOKUP($A17,'The List'!$B1:$AS665,23,FALSE)," ")</f>
        <v>858</v>
      </c>
      <c r="Q17" t="s" s="125">
        <f>_xlfn.IFERROR(VLOOKUP($A17,'The List'!$B1:$AS665,24,FALSE)," ")</f>
        <v>858</v>
      </c>
      <c r="R17" t="s" s="125">
        <f>_xlfn.IFERROR(VLOOKUP($A17,'The List'!$B1:$AS665,25,FALSE)," ")</f>
        <v>858</v>
      </c>
      <c r="S17" t="s" s="125">
        <f>_xlfn.IFERROR(VLOOKUP($A17,'The List'!$B1:$AS665,26,FALSE)," ")</f>
        <v>858</v>
      </c>
      <c r="T17" t="s" s="125">
        <f>_xlfn.IFERROR(VLOOKUP($A17,'The List'!$B1:$AS665,27,FALSE)," ")</f>
        <v>858</v>
      </c>
      <c r="U17" t="s" s="125">
        <f>_xlfn.IFERROR(VLOOKUP($A17,'The List'!$B1:$AS665,28,FALSE)," ")</f>
        <v>858</v>
      </c>
      <c r="V17" t="s" s="125">
        <f>_xlfn.IFERROR(VLOOKUP($A17,'The List'!$B1:$AS665,29,FALSE)," ")</f>
        <v>858</v>
      </c>
      <c r="W17" t="s" s="125">
        <f>_xlfn.IFERROR(VLOOKUP($A17,'The List'!$B1:$AS665,30,FALSE)," ")</f>
        <v>858</v>
      </c>
      <c r="X17" t="s" s="125">
        <f>_xlfn.IFERROR(VLOOKUP($A17,'The List'!$B1:$AS665,31,FALSE)," ")</f>
        <v>858</v>
      </c>
      <c r="Y17" t="s" s="125">
        <f>_xlfn.IFERROR(VLOOKUP($A17,'The List'!$B1:$AS665,32,FALSE)," ")</f>
        <v>858</v>
      </c>
      <c r="Z17" t="s" s="125">
        <f>_xlfn.IFERROR(VLOOKUP($A17,'The List'!$B1:$AS665,33,FALSE)," ")</f>
        <v>858</v>
      </c>
      <c r="AA17" s="120"/>
      <c r="AB17" s="121"/>
      <c r="AC17" s="121"/>
      <c r="AD17" t="s" s="16">
        <v>875</v>
      </c>
      <c r="AE17" s="74">
        <f>VLOOKUP(AD17,T1:Y464,2,FALSE)</f>
        <v>0</v>
      </c>
      <c r="AF17" s="122">
        <f>VLOOKUP(AD17,T1:AA464,5,FALSE)</f>
        <v>0</v>
      </c>
    </row>
    <row r="18" ht="21.25" customHeight="1">
      <c r="A18" s="50"/>
      <c r="B18" t="s" s="132">
        <f>_xlfn.IFERROR(VLOOKUP($A18,'The List'!$B1:$AS665,3,FALSE)," ")</f>
        <v>858</v>
      </c>
      <c r="C18" t="s" s="134">
        <f>_xlfn.IFERROR(VLOOKUP($A18,'The List'!$B1:$AS665,4,FALSE)," ")</f>
        <v>858</v>
      </c>
      <c r="D18" t="s" s="86">
        <f>_xlfn.IFERROR(VLOOKUP($A18,'The List'!$B1:$AS665,5,FALSE)," ")</f>
        <v>858</v>
      </c>
      <c r="E18" t="s" s="86">
        <f>_xlfn.IFERROR(VLOOKUP($A18,'The List'!$B1:$AS665,6,FALSE)," ")</f>
        <v>858</v>
      </c>
      <c r="F18" t="s" s="124">
        <f>_xlfn.IFERROR(VLOOKUP($A18,'The List'!$B1:$AS665,8,FALSE)," ")</f>
        <v>858</v>
      </c>
      <c r="G18" t="s" s="124">
        <f>_xlfn.IFERROR(VLOOKUP($A18,'The List'!$B1:$AS665,10,FALSE)," ")</f>
        <v>858</v>
      </c>
      <c r="H18" s="77"/>
      <c r="I18" t="s" s="125">
        <f>_xlfn.IFERROR(VLOOKUP($A18,'The List'!$B1:$AS665,16,FALSE)," ")</f>
        <v>858</v>
      </c>
      <c r="J18" t="s" s="125">
        <f>_xlfn.IFERROR(VLOOKUP($A18,'The List'!$B1:$AS665,17,FALSE)," ")</f>
        <v>858</v>
      </c>
      <c r="K18" t="s" s="125">
        <f>_xlfn.IFERROR(VLOOKUP($A18,'The List'!$B1:$AS665,18,FALSE)," ")</f>
        <v>858</v>
      </c>
      <c r="L18" t="s" s="125">
        <f>_xlfn.IFERROR(VLOOKUP($A18,'The List'!$B1:$AS665,19,FALSE)," ")</f>
        <v>858</v>
      </c>
      <c r="M18" t="s" s="125">
        <f>_xlfn.IFERROR(VLOOKUP($A18,'The List'!$B1:$AS665,20,FALSE)," ")</f>
        <v>858</v>
      </c>
      <c r="N18" t="s" s="125">
        <f>_xlfn.IFERROR(VLOOKUP($A18,'The List'!$B1:$AS665,21,FALSE)," ")</f>
        <v>858</v>
      </c>
      <c r="O18" t="s" s="125">
        <f>_xlfn.IFERROR(VLOOKUP($A18,'The List'!$B1:$AS665,22,FALSE)," ")</f>
        <v>858</v>
      </c>
      <c r="P18" t="s" s="125">
        <f>_xlfn.IFERROR(VLOOKUP($A18,'The List'!$B1:$AS665,23,FALSE)," ")</f>
        <v>858</v>
      </c>
      <c r="Q18" t="s" s="125">
        <f>_xlfn.IFERROR(VLOOKUP($A18,'The List'!$B1:$AS665,24,FALSE)," ")</f>
        <v>858</v>
      </c>
      <c r="R18" t="s" s="125">
        <f>_xlfn.IFERROR(VLOOKUP($A18,'The List'!$B1:$AS665,25,FALSE)," ")</f>
        <v>858</v>
      </c>
      <c r="S18" t="s" s="125">
        <f>_xlfn.IFERROR(VLOOKUP($A18,'The List'!$B1:$AS665,26,FALSE)," ")</f>
        <v>858</v>
      </c>
      <c r="T18" t="s" s="125">
        <f>_xlfn.IFERROR(VLOOKUP($A18,'The List'!$B1:$AS665,27,FALSE)," ")</f>
        <v>858</v>
      </c>
      <c r="U18" t="s" s="125">
        <f>_xlfn.IFERROR(VLOOKUP($A18,'The List'!$B1:$AS665,28,FALSE)," ")</f>
        <v>858</v>
      </c>
      <c r="V18" t="s" s="125">
        <f>_xlfn.IFERROR(VLOOKUP($A18,'The List'!$B1:$AS665,29,FALSE)," ")</f>
        <v>858</v>
      </c>
      <c r="W18" t="s" s="125">
        <f>_xlfn.IFERROR(VLOOKUP($A18,'The List'!$B1:$AS665,30,FALSE)," ")</f>
        <v>858</v>
      </c>
      <c r="X18" t="s" s="125">
        <f>_xlfn.IFERROR(VLOOKUP($A18,'The List'!$B1:$AS665,31,FALSE)," ")</f>
        <v>858</v>
      </c>
      <c r="Y18" t="s" s="125">
        <f>_xlfn.IFERROR(VLOOKUP($A18,'The List'!$B1:$AS665,32,FALSE)," ")</f>
        <v>858</v>
      </c>
      <c r="Z18" t="s" s="125">
        <f>_xlfn.IFERROR(VLOOKUP($A18,'The List'!$B1:$AS665,33,FALSE)," ")</f>
        <v>858</v>
      </c>
      <c r="AA18" s="120"/>
      <c r="AB18" s="121"/>
      <c r="AC18" s="121"/>
      <c r="AD18" s="26"/>
      <c r="AE18" s="74">
        <f>VLOOKUP(AD18,T1:Y464,2,FALSE)</f>
        <v>0</v>
      </c>
      <c r="AF18" s="122">
        <f>VLOOKUP(AD18,T1:AA464,5,FALSE)</f>
        <v>0</v>
      </c>
    </row>
    <row r="19" ht="21.25" customHeight="1">
      <c r="A19" s="50"/>
      <c r="B19" t="s" s="132">
        <f>_xlfn.IFERROR(VLOOKUP($A19,'The List'!$B1:$AS665,3,FALSE)," ")</f>
        <v>858</v>
      </c>
      <c r="C19" t="s" s="134">
        <f>_xlfn.IFERROR(VLOOKUP($A19,'The List'!$B1:$AS665,4,FALSE)," ")</f>
        <v>858</v>
      </c>
      <c r="D19" t="s" s="86">
        <f>_xlfn.IFERROR(VLOOKUP($A19,'The List'!$B1:$AS665,5,FALSE)," ")</f>
        <v>858</v>
      </c>
      <c r="E19" t="s" s="86">
        <f>_xlfn.IFERROR(VLOOKUP($A19,'The List'!$B1:$AS665,6,FALSE)," ")</f>
        <v>858</v>
      </c>
      <c r="F19" t="s" s="124">
        <f>_xlfn.IFERROR(VLOOKUP($A19,'The List'!$B1:$AS665,8,FALSE)," ")</f>
        <v>858</v>
      </c>
      <c r="G19" t="s" s="124">
        <f>_xlfn.IFERROR(VLOOKUP($A19,'The List'!$B1:$AS665,10,FALSE)," ")</f>
        <v>858</v>
      </c>
      <c r="H19" s="77"/>
      <c r="I19" t="s" s="125">
        <f>_xlfn.IFERROR(VLOOKUP($A19,'The List'!$B1:$AS665,16,FALSE)," ")</f>
        <v>858</v>
      </c>
      <c r="J19" t="s" s="125">
        <f>_xlfn.IFERROR(VLOOKUP($A19,'The List'!$B1:$AS665,17,FALSE)," ")</f>
        <v>858</v>
      </c>
      <c r="K19" t="s" s="125">
        <f>_xlfn.IFERROR(VLOOKUP($A19,'The List'!$B1:$AS665,18,FALSE)," ")</f>
        <v>858</v>
      </c>
      <c r="L19" t="s" s="125">
        <f>_xlfn.IFERROR(VLOOKUP($A19,'The List'!$B1:$AS665,19,FALSE)," ")</f>
        <v>858</v>
      </c>
      <c r="M19" t="s" s="125">
        <f>_xlfn.IFERROR(VLOOKUP($A19,'The List'!$B1:$AS665,20,FALSE)," ")</f>
        <v>858</v>
      </c>
      <c r="N19" t="s" s="125">
        <f>_xlfn.IFERROR(VLOOKUP($A19,'The List'!$B1:$AS665,21,FALSE)," ")</f>
        <v>858</v>
      </c>
      <c r="O19" t="s" s="125">
        <f>_xlfn.IFERROR(VLOOKUP($A19,'The List'!$B1:$AS665,22,FALSE)," ")</f>
        <v>858</v>
      </c>
      <c r="P19" t="s" s="125">
        <f>_xlfn.IFERROR(VLOOKUP($A19,'The List'!$B1:$AS665,23,FALSE)," ")</f>
        <v>858</v>
      </c>
      <c r="Q19" t="s" s="125">
        <f>_xlfn.IFERROR(VLOOKUP($A19,'The List'!$B1:$AS665,24,FALSE)," ")</f>
        <v>858</v>
      </c>
      <c r="R19" t="s" s="125">
        <f>_xlfn.IFERROR(VLOOKUP($A19,'The List'!$B1:$AS665,25,FALSE)," ")</f>
        <v>858</v>
      </c>
      <c r="S19" t="s" s="125">
        <f>_xlfn.IFERROR(VLOOKUP($A19,'The List'!$B1:$AS665,26,FALSE)," ")</f>
        <v>858</v>
      </c>
      <c r="T19" t="s" s="125">
        <f>_xlfn.IFERROR(VLOOKUP($A19,'The List'!$B1:$AS665,27,FALSE)," ")</f>
        <v>858</v>
      </c>
      <c r="U19" t="s" s="125">
        <f>_xlfn.IFERROR(VLOOKUP($A19,'The List'!$B1:$AS665,28,FALSE)," ")</f>
        <v>858</v>
      </c>
      <c r="V19" t="s" s="125">
        <f>_xlfn.IFERROR(VLOOKUP($A19,'The List'!$B1:$AS665,29,FALSE)," ")</f>
        <v>858</v>
      </c>
      <c r="W19" t="s" s="125">
        <f>_xlfn.IFERROR(VLOOKUP($A19,'The List'!$B1:$AS665,30,FALSE)," ")</f>
        <v>858</v>
      </c>
      <c r="X19" t="s" s="125">
        <f>_xlfn.IFERROR(VLOOKUP($A19,'The List'!$B1:$AS665,31,FALSE)," ")</f>
        <v>858</v>
      </c>
      <c r="Y19" t="s" s="125">
        <f>_xlfn.IFERROR(VLOOKUP($A19,'The List'!$B1:$AS665,32,FALSE)," ")</f>
        <v>858</v>
      </c>
      <c r="Z19" t="s" s="125">
        <f>_xlfn.IFERROR(VLOOKUP($A19,'The List'!$B1:$AS665,33,FALSE)," ")</f>
        <v>858</v>
      </c>
      <c r="AA19" s="120"/>
      <c r="AB19" s="121"/>
      <c r="AC19" s="121"/>
      <c r="AD19" s="26"/>
      <c r="AE19" s="74">
        <f>VLOOKUP(AD19,T1:Y464,2,FALSE)</f>
        <v>0</v>
      </c>
      <c r="AF19" s="122">
        <f>VLOOKUP(AD19,T1:AA464,5,FALSE)</f>
        <v>0</v>
      </c>
    </row>
    <row r="20" ht="21.25" customHeight="1">
      <c r="A20" s="50"/>
      <c r="B20" t="s" s="132">
        <f>_xlfn.IFERROR(VLOOKUP($A20,'The List'!$B1:$AS665,3,FALSE)," ")</f>
        <v>858</v>
      </c>
      <c r="C20" t="s" s="134">
        <f>_xlfn.IFERROR(VLOOKUP($A20,'The List'!$B1:$AS665,4,FALSE)," ")</f>
        <v>858</v>
      </c>
      <c r="D20" t="s" s="86">
        <f>_xlfn.IFERROR(VLOOKUP($A20,'The List'!$B1:$AS665,5,FALSE)," ")</f>
        <v>858</v>
      </c>
      <c r="E20" t="s" s="86">
        <f>_xlfn.IFERROR(VLOOKUP($A20,'The List'!$B1:$AS665,6,FALSE)," ")</f>
        <v>858</v>
      </c>
      <c r="F20" t="s" s="124">
        <f>_xlfn.IFERROR(VLOOKUP($A20,'The List'!$B1:$AS665,8,FALSE)," ")</f>
        <v>858</v>
      </c>
      <c r="G20" t="s" s="124">
        <f>_xlfn.IFERROR(VLOOKUP($A20,'The List'!$B1:$AS665,10,FALSE)," ")</f>
        <v>858</v>
      </c>
      <c r="H20" s="77"/>
      <c r="I20" t="s" s="125">
        <f>_xlfn.IFERROR(VLOOKUP($A20,'The List'!$B1:$AS665,16,FALSE)," ")</f>
        <v>858</v>
      </c>
      <c r="J20" t="s" s="125">
        <f>_xlfn.IFERROR(VLOOKUP($A20,'The List'!$B1:$AS665,17,FALSE)," ")</f>
        <v>858</v>
      </c>
      <c r="K20" t="s" s="125">
        <f>_xlfn.IFERROR(VLOOKUP($A20,'The List'!$B1:$AS665,18,FALSE)," ")</f>
        <v>858</v>
      </c>
      <c r="L20" t="s" s="125">
        <f>_xlfn.IFERROR(VLOOKUP($A20,'The List'!$B1:$AS665,19,FALSE)," ")</f>
        <v>858</v>
      </c>
      <c r="M20" t="s" s="125">
        <f>_xlfn.IFERROR(VLOOKUP($A20,'The List'!$B1:$AS665,20,FALSE)," ")</f>
        <v>858</v>
      </c>
      <c r="N20" t="s" s="125">
        <f>_xlfn.IFERROR(VLOOKUP($A20,'The List'!$B1:$AS665,21,FALSE)," ")</f>
        <v>858</v>
      </c>
      <c r="O20" t="s" s="125">
        <f>_xlfn.IFERROR(VLOOKUP($A20,'The List'!$B1:$AS665,22,FALSE)," ")</f>
        <v>858</v>
      </c>
      <c r="P20" t="s" s="125">
        <f>_xlfn.IFERROR(VLOOKUP($A20,'The List'!$B1:$AS665,23,FALSE)," ")</f>
        <v>858</v>
      </c>
      <c r="Q20" t="s" s="125">
        <f>_xlfn.IFERROR(VLOOKUP($A20,'The List'!$B1:$AS665,24,FALSE)," ")</f>
        <v>858</v>
      </c>
      <c r="R20" t="s" s="125">
        <f>_xlfn.IFERROR(VLOOKUP($A20,'The List'!$B1:$AS665,25,FALSE)," ")</f>
        <v>858</v>
      </c>
      <c r="S20" t="s" s="125">
        <f>_xlfn.IFERROR(VLOOKUP($A20,'The List'!$B1:$AS665,26,FALSE)," ")</f>
        <v>858</v>
      </c>
      <c r="T20" t="s" s="125">
        <f>_xlfn.IFERROR(VLOOKUP($A20,'The List'!$B1:$AS665,27,FALSE)," ")</f>
        <v>858</v>
      </c>
      <c r="U20" t="s" s="125">
        <f>_xlfn.IFERROR(VLOOKUP($A20,'The List'!$B1:$AS665,28,FALSE)," ")</f>
        <v>858</v>
      </c>
      <c r="V20" t="s" s="125">
        <f>_xlfn.IFERROR(VLOOKUP($A20,'The List'!$B1:$AS665,29,FALSE)," ")</f>
        <v>858</v>
      </c>
      <c r="W20" t="s" s="125">
        <f>_xlfn.IFERROR(VLOOKUP($A20,'The List'!$B1:$AS665,30,FALSE)," ")</f>
        <v>858</v>
      </c>
      <c r="X20" t="s" s="125">
        <f>_xlfn.IFERROR(VLOOKUP($A20,'The List'!$B1:$AS665,31,FALSE)," ")</f>
        <v>858</v>
      </c>
      <c r="Y20" t="s" s="125">
        <f>_xlfn.IFERROR(VLOOKUP($A20,'The List'!$B1:$AS665,32,FALSE)," ")</f>
        <v>858</v>
      </c>
      <c r="Z20" t="s" s="125">
        <f>_xlfn.IFERROR(VLOOKUP($A20,'The List'!$B1:$AS665,33,FALSE)," ")</f>
        <v>858</v>
      </c>
      <c r="AA20" s="120"/>
      <c r="AB20" s="121"/>
      <c r="AC20" s="121"/>
      <c r="AD20" s="135"/>
      <c r="AE20" s="135"/>
      <c r="AF20" s="136"/>
    </row>
    <row r="21" ht="21.25" customHeight="1">
      <c r="A21" s="137"/>
      <c r="B21" t="s" s="138">
        <f>_xlfn.IFERROR(VLOOKUP($A21,'The List'!$B1:$AS665,3,FALSE)," ")</f>
        <v>858</v>
      </c>
      <c r="C21" t="s" s="139">
        <f>_xlfn.IFERROR(VLOOKUP($A21,'The List'!$B1:$AS665,4,FALSE)," ")</f>
        <v>858</v>
      </c>
      <c r="D21" t="s" s="140">
        <f>_xlfn.IFERROR(VLOOKUP($A21,'The List'!$B1:$AS665,5,FALSE)," ")</f>
        <v>858</v>
      </c>
      <c r="E21" t="s" s="140">
        <f>_xlfn.IFERROR(VLOOKUP($A21,'The List'!$B1:$AS665,6,FALSE)," ")</f>
        <v>858</v>
      </c>
      <c r="F21" t="s" s="141">
        <f>_xlfn.IFERROR(VLOOKUP($A21,'The List'!$B1:$AS665,8,FALSE)," ")</f>
        <v>858</v>
      </c>
      <c r="G21" t="s" s="141">
        <f>_xlfn.IFERROR(VLOOKUP($A21,'The List'!$B1:$AS665,10,FALSE)," ")</f>
        <v>858</v>
      </c>
      <c r="H21" s="142"/>
      <c r="I21" t="s" s="143">
        <f>_xlfn.IFERROR(VLOOKUP($A21,'The List'!$B1:$AS665,16,FALSE)," ")</f>
        <v>858</v>
      </c>
      <c r="J21" t="s" s="143">
        <f>_xlfn.IFERROR(VLOOKUP($A21,'The List'!$B1:$AS665,17,FALSE)," ")</f>
        <v>858</v>
      </c>
      <c r="K21" t="s" s="143">
        <f>_xlfn.IFERROR(VLOOKUP($A21,'The List'!$B1:$AS665,18,FALSE)," ")</f>
        <v>858</v>
      </c>
      <c r="L21" t="s" s="143">
        <f>_xlfn.IFERROR(VLOOKUP($A21,'The List'!$B1:$AS665,19,FALSE)," ")</f>
        <v>858</v>
      </c>
      <c r="M21" t="s" s="143">
        <f>_xlfn.IFERROR(VLOOKUP($A21,'The List'!$B1:$AS665,20,FALSE)," ")</f>
        <v>858</v>
      </c>
      <c r="N21" t="s" s="143">
        <f>_xlfn.IFERROR(VLOOKUP($A21,'The List'!$B1:$AS665,21,FALSE)," ")</f>
        <v>858</v>
      </c>
      <c r="O21" t="s" s="143">
        <f>_xlfn.IFERROR(VLOOKUP($A21,'The List'!$B1:$AS665,22,FALSE)," ")</f>
        <v>858</v>
      </c>
      <c r="P21" t="s" s="143">
        <f>_xlfn.IFERROR(VLOOKUP($A21,'The List'!$B1:$AS665,23,FALSE)," ")</f>
        <v>858</v>
      </c>
      <c r="Q21" t="s" s="143">
        <f>_xlfn.IFERROR(VLOOKUP($A21,'The List'!$B1:$AS665,24,FALSE)," ")</f>
        <v>858</v>
      </c>
      <c r="R21" t="s" s="143">
        <f>_xlfn.IFERROR(VLOOKUP($A21,'The List'!$B1:$AS665,25,FALSE)," ")</f>
        <v>858</v>
      </c>
      <c r="S21" t="s" s="143">
        <f>_xlfn.IFERROR(VLOOKUP($A21,'The List'!$B1:$AS665,26,FALSE)," ")</f>
        <v>858</v>
      </c>
      <c r="T21" t="s" s="143">
        <f>_xlfn.IFERROR(VLOOKUP($A21,'The List'!$B1:$AS665,27,FALSE)," ")</f>
        <v>858</v>
      </c>
      <c r="U21" t="s" s="143">
        <f>_xlfn.IFERROR(VLOOKUP($A21,'The List'!$B1:$AS665,28,FALSE)," ")</f>
        <v>858</v>
      </c>
      <c r="V21" t="s" s="143">
        <f>_xlfn.IFERROR(VLOOKUP($A21,'The List'!$B1:$AS665,29,FALSE)," ")</f>
        <v>858</v>
      </c>
      <c r="W21" t="s" s="143">
        <f>_xlfn.IFERROR(VLOOKUP($A21,'The List'!$B1:$AS665,30,FALSE)," ")</f>
        <v>858</v>
      </c>
      <c r="X21" t="s" s="143">
        <f>_xlfn.IFERROR(VLOOKUP($A21,'The List'!$B1:$AS665,31,FALSE)," ")</f>
        <v>858</v>
      </c>
      <c r="Y21" t="s" s="143">
        <f>_xlfn.IFERROR(VLOOKUP($A21,'The List'!$B1:$AS665,32,FALSE)," ")</f>
        <v>858</v>
      </c>
      <c r="Z21" t="s" s="143">
        <f>_xlfn.IFERROR(VLOOKUP($A21,'The List'!$B1:$AS665,33,FALSE)," ")</f>
        <v>858</v>
      </c>
      <c r="AA21" s="120"/>
      <c r="AB21" s="121"/>
      <c r="AC21" s="121"/>
      <c r="AD21" s="121"/>
      <c r="AE21" s="121"/>
      <c r="AF21" s="144"/>
    </row>
    <row r="22" ht="21.25" customHeight="1">
      <c r="A22" s="145"/>
      <c r="B22" s="146"/>
      <c r="C22" s="147"/>
      <c r="D22" s="148"/>
      <c r="E22" s="149">
        <f>_xlfn.IFERROR(AVERAGE(E2:E21)," ")</f>
        <v>27.75</v>
      </c>
      <c r="F22" s="150">
        <f>SUM(F2:F21)</f>
        <v>1837.555507317840</v>
      </c>
      <c r="G22" s="150">
        <f>SUM(G2:G21)</f>
        <v>514.911399469192</v>
      </c>
      <c r="H22" s="151"/>
      <c r="I22" s="152">
        <f>SUM(I2:I21)</f>
        <v>318.1125</v>
      </c>
      <c r="J22" s="151">
        <f>AVERAGE(J2:J21)</f>
        <v>22.4905150773347</v>
      </c>
      <c r="K22" s="152">
        <f>SUM(K2:K21)</f>
        <v>152.164750148674</v>
      </c>
      <c r="L22" s="152">
        <f>SUM(L2:L21)</f>
        <v>310.506951256485</v>
      </c>
      <c r="M22" s="152">
        <f>SUM(M2:M21)</f>
        <v>462.671701405159</v>
      </c>
      <c r="N22" s="152">
        <f>SUM(N2:N21)</f>
        <v>1066.766629680420</v>
      </c>
      <c r="O22" s="152">
        <f>SUM(O2:O21)</f>
        <v>53.0202439571634</v>
      </c>
      <c r="P22" s="152">
        <f>SUM(P2:P21)</f>
        <v>180.516161781933</v>
      </c>
      <c r="Q22" s="152">
        <f>SUM(Q2:Q21)</f>
        <v>1.74143327900017</v>
      </c>
      <c r="R22" s="152">
        <f>SUM(R2:R21)</f>
        <v>4.45910923088431</v>
      </c>
      <c r="S22" s="152">
        <f>SUM(S2:S21)</f>
        <v>243.825870967824</v>
      </c>
      <c r="T22" s="152">
        <f>SUM(T2:T21)</f>
        <v>278.407897272857</v>
      </c>
      <c r="U22" s="152">
        <f>SUM(U2:U21)</f>
        <v>32.6888573662093</v>
      </c>
      <c r="V22" s="152">
        <f>SUM(V2:V21)</f>
        <v>138.802213645401</v>
      </c>
      <c r="W22" s="152">
        <f>SUM(W2:W21)</f>
        <v>24.1570996778324</v>
      </c>
      <c r="X22" s="152">
        <f>SUM(X2:X21)</f>
        <v>1315.787765839150</v>
      </c>
      <c r="Y22" s="152">
        <f>SUM(Y2:Y21)</f>
        <v>1117.786367576310</v>
      </c>
      <c r="Z22" s="153">
        <f>_xlfn.IFERROR(X22/(X22+Y22),0)</f>
        <v>0.540681193053476</v>
      </c>
      <c r="AA22" s="120"/>
      <c r="AB22" s="154"/>
      <c r="AC22" s="154"/>
      <c r="AD22" s="154"/>
      <c r="AE22" s="154"/>
      <c r="AF22" s="155"/>
    </row>
    <row r="23" ht="21.25" customHeight="1">
      <c r="A23" s="156"/>
      <c r="B23" s="157"/>
      <c r="C23" s="158"/>
      <c r="D23" s="13"/>
      <c r="E23" s="13"/>
      <c r="F23" s="159"/>
      <c r="G23" s="160"/>
      <c r="H23" s="161"/>
      <c r="I23" s="162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1"/>
      <c r="AC23" s="121"/>
      <c r="AD23" s="121"/>
      <c r="AE23" s="121"/>
      <c r="AF23" s="144"/>
    </row>
    <row r="24" ht="21.25" customHeight="1">
      <c r="A24" t="s" s="163">
        <v>89</v>
      </c>
      <c r="B24" t="s" s="164">
        <v>91</v>
      </c>
      <c r="C24" s="31"/>
      <c r="D24" t="s" s="164">
        <v>92</v>
      </c>
      <c r="E24" t="s" s="164">
        <v>93</v>
      </c>
      <c r="F24" t="s" s="165">
        <v>95</v>
      </c>
      <c r="G24" t="s" s="165">
        <v>97</v>
      </c>
      <c r="H24" s="166"/>
      <c r="I24" t="s" s="167">
        <v>102</v>
      </c>
      <c r="J24" t="s" s="167">
        <v>118</v>
      </c>
      <c r="K24" t="s" s="167">
        <v>119</v>
      </c>
      <c r="L24" t="s" s="167">
        <v>120</v>
      </c>
      <c r="M24" t="s" s="167">
        <v>121</v>
      </c>
      <c r="N24" t="s" s="167">
        <v>122</v>
      </c>
      <c r="O24" t="s" s="167">
        <v>123</v>
      </c>
      <c r="P24" t="s" s="167">
        <v>124</v>
      </c>
      <c r="Q24" t="s" s="167">
        <v>125</v>
      </c>
      <c r="R24" s="120"/>
      <c r="S24" s="120"/>
      <c r="T24" s="120"/>
      <c r="U24" t="s" s="164">
        <v>876</v>
      </c>
      <c r="V24" s="166"/>
      <c r="W24" s="166"/>
      <c r="X24" t="s" s="164">
        <v>877</v>
      </c>
      <c r="Y24" s="166"/>
      <c r="Z24" s="166"/>
      <c r="AA24" s="120"/>
      <c r="AB24" s="120"/>
      <c r="AC24" s="120"/>
      <c r="AD24" s="120"/>
      <c r="AE24" s="120"/>
      <c r="AF24" s="168"/>
    </row>
    <row r="25" ht="21.25" customHeight="1">
      <c r="A25" t="s" s="169">
        <v>160</v>
      </c>
      <c r="B25" t="s" s="170">
        <f>_xlfn.IFERROR(VLOOKUP($A25,'The List'!$B1:$AS665,3,FALSE)," ")</f>
        <v>161</v>
      </c>
      <c r="C25" s="171">
        <f>_xlfn.IFERROR(VLOOKUP($A25,'The List'!$B1:$AS665,4,FALSE)," ")</f>
        <v>1</v>
      </c>
      <c r="D25" t="s" s="72">
        <f>_xlfn.IFERROR(VLOOKUP($A25,'The List'!$B1:$AS665,5,FALSE)," ")</f>
        <v>878</v>
      </c>
      <c r="E25" s="172">
        <f>_xlfn.IFERROR(VLOOKUP($A25,'The List'!$B1:$AS665,6,FALSE)," ")</f>
        <v>28</v>
      </c>
      <c r="F25" s="173">
        <f>_xlfn.IFERROR(VLOOKUP($A25,'The List'!$B1:$AS665,8,FALSE)," ")</f>
        <v>362.884398628142</v>
      </c>
      <c r="G25" s="173">
        <f>_xlfn.IFERROR(VLOOKUP($A25,'The List'!$B1:$AS665,10,FALSE)," ")</f>
        <v>95.293384063552</v>
      </c>
      <c r="H25" s="174"/>
      <c r="I25" s="175">
        <f>_xlfn.IFERROR(VLOOKUP($A25,'The List'!$B1:$AS665,35,FALSE)," ")</f>
        <v>60</v>
      </c>
      <c r="J25" s="175">
        <f>_xlfn.IFERROR(VLOOKUP($A25,'The List'!$B1:$AS665,36,FALSE)," ")</f>
        <v>38.8258503856324</v>
      </c>
      <c r="K25" s="175">
        <f>_xlfn.IFERROR(VLOOKUP($A25,'The List'!$B1:$AS665,37,FALSE)," ")</f>
        <v>13.6741496143676</v>
      </c>
      <c r="L25" s="175">
        <f>_xlfn.IFERROR(VLOOKUP($A25,'The List'!$B1:$AS665,38,FALSE)," ")</f>
        <v>7.5</v>
      </c>
      <c r="M25" s="175">
        <f>_xlfn.IFERROR(VLOOKUP($A25,'The List'!$B1:$AS665,39,FALSE)," ")</f>
        <v>4.56990950899667</v>
      </c>
      <c r="N25" s="175">
        <f>_xlfn.IFERROR(VLOOKUP($A25,'The List'!$B1:$AS665,40,FALSE)," ")</f>
        <v>1632.112533210180</v>
      </c>
      <c r="O25" s="175">
        <f>_xlfn.IFERROR(VLOOKUP($A25,'The List'!$B1:$AS665,41,FALSE)," ")</f>
        <v>150.959878004468</v>
      </c>
      <c r="P25" s="176">
        <f>_xlfn.IFERROR(VLOOKUP($A25,'The List'!$B1:$AS665,42,FALSE)," ")</f>
        <v>0.9153372139824471</v>
      </c>
      <c r="Q25" s="177">
        <f>_xlfn.IFERROR(VLOOKUP($A25,'The List'!$B1:$AS665,43,FALSE)," ")</f>
        <v>2.51599796674113</v>
      </c>
      <c r="R25" s="120"/>
      <c r="S25" s="120"/>
      <c r="T25" t="s" s="178">
        <f>A$1</f>
        <v>879</v>
      </c>
      <c r="U25" s="179">
        <f>F22+F28</f>
        <v>2200.439905945980</v>
      </c>
      <c r="V25" s="31"/>
      <c r="W25" s="31"/>
      <c r="X25" s="179">
        <f>G28+G22</f>
        <v>610.204783532744</v>
      </c>
      <c r="Y25" s="31"/>
      <c r="Z25" s="31"/>
      <c r="AA25" s="120"/>
      <c r="AB25" s="120"/>
      <c r="AC25" s="120"/>
      <c r="AD25" s="120"/>
      <c r="AE25" s="120"/>
      <c r="AF25" s="168"/>
    </row>
    <row r="26" ht="21.25" customHeight="1">
      <c r="A26" s="50"/>
      <c r="B26" t="s" s="180">
        <f>_xlfn.IFERROR(VLOOKUP($A26,'The List'!$B1:$AS665,3,FALSE)," ")</f>
        <v>858</v>
      </c>
      <c r="C26" t="s" s="181">
        <f>_xlfn.IFERROR(VLOOKUP($A26,'The List'!$B1:$AS665,4,FALSE)," ")</f>
        <v>858</v>
      </c>
      <c r="D26" t="s" s="86">
        <f>_xlfn.IFERROR(VLOOKUP($A26,'The List'!$B1:$AS665,5,FALSE)," ")</f>
        <v>858</v>
      </c>
      <c r="E26" t="s" s="86">
        <f>_xlfn.IFERROR(VLOOKUP($A26,'The List'!$B1:$AS665,6,FALSE)," ")</f>
        <v>858</v>
      </c>
      <c r="F26" t="s" s="124">
        <f>_xlfn.IFERROR(VLOOKUP($A26,'The List'!$B1:$AS665,8,FALSE)," ")</f>
        <v>858</v>
      </c>
      <c r="G26" t="s" s="124">
        <f>_xlfn.IFERROR(VLOOKUP($A26,'The List'!$B1:$AS665,10,FALSE)," ")</f>
        <v>858</v>
      </c>
      <c r="H26" s="77"/>
      <c r="I26" t="s" s="125">
        <f>_xlfn.IFERROR(VLOOKUP($A26,'The List'!$B1:$AS665,35,FALSE)," ")</f>
        <v>858</v>
      </c>
      <c r="J26" t="s" s="125">
        <f>_xlfn.IFERROR(VLOOKUP($A26,'The List'!$B1:$AS665,36,FALSE)," ")</f>
        <v>858</v>
      </c>
      <c r="K26" t="s" s="125">
        <f>_xlfn.IFERROR(VLOOKUP($A26,'The List'!$B1:$AS665,37,FALSE)," ")</f>
        <v>858</v>
      </c>
      <c r="L26" t="s" s="125">
        <f>_xlfn.IFERROR(VLOOKUP($A26,'The List'!$B1:$AS665,38,FALSE)," ")</f>
        <v>858</v>
      </c>
      <c r="M26" t="s" s="125">
        <f>_xlfn.IFERROR(VLOOKUP($A26,'The List'!$B1:$AS665,39,FALSE)," ")</f>
        <v>858</v>
      </c>
      <c r="N26" t="s" s="125">
        <f>_xlfn.IFERROR(VLOOKUP($A26,'The List'!$B1:$AS665,40,FALSE)," ")</f>
        <v>858</v>
      </c>
      <c r="O26" t="s" s="125">
        <f>_xlfn.IFERROR(VLOOKUP($A26,'The List'!$B1:$AS665,41,FALSE)," ")</f>
        <v>858</v>
      </c>
      <c r="P26" t="s" s="125">
        <f>_xlfn.IFERROR(VLOOKUP($A26,'The List'!$B1:$AS665,42,FALSE)," ")</f>
        <v>858</v>
      </c>
      <c r="Q26" t="s" s="125">
        <f>_xlfn.IFERROR(VLOOKUP($A26,'The List'!$B1:$AS665,43,FALSE)," ")</f>
        <v>858</v>
      </c>
      <c r="R26" s="120"/>
      <c r="S26" s="120"/>
      <c r="T26" s="120"/>
      <c r="U26" s="31"/>
      <c r="V26" s="31"/>
      <c r="W26" s="31"/>
      <c r="X26" s="31"/>
      <c r="Y26" s="31"/>
      <c r="Z26" s="31"/>
      <c r="AA26" s="120"/>
      <c r="AB26" s="120"/>
      <c r="AC26" s="120"/>
      <c r="AD26" s="120"/>
      <c r="AE26" s="120"/>
      <c r="AF26" s="168"/>
    </row>
    <row r="27" ht="21.25" customHeight="1">
      <c r="A27" s="137"/>
      <c r="B27" t="s" s="182">
        <f>_xlfn.IFERROR(VLOOKUP($A27,'The List'!$B1:$AS665,3,FALSE)," ")</f>
        <v>858</v>
      </c>
      <c r="C27" t="s" s="183">
        <f>_xlfn.IFERROR(VLOOKUP($A27,'The List'!$B1:$AS665,4,FALSE)," ")</f>
        <v>858</v>
      </c>
      <c r="D27" t="s" s="140">
        <f>_xlfn.IFERROR(VLOOKUP($A27,'The List'!$B1:$AS665,5,FALSE)," ")</f>
        <v>858</v>
      </c>
      <c r="E27" t="s" s="140">
        <f>_xlfn.IFERROR(VLOOKUP($A27,'The List'!$B1:$AS665,6,FALSE)," ")</f>
        <v>858</v>
      </c>
      <c r="F27" t="s" s="141">
        <f>_xlfn.IFERROR(VLOOKUP($A27,'The List'!$B1:$AS665,8,FALSE)," ")</f>
        <v>858</v>
      </c>
      <c r="G27" t="s" s="141">
        <f>_xlfn.IFERROR(VLOOKUP($A27,'The List'!$B1:$AS665,10,FALSE)," ")</f>
        <v>858</v>
      </c>
      <c r="H27" s="142"/>
      <c r="I27" t="s" s="143">
        <f>_xlfn.IFERROR(VLOOKUP($A27,'The List'!$B1:$AS665,35,FALSE)," ")</f>
        <v>858</v>
      </c>
      <c r="J27" t="s" s="143">
        <f>_xlfn.IFERROR(VLOOKUP($A27,'The List'!$B1:$AS665,36,FALSE)," ")</f>
        <v>858</v>
      </c>
      <c r="K27" t="s" s="143">
        <f>_xlfn.IFERROR(VLOOKUP($A27,'The List'!$B1:$AS665,37,FALSE)," ")</f>
        <v>858</v>
      </c>
      <c r="L27" t="s" s="143">
        <f>_xlfn.IFERROR(VLOOKUP($A27,'The List'!$B1:$AS665,38,FALSE)," ")</f>
        <v>858</v>
      </c>
      <c r="M27" t="s" s="143">
        <f>_xlfn.IFERROR(VLOOKUP($A27,'The List'!$B1:$AS665,39,FALSE)," ")</f>
        <v>858</v>
      </c>
      <c r="N27" t="s" s="143">
        <f>_xlfn.IFERROR(VLOOKUP($A27,'The List'!$B1:$AS665,40,FALSE)," ")</f>
        <v>858</v>
      </c>
      <c r="O27" t="s" s="143">
        <f>_xlfn.IFERROR(VLOOKUP($A27,'The List'!$B1:$AS665,41,FALSE)," ")</f>
        <v>858</v>
      </c>
      <c r="P27" t="s" s="143">
        <f>_xlfn.IFERROR(VLOOKUP($A27,'The List'!$B1:$AS665,42,FALSE)," ")</f>
        <v>858</v>
      </c>
      <c r="Q27" t="s" s="143">
        <f>_xlfn.IFERROR(VLOOKUP($A27,'The List'!$B1:$AS665,43,FALSE)," ")</f>
        <v>858</v>
      </c>
      <c r="R27" s="120"/>
      <c r="S27" s="120"/>
      <c r="T27" s="120"/>
      <c r="U27" s="31"/>
      <c r="V27" s="31"/>
      <c r="W27" s="31"/>
      <c r="X27" s="31"/>
      <c r="Y27" s="31"/>
      <c r="Z27" s="31"/>
      <c r="AA27" s="120"/>
      <c r="AB27" s="120"/>
      <c r="AC27" s="120"/>
      <c r="AD27" s="120"/>
      <c r="AE27" s="120"/>
      <c r="AF27" s="168"/>
    </row>
    <row r="28" ht="21.25" customHeight="1">
      <c r="A28" s="145"/>
      <c r="B28" s="146"/>
      <c r="C28" s="147"/>
      <c r="D28" s="148"/>
      <c r="E28" s="149">
        <f>_xlfn.IFERROR(AVERAGE(E25:E27)," ")</f>
        <v>28</v>
      </c>
      <c r="F28" s="150">
        <f>SUM(F25:F27)</f>
        <v>362.884398628142</v>
      </c>
      <c r="G28" s="150">
        <f>SUM(G25:G27)</f>
        <v>95.293384063552</v>
      </c>
      <c r="H28" s="151"/>
      <c r="I28" s="152">
        <f>SUM(I25:I27)</f>
        <v>60</v>
      </c>
      <c r="J28" s="151">
        <f>SUM(J25:J27)</f>
        <v>38.8258503856324</v>
      </c>
      <c r="K28" s="152">
        <f>SUM(K25:K27)</f>
        <v>13.6741496143676</v>
      </c>
      <c r="L28" s="152">
        <f>SUM(L25:L27)</f>
        <v>7.5</v>
      </c>
      <c r="M28" s="152">
        <f>SUM(M25:M27)</f>
        <v>4.56990950899667</v>
      </c>
      <c r="N28" s="152">
        <f>SUM(N25:N27)</f>
        <v>1632.112533210180</v>
      </c>
      <c r="O28" s="152">
        <f>SUM(O25:O27)</f>
        <v>150.959878004468</v>
      </c>
      <c r="P28" s="184">
        <f>1-(O28/(N28+O28))</f>
        <v>0.9153372139824471</v>
      </c>
      <c r="Q28" s="185">
        <f>O28/I28</f>
        <v>2.51599796674113</v>
      </c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68"/>
    </row>
    <row r="29" ht="70.75" customHeight="1">
      <c r="A29" s="156"/>
      <c r="B29" s="157"/>
      <c r="C29" s="158"/>
      <c r="D29" s="13"/>
      <c r="E29" s="13"/>
      <c r="F29" s="159"/>
      <c r="G29" s="160"/>
      <c r="H29" s="161"/>
      <c r="I29" s="162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1"/>
      <c r="AB29" s="121"/>
      <c r="AC29" s="121"/>
      <c r="AD29" s="121"/>
      <c r="AE29" s="121"/>
      <c r="AF29" s="144"/>
    </row>
    <row r="30" ht="21.25" customHeight="1">
      <c r="A30" t="s" s="186">
        <v>859</v>
      </c>
      <c r="B30" t="s" s="187">
        <v>91</v>
      </c>
      <c r="C30" s="45"/>
      <c r="D30" t="s" s="187">
        <v>92</v>
      </c>
      <c r="E30" t="s" s="187">
        <v>93</v>
      </c>
      <c r="F30" t="s" s="188">
        <v>95</v>
      </c>
      <c r="G30" t="s" s="188">
        <v>97</v>
      </c>
      <c r="H30" s="189"/>
      <c r="I30" t="s" s="190">
        <v>102</v>
      </c>
      <c r="J30" t="s" s="190">
        <v>55</v>
      </c>
      <c r="K30" t="s" s="190">
        <v>103</v>
      </c>
      <c r="L30" t="s" s="190">
        <v>104</v>
      </c>
      <c r="M30" t="s" s="190">
        <v>105</v>
      </c>
      <c r="N30" t="s" s="190">
        <v>106</v>
      </c>
      <c r="O30" t="s" s="190">
        <v>107</v>
      </c>
      <c r="P30" t="s" s="190">
        <v>63</v>
      </c>
      <c r="Q30" t="s" s="190">
        <v>108</v>
      </c>
      <c r="R30" t="s" s="190">
        <v>109</v>
      </c>
      <c r="S30" t="s" s="190">
        <v>110</v>
      </c>
      <c r="T30" t="s" s="190">
        <v>111</v>
      </c>
      <c r="U30" t="s" s="190">
        <v>112</v>
      </c>
      <c r="V30" t="s" s="190">
        <v>113</v>
      </c>
      <c r="W30" t="s" s="190">
        <v>114</v>
      </c>
      <c r="X30" t="s" s="190">
        <v>115</v>
      </c>
      <c r="Y30" t="s" s="190">
        <v>116</v>
      </c>
      <c r="Z30" t="s" s="190">
        <v>117</v>
      </c>
      <c r="AA30" s="120"/>
      <c r="AB30" s="121"/>
      <c r="AC30" s="191"/>
      <c r="AD30" s="191"/>
      <c r="AE30" s="191"/>
      <c r="AF30" s="192"/>
    </row>
    <row r="31" ht="21.25" customHeight="1">
      <c r="A31" s="50"/>
      <c r="B31" t="s" s="117">
        <f>_xlfn.IFERROR(VLOOKUP($A31,'The List'!$B1:$AS665,3,FALSE)," ")</f>
        <v>858</v>
      </c>
      <c r="C31" t="s" s="123">
        <f>_xlfn.IFERROR(VLOOKUP($A31,'The List'!$B1:$AS665,4,FALSE)," ")</f>
        <v>858</v>
      </c>
      <c r="D31" t="s" s="86">
        <f>_xlfn.IFERROR(VLOOKUP($A31,'The List'!$B1:$AS665,5,FALSE)," ")</f>
        <v>858</v>
      </c>
      <c r="E31" t="s" s="86">
        <f>_xlfn.IFERROR(VLOOKUP($A31,'The List'!$B1:$AS665,6,FALSE)," ")</f>
        <v>858</v>
      </c>
      <c r="F31" t="s" s="124">
        <f>_xlfn.IFERROR(VLOOKUP($A31,'The List'!$B1:$AS665,8,FALSE)," ")</f>
        <v>858</v>
      </c>
      <c r="G31" t="s" s="124">
        <f>_xlfn.IFERROR(VLOOKUP($A31,'The List'!$B1:$AS665,10,FALSE)," ")</f>
        <v>858</v>
      </c>
      <c r="H31" s="77"/>
      <c r="I31" t="s" s="125">
        <f>_xlfn.IFERROR(VLOOKUP($A31,'The List'!$B1:$AS665,16,FALSE)," ")</f>
        <v>858</v>
      </c>
      <c r="J31" t="s" s="125">
        <f>_xlfn.IFERROR(VLOOKUP($A31,'The List'!$B1:$AS665,17,FALSE)," ")</f>
        <v>858</v>
      </c>
      <c r="K31" t="s" s="125">
        <f>_xlfn.IFERROR(VLOOKUP($A31,'The List'!$B1:$AS665,18,FALSE)," ")</f>
        <v>858</v>
      </c>
      <c r="L31" t="s" s="125">
        <f>_xlfn.IFERROR(VLOOKUP($A31,'The List'!$B1:$AS665,19,FALSE)," ")</f>
        <v>858</v>
      </c>
      <c r="M31" t="s" s="125">
        <f>_xlfn.IFERROR(VLOOKUP($A31,'The List'!$B1:$AS665,20,FALSE)," ")</f>
        <v>858</v>
      </c>
      <c r="N31" t="s" s="125">
        <f>_xlfn.IFERROR(VLOOKUP($A31,'The List'!$B1:$AS665,21,FALSE)," ")</f>
        <v>858</v>
      </c>
      <c r="O31" t="s" s="125">
        <f>_xlfn.IFERROR(VLOOKUP($A31,'The List'!$B1:$AS665,22,FALSE)," ")</f>
        <v>858</v>
      </c>
      <c r="P31" t="s" s="125">
        <f>_xlfn.IFERROR(VLOOKUP($A31,'The List'!$B1:$AS665,23,FALSE)," ")</f>
        <v>858</v>
      </c>
      <c r="Q31" t="s" s="125">
        <f>_xlfn.IFERROR(VLOOKUP($A31,'The List'!$B1:$AS665,24,FALSE)," ")</f>
        <v>858</v>
      </c>
      <c r="R31" t="s" s="125">
        <f>_xlfn.IFERROR(VLOOKUP($A31,'The List'!$B1:$AS665,25,FALSE)," ")</f>
        <v>858</v>
      </c>
      <c r="S31" t="s" s="125">
        <f>_xlfn.IFERROR(VLOOKUP($A31,'The List'!$B1:$AS665,26,FALSE)," ")</f>
        <v>858</v>
      </c>
      <c r="T31" t="s" s="125">
        <f>_xlfn.IFERROR(VLOOKUP($A31,'The List'!$B1:$AS665,27,FALSE)," ")</f>
        <v>858</v>
      </c>
      <c r="U31" t="s" s="125">
        <f>_xlfn.IFERROR(VLOOKUP($A31,'The List'!$B1:$AS665,28,FALSE)," ")</f>
        <v>858</v>
      </c>
      <c r="V31" t="s" s="125">
        <f>_xlfn.IFERROR(VLOOKUP($A31,'The List'!$B1:$AS665,29,FALSE)," ")</f>
        <v>858</v>
      </c>
      <c r="W31" t="s" s="125">
        <f>_xlfn.IFERROR(VLOOKUP($A31,'The List'!$B1:$AS665,30,FALSE)," ")</f>
        <v>858</v>
      </c>
      <c r="X31" t="s" s="125">
        <f>_xlfn.IFERROR(VLOOKUP($A31,'The List'!$B1:$AS665,31,FALSE)," ")</f>
        <v>858</v>
      </c>
      <c r="Y31" t="s" s="125">
        <f>_xlfn.IFERROR(VLOOKUP($A31,'The List'!$B1:$AS665,32,FALSE)," ")</f>
        <v>858</v>
      </c>
      <c r="Z31" t="s" s="125">
        <f>_xlfn.IFERROR(VLOOKUP($A31,'The List'!$B1:$AS665,33,FALSE)," ")</f>
        <v>858</v>
      </c>
      <c r="AA31" s="120"/>
      <c r="AB31" s="121"/>
      <c r="AC31" s="121"/>
      <c r="AD31" s="121"/>
      <c r="AE31" s="121"/>
      <c r="AF31" s="144"/>
    </row>
    <row r="32" ht="21.25" customHeight="1">
      <c r="A32" s="50"/>
      <c r="B32" t="s" s="117">
        <f>_xlfn.IFERROR(VLOOKUP($A32,'The List'!$B1:$AS665,3,FALSE)," ")</f>
        <v>858</v>
      </c>
      <c r="C32" t="s" s="123">
        <f>_xlfn.IFERROR(VLOOKUP($A32,'The List'!$B1:$AS665,4,FALSE)," ")</f>
        <v>858</v>
      </c>
      <c r="D32" t="s" s="86">
        <f>_xlfn.IFERROR(VLOOKUP($A32,'The List'!$B1:$AS665,5,FALSE)," ")</f>
        <v>858</v>
      </c>
      <c r="E32" t="s" s="86">
        <f>_xlfn.IFERROR(VLOOKUP($A32,'The List'!$B1:$AS665,6,FALSE)," ")</f>
        <v>858</v>
      </c>
      <c r="F32" t="s" s="124">
        <f>_xlfn.IFERROR(VLOOKUP($A32,'The List'!$B1:$AS665,8,FALSE)," ")</f>
        <v>858</v>
      </c>
      <c r="G32" t="s" s="124">
        <f>_xlfn.IFERROR(VLOOKUP($A32,'The List'!$B1:$AS665,10,FALSE)," ")</f>
        <v>858</v>
      </c>
      <c r="H32" s="77"/>
      <c r="I32" t="s" s="125">
        <f>_xlfn.IFERROR(VLOOKUP($A32,'The List'!$B1:$AS665,16,FALSE)," ")</f>
        <v>858</v>
      </c>
      <c r="J32" t="s" s="125">
        <f>_xlfn.IFERROR(VLOOKUP($A32,'The List'!$B1:$AS665,17,FALSE)," ")</f>
        <v>858</v>
      </c>
      <c r="K32" t="s" s="125">
        <f>_xlfn.IFERROR(VLOOKUP($A32,'The List'!$B1:$AS665,18,FALSE)," ")</f>
        <v>858</v>
      </c>
      <c r="L32" t="s" s="125">
        <f>_xlfn.IFERROR(VLOOKUP($A32,'The List'!$B1:$AS665,19,FALSE)," ")</f>
        <v>858</v>
      </c>
      <c r="M32" t="s" s="125">
        <f>_xlfn.IFERROR(VLOOKUP($A32,'The List'!$B1:$AS665,20,FALSE)," ")</f>
        <v>858</v>
      </c>
      <c r="N32" t="s" s="125">
        <f>_xlfn.IFERROR(VLOOKUP($A32,'The List'!$B1:$AS665,21,FALSE)," ")</f>
        <v>858</v>
      </c>
      <c r="O32" t="s" s="125">
        <f>_xlfn.IFERROR(VLOOKUP($A32,'The List'!$B1:$AS665,22,FALSE)," ")</f>
        <v>858</v>
      </c>
      <c r="P32" t="s" s="125">
        <f>_xlfn.IFERROR(VLOOKUP($A32,'The List'!$B1:$AS665,23,FALSE)," ")</f>
        <v>858</v>
      </c>
      <c r="Q32" t="s" s="125">
        <f>_xlfn.IFERROR(VLOOKUP($A32,'The List'!$B1:$AS665,24,FALSE)," ")</f>
        <v>858</v>
      </c>
      <c r="R32" t="s" s="125">
        <f>_xlfn.IFERROR(VLOOKUP($A32,'The List'!$B1:$AS665,25,FALSE)," ")</f>
        <v>858</v>
      </c>
      <c r="S32" t="s" s="125">
        <f>_xlfn.IFERROR(VLOOKUP($A32,'The List'!$B1:$AS665,26,FALSE)," ")</f>
        <v>858</v>
      </c>
      <c r="T32" t="s" s="125">
        <f>_xlfn.IFERROR(VLOOKUP($A32,'The List'!$B1:$AS665,27,FALSE)," ")</f>
        <v>858</v>
      </c>
      <c r="U32" t="s" s="125">
        <f>_xlfn.IFERROR(VLOOKUP($A32,'The List'!$B1:$AS665,28,FALSE)," ")</f>
        <v>858</v>
      </c>
      <c r="V32" t="s" s="125">
        <f>_xlfn.IFERROR(VLOOKUP($A32,'The List'!$B1:$AS665,29,FALSE)," ")</f>
        <v>858</v>
      </c>
      <c r="W32" t="s" s="125">
        <f>_xlfn.IFERROR(VLOOKUP($A32,'The List'!$B1:$AS665,30,FALSE)," ")</f>
        <v>858</v>
      </c>
      <c r="X32" t="s" s="125">
        <f>_xlfn.IFERROR(VLOOKUP($A32,'The List'!$B1:$AS665,31,FALSE)," ")</f>
        <v>858</v>
      </c>
      <c r="Y32" t="s" s="125">
        <f>_xlfn.IFERROR(VLOOKUP($A32,'The List'!$B1:$AS665,32,FALSE)," ")</f>
        <v>858</v>
      </c>
      <c r="Z32" t="s" s="125">
        <f>_xlfn.IFERROR(VLOOKUP($A32,'The List'!$B1:$AS665,33,FALSE)," ")</f>
        <v>858</v>
      </c>
      <c r="AA32" s="120"/>
      <c r="AB32" s="121"/>
      <c r="AC32" s="121"/>
      <c r="AD32" s="121"/>
      <c r="AE32" s="121"/>
      <c r="AF32" s="144"/>
    </row>
    <row r="33" ht="21.25" customHeight="1">
      <c r="A33" s="50"/>
      <c r="B33" t="s" s="117">
        <f>_xlfn.IFERROR(VLOOKUP($A33,'The List'!$B1:$AS665,3,FALSE)," ")</f>
        <v>858</v>
      </c>
      <c r="C33" t="s" s="123">
        <f>_xlfn.IFERROR(VLOOKUP($A33,'The List'!$B1:$AS665,4,FALSE)," ")</f>
        <v>858</v>
      </c>
      <c r="D33" t="s" s="86">
        <f>_xlfn.IFERROR(VLOOKUP($A33,'The List'!$B1:$AS665,5,FALSE)," ")</f>
        <v>858</v>
      </c>
      <c r="E33" t="s" s="86">
        <f>_xlfn.IFERROR(VLOOKUP($A33,'The List'!$B1:$AS665,6,FALSE)," ")</f>
        <v>858</v>
      </c>
      <c r="F33" t="s" s="124">
        <f>_xlfn.IFERROR(VLOOKUP($A33,'The List'!$B1:$AS665,8,FALSE)," ")</f>
        <v>858</v>
      </c>
      <c r="G33" t="s" s="124">
        <f>_xlfn.IFERROR(VLOOKUP($A33,'The List'!$B1:$AS665,10,FALSE)," ")</f>
        <v>858</v>
      </c>
      <c r="H33" s="77"/>
      <c r="I33" t="s" s="125">
        <f>_xlfn.IFERROR(VLOOKUP($A33,'The List'!$B1:$AS665,16,FALSE)," ")</f>
        <v>858</v>
      </c>
      <c r="J33" t="s" s="125">
        <f>_xlfn.IFERROR(VLOOKUP($A33,'The List'!$B1:$AS665,17,FALSE)," ")</f>
        <v>858</v>
      </c>
      <c r="K33" t="s" s="125">
        <f>_xlfn.IFERROR(VLOOKUP($A33,'The List'!$B1:$AS665,18,FALSE)," ")</f>
        <v>858</v>
      </c>
      <c r="L33" t="s" s="125">
        <f>_xlfn.IFERROR(VLOOKUP($A33,'The List'!$B1:$AS665,19,FALSE)," ")</f>
        <v>858</v>
      </c>
      <c r="M33" t="s" s="125">
        <f>_xlfn.IFERROR(VLOOKUP($A33,'The List'!$B1:$AS665,20,FALSE)," ")</f>
        <v>858</v>
      </c>
      <c r="N33" t="s" s="125">
        <f>_xlfn.IFERROR(VLOOKUP($A33,'The List'!$B1:$AS665,21,FALSE)," ")</f>
        <v>858</v>
      </c>
      <c r="O33" t="s" s="125">
        <f>_xlfn.IFERROR(VLOOKUP($A33,'The List'!$B1:$AS665,22,FALSE)," ")</f>
        <v>858</v>
      </c>
      <c r="P33" t="s" s="125">
        <f>_xlfn.IFERROR(VLOOKUP($A33,'The List'!$B1:$AS665,23,FALSE)," ")</f>
        <v>858</v>
      </c>
      <c r="Q33" t="s" s="125">
        <f>_xlfn.IFERROR(VLOOKUP($A33,'The List'!$B1:$AS665,24,FALSE)," ")</f>
        <v>858</v>
      </c>
      <c r="R33" t="s" s="125">
        <f>_xlfn.IFERROR(VLOOKUP($A33,'The List'!$B1:$AS665,25,FALSE)," ")</f>
        <v>858</v>
      </c>
      <c r="S33" t="s" s="125">
        <f>_xlfn.IFERROR(VLOOKUP($A33,'The List'!$B1:$AS665,26,FALSE)," ")</f>
        <v>858</v>
      </c>
      <c r="T33" t="s" s="125">
        <f>_xlfn.IFERROR(VLOOKUP($A33,'The List'!$B1:$AS665,27,FALSE)," ")</f>
        <v>858</v>
      </c>
      <c r="U33" t="s" s="125">
        <f>_xlfn.IFERROR(VLOOKUP($A33,'The List'!$B1:$AS665,28,FALSE)," ")</f>
        <v>858</v>
      </c>
      <c r="V33" t="s" s="125">
        <f>_xlfn.IFERROR(VLOOKUP($A33,'The List'!$B1:$AS665,29,FALSE)," ")</f>
        <v>858</v>
      </c>
      <c r="W33" t="s" s="125">
        <f>_xlfn.IFERROR(VLOOKUP($A33,'The List'!$B1:$AS665,30,FALSE)," ")</f>
        <v>858</v>
      </c>
      <c r="X33" t="s" s="125">
        <f>_xlfn.IFERROR(VLOOKUP($A33,'The List'!$B1:$AS665,31,FALSE)," ")</f>
        <v>858</v>
      </c>
      <c r="Y33" t="s" s="125">
        <f>_xlfn.IFERROR(VLOOKUP($A33,'The List'!$B1:$AS665,32,FALSE)," ")</f>
        <v>858</v>
      </c>
      <c r="Z33" t="s" s="125">
        <f>_xlfn.IFERROR(VLOOKUP($A33,'The List'!$B1:$AS665,33,FALSE)," ")</f>
        <v>858</v>
      </c>
      <c r="AA33" s="120"/>
      <c r="AB33" s="121"/>
      <c r="AC33" s="121"/>
      <c r="AD33" s="121"/>
      <c r="AE33" s="121"/>
      <c r="AF33" s="144"/>
    </row>
    <row r="34" ht="21.25" customHeight="1">
      <c r="A34" s="50"/>
      <c r="B34" t="s" s="117">
        <f>_xlfn.IFERROR(VLOOKUP($A34,'The List'!$B1:$AS665,3,FALSE)," ")</f>
        <v>858</v>
      </c>
      <c r="C34" t="s" s="123">
        <f>_xlfn.IFERROR(VLOOKUP($A34,'The List'!$B1:$AS665,4,FALSE)," ")</f>
        <v>858</v>
      </c>
      <c r="D34" t="s" s="86">
        <f>_xlfn.IFERROR(VLOOKUP($A34,'The List'!$B1:$AS665,5,FALSE)," ")</f>
        <v>858</v>
      </c>
      <c r="E34" t="s" s="86">
        <f>_xlfn.IFERROR(VLOOKUP($A34,'The List'!$B1:$AS665,6,FALSE)," ")</f>
        <v>858</v>
      </c>
      <c r="F34" t="s" s="124">
        <f>_xlfn.IFERROR(VLOOKUP($A34,'The List'!$B1:$AS665,8,FALSE)," ")</f>
        <v>858</v>
      </c>
      <c r="G34" t="s" s="124">
        <f>_xlfn.IFERROR(VLOOKUP($A34,'The List'!$B1:$AS665,10,FALSE)," ")</f>
        <v>858</v>
      </c>
      <c r="H34" s="77"/>
      <c r="I34" t="s" s="125">
        <f>_xlfn.IFERROR(VLOOKUP($A34,'The List'!$B1:$AS665,16,FALSE)," ")</f>
        <v>858</v>
      </c>
      <c r="J34" t="s" s="125">
        <f>_xlfn.IFERROR(VLOOKUP($A34,'The List'!$B1:$AS665,17,FALSE)," ")</f>
        <v>858</v>
      </c>
      <c r="K34" t="s" s="125">
        <f>_xlfn.IFERROR(VLOOKUP($A34,'The List'!$B1:$AS665,18,FALSE)," ")</f>
        <v>858</v>
      </c>
      <c r="L34" t="s" s="125">
        <f>_xlfn.IFERROR(VLOOKUP($A34,'The List'!$B1:$AS665,19,FALSE)," ")</f>
        <v>858</v>
      </c>
      <c r="M34" t="s" s="125">
        <f>_xlfn.IFERROR(VLOOKUP($A34,'The List'!$B1:$AS665,20,FALSE)," ")</f>
        <v>858</v>
      </c>
      <c r="N34" t="s" s="125">
        <f>_xlfn.IFERROR(VLOOKUP($A34,'The List'!$B1:$AS665,21,FALSE)," ")</f>
        <v>858</v>
      </c>
      <c r="O34" t="s" s="125">
        <f>_xlfn.IFERROR(VLOOKUP($A34,'The List'!$B1:$AS665,22,FALSE)," ")</f>
        <v>858</v>
      </c>
      <c r="P34" t="s" s="125">
        <f>_xlfn.IFERROR(VLOOKUP($A34,'The List'!$B1:$AS665,23,FALSE)," ")</f>
        <v>858</v>
      </c>
      <c r="Q34" t="s" s="125">
        <f>_xlfn.IFERROR(VLOOKUP($A34,'The List'!$B1:$AS665,24,FALSE)," ")</f>
        <v>858</v>
      </c>
      <c r="R34" t="s" s="125">
        <f>_xlfn.IFERROR(VLOOKUP($A34,'The List'!$B1:$AS665,25,FALSE)," ")</f>
        <v>858</v>
      </c>
      <c r="S34" t="s" s="125">
        <f>_xlfn.IFERROR(VLOOKUP($A34,'The List'!$B1:$AS665,26,FALSE)," ")</f>
        <v>858</v>
      </c>
      <c r="T34" t="s" s="125">
        <f>_xlfn.IFERROR(VLOOKUP($A34,'The List'!$B1:$AS665,27,FALSE)," ")</f>
        <v>858</v>
      </c>
      <c r="U34" t="s" s="125">
        <f>_xlfn.IFERROR(VLOOKUP($A34,'The List'!$B1:$AS665,28,FALSE)," ")</f>
        <v>858</v>
      </c>
      <c r="V34" t="s" s="125">
        <f>_xlfn.IFERROR(VLOOKUP($A34,'The List'!$B1:$AS665,29,FALSE)," ")</f>
        <v>858</v>
      </c>
      <c r="W34" t="s" s="125">
        <f>_xlfn.IFERROR(VLOOKUP($A34,'The List'!$B1:$AS665,30,FALSE)," ")</f>
        <v>858</v>
      </c>
      <c r="X34" t="s" s="125">
        <f>_xlfn.IFERROR(VLOOKUP($A34,'The List'!$B1:$AS665,31,FALSE)," ")</f>
        <v>858</v>
      </c>
      <c r="Y34" t="s" s="125">
        <f>_xlfn.IFERROR(VLOOKUP($A34,'The List'!$B1:$AS665,32,FALSE)," ")</f>
        <v>858</v>
      </c>
      <c r="Z34" t="s" s="125">
        <f>_xlfn.IFERROR(VLOOKUP($A34,'The List'!$B1:$AS665,33,FALSE)," ")</f>
        <v>858</v>
      </c>
      <c r="AA34" s="120"/>
      <c r="AB34" s="121"/>
      <c r="AC34" s="121"/>
      <c r="AD34" s="121"/>
      <c r="AE34" s="121"/>
      <c r="AF34" s="144"/>
    </row>
    <row r="35" ht="21.25" customHeight="1">
      <c r="A35" s="50"/>
      <c r="B35" t="s" s="126">
        <f>_xlfn.IFERROR(VLOOKUP($A35,'The List'!$B1:$AS665,3,FALSE)," ")</f>
        <v>858</v>
      </c>
      <c r="C35" t="s" s="128">
        <f>_xlfn.IFERROR(VLOOKUP($A35,'The List'!$B1:$AS665,4,FALSE)," ")</f>
        <v>858</v>
      </c>
      <c r="D35" t="s" s="86">
        <f>_xlfn.IFERROR(VLOOKUP($A35,'The List'!$B1:$AS665,5,FALSE)," ")</f>
        <v>858</v>
      </c>
      <c r="E35" t="s" s="86">
        <f>_xlfn.IFERROR(VLOOKUP($A35,'The List'!$B1:$AS665,6,FALSE)," ")</f>
        <v>858</v>
      </c>
      <c r="F35" t="s" s="124">
        <f>_xlfn.IFERROR(VLOOKUP($A35,'The List'!$B1:$AS665,8,FALSE)," ")</f>
        <v>858</v>
      </c>
      <c r="G35" t="s" s="124">
        <f>_xlfn.IFERROR(VLOOKUP($A35,'The List'!$B1:$AS665,10,FALSE)," ")</f>
        <v>858</v>
      </c>
      <c r="H35" s="77"/>
      <c r="I35" t="s" s="125">
        <f>_xlfn.IFERROR(VLOOKUP($A35,'The List'!$B1:$AS665,16,FALSE)," ")</f>
        <v>858</v>
      </c>
      <c r="J35" t="s" s="125">
        <f>_xlfn.IFERROR(VLOOKUP($A35,'The List'!$B1:$AS665,17,FALSE)," ")</f>
        <v>858</v>
      </c>
      <c r="K35" t="s" s="125">
        <f>_xlfn.IFERROR(VLOOKUP($A35,'The List'!$B1:$AS665,18,FALSE)," ")</f>
        <v>858</v>
      </c>
      <c r="L35" t="s" s="125">
        <f>_xlfn.IFERROR(VLOOKUP($A35,'The List'!$B1:$AS665,19,FALSE)," ")</f>
        <v>858</v>
      </c>
      <c r="M35" t="s" s="125">
        <f>_xlfn.IFERROR(VLOOKUP($A35,'The List'!$B1:$AS665,20,FALSE)," ")</f>
        <v>858</v>
      </c>
      <c r="N35" t="s" s="125">
        <f>_xlfn.IFERROR(VLOOKUP($A35,'The List'!$B1:$AS665,21,FALSE)," ")</f>
        <v>858</v>
      </c>
      <c r="O35" t="s" s="125">
        <f>_xlfn.IFERROR(VLOOKUP($A35,'The List'!$B1:$AS665,22,FALSE)," ")</f>
        <v>858</v>
      </c>
      <c r="P35" t="s" s="125">
        <f>_xlfn.IFERROR(VLOOKUP($A35,'The List'!$B1:$AS665,23,FALSE)," ")</f>
        <v>858</v>
      </c>
      <c r="Q35" t="s" s="125">
        <f>_xlfn.IFERROR(VLOOKUP($A35,'The List'!$B1:$AS665,24,FALSE)," ")</f>
        <v>858</v>
      </c>
      <c r="R35" t="s" s="125">
        <f>_xlfn.IFERROR(VLOOKUP($A35,'The List'!$B1:$AS665,25,FALSE)," ")</f>
        <v>858</v>
      </c>
      <c r="S35" t="s" s="125">
        <f>_xlfn.IFERROR(VLOOKUP($A35,'The List'!$B1:$AS665,26,FALSE)," ")</f>
        <v>858</v>
      </c>
      <c r="T35" t="s" s="125">
        <f>_xlfn.IFERROR(VLOOKUP($A35,'The List'!$B1:$AS665,27,FALSE)," ")</f>
        <v>858</v>
      </c>
      <c r="U35" t="s" s="125">
        <f>_xlfn.IFERROR(VLOOKUP($A35,'The List'!$B1:$AS665,28,FALSE)," ")</f>
        <v>858</v>
      </c>
      <c r="V35" t="s" s="125">
        <f>_xlfn.IFERROR(VLOOKUP($A35,'The List'!$B1:$AS665,29,FALSE)," ")</f>
        <v>858</v>
      </c>
      <c r="W35" t="s" s="125">
        <f>_xlfn.IFERROR(VLOOKUP($A35,'The List'!$B1:$AS665,30,FALSE)," ")</f>
        <v>858</v>
      </c>
      <c r="X35" t="s" s="125">
        <f>_xlfn.IFERROR(VLOOKUP($A35,'The List'!$B1:$AS665,31,FALSE)," ")</f>
        <v>858</v>
      </c>
      <c r="Y35" t="s" s="125">
        <f>_xlfn.IFERROR(VLOOKUP($A35,'The List'!$B1:$AS665,32,FALSE)," ")</f>
        <v>858</v>
      </c>
      <c r="Z35" t="s" s="125">
        <f>_xlfn.IFERROR(VLOOKUP($A35,'The List'!$B1:$AS665,33,FALSE)," ")</f>
        <v>858</v>
      </c>
      <c r="AA35" s="120"/>
      <c r="AB35" s="121"/>
      <c r="AC35" s="121"/>
      <c r="AD35" s="121"/>
      <c r="AE35" s="121"/>
      <c r="AF35" s="144"/>
    </row>
    <row r="36" ht="21.25" customHeight="1">
      <c r="A36" s="50"/>
      <c r="B36" t="s" s="126">
        <f>_xlfn.IFERROR(VLOOKUP($A36,'The List'!$B1:$AS665,3,FALSE)," ")</f>
        <v>858</v>
      </c>
      <c r="C36" t="s" s="128">
        <f>_xlfn.IFERROR(VLOOKUP($A36,'The List'!$B1:$AS665,4,FALSE)," ")</f>
        <v>858</v>
      </c>
      <c r="D36" t="s" s="86">
        <f>_xlfn.IFERROR(VLOOKUP($A36,'The List'!$B1:$AS665,5,FALSE)," ")</f>
        <v>858</v>
      </c>
      <c r="E36" t="s" s="86">
        <f>_xlfn.IFERROR(VLOOKUP($A36,'The List'!$B1:$AS665,6,FALSE)," ")</f>
        <v>858</v>
      </c>
      <c r="F36" t="s" s="124">
        <f>_xlfn.IFERROR(VLOOKUP($A36,'The List'!$B1:$AS665,8,FALSE)," ")</f>
        <v>858</v>
      </c>
      <c r="G36" t="s" s="124">
        <f>_xlfn.IFERROR(VLOOKUP($A36,'The List'!$B1:$AS665,10,FALSE)," ")</f>
        <v>858</v>
      </c>
      <c r="H36" s="77"/>
      <c r="I36" t="s" s="125">
        <f>_xlfn.IFERROR(VLOOKUP($A36,'The List'!$B1:$AS665,16,FALSE)," ")</f>
        <v>858</v>
      </c>
      <c r="J36" t="s" s="125">
        <f>_xlfn.IFERROR(VLOOKUP($A36,'The List'!$B1:$AS665,17,FALSE)," ")</f>
        <v>858</v>
      </c>
      <c r="K36" t="s" s="125">
        <f>_xlfn.IFERROR(VLOOKUP($A36,'The List'!$B1:$AS665,18,FALSE)," ")</f>
        <v>858</v>
      </c>
      <c r="L36" t="s" s="125">
        <f>_xlfn.IFERROR(VLOOKUP($A36,'The List'!$B1:$AS665,19,FALSE)," ")</f>
        <v>858</v>
      </c>
      <c r="M36" t="s" s="125">
        <f>_xlfn.IFERROR(VLOOKUP($A36,'The List'!$B1:$AS665,20,FALSE)," ")</f>
        <v>858</v>
      </c>
      <c r="N36" t="s" s="125">
        <f>_xlfn.IFERROR(VLOOKUP($A36,'The List'!$B1:$AS665,21,FALSE)," ")</f>
        <v>858</v>
      </c>
      <c r="O36" t="s" s="125">
        <f>_xlfn.IFERROR(VLOOKUP($A36,'The List'!$B1:$AS665,22,FALSE)," ")</f>
        <v>858</v>
      </c>
      <c r="P36" t="s" s="125">
        <f>_xlfn.IFERROR(VLOOKUP($A36,'The List'!$B1:$AS665,23,FALSE)," ")</f>
        <v>858</v>
      </c>
      <c r="Q36" t="s" s="125">
        <f>_xlfn.IFERROR(VLOOKUP($A36,'The List'!$B1:$AS665,24,FALSE)," ")</f>
        <v>858</v>
      </c>
      <c r="R36" t="s" s="125">
        <f>_xlfn.IFERROR(VLOOKUP($A36,'The List'!$B1:$AS665,25,FALSE)," ")</f>
        <v>858</v>
      </c>
      <c r="S36" t="s" s="125">
        <f>_xlfn.IFERROR(VLOOKUP($A36,'The List'!$B1:$AS665,26,FALSE)," ")</f>
        <v>858</v>
      </c>
      <c r="T36" t="s" s="125">
        <f>_xlfn.IFERROR(VLOOKUP($A36,'The List'!$B1:$AS665,27,FALSE)," ")</f>
        <v>858</v>
      </c>
      <c r="U36" t="s" s="125">
        <f>_xlfn.IFERROR(VLOOKUP($A36,'The List'!$B1:$AS665,28,FALSE)," ")</f>
        <v>858</v>
      </c>
      <c r="V36" t="s" s="125">
        <f>_xlfn.IFERROR(VLOOKUP($A36,'The List'!$B1:$AS665,29,FALSE)," ")</f>
        <v>858</v>
      </c>
      <c r="W36" t="s" s="125">
        <f>_xlfn.IFERROR(VLOOKUP($A36,'The List'!$B1:$AS665,30,FALSE)," ")</f>
        <v>858</v>
      </c>
      <c r="X36" t="s" s="125">
        <f>_xlfn.IFERROR(VLOOKUP($A36,'The List'!$B1:$AS665,31,FALSE)," ")</f>
        <v>858</v>
      </c>
      <c r="Y36" t="s" s="125">
        <f>_xlfn.IFERROR(VLOOKUP($A36,'The List'!$B1:$AS665,32,FALSE)," ")</f>
        <v>858</v>
      </c>
      <c r="Z36" t="s" s="125">
        <f>_xlfn.IFERROR(VLOOKUP($A36,'The List'!$B1:$AS665,33,FALSE)," ")</f>
        <v>858</v>
      </c>
      <c r="AA36" s="120"/>
      <c r="AB36" s="121"/>
      <c r="AC36" s="121"/>
      <c r="AD36" s="121"/>
      <c r="AE36" s="121"/>
      <c r="AF36" s="144"/>
    </row>
    <row r="37" ht="21.25" customHeight="1">
      <c r="A37" s="50"/>
      <c r="B37" t="s" s="126">
        <f>_xlfn.IFERROR(VLOOKUP($A37,'The List'!$B1:$AS665,3,FALSE)," ")</f>
        <v>858</v>
      </c>
      <c r="C37" t="s" s="128">
        <f>_xlfn.IFERROR(VLOOKUP($A37,'The List'!$B1:$AS665,4,FALSE)," ")</f>
        <v>858</v>
      </c>
      <c r="D37" t="s" s="86">
        <f>_xlfn.IFERROR(VLOOKUP($A37,'The List'!$B1:$AS665,5,FALSE)," ")</f>
        <v>858</v>
      </c>
      <c r="E37" t="s" s="86">
        <f>_xlfn.IFERROR(VLOOKUP($A37,'The List'!$B1:$AS665,6,FALSE)," ")</f>
        <v>858</v>
      </c>
      <c r="F37" t="s" s="124">
        <f>_xlfn.IFERROR(VLOOKUP($A37,'The List'!$B1:$AS665,8,FALSE)," ")</f>
        <v>858</v>
      </c>
      <c r="G37" t="s" s="124">
        <f>_xlfn.IFERROR(VLOOKUP($A37,'The List'!$B1:$AS665,10,FALSE)," ")</f>
        <v>858</v>
      </c>
      <c r="H37" s="77"/>
      <c r="I37" t="s" s="125">
        <f>_xlfn.IFERROR(VLOOKUP($A37,'The List'!$B1:$AS665,16,FALSE)," ")</f>
        <v>858</v>
      </c>
      <c r="J37" t="s" s="125">
        <f>_xlfn.IFERROR(VLOOKUP($A37,'The List'!$B1:$AS665,17,FALSE)," ")</f>
        <v>858</v>
      </c>
      <c r="K37" t="s" s="125">
        <f>_xlfn.IFERROR(VLOOKUP($A37,'The List'!$B1:$AS665,18,FALSE)," ")</f>
        <v>858</v>
      </c>
      <c r="L37" t="s" s="125">
        <f>_xlfn.IFERROR(VLOOKUP($A37,'The List'!$B1:$AS665,19,FALSE)," ")</f>
        <v>858</v>
      </c>
      <c r="M37" t="s" s="125">
        <f>_xlfn.IFERROR(VLOOKUP($A37,'The List'!$B1:$AS665,20,FALSE)," ")</f>
        <v>858</v>
      </c>
      <c r="N37" t="s" s="125">
        <f>_xlfn.IFERROR(VLOOKUP($A37,'The List'!$B1:$AS665,21,FALSE)," ")</f>
        <v>858</v>
      </c>
      <c r="O37" t="s" s="125">
        <f>_xlfn.IFERROR(VLOOKUP($A37,'The List'!$B1:$AS665,22,FALSE)," ")</f>
        <v>858</v>
      </c>
      <c r="P37" t="s" s="125">
        <f>_xlfn.IFERROR(VLOOKUP($A37,'The List'!$B1:$AS665,23,FALSE)," ")</f>
        <v>858</v>
      </c>
      <c r="Q37" t="s" s="125">
        <f>_xlfn.IFERROR(VLOOKUP($A37,'The List'!$B1:$AS665,24,FALSE)," ")</f>
        <v>858</v>
      </c>
      <c r="R37" t="s" s="125">
        <f>_xlfn.IFERROR(VLOOKUP($A37,'The List'!$B1:$AS665,25,FALSE)," ")</f>
        <v>858</v>
      </c>
      <c r="S37" t="s" s="125">
        <f>_xlfn.IFERROR(VLOOKUP($A37,'The List'!$B1:$AS665,26,FALSE)," ")</f>
        <v>858</v>
      </c>
      <c r="T37" t="s" s="125">
        <f>_xlfn.IFERROR(VLOOKUP($A37,'The List'!$B1:$AS665,27,FALSE)," ")</f>
        <v>858</v>
      </c>
      <c r="U37" t="s" s="125">
        <f>_xlfn.IFERROR(VLOOKUP($A37,'The List'!$B1:$AS665,28,FALSE)," ")</f>
        <v>858</v>
      </c>
      <c r="V37" t="s" s="125">
        <f>_xlfn.IFERROR(VLOOKUP($A37,'The List'!$B1:$AS665,29,FALSE)," ")</f>
        <v>858</v>
      </c>
      <c r="W37" t="s" s="125">
        <f>_xlfn.IFERROR(VLOOKUP($A37,'The List'!$B1:$AS665,30,FALSE)," ")</f>
        <v>858</v>
      </c>
      <c r="X37" t="s" s="125">
        <f>_xlfn.IFERROR(VLOOKUP($A37,'The List'!$B1:$AS665,31,FALSE)," ")</f>
        <v>858</v>
      </c>
      <c r="Y37" t="s" s="125">
        <f>_xlfn.IFERROR(VLOOKUP($A37,'The List'!$B1:$AS665,32,FALSE)," ")</f>
        <v>858</v>
      </c>
      <c r="Z37" t="s" s="125">
        <f>_xlfn.IFERROR(VLOOKUP($A37,'The List'!$B1:$AS665,33,FALSE)," ")</f>
        <v>858</v>
      </c>
      <c r="AA37" s="120"/>
      <c r="AB37" s="121"/>
      <c r="AC37" s="121"/>
      <c r="AD37" s="121"/>
      <c r="AE37" s="121"/>
      <c r="AF37" s="144"/>
    </row>
    <row r="38" ht="21.25" customHeight="1">
      <c r="A38" s="50"/>
      <c r="B38" t="s" s="126">
        <f>_xlfn.IFERROR(VLOOKUP($A38,'The List'!$B1:$AS665,3,FALSE)," ")</f>
        <v>858</v>
      </c>
      <c r="C38" t="s" s="128">
        <f>_xlfn.IFERROR(VLOOKUP($A38,'The List'!$B1:$AS665,4,FALSE)," ")</f>
        <v>858</v>
      </c>
      <c r="D38" t="s" s="86">
        <f>_xlfn.IFERROR(VLOOKUP($A38,'The List'!$B1:$AS665,5,FALSE)," ")</f>
        <v>858</v>
      </c>
      <c r="E38" t="s" s="86">
        <f>_xlfn.IFERROR(VLOOKUP($A38,'The List'!$B1:$AS665,6,FALSE)," ")</f>
        <v>858</v>
      </c>
      <c r="F38" t="s" s="124">
        <f>_xlfn.IFERROR(VLOOKUP($A38,'The List'!$B1:$AS665,8,FALSE)," ")</f>
        <v>858</v>
      </c>
      <c r="G38" t="s" s="124">
        <f>_xlfn.IFERROR(VLOOKUP($A38,'The List'!$B1:$AS665,10,FALSE)," ")</f>
        <v>858</v>
      </c>
      <c r="H38" s="77"/>
      <c r="I38" t="s" s="125">
        <f>_xlfn.IFERROR(VLOOKUP($A38,'The List'!$B1:$AS665,16,FALSE)," ")</f>
        <v>858</v>
      </c>
      <c r="J38" t="s" s="125">
        <f>_xlfn.IFERROR(VLOOKUP($A38,'The List'!$B1:$AS665,17,FALSE)," ")</f>
        <v>858</v>
      </c>
      <c r="K38" t="s" s="125">
        <f>_xlfn.IFERROR(VLOOKUP($A38,'The List'!$B1:$AS665,18,FALSE)," ")</f>
        <v>858</v>
      </c>
      <c r="L38" t="s" s="125">
        <f>_xlfn.IFERROR(VLOOKUP($A38,'The List'!$B1:$AS665,19,FALSE)," ")</f>
        <v>858</v>
      </c>
      <c r="M38" t="s" s="125">
        <f>_xlfn.IFERROR(VLOOKUP($A38,'The List'!$B1:$AS665,20,FALSE)," ")</f>
        <v>858</v>
      </c>
      <c r="N38" t="s" s="125">
        <f>_xlfn.IFERROR(VLOOKUP($A38,'The List'!$B1:$AS665,21,FALSE)," ")</f>
        <v>858</v>
      </c>
      <c r="O38" t="s" s="125">
        <f>_xlfn.IFERROR(VLOOKUP($A38,'The List'!$B1:$AS665,22,FALSE)," ")</f>
        <v>858</v>
      </c>
      <c r="P38" t="s" s="125">
        <f>_xlfn.IFERROR(VLOOKUP($A38,'The List'!$B1:$AS665,23,FALSE)," ")</f>
        <v>858</v>
      </c>
      <c r="Q38" t="s" s="125">
        <f>_xlfn.IFERROR(VLOOKUP($A38,'The List'!$B1:$AS665,24,FALSE)," ")</f>
        <v>858</v>
      </c>
      <c r="R38" t="s" s="125">
        <f>_xlfn.IFERROR(VLOOKUP($A38,'The List'!$B1:$AS665,25,FALSE)," ")</f>
        <v>858</v>
      </c>
      <c r="S38" t="s" s="125">
        <f>_xlfn.IFERROR(VLOOKUP($A38,'The List'!$B1:$AS665,26,FALSE)," ")</f>
        <v>858</v>
      </c>
      <c r="T38" t="s" s="125">
        <f>_xlfn.IFERROR(VLOOKUP($A38,'The List'!$B1:$AS665,27,FALSE)," ")</f>
        <v>858</v>
      </c>
      <c r="U38" t="s" s="125">
        <f>_xlfn.IFERROR(VLOOKUP($A38,'The List'!$B1:$AS665,28,FALSE)," ")</f>
        <v>858</v>
      </c>
      <c r="V38" t="s" s="125">
        <f>_xlfn.IFERROR(VLOOKUP($A38,'The List'!$B1:$AS665,29,FALSE)," ")</f>
        <v>858</v>
      </c>
      <c r="W38" t="s" s="125">
        <f>_xlfn.IFERROR(VLOOKUP($A38,'The List'!$B1:$AS665,30,FALSE)," ")</f>
        <v>858</v>
      </c>
      <c r="X38" t="s" s="125">
        <f>_xlfn.IFERROR(VLOOKUP($A38,'The List'!$B1:$AS665,31,FALSE)," ")</f>
        <v>858</v>
      </c>
      <c r="Y38" t="s" s="125">
        <f>_xlfn.IFERROR(VLOOKUP($A38,'The List'!$B1:$AS665,32,FALSE)," ")</f>
        <v>858</v>
      </c>
      <c r="Z38" t="s" s="125">
        <f>_xlfn.IFERROR(VLOOKUP($A38,'The List'!$B1:$AS665,33,FALSE)," ")</f>
        <v>858</v>
      </c>
      <c r="AA38" s="120"/>
      <c r="AB38" s="121"/>
      <c r="AC38" s="121"/>
      <c r="AD38" s="121"/>
      <c r="AE38" s="121"/>
      <c r="AF38" s="144"/>
    </row>
    <row r="39" ht="21.25" customHeight="1">
      <c r="A39" s="50"/>
      <c r="B39" t="s" s="129">
        <f>_xlfn.IFERROR(VLOOKUP($A39,'The List'!$B1:$AS665,3,FALSE)," ")</f>
        <v>858</v>
      </c>
      <c r="C39" t="s" s="131">
        <f>_xlfn.IFERROR(VLOOKUP($A39,'The List'!$B1:$AS665,4,FALSE)," ")</f>
        <v>858</v>
      </c>
      <c r="D39" t="s" s="86">
        <f>_xlfn.IFERROR(VLOOKUP($A39,'The List'!$B1:$AS665,5,FALSE)," ")</f>
        <v>858</v>
      </c>
      <c r="E39" t="s" s="86">
        <f>_xlfn.IFERROR(VLOOKUP($A39,'The List'!$B1:$AS665,6,FALSE)," ")</f>
        <v>858</v>
      </c>
      <c r="F39" t="s" s="124">
        <f>_xlfn.IFERROR(VLOOKUP($A39,'The List'!$B1:$AS665,8,FALSE)," ")</f>
        <v>858</v>
      </c>
      <c r="G39" t="s" s="124">
        <f>_xlfn.IFERROR(VLOOKUP($A39,'The List'!$B1:$AS665,10,FALSE)," ")</f>
        <v>858</v>
      </c>
      <c r="H39" s="77"/>
      <c r="I39" t="s" s="125">
        <f>_xlfn.IFERROR(VLOOKUP($A39,'The List'!$B1:$AS665,16,FALSE)," ")</f>
        <v>858</v>
      </c>
      <c r="J39" t="s" s="125">
        <f>_xlfn.IFERROR(VLOOKUP($A39,'The List'!$B1:$AS665,17,FALSE)," ")</f>
        <v>858</v>
      </c>
      <c r="K39" t="s" s="125">
        <f>_xlfn.IFERROR(VLOOKUP($A39,'The List'!$B1:$AS665,18,FALSE)," ")</f>
        <v>858</v>
      </c>
      <c r="L39" t="s" s="125">
        <f>_xlfn.IFERROR(VLOOKUP($A39,'The List'!$B1:$AS665,19,FALSE)," ")</f>
        <v>858</v>
      </c>
      <c r="M39" t="s" s="125">
        <f>_xlfn.IFERROR(VLOOKUP($A39,'The List'!$B1:$AS665,20,FALSE)," ")</f>
        <v>858</v>
      </c>
      <c r="N39" t="s" s="125">
        <f>_xlfn.IFERROR(VLOOKUP($A39,'The List'!$B1:$AS665,21,FALSE)," ")</f>
        <v>858</v>
      </c>
      <c r="O39" t="s" s="125">
        <f>_xlfn.IFERROR(VLOOKUP($A39,'The List'!$B1:$AS665,22,FALSE)," ")</f>
        <v>858</v>
      </c>
      <c r="P39" t="s" s="125">
        <f>_xlfn.IFERROR(VLOOKUP($A39,'The List'!$B1:$AS665,23,FALSE)," ")</f>
        <v>858</v>
      </c>
      <c r="Q39" t="s" s="125">
        <f>_xlfn.IFERROR(VLOOKUP($A39,'The List'!$B1:$AS665,24,FALSE)," ")</f>
        <v>858</v>
      </c>
      <c r="R39" t="s" s="125">
        <f>_xlfn.IFERROR(VLOOKUP($A39,'The List'!$B1:$AS665,25,FALSE)," ")</f>
        <v>858</v>
      </c>
      <c r="S39" t="s" s="125">
        <f>_xlfn.IFERROR(VLOOKUP($A39,'The List'!$B1:$AS665,26,FALSE)," ")</f>
        <v>858</v>
      </c>
      <c r="T39" t="s" s="125">
        <f>_xlfn.IFERROR(VLOOKUP($A39,'The List'!$B1:$AS665,27,FALSE)," ")</f>
        <v>858</v>
      </c>
      <c r="U39" t="s" s="125">
        <f>_xlfn.IFERROR(VLOOKUP($A39,'The List'!$B1:$AS665,28,FALSE)," ")</f>
        <v>858</v>
      </c>
      <c r="V39" t="s" s="125">
        <f>_xlfn.IFERROR(VLOOKUP($A39,'The List'!$B1:$AS665,29,FALSE)," ")</f>
        <v>858</v>
      </c>
      <c r="W39" t="s" s="125">
        <f>_xlfn.IFERROR(VLOOKUP($A39,'The List'!$B1:$AS665,30,FALSE)," ")</f>
        <v>858</v>
      </c>
      <c r="X39" t="s" s="125">
        <f>_xlfn.IFERROR(VLOOKUP($A39,'The List'!$B1:$AS665,31,FALSE)," ")</f>
        <v>858</v>
      </c>
      <c r="Y39" t="s" s="125">
        <f>_xlfn.IFERROR(VLOOKUP($A39,'The List'!$B1:$AS665,32,FALSE)," ")</f>
        <v>858</v>
      </c>
      <c r="Z39" t="s" s="125">
        <f>_xlfn.IFERROR(VLOOKUP($A39,'The List'!$B1:$AS665,33,FALSE)," ")</f>
        <v>858</v>
      </c>
      <c r="AA39" s="120"/>
      <c r="AB39" s="121"/>
      <c r="AC39" s="121"/>
      <c r="AD39" s="121"/>
      <c r="AE39" s="121"/>
      <c r="AF39" s="144"/>
    </row>
    <row r="40" ht="21.25" customHeight="1">
      <c r="A40" s="50"/>
      <c r="B40" t="s" s="129">
        <f>_xlfn.IFERROR(VLOOKUP($A40,'The List'!$B1:$AS665,3,FALSE)," ")</f>
        <v>858</v>
      </c>
      <c r="C40" t="s" s="131">
        <f>_xlfn.IFERROR(VLOOKUP($A40,'The List'!$B1:$AS665,4,FALSE)," ")</f>
        <v>858</v>
      </c>
      <c r="D40" t="s" s="86">
        <f>_xlfn.IFERROR(VLOOKUP($A40,'The List'!$B1:$AS665,5,FALSE)," ")</f>
        <v>858</v>
      </c>
      <c r="E40" t="s" s="86">
        <f>_xlfn.IFERROR(VLOOKUP($A40,'The List'!$B1:$AS665,6,FALSE)," ")</f>
        <v>858</v>
      </c>
      <c r="F40" t="s" s="124">
        <f>_xlfn.IFERROR(VLOOKUP($A40,'The List'!$B1:$AS665,8,FALSE)," ")</f>
        <v>858</v>
      </c>
      <c r="G40" t="s" s="124">
        <f>_xlfn.IFERROR(VLOOKUP($A40,'The List'!$B1:$AS665,10,FALSE)," ")</f>
        <v>858</v>
      </c>
      <c r="H40" s="77"/>
      <c r="I40" t="s" s="125">
        <f>_xlfn.IFERROR(VLOOKUP($A40,'The List'!$B1:$AS665,16,FALSE)," ")</f>
        <v>858</v>
      </c>
      <c r="J40" t="s" s="125">
        <f>_xlfn.IFERROR(VLOOKUP($A40,'The List'!$B1:$AS665,17,FALSE)," ")</f>
        <v>858</v>
      </c>
      <c r="K40" t="s" s="125">
        <f>_xlfn.IFERROR(VLOOKUP($A40,'The List'!$B1:$AS665,18,FALSE)," ")</f>
        <v>858</v>
      </c>
      <c r="L40" t="s" s="125">
        <f>_xlfn.IFERROR(VLOOKUP($A40,'The List'!$B1:$AS665,19,FALSE)," ")</f>
        <v>858</v>
      </c>
      <c r="M40" t="s" s="125">
        <f>_xlfn.IFERROR(VLOOKUP($A40,'The List'!$B1:$AS665,20,FALSE)," ")</f>
        <v>858</v>
      </c>
      <c r="N40" t="s" s="125">
        <f>_xlfn.IFERROR(VLOOKUP($A40,'The List'!$B1:$AS665,21,FALSE)," ")</f>
        <v>858</v>
      </c>
      <c r="O40" t="s" s="125">
        <f>_xlfn.IFERROR(VLOOKUP($A40,'The List'!$B1:$AS665,22,FALSE)," ")</f>
        <v>858</v>
      </c>
      <c r="P40" t="s" s="125">
        <f>_xlfn.IFERROR(VLOOKUP($A40,'The List'!$B1:$AS665,23,FALSE)," ")</f>
        <v>858</v>
      </c>
      <c r="Q40" t="s" s="125">
        <f>_xlfn.IFERROR(VLOOKUP($A40,'The List'!$B1:$AS665,24,FALSE)," ")</f>
        <v>858</v>
      </c>
      <c r="R40" t="s" s="125">
        <f>_xlfn.IFERROR(VLOOKUP($A40,'The List'!$B1:$AS665,25,FALSE)," ")</f>
        <v>858</v>
      </c>
      <c r="S40" t="s" s="125">
        <f>_xlfn.IFERROR(VLOOKUP($A40,'The List'!$B1:$AS665,26,FALSE)," ")</f>
        <v>858</v>
      </c>
      <c r="T40" t="s" s="125">
        <f>_xlfn.IFERROR(VLOOKUP($A40,'The List'!$B1:$AS665,27,FALSE)," ")</f>
        <v>858</v>
      </c>
      <c r="U40" t="s" s="125">
        <f>_xlfn.IFERROR(VLOOKUP($A40,'The List'!$B1:$AS665,28,FALSE)," ")</f>
        <v>858</v>
      </c>
      <c r="V40" t="s" s="125">
        <f>_xlfn.IFERROR(VLOOKUP($A40,'The List'!$B1:$AS665,29,FALSE)," ")</f>
        <v>858</v>
      </c>
      <c r="W40" t="s" s="125">
        <f>_xlfn.IFERROR(VLOOKUP($A40,'The List'!$B1:$AS665,30,FALSE)," ")</f>
        <v>858</v>
      </c>
      <c r="X40" t="s" s="125">
        <f>_xlfn.IFERROR(VLOOKUP($A40,'The List'!$B1:$AS665,31,FALSE)," ")</f>
        <v>858</v>
      </c>
      <c r="Y40" t="s" s="125">
        <f>_xlfn.IFERROR(VLOOKUP($A40,'The List'!$B1:$AS665,32,FALSE)," ")</f>
        <v>858</v>
      </c>
      <c r="Z40" t="s" s="125">
        <f>_xlfn.IFERROR(VLOOKUP($A40,'The List'!$B1:$AS665,33,FALSE)," ")</f>
        <v>858</v>
      </c>
      <c r="AA40" s="120"/>
      <c r="AB40" s="121"/>
      <c r="AC40" s="121"/>
      <c r="AD40" s="121"/>
      <c r="AE40" s="121"/>
      <c r="AF40" s="144"/>
    </row>
    <row r="41" ht="21.25" customHeight="1">
      <c r="A41" s="50"/>
      <c r="B41" t="s" s="129">
        <f>_xlfn.IFERROR(VLOOKUP($A41,'The List'!$B1:$AS665,3,FALSE)," ")</f>
        <v>858</v>
      </c>
      <c r="C41" t="s" s="131">
        <f>_xlfn.IFERROR(VLOOKUP($A41,'The List'!$B1:$AS665,4,FALSE)," ")</f>
        <v>858</v>
      </c>
      <c r="D41" t="s" s="86">
        <f>_xlfn.IFERROR(VLOOKUP($A41,'The List'!$B1:$AS665,5,FALSE)," ")</f>
        <v>858</v>
      </c>
      <c r="E41" t="s" s="86">
        <f>_xlfn.IFERROR(VLOOKUP($A41,'The List'!$B1:$AS665,6,FALSE)," ")</f>
        <v>858</v>
      </c>
      <c r="F41" t="s" s="124">
        <f>_xlfn.IFERROR(VLOOKUP($A41,'The List'!$B1:$AS665,8,FALSE)," ")</f>
        <v>858</v>
      </c>
      <c r="G41" t="s" s="124">
        <f>_xlfn.IFERROR(VLOOKUP($A41,'The List'!$B1:$AS665,10,FALSE)," ")</f>
        <v>858</v>
      </c>
      <c r="H41" s="77"/>
      <c r="I41" t="s" s="125">
        <f>_xlfn.IFERROR(VLOOKUP($A41,'The List'!$B1:$AS665,16,FALSE)," ")</f>
        <v>858</v>
      </c>
      <c r="J41" t="s" s="125">
        <f>_xlfn.IFERROR(VLOOKUP($A41,'The List'!$B1:$AS665,17,FALSE)," ")</f>
        <v>858</v>
      </c>
      <c r="K41" t="s" s="125">
        <f>_xlfn.IFERROR(VLOOKUP($A41,'The List'!$B1:$AS665,18,FALSE)," ")</f>
        <v>858</v>
      </c>
      <c r="L41" t="s" s="125">
        <f>_xlfn.IFERROR(VLOOKUP($A41,'The List'!$B1:$AS665,19,FALSE)," ")</f>
        <v>858</v>
      </c>
      <c r="M41" t="s" s="125">
        <f>_xlfn.IFERROR(VLOOKUP($A41,'The List'!$B1:$AS665,20,FALSE)," ")</f>
        <v>858</v>
      </c>
      <c r="N41" t="s" s="125">
        <f>_xlfn.IFERROR(VLOOKUP($A41,'The List'!$B1:$AS665,21,FALSE)," ")</f>
        <v>858</v>
      </c>
      <c r="O41" t="s" s="125">
        <f>_xlfn.IFERROR(VLOOKUP($A41,'The List'!$B1:$AS665,22,FALSE)," ")</f>
        <v>858</v>
      </c>
      <c r="P41" t="s" s="125">
        <f>_xlfn.IFERROR(VLOOKUP($A41,'The List'!$B1:$AS665,23,FALSE)," ")</f>
        <v>858</v>
      </c>
      <c r="Q41" t="s" s="125">
        <f>_xlfn.IFERROR(VLOOKUP($A41,'The List'!$B1:$AS665,24,FALSE)," ")</f>
        <v>858</v>
      </c>
      <c r="R41" t="s" s="125">
        <f>_xlfn.IFERROR(VLOOKUP($A41,'The List'!$B1:$AS665,25,FALSE)," ")</f>
        <v>858</v>
      </c>
      <c r="S41" t="s" s="125">
        <f>_xlfn.IFERROR(VLOOKUP($A41,'The List'!$B1:$AS665,26,FALSE)," ")</f>
        <v>858</v>
      </c>
      <c r="T41" t="s" s="125">
        <f>_xlfn.IFERROR(VLOOKUP($A41,'The List'!$B1:$AS665,27,FALSE)," ")</f>
        <v>858</v>
      </c>
      <c r="U41" t="s" s="125">
        <f>_xlfn.IFERROR(VLOOKUP($A41,'The List'!$B1:$AS665,28,FALSE)," ")</f>
        <v>858</v>
      </c>
      <c r="V41" t="s" s="125">
        <f>_xlfn.IFERROR(VLOOKUP($A41,'The List'!$B1:$AS665,29,FALSE)," ")</f>
        <v>858</v>
      </c>
      <c r="W41" t="s" s="125">
        <f>_xlfn.IFERROR(VLOOKUP($A41,'The List'!$B1:$AS665,30,FALSE)," ")</f>
        <v>858</v>
      </c>
      <c r="X41" t="s" s="125">
        <f>_xlfn.IFERROR(VLOOKUP($A41,'The List'!$B1:$AS665,31,FALSE)," ")</f>
        <v>858</v>
      </c>
      <c r="Y41" t="s" s="125">
        <f>_xlfn.IFERROR(VLOOKUP($A41,'The List'!$B1:$AS665,32,FALSE)," ")</f>
        <v>858</v>
      </c>
      <c r="Z41" t="s" s="125">
        <f>_xlfn.IFERROR(VLOOKUP($A41,'The List'!$B1:$AS665,33,FALSE)," ")</f>
        <v>858</v>
      </c>
      <c r="AA41" s="120"/>
      <c r="AB41" s="121"/>
      <c r="AC41" s="121"/>
      <c r="AD41" s="121"/>
      <c r="AE41" s="121"/>
      <c r="AF41" s="144"/>
    </row>
    <row r="42" ht="21.25" customHeight="1">
      <c r="A42" s="50"/>
      <c r="B42" t="s" s="129">
        <f>_xlfn.IFERROR(VLOOKUP($A42,'The List'!$B1:$AS665,3,FALSE)," ")</f>
        <v>858</v>
      </c>
      <c r="C42" t="s" s="131">
        <f>_xlfn.IFERROR(VLOOKUP($A42,'The List'!$B1:$AS665,4,FALSE)," ")</f>
        <v>858</v>
      </c>
      <c r="D42" t="s" s="86">
        <f>_xlfn.IFERROR(VLOOKUP($A42,'The List'!$B1:$AS665,5,FALSE)," ")</f>
        <v>858</v>
      </c>
      <c r="E42" t="s" s="86">
        <f>_xlfn.IFERROR(VLOOKUP($A42,'The List'!$B1:$AS665,6,FALSE)," ")</f>
        <v>858</v>
      </c>
      <c r="F42" t="s" s="124">
        <f>_xlfn.IFERROR(VLOOKUP($A42,'The List'!$B1:$AS665,8,FALSE)," ")</f>
        <v>858</v>
      </c>
      <c r="G42" t="s" s="124">
        <f>_xlfn.IFERROR(VLOOKUP($A42,'The List'!$B1:$AS665,10,FALSE)," ")</f>
        <v>858</v>
      </c>
      <c r="H42" s="77"/>
      <c r="I42" t="s" s="125">
        <f>_xlfn.IFERROR(VLOOKUP($A42,'The List'!$B1:$AS665,16,FALSE)," ")</f>
        <v>858</v>
      </c>
      <c r="J42" t="s" s="125">
        <f>_xlfn.IFERROR(VLOOKUP($A42,'The List'!$B1:$AS665,17,FALSE)," ")</f>
        <v>858</v>
      </c>
      <c r="K42" t="s" s="125">
        <f>_xlfn.IFERROR(VLOOKUP($A42,'The List'!$B1:$AS665,18,FALSE)," ")</f>
        <v>858</v>
      </c>
      <c r="L42" t="s" s="125">
        <f>_xlfn.IFERROR(VLOOKUP($A42,'The List'!$B1:$AS665,19,FALSE)," ")</f>
        <v>858</v>
      </c>
      <c r="M42" t="s" s="125">
        <f>_xlfn.IFERROR(VLOOKUP($A42,'The List'!$B1:$AS665,20,FALSE)," ")</f>
        <v>858</v>
      </c>
      <c r="N42" t="s" s="125">
        <f>_xlfn.IFERROR(VLOOKUP($A42,'The List'!$B1:$AS665,21,FALSE)," ")</f>
        <v>858</v>
      </c>
      <c r="O42" t="s" s="125">
        <f>_xlfn.IFERROR(VLOOKUP($A42,'The List'!$B1:$AS665,22,FALSE)," ")</f>
        <v>858</v>
      </c>
      <c r="P42" t="s" s="125">
        <f>_xlfn.IFERROR(VLOOKUP($A42,'The List'!$B1:$AS665,23,FALSE)," ")</f>
        <v>858</v>
      </c>
      <c r="Q42" t="s" s="125">
        <f>_xlfn.IFERROR(VLOOKUP($A42,'The List'!$B1:$AS665,24,FALSE)," ")</f>
        <v>858</v>
      </c>
      <c r="R42" t="s" s="125">
        <f>_xlfn.IFERROR(VLOOKUP($A42,'The List'!$B1:$AS665,25,FALSE)," ")</f>
        <v>858</v>
      </c>
      <c r="S42" t="s" s="125">
        <f>_xlfn.IFERROR(VLOOKUP($A42,'The List'!$B1:$AS665,26,FALSE)," ")</f>
        <v>858</v>
      </c>
      <c r="T42" t="s" s="125">
        <f>_xlfn.IFERROR(VLOOKUP($A42,'The List'!$B1:$AS665,27,FALSE)," ")</f>
        <v>858</v>
      </c>
      <c r="U42" t="s" s="125">
        <f>_xlfn.IFERROR(VLOOKUP($A42,'The List'!$B1:$AS665,28,FALSE)," ")</f>
        <v>858</v>
      </c>
      <c r="V42" t="s" s="125">
        <f>_xlfn.IFERROR(VLOOKUP($A42,'The List'!$B1:$AS665,29,FALSE)," ")</f>
        <v>858</v>
      </c>
      <c r="W42" t="s" s="125">
        <f>_xlfn.IFERROR(VLOOKUP($A42,'The List'!$B1:$AS665,30,FALSE)," ")</f>
        <v>858</v>
      </c>
      <c r="X42" t="s" s="125">
        <f>_xlfn.IFERROR(VLOOKUP($A42,'The List'!$B1:$AS665,31,FALSE)," ")</f>
        <v>858</v>
      </c>
      <c r="Y42" t="s" s="125">
        <f>_xlfn.IFERROR(VLOOKUP($A42,'The List'!$B1:$AS665,32,FALSE)," ")</f>
        <v>858</v>
      </c>
      <c r="Z42" t="s" s="125">
        <f>_xlfn.IFERROR(VLOOKUP($A42,'The List'!$B1:$AS665,33,FALSE)," ")</f>
        <v>858</v>
      </c>
      <c r="AA42" s="120"/>
      <c r="AB42" s="121"/>
      <c r="AC42" s="121"/>
      <c r="AD42" s="121"/>
      <c r="AE42" s="121"/>
      <c r="AF42" s="144"/>
    </row>
    <row r="43" ht="21.25" customHeight="1">
      <c r="A43" s="50"/>
      <c r="B43" t="s" s="132">
        <f>_xlfn.IFERROR(VLOOKUP($A43,'The List'!$B1:$AS665,3,FALSE)," ")</f>
        <v>858</v>
      </c>
      <c r="C43" t="s" s="134">
        <f>_xlfn.IFERROR(VLOOKUP($A43,'The List'!$B1:$AS665,4,FALSE)," ")</f>
        <v>858</v>
      </c>
      <c r="D43" t="s" s="86">
        <f>_xlfn.IFERROR(VLOOKUP($A43,'The List'!$B1:$AS665,5,FALSE)," ")</f>
        <v>858</v>
      </c>
      <c r="E43" t="s" s="86">
        <f>_xlfn.IFERROR(VLOOKUP($A43,'The List'!$B1:$AS665,6,FALSE)," ")</f>
        <v>858</v>
      </c>
      <c r="F43" t="s" s="124">
        <f>_xlfn.IFERROR(VLOOKUP($A43,'The List'!$B1:$AS665,8,FALSE)," ")</f>
        <v>858</v>
      </c>
      <c r="G43" t="s" s="124">
        <f>_xlfn.IFERROR(VLOOKUP($A43,'The List'!$B1:$AS665,10,FALSE)," ")</f>
        <v>858</v>
      </c>
      <c r="H43" s="77"/>
      <c r="I43" t="s" s="125">
        <f>_xlfn.IFERROR(VLOOKUP($A43,'The List'!$B1:$AS665,16,FALSE)," ")</f>
        <v>858</v>
      </c>
      <c r="J43" t="s" s="125">
        <f>_xlfn.IFERROR(VLOOKUP($A43,'The List'!$B1:$AS665,17,FALSE)," ")</f>
        <v>858</v>
      </c>
      <c r="K43" t="s" s="125">
        <f>_xlfn.IFERROR(VLOOKUP($A43,'The List'!$B1:$AS665,18,FALSE)," ")</f>
        <v>858</v>
      </c>
      <c r="L43" t="s" s="125">
        <f>_xlfn.IFERROR(VLOOKUP($A43,'The List'!$B1:$AS665,19,FALSE)," ")</f>
        <v>858</v>
      </c>
      <c r="M43" t="s" s="125">
        <f>_xlfn.IFERROR(VLOOKUP($A43,'The List'!$B1:$AS665,20,FALSE)," ")</f>
        <v>858</v>
      </c>
      <c r="N43" t="s" s="125">
        <f>_xlfn.IFERROR(VLOOKUP($A43,'The List'!$B1:$AS665,21,FALSE)," ")</f>
        <v>858</v>
      </c>
      <c r="O43" t="s" s="125">
        <f>_xlfn.IFERROR(VLOOKUP($A43,'The List'!$B1:$AS665,22,FALSE)," ")</f>
        <v>858</v>
      </c>
      <c r="P43" t="s" s="125">
        <f>_xlfn.IFERROR(VLOOKUP($A43,'The List'!$B1:$AS665,23,FALSE)," ")</f>
        <v>858</v>
      </c>
      <c r="Q43" t="s" s="125">
        <f>_xlfn.IFERROR(VLOOKUP($A43,'The List'!$B1:$AS665,24,FALSE)," ")</f>
        <v>858</v>
      </c>
      <c r="R43" t="s" s="125">
        <f>_xlfn.IFERROR(VLOOKUP($A43,'The List'!$B1:$AS665,25,FALSE)," ")</f>
        <v>858</v>
      </c>
      <c r="S43" t="s" s="125">
        <f>_xlfn.IFERROR(VLOOKUP($A43,'The List'!$B1:$AS665,26,FALSE)," ")</f>
        <v>858</v>
      </c>
      <c r="T43" t="s" s="125">
        <f>_xlfn.IFERROR(VLOOKUP($A43,'The List'!$B1:$AS665,27,FALSE)," ")</f>
        <v>858</v>
      </c>
      <c r="U43" t="s" s="125">
        <f>_xlfn.IFERROR(VLOOKUP($A43,'The List'!$B1:$AS665,28,FALSE)," ")</f>
        <v>858</v>
      </c>
      <c r="V43" t="s" s="125">
        <f>_xlfn.IFERROR(VLOOKUP($A43,'The List'!$B1:$AS665,29,FALSE)," ")</f>
        <v>858</v>
      </c>
      <c r="W43" t="s" s="125">
        <f>_xlfn.IFERROR(VLOOKUP($A43,'The List'!$B1:$AS665,30,FALSE)," ")</f>
        <v>858</v>
      </c>
      <c r="X43" t="s" s="125">
        <f>_xlfn.IFERROR(VLOOKUP($A43,'The List'!$B1:$AS665,31,FALSE)," ")</f>
        <v>858</v>
      </c>
      <c r="Y43" t="s" s="125">
        <f>_xlfn.IFERROR(VLOOKUP($A43,'The List'!$B1:$AS665,32,FALSE)," ")</f>
        <v>858</v>
      </c>
      <c r="Z43" t="s" s="125">
        <f>_xlfn.IFERROR(VLOOKUP($A43,'The List'!$B1:$AS665,33,FALSE)," ")</f>
        <v>858</v>
      </c>
      <c r="AA43" s="120"/>
      <c r="AB43" s="121"/>
      <c r="AC43" s="121"/>
      <c r="AD43" s="121"/>
      <c r="AE43" s="121"/>
      <c r="AF43" s="144"/>
    </row>
    <row r="44" ht="21.25" customHeight="1">
      <c r="A44" s="50"/>
      <c r="B44" t="s" s="132">
        <f>_xlfn.IFERROR(VLOOKUP($A44,'The List'!$B1:$AS665,3,FALSE)," ")</f>
        <v>858</v>
      </c>
      <c r="C44" t="s" s="134">
        <f>_xlfn.IFERROR(VLOOKUP($A44,'The List'!$B1:$AS665,4,FALSE)," ")</f>
        <v>858</v>
      </c>
      <c r="D44" t="s" s="86">
        <f>_xlfn.IFERROR(VLOOKUP($A44,'The List'!$B1:$AS665,5,FALSE)," ")</f>
        <v>858</v>
      </c>
      <c r="E44" t="s" s="86">
        <f>_xlfn.IFERROR(VLOOKUP($A44,'The List'!$B1:$AS665,6,FALSE)," ")</f>
        <v>858</v>
      </c>
      <c r="F44" t="s" s="124">
        <f>_xlfn.IFERROR(VLOOKUP($A44,'The List'!$B1:$AS665,8,FALSE)," ")</f>
        <v>858</v>
      </c>
      <c r="G44" t="s" s="124">
        <f>_xlfn.IFERROR(VLOOKUP($A44,'The List'!$B1:$AS665,10,FALSE)," ")</f>
        <v>858</v>
      </c>
      <c r="H44" s="77"/>
      <c r="I44" t="s" s="125">
        <f>_xlfn.IFERROR(VLOOKUP($A44,'The List'!$B1:$AS665,16,FALSE)," ")</f>
        <v>858</v>
      </c>
      <c r="J44" t="s" s="125">
        <f>_xlfn.IFERROR(VLOOKUP($A44,'The List'!$B1:$AS665,17,FALSE)," ")</f>
        <v>858</v>
      </c>
      <c r="K44" t="s" s="125">
        <f>_xlfn.IFERROR(VLOOKUP($A44,'The List'!$B1:$AS665,18,FALSE)," ")</f>
        <v>858</v>
      </c>
      <c r="L44" t="s" s="125">
        <f>_xlfn.IFERROR(VLOOKUP($A44,'The List'!$B1:$AS665,19,FALSE)," ")</f>
        <v>858</v>
      </c>
      <c r="M44" t="s" s="125">
        <f>_xlfn.IFERROR(VLOOKUP($A44,'The List'!$B1:$AS665,20,FALSE)," ")</f>
        <v>858</v>
      </c>
      <c r="N44" t="s" s="125">
        <f>_xlfn.IFERROR(VLOOKUP($A44,'The List'!$B1:$AS665,21,FALSE)," ")</f>
        <v>858</v>
      </c>
      <c r="O44" t="s" s="125">
        <f>_xlfn.IFERROR(VLOOKUP($A44,'The List'!$B1:$AS665,22,FALSE)," ")</f>
        <v>858</v>
      </c>
      <c r="P44" t="s" s="125">
        <f>_xlfn.IFERROR(VLOOKUP($A44,'The List'!$B1:$AS665,23,FALSE)," ")</f>
        <v>858</v>
      </c>
      <c r="Q44" t="s" s="125">
        <f>_xlfn.IFERROR(VLOOKUP($A44,'The List'!$B1:$AS665,24,FALSE)," ")</f>
        <v>858</v>
      </c>
      <c r="R44" t="s" s="125">
        <f>_xlfn.IFERROR(VLOOKUP($A44,'The List'!$B1:$AS665,25,FALSE)," ")</f>
        <v>858</v>
      </c>
      <c r="S44" t="s" s="125">
        <f>_xlfn.IFERROR(VLOOKUP($A44,'The List'!$B1:$AS665,26,FALSE)," ")</f>
        <v>858</v>
      </c>
      <c r="T44" t="s" s="125">
        <f>_xlfn.IFERROR(VLOOKUP($A44,'The List'!$B1:$AS665,27,FALSE)," ")</f>
        <v>858</v>
      </c>
      <c r="U44" t="s" s="125">
        <f>_xlfn.IFERROR(VLOOKUP($A44,'The List'!$B1:$AS665,28,FALSE)," ")</f>
        <v>858</v>
      </c>
      <c r="V44" t="s" s="125">
        <f>_xlfn.IFERROR(VLOOKUP($A44,'The List'!$B1:$AS665,29,FALSE)," ")</f>
        <v>858</v>
      </c>
      <c r="W44" t="s" s="125">
        <f>_xlfn.IFERROR(VLOOKUP($A44,'The List'!$B1:$AS665,30,FALSE)," ")</f>
        <v>858</v>
      </c>
      <c r="X44" t="s" s="125">
        <f>_xlfn.IFERROR(VLOOKUP($A44,'The List'!$B1:$AS665,31,FALSE)," ")</f>
        <v>858</v>
      </c>
      <c r="Y44" t="s" s="125">
        <f>_xlfn.IFERROR(VLOOKUP($A44,'The List'!$B1:$AS665,32,FALSE)," ")</f>
        <v>858</v>
      </c>
      <c r="Z44" t="s" s="125">
        <f>_xlfn.IFERROR(VLOOKUP($A44,'The List'!$B1:$AS665,33,FALSE)," ")</f>
        <v>858</v>
      </c>
      <c r="AA44" s="120"/>
      <c r="AB44" s="121"/>
      <c r="AC44" s="121"/>
      <c r="AD44" s="121"/>
      <c r="AE44" s="121"/>
      <c r="AF44" s="144"/>
    </row>
    <row r="45" ht="21.25" customHeight="1">
      <c r="A45" s="50"/>
      <c r="B45" t="s" s="132">
        <f>_xlfn.IFERROR(VLOOKUP($A45,'The List'!$B1:$AS665,3,FALSE)," ")</f>
        <v>858</v>
      </c>
      <c r="C45" t="s" s="134">
        <f>_xlfn.IFERROR(VLOOKUP($A45,'The List'!$B1:$AS665,4,FALSE)," ")</f>
        <v>858</v>
      </c>
      <c r="D45" t="s" s="86">
        <f>_xlfn.IFERROR(VLOOKUP($A45,'The List'!$B1:$AS665,5,FALSE)," ")</f>
        <v>858</v>
      </c>
      <c r="E45" t="s" s="86">
        <f>_xlfn.IFERROR(VLOOKUP($A45,'The List'!$B1:$AS665,6,FALSE)," ")</f>
        <v>858</v>
      </c>
      <c r="F45" t="s" s="124">
        <f>_xlfn.IFERROR(VLOOKUP($A45,'The List'!$B1:$AS665,8,FALSE)," ")</f>
        <v>858</v>
      </c>
      <c r="G45" t="s" s="124">
        <f>_xlfn.IFERROR(VLOOKUP($A45,'The List'!$B1:$AS665,10,FALSE)," ")</f>
        <v>858</v>
      </c>
      <c r="H45" s="77"/>
      <c r="I45" t="s" s="125">
        <f>_xlfn.IFERROR(VLOOKUP($A45,'The List'!$B1:$AS665,16,FALSE)," ")</f>
        <v>858</v>
      </c>
      <c r="J45" t="s" s="125">
        <f>_xlfn.IFERROR(VLOOKUP($A45,'The List'!$B1:$AS665,17,FALSE)," ")</f>
        <v>858</v>
      </c>
      <c r="K45" t="s" s="125">
        <f>_xlfn.IFERROR(VLOOKUP($A45,'The List'!$B1:$AS665,18,FALSE)," ")</f>
        <v>858</v>
      </c>
      <c r="L45" t="s" s="125">
        <f>_xlfn.IFERROR(VLOOKUP($A45,'The List'!$B1:$AS665,19,FALSE)," ")</f>
        <v>858</v>
      </c>
      <c r="M45" t="s" s="125">
        <f>_xlfn.IFERROR(VLOOKUP($A45,'The List'!$B1:$AS665,20,FALSE)," ")</f>
        <v>858</v>
      </c>
      <c r="N45" t="s" s="125">
        <f>_xlfn.IFERROR(VLOOKUP($A45,'The List'!$B1:$AS665,21,FALSE)," ")</f>
        <v>858</v>
      </c>
      <c r="O45" t="s" s="125">
        <f>_xlfn.IFERROR(VLOOKUP($A45,'The List'!$B1:$AS665,22,FALSE)," ")</f>
        <v>858</v>
      </c>
      <c r="P45" t="s" s="125">
        <f>_xlfn.IFERROR(VLOOKUP($A45,'The List'!$B1:$AS665,23,FALSE)," ")</f>
        <v>858</v>
      </c>
      <c r="Q45" t="s" s="125">
        <f>_xlfn.IFERROR(VLOOKUP($A45,'The List'!$B1:$AS665,24,FALSE)," ")</f>
        <v>858</v>
      </c>
      <c r="R45" t="s" s="125">
        <f>_xlfn.IFERROR(VLOOKUP($A45,'The List'!$B1:$AS665,25,FALSE)," ")</f>
        <v>858</v>
      </c>
      <c r="S45" t="s" s="125">
        <f>_xlfn.IFERROR(VLOOKUP($A45,'The List'!$B1:$AS665,26,FALSE)," ")</f>
        <v>858</v>
      </c>
      <c r="T45" t="s" s="125">
        <f>_xlfn.IFERROR(VLOOKUP($A45,'The List'!$B1:$AS665,27,FALSE)," ")</f>
        <v>858</v>
      </c>
      <c r="U45" t="s" s="125">
        <f>_xlfn.IFERROR(VLOOKUP($A45,'The List'!$B1:$AS665,28,FALSE)," ")</f>
        <v>858</v>
      </c>
      <c r="V45" t="s" s="125">
        <f>_xlfn.IFERROR(VLOOKUP($A45,'The List'!$B1:$AS665,29,FALSE)," ")</f>
        <v>858</v>
      </c>
      <c r="W45" t="s" s="125">
        <f>_xlfn.IFERROR(VLOOKUP($A45,'The List'!$B1:$AS665,30,FALSE)," ")</f>
        <v>858</v>
      </c>
      <c r="X45" t="s" s="125">
        <f>_xlfn.IFERROR(VLOOKUP($A45,'The List'!$B1:$AS665,31,FALSE)," ")</f>
        <v>858</v>
      </c>
      <c r="Y45" t="s" s="125">
        <f>_xlfn.IFERROR(VLOOKUP($A45,'The List'!$B1:$AS665,32,FALSE)," ")</f>
        <v>858</v>
      </c>
      <c r="Z45" t="s" s="125">
        <f>_xlfn.IFERROR(VLOOKUP($A45,'The List'!$B1:$AS665,33,FALSE)," ")</f>
        <v>858</v>
      </c>
      <c r="AA45" s="120"/>
      <c r="AB45" s="121"/>
      <c r="AC45" s="121"/>
      <c r="AD45" s="121"/>
      <c r="AE45" s="121"/>
      <c r="AF45" s="144"/>
    </row>
    <row r="46" ht="21.25" customHeight="1">
      <c r="A46" s="50"/>
      <c r="B46" t="s" s="132">
        <f>_xlfn.IFERROR(VLOOKUP($A46,'The List'!$B1:$AS665,3,FALSE)," ")</f>
        <v>858</v>
      </c>
      <c r="C46" t="s" s="134">
        <f>_xlfn.IFERROR(VLOOKUP($A46,'The List'!$B1:$AS665,4,FALSE)," ")</f>
        <v>858</v>
      </c>
      <c r="D46" t="s" s="86">
        <f>_xlfn.IFERROR(VLOOKUP($A46,'The List'!$B1:$AS665,5,FALSE)," ")</f>
        <v>858</v>
      </c>
      <c r="E46" t="s" s="86">
        <f>_xlfn.IFERROR(VLOOKUP($A46,'The List'!$B1:$AS665,6,FALSE)," ")</f>
        <v>858</v>
      </c>
      <c r="F46" t="s" s="124">
        <f>_xlfn.IFERROR(VLOOKUP($A46,'The List'!$B1:$AS665,8,FALSE)," ")</f>
        <v>858</v>
      </c>
      <c r="G46" t="s" s="124">
        <f>_xlfn.IFERROR(VLOOKUP($A46,'The List'!$B1:$AS665,10,FALSE)," ")</f>
        <v>858</v>
      </c>
      <c r="H46" s="77"/>
      <c r="I46" t="s" s="125">
        <f>_xlfn.IFERROR(VLOOKUP($A46,'The List'!$B1:$AS665,16,FALSE)," ")</f>
        <v>858</v>
      </c>
      <c r="J46" t="s" s="125">
        <f>_xlfn.IFERROR(VLOOKUP($A46,'The List'!$B1:$AS665,17,FALSE)," ")</f>
        <v>858</v>
      </c>
      <c r="K46" t="s" s="125">
        <f>_xlfn.IFERROR(VLOOKUP($A46,'The List'!$B1:$AS665,18,FALSE)," ")</f>
        <v>858</v>
      </c>
      <c r="L46" t="s" s="125">
        <f>_xlfn.IFERROR(VLOOKUP($A46,'The List'!$B1:$AS665,19,FALSE)," ")</f>
        <v>858</v>
      </c>
      <c r="M46" t="s" s="125">
        <f>_xlfn.IFERROR(VLOOKUP($A46,'The List'!$B1:$AS665,20,FALSE)," ")</f>
        <v>858</v>
      </c>
      <c r="N46" t="s" s="125">
        <f>_xlfn.IFERROR(VLOOKUP($A46,'The List'!$B1:$AS665,21,FALSE)," ")</f>
        <v>858</v>
      </c>
      <c r="O46" t="s" s="125">
        <f>_xlfn.IFERROR(VLOOKUP($A46,'The List'!$B1:$AS665,22,FALSE)," ")</f>
        <v>858</v>
      </c>
      <c r="P46" t="s" s="125">
        <f>_xlfn.IFERROR(VLOOKUP($A46,'The List'!$B1:$AS665,23,FALSE)," ")</f>
        <v>858</v>
      </c>
      <c r="Q46" t="s" s="125">
        <f>_xlfn.IFERROR(VLOOKUP($A46,'The List'!$B1:$AS665,24,FALSE)," ")</f>
        <v>858</v>
      </c>
      <c r="R46" t="s" s="125">
        <f>_xlfn.IFERROR(VLOOKUP($A46,'The List'!$B1:$AS665,25,FALSE)," ")</f>
        <v>858</v>
      </c>
      <c r="S46" t="s" s="125">
        <f>_xlfn.IFERROR(VLOOKUP($A46,'The List'!$B1:$AS665,26,FALSE)," ")</f>
        <v>858</v>
      </c>
      <c r="T46" t="s" s="125">
        <f>_xlfn.IFERROR(VLOOKUP($A46,'The List'!$B1:$AS665,27,FALSE)," ")</f>
        <v>858</v>
      </c>
      <c r="U46" t="s" s="125">
        <f>_xlfn.IFERROR(VLOOKUP($A46,'The List'!$B1:$AS665,28,FALSE)," ")</f>
        <v>858</v>
      </c>
      <c r="V46" t="s" s="125">
        <f>_xlfn.IFERROR(VLOOKUP($A46,'The List'!$B1:$AS665,29,FALSE)," ")</f>
        <v>858</v>
      </c>
      <c r="W46" t="s" s="125">
        <f>_xlfn.IFERROR(VLOOKUP($A46,'The List'!$B1:$AS665,30,FALSE)," ")</f>
        <v>858</v>
      </c>
      <c r="X46" t="s" s="125">
        <f>_xlfn.IFERROR(VLOOKUP($A46,'The List'!$B1:$AS665,31,FALSE)," ")</f>
        <v>858</v>
      </c>
      <c r="Y46" t="s" s="125">
        <f>_xlfn.IFERROR(VLOOKUP($A46,'The List'!$B1:$AS665,32,FALSE)," ")</f>
        <v>858</v>
      </c>
      <c r="Z46" t="s" s="125">
        <f>_xlfn.IFERROR(VLOOKUP($A46,'The List'!$B1:$AS665,33,FALSE)," ")</f>
        <v>858</v>
      </c>
      <c r="AA46" s="120"/>
      <c r="AB46" s="121"/>
      <c r="AC46" s="121"/>
      <c r="AD46" s="121"/>
      <c r="AE46" s="121"/>
      <c r="AF46" s="144"/>
    </row>
    <row r="47" ht="21.25" customHeight="1">
      <c r="A47" s="50"/>
      <c r="B47" t="s" s="132">
        <f>_xlfn.IFERROR(VLOOKUP($A47,'The List'!$B1:$AS665,3,FALSE)," ")</f>
        <v>858</v>
      </c>
      <c r="C47" t="s" s="134">
        <f>_xlfn.IFERROR(VLOOKUP($A47,'The List'!$B1:$AS665,4,FALSE)," ")</f>
        <v>858</v>
      </c>
      <c r="D47" t="s" s="86">
        <f>_xlfn.IFERROR(VLOOKUP($A47,'The List'!$B1:$AS665,5,FALSE)," ")</f>
        <v>858</v>
      </c>
      <c r="E47" t="s" s="86">
        <f>_xlfn.IFERROR(VLOOKUP($A47,'The List'!$B1:$AS665,6,FALSE)," ")</f>
        <v>858</v>
      </c>
      <c r="F47" t="s" s="124">
        <f>_xlfn.IFERROR(VLOOKUP($A47,'The List'!$B1:$AS665,8,FALSE)," ")</f>
        <v>858</v>
      </c>
      <c r="G47" t="s" s="124">
        <f>_xlfn.IFERROR(VLOOKUP($A47,'The List'!$B1:$AS665,10,FALSE)," ")</f>
        <v>858</v>
      </c>
      <c r="H47" s="77"/>
      <c r="I47" t="s" s="125">
        <f>_xlfn.IFERROR(VLOOKUP($A47,'The List'!$B1:$AS665,16,FALSE)," ")</f>
        <v>858</v>
      </c>
      <c r="J47" t="s" s="125">
        <f>_xlfn.IFERROR(VLOOKUP($A47,'The List'!$B1:$AS665,17,FALSE)," ")</f>
        <v>858</v>
      </c>
      <c r="K47" t="s" s="125">
        <f>_xlfn.IFERROR(VLOOKUP($A47,'The List'!$B1:$AS665,18,FALSE)," ")</f>
        <v>858</v>
      </c>
      <c r="L47" t="s" s="125">
        <f>_xlfn.IFERROR(VLOOKUP($A47,'The List'!$B1:$AS665,19,FALSE)," ")</f>
        <v>858</v>
      </c>
      <c r="M47" t="s" s="125">
        <f>_xlfn.IFERROR(VLOOKUP($A47,'The List'!$B1:$AS665,20,FALSE)," ")</f>
        <v>858</v>
      </c>
      <c r="N47" t="s" s="125">
        <f>_xlfn.IFERROR(VLOOKUP($A47,'The List'!$B1:$AS665,21,FALSE)," ")</f>
        <v>858</v>
      </c>
      <c r="O47" t="s" s="125">
        <f>_xlfn.IFERROR(VLOOKUP($A47,'The List'!$B1:$AS665,22,FALSE)," ")</f>
        <v>858</v>
      </c>
      <c r="P47" t="s" s="125">
        <f>_xlfn.IFERROR(VLOOKUP($A47,'The List'!$B1:$AS665,23,FALSE)," ")</f>
        <v>858</v>
      </c>
      <c r="Q47" t="s" s="125">
        <f>_xlfn.IFERROR(VLOOKUP($A47,'The List'!$B1:$AS665,24,FALSE)," ")</f>
        <v>858</v>
      </c>
      <c r="R47" t="s" s="125">
        <f>_xlfn.IFERROR(VLOOKUP($A47,'The List'!$B1:$AS665,25,FALSE)," ")</f>
        <v>858</v>
      </c>
      <c r="S47" t="s" s="125">
        <f>_xlfn.IFERROR(VLOOKUP($A47,'The List'!$B1:$AS665,26,FALSE)," ")</f>
        <v>858</v>
      </c>
      <c r="T47" t="s" s="125">
        <f>_xlfn.IFERROR(VLOOKUP($A47,'The List'!$B1:$AS665,27,FALSE)," ")</f>
        <v>858</v>
      </c>
      <c r="U47" t="s" s="125">
        <f>_xlfn.IFERROR(VLOOKUP($A47,'The List'!$B1:$AS665,28,FALSE)," ")</f>
        <v>858</v>
      </c>
      <c r="V47" t="s" s="125">
        <f>_xlfn.IFERROR(VLOOKUP($A47,'The List'!$B1:$AS665,29,FALSE)," ")</f>
        <v>858</v>
      </c>
      <c r="W47" t="s" s="125">
        <f>_xlfn.IFERROR(VLOOKUP($A47,'The List'!$B1:$AS665,30,FALSE)," ")</f>
        <v>858</v>
      </c>
      <c r="X47" t="s" s="125">
        <f>_xlfn.IFERROR(VLOOKUP($A47,'The List'!$B1:$AS665,31,FALSE)," ")</f>
        <v>858</v>
      </c>
      <c r="Y47" t="s" s="125">
        <f>_xlfn.IFERROR(VLOOKUP($A47,'The List'!$B1:$AS665,32,FALSE)," ")</f>
        <v>858</v>
      </c>
      <c r="Z47" t="s" s="125">
        <f>_xlfn.IFERROR(VLOOKUP($A47,'The List'!$B1:$AS665,33,FALSE)," ")</f>
        <v>858</v>
      </c>
      <c r="AA47" s="120"/>
      <c r="AB47" s="121"/>
      <c r="AC47" s="121"/>
      <c r="AD47" s="121"/>
      <c r="AE47" s="121"/>
      <c r="AF47" s="144"/>
    </row>
    <row r="48" ht="21.25" customHeight="1">
      <c r="A48" s="50"/>
      <c r="B48" t="s" s="132">
        <f>_xlfn.IFERROR(VLOOKUP($A48,'The List'!$B1:$AS665,3,FALSE)," ")</f>
        <v>858</v>
      </c>
      <c r="C48" t="s" s="134">
        <f>_xlfn.IFERROR(VLOOKUP($A48,'The List'!$B1:$AS665,4,FALSE)," ")</f>
        <v>858</v>
      </c>
      <c r="D48" t="s" s="86">
        <f>_xlfn.IFERROR(VLOOKUP($A48,'The List'!$B1:$AS665,5,FALSE)," ")</f>
        <v>858</v>
      </c>
      <c r="E48" t="s" s="86">
        <f>_xlfn.IFERROR(VLOOKUP($A48,'The List'!$B1:$AS665,6,FALSE)," ")</f>
        <v>858</v>
      </c>
      <c r="F48" t="s" s="124">
        <f>_xlfn.IFERROR(VLOOKUP($A48,'The List'!$B1:$AS665,8,FALSE)," ")</f>
        <v>858</v>
      </c>
      <c r="G48" t="s" s="124">
        <f>_xlfn.IFERROR(VLOOKUP($A48,'The List'!$B1:$AS665,10,FALSE)," ")</f>
        <v>858</v>
      </c>
      <c r="H48" s="77"/>
      <c r="I48" t="s" s="125">
        <f>_xlfn.IFERROR(VLOOKUP($A48,'The List'!$B1:$AS665,16,FALSE)," ")</f>
        <v>858</v>
      </c>
      <c r="J48" t="s" s="125">
        <f>_xlfn.IFERROR(VLOOKUP($A48,'The List'!$B1:$AS665,17,FALSE)," ")</f>
        <v>858</v>
      </c>
      <c r="K48" t="s" s="125">
        <f>_xlfn.IFERROR(VLOOKUP($A48,'The List'!$B1:$AS665,18,FALSE)," ")</f>
        <v>858</v>
      </c>
      <c r="L48" t="s" s="125">
        <f>_xlfn.IFERROR(VLOOKUP($A48,'The List'!$B1:$AS665,19,FALSE)," ")</f>
        <v>858</v>
      </c>
      <c r="M48" t="s" s="125">
        <f>_xlfn.IFERROR(VLOOKUP($A48,'The List'!$B1:$AS665,20,FALSE)," ")</f>
        <v>858</v>
      </c>
      <c r="N48" t="s" s="125">
        <f>_xlfn.IFERROR(VLOOKUP($A48,'The List'!$B1:$AS665,21,FALSE)," ")</f>
        <v>858</v>
      </c>
      <c r="O48" t="s" s="125">
        <f>_xlfn.IFERROR(VLOOKUP($A48,'The List'!$B1:$AS665,22,FALSE)," ")</f>
        <v>858</v>
      </c>
      <c r="P48" t="s" s="125">
        <f>_xlfn.IFERROR(VLOOKUP($A48,'The List'!$B1:$AS665,23,FALSE)," ")</f>
        <v>858</v>
      </c>
      <c r="Q48" t="s" s="125">
        <f>_xlfn.IFERROR(VLOOKUP($A48,'The List'!$B1:$AS665,24,FALSE)," ")</f>
        <v>858</v>
      </c>
      <c r="R48" t="s" s="125">
        <f>_xlfn.IFERROR(VLOOKUP($A48,'The List'!$B1:$AS665,25,FALSE)," ")</f>
        <v>858</v>
      </c>
      <c r="S48" t="s" s="125">
        <f>_xlfn.IFERROR(VLOOKUP($A48,'The List'!$B1:$AS665,26,FALSE)," ")</f>
        <v>858</v>
      </c>
      <c r="T48" t="s" s="125">
        <f>_xlfn.IFERROR(VLOOKUP($A48,'The List'!$B1:$AS665,27,FALSE)," ")</f>
        <v>858</v>
      </c>
      <c r="U48" t="s" s="125">
        <f>_xlfn.IFERROR(VLOOKUP($A48,'The List'!$B1:$AS665,28,FALSE)," ")</f>
        <v>858</v>
      </c>
      <c r="V48" t="s" s="125">
        <f>_xlfn.IFERROR(VLOOKUP($A48,'The List'!$B1:$AS665,29,FALSE)," ")</f>
        <v>858</v>
      </c>
      <c r="W48" t="s" s="125">
        <f>_xlfn.IFERROR(VLOOKUP($A48,'The List'!$B1:$AS665,30,FALSE)," ")</f>
        <v>858</v>
      </c>
      <c r="X48" t="s" s="125">
        <f>_xlfn.IFERROR(VLOOKUP($A48,'The List'!$B1:$AS665,31,FALSE)," ")</f>
        <v>858</v>
      </c>
      <c r="Y48" t="s" s="125">
        <f>_xlfn.IFERROR(VLOOKUP($A48,'The List'!$B1:$AS665,32,FALSE)," ")</f>
        <v>858</v>
      </c>
      <c r="Z48" t="s" s="125">
        <f>_xlfn.IFERROR(VLOOKUP($A48,'The List'!$B1:$AS665,33,FALSE)," ")</f>
        <v>858</v>
      </c>
      <c r="AA48" s="120"/>
      <c r="AB48" s="121"/>
      <c r="AC48" s="121"/>
      <c r="AD48" s="121"/>
      <c r="AE48" s="121"/>
      <c r="AF48" s="144"/>
    </row>
    <row r="49" ht="21.25" customHeight="1">
      <c r="A49" s="50"/>
      <c r="B49" t="s" s="132">
        <f>_xlfn.IFERROR(VLOOKUP($A49,'The List'!$B1:$AS665,3,FALSE)," ")</f>
        <v>858</v>
      </c>
      <c r="C49" t="s" s="134">
        <f>_xlfn.IFERROR(VLOOKUP($A49,'The List'!$B1:$AS665,4,FALSE)," ")</f>
        <v>858</v>
      </c>
      <c r="D49" t="s" s="86">
        <f>_xlfn.IFERROR(VLOOKUP($A49,'The List'!$B1:$AS665,5,FALSE)," ")</f>
        <v>858</v>
      </c>
      <c r="E49" t="s" s="86">
        <f>_xlfn.IFERROR(VLOOKUP($A49,'The List'!$B1:$AS665,6,FALSE)," ")</f>
        <v>858</v>
      </c>
      <c r="F49" t="s" s="124">
        <f>_xlfn.IFERROR(VLOOKUP($A49,'The List'!$B1:$AS665,8,FALSE)," ")</f>
        <v>858</v>
      </c>
      <c r="G49" t="s" s="124">
        <f>_xlfn.IFERROR(VLOOKUP($A49,'The List'!$B1:$AS665,10,FALSE)," ")</f>
        <v>858</v>
      </c>
      <c r="H49" s="77"/>
      <c r="I49" t="s" s="125">
        <f>_xlfn.IFERROR(VLOOKUP($A49,'The List'!$B1:$AS665,16,FALSE)," ")</f>
        <v>858</v>
      </c>
      <c r="J49" t="s" s="125">
        <f>_xlfn.IFERROR(VLOOKUP($A49,'The List'!$B1:$AS665,17,FALSE)," ")</f>
        <v>858</v>
      </c>
      <c r="K49" t="s" s="125">
        <f>_xlfn.IFERROR(VLOOKUP($A49,'The List'!$B1:$AS665,18,FALSE)," ")</f>
        <v>858</v>
      </c>
      <c r="L49" t="s" s="125">
        <f>_xlfn.IFERROR(VLOOKUP($A49,'The List'!$B1:$AS665,19,FALSE)," ")</f>
        <v>858</v>
      </c>
      <c r="M49" t="s" s="125">
        <f>_xlfn.IFERROR(VLOOKUP($A49,'The List'!$B1:$AS665,20,FALSE)," ")</f>
        <v>858</v>
      </c>
      <c r="N49" t="s" s="125">
        <f>_xlfn.IFERROR(VLOOKUP($A49,'The List'!$B1:$AS665,21,FALSE)," ")</f>
        <v>858</v>
      </c>
      <c r="O49" t="s" s="125">
        <f>_xlfn.IFERROR(VLOOKUP($A49,'The List'!$B1:$AS665,22,FALSE)," ")</f>
        <v>858</v>
      </c>
      <c r="P49" t="s" s="125">
        <f>_xlfn.IFERROR(VLOOKUP($A49,'The List'!$B1:$AS665,23,FALSE)," ")</f>
        <v>858</v>
      </c>
      <c r="Q49" t="s" s="125">
        <f>_xlfn.IFERROR(VLOOKUP($A49,'The List'!$B1:$AS665,24,FALSE)," ")</f>
        <v>858</v>
      </c>
      <c r="R49" t="s" s="125">
        <f>_xlfn.IFERROR(VLOOKUP($A49,'The List'!$B1:$AS665,25,FALSE)," ")</f>
        <v>858</v>
      </c>
      <c r="S49" t="s" s="125">
        <f>_xlfn.IFERROR(VLOOKUP($A49,'The List'!$B1:$AS665,26,FALSE)," ")</f>
        <v>858</v>
      </c>
      <c r="T49" t="s" s="125">
        <f>_xlfn.IFERROR(VLOOKUP($A49,'The List'!$B1:$AS665,27,FALSE)," ")</f>
        <v>858</v>
      </c>
      <c r="U49" t="s" s="125">
        <f>_xlfn.IFERROR(VLOOKUP($A49,'The List'!$B1:$AS665,28,FALSE)," ")</f>
        <v>858</v>
      </c>
      <c r="V49" t="s" s="125">
        <f>_xlfn.IFERROR(VLOOKUP($A49,'The List'!$B1:$AS665,29,FALSE)," ")</f>
        <v>858</v>
      </c>
      <c r="W49" t="s" s="125">
        <f>_xlfn.IFERROR(VLOOKUP($A49,'The List'!$B1:$AS665,30,FALSE)," ")</f>
        <v>858</v>
      </c>
      <c r="X49" t="s" s="125">
        <f>_xlfn.IFERROR(VLOOKUP($A49,'The List'!$B1:$AS665,31,FALSE)," ")</f>
        <v>858</v>
      </c>
      <c r="Y49" t="s" s="125">
        <f>_xlfn.IFERROR(VLOOKUP($A49,'The List'!$B1:$AS665,32,FALSE)," ")</f>
        <v>858</v>
      </c>
      <c r="Z49" t="s" s="125">
        <f>_xlfn.IFERROR(VLOOKUP($A49,'The List'!$B1:$AS665,33,FALSE)," ")</f>
        <v>858</v>
      </c>
      <c r="AA49" s="120"/>
      <c r="AB49" s="121"/>
      <c r="AC49" s="121"/>
      <c r="AD49" s="121"/>
      <c r="AE49" s="121"/>
      <c r="AF49" s="144"/>
    </row>
    <row r="50" ht="21.25" customHeight="1">
      <c r="A50" s="137"/>
      <c r="B50" t="s" s="138">
        <f>_xlfn.IFERROR(VLOOKUP($A50,'The List'!$B1:$AS665,3,FALSE)," ")</f>
        <v>858</v>
      </c>
      <c r="C50" t="s" s="139">
        <f>_xlfn.IFERROR(VLOOKUP($A50,'The List'!$B1:$AS665,4,FALSE)," ")</f>
        <v>858</v>
      </c>
      <c r="D50" t="s" s="140">
        <f>_xlfn.IFERROR(VLOOKUP($A50,'The List'!$B1:$AS665,5,FALSE)," ")</f>
        <v>858</v>
      </c>
      <c r="E50" t="s" s="140">
        <f>_xlfn.IFERROR(VLOOKUP($A50,'The List'!$B1:$AS665,6,FALSE)," ")</f>
        <v>858</v>
      </c>
      <c r="F50" t="s" s="141">
        <f>_xlfn.IFERROR(VLOOKUP($A50,'The List'!$B1:$AS665,8,FALSE)," ")</f>
        <v>858</v>
      </c>
      <c r="G50" t="s" s="141">
        <f>_xlfn.IFERROR(VLOOKUP($A50,'The List'!$B1:$AS665,10,FALSE)," ")</f>
        <v>858</v>
      </c>
      <c r="H50" s="142"/>
      <c r="I50" t="s" s="143">
        <f>_xlfn.IFERROR(VLOOKUP($A50,'The List'!$B1:$AS665,16,FALSE)," ")</f>
        <v>858</v>
      </c>
      <c r="J50" t="s" s="143">
        <f>_xlfn.IFERROR(VLOOKUP($A50,'The List'!$B1:$AS665,17,FALSE)," ")</f>
        <v>858</v>
      </c>
      <c r="K50" t="s" s="143">
        <f>_xlfn.IFERROR(VLOOKUP($A50,'The List'!$B1:$AS665,18,FALSE)," ")</f>
        <v>858</v>
      </c>
      <c r="L50" t="s" s="143">
        <f>_xlfn.IFERROR(VLOOKUP($A50,'The List'!$B1:$AS665,19,FALSE)," ")</f>
        <v>858</v>
      </c>
      <c r="M50" t="s" s="143">
        <f>_xlfn.IFERROR(VLOOKUP($A50,'The List'!$B1:$AS665,20,FALSE)," ")</f>
        <v>858</v>
      </c>
      <c r="N50" t="s" s="143">
        <f>_xlfn.IFERROR(VLOOKUP($A50,'The List'!$B1:$AS665,21,FALSE)," ")</f>
        <v>858</v>
      </c>
      <c r="O50" t="s" s="143">
        <f>_xlfn.IFERROR(VLOOKUP($A50,'The List'!$B1:$AS665,22,FALSE)," ")</f>
        <v>858</v>
      </c>
      <c r="P50" t="s" s="143">
        <f>_xlfn.IFERROR(VLOOKUP($A50,'The List'!$B1:$AS665,23,FALSE)," ")</f>
        <v>858</v>
      </c>
      <c r="Q50" t="s" s="143">
        <f>_xlfn.IFERROR(VLOOKUP($A50,'The List'!$B1:$AS665,24,FALSE)," ")</f>
        <v>858</v>
      </c>
      <c r="R50" t="s" s="143">
        <f>_xlfn.IFERROR(VLOOKUP($A50,'The List'!$B1:$AS665,25,FALSE)," ")</f>
        <v>858</v>
      </c>
      <c r="S50" t="s" s="143">
        <f>_xlfn.IFERROR(VLOOKUP($A50,'The List'!$B1:$AS665,26,FALSE)," ")</f>
        <v>858</v>
      </c>
      <c r="T50" t="s" s="143">
        <f>_xlfn.IFERROR(VLOOKUP($A50,'The List'!$B1:$AS665,27,FALSE)," ")</f>
        <v>858</v>
      </c>
      <c r="U50" t="s" s="143">
        <f>_xlfn.IFERROR(VLOOKUP($A50,'The List'!$B1:$AS665,28,FALSE)," ")</f>
        <v>858</v>
      </c>
      <c r="V50" t="s" s="143">
        <f>_xlfn.IFERROR(VLOOKUP($A50,'The List'!$B1:$AS665,29,FALSE)," ")</f>
        <v>858</v>
      </c>
      <c r="W50" t="s" s="143">
        <f>_xlfn.IFERROR(VLOOKUP($A50,'The List'!$B1:$AS665,30,FALSE)," ")</f>
        <v>858</v>
      </c>
      <c r="X50" t="s" s="143">
        <f>_xlfn.IFERROR(VLOOKUP($A50,'The List'!$B1:$AS665,31,FALSE)," ")</f>
        <v>858</v>
      </c>
      <c r="Y50" t="s" s="143">
        <f>_xlfn.IFERROR(VLOOKUP($A50,'The List'!$B1:$AS665,32,FALSE)," ")</f>
        <v>858</v>
      </c>
      <c r="Z50" t="s" s="143">
        <f>_xlfn.IFERROR(VLOOKUP($A50,'The List'!$B1:$AS665,33,FALSE)," ")</f>
        <v>858</v>
      </c>
      <c r="AA50" s="120"/>
      <c r="AB50" s="121"/>
      <c r="AC50" s="121"/>
      <c r="AD50" s="121"/>
      <c r="AE50" s="121"/>
      <c r="AF50" s="144"/>
    </row>
    <row r="51" ht="21.25" customHeight="1">
      <c r="A51" s="145"/>
      <c r="B51" s="146"/>
      <c r="C51" s="147"/>
      <c r="D51" s="148"/>
      <c r="E51" t="s" s="193">
        <f>_xlfn.IFERROR(AVERAGE(E31:E50)," ")</f>
        <v>858</v>
      </c>
      <c r="F51" s="150">
        <f>SUM(F31:F50)</f>
        <v>0</v>
      </c>
      <c r="G51" s="150">
        <f>SUM(G31:G50)</f>
        <v>0</v>
      </c>
      <c r="H51" s="151"/>
      <c r="I51" s="152">
        <f>SUM(I31:I50)</f>
        <v>0</v>
      </c>
      <c r="J51" s="151">
        <f>AVERAGE(J31:J50)</f>
      </c>
      <c r="K51" s="152">
        <f>SUM(K31:K50)</f>
        <v>0</v>
      </c>
      <c r="L51" s="152">
        <f>SUM(L31:L50)</f>
        <v>0</v>
      </c>
      <c r="M51" s="152">
        <f>SUM(M31:M50)</f>
        <v>0</v>
      </c>
      <c r="N51" s="152">
        <f>SUM(N31:N50)</f>
        <v>0</v>
      </c>
      <c r="O51" s="152">
        <f>SUM(O31:O50)</f>
        <v>0</v>
      </c>
      <c r="P51" s="152">
        <f>SUM(P31:P50)</f>
        <v>0</v>
      </c>
      <c r="Q51" s="152">
        <f>SUM(Q31:Q50)</f>
        <v>0</v>
      </c>
      <c r="R51" s="152">
        <f>SUM(R31:R50)</f>
        <v>0</v>
      </c>
      <c r="S51" s="152">
        <f>SUM(S31:S50)</f>
        <v>0</v>
      </c>
      <c r="T51" s="152">
        <f>SUM(T31:T50)</f>
        <v>0</v>
      </c>
      <c r="U51" s="152">
        <f>SUM(U31:U50)</f>
        <v>0</v>
      </c>
      <c r="V51" s="152">
        <f>SUM(V31:V50)</f>
        <v>0</v>
      </c>
      <c r="W51" s="152">
        <f>SUM(W31:W50)</f>
        <v>0</v>
      </c>
      <c r="X51" s="152">
        <f>SUM(X31:X50)</f>
        <v>0</v>
      </c>
      <c r="Y51" s="152">
        <f>SUM(Y31:Y50)</f>
        <v>0</v>
      </c>
      <c r="Z51" s="153">
        <f>_xlfn.IFERROR(X51/(X51+Y51),0)</f>
        <v>0</v>
      </c>
      <c r="AA51" s="120"/>
      <c r="AB51" s="121"/>
      <c r="AC51" s="154"/>
      <c r="AD51" s="154"/>
      <c r="AE51" s="154"/>
      <c r="AF51" s="155"/>
    </row>
    <row r="52" ht="21.25" customHeight="1">
      <c r="A52" s="156"/>
      <c r="B52" s="157"/>
      <c r="C52" s="158"/>
      <c r="D52" s="13"/>
      <c r="E52" s="13"/>
      <c r="F52" s="159"/>
      <c r="G52" s="160"/>
      <c r="H52" s="161"/>
      <c r="I52" s="162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1"/>
      <c r="AC52" s="121"/>
      <c r="AD52" s="121"/>
      <c r="AE52" s="121"/>
      <c r="AF52" s="144"/>
    </row>
    <row r="53" ht="21.25" customHeight="1">
      <c r="A53" t="s" s="163">
        <v>89</v>
      </c>
      <c r="B53" t="s" s="164">
        <v>91</v>
      </c>
      <c r="C53" s="31"/>
      <c r="D53" t="s" s="164">
        <v>92</v>
      </c>
      <c r="E53" t="s" s="164">
        <v>93</v>
      </c>
      <c r="F53" t="s" s="165">
        <v>95</v>
      </c>
      <c r="G53" t="s" s="165">
        <v>97</v>
      </c>
      <c r="H53" s="166"/>
      <c r="I53" t="s" s="167">
        <v>102</v>
      </c>
      <c r="J53" t="s" s="167">
        <v>118</v>
      </c>
      <c r="K53" t="s" s="167">
        <v>119</v>
      </c>
      <c r="L53" t="s" s="167">
        <v>120</v>
      </c>
      <c r="M53" t="s" s="167">
        <v>121</v>
      </c>
      <c r="N53" t="s" s="167">
        <v>122</v>
      </c>
      <c r="O53" t="s" s="167">
        <v>123</v>
      </c>
      <c r="P53" t="s" s="167">
        <v>124</v>
      </c>
      <c r="Q53" t="s" s="167">
        <v>125</v>
      </c>
      <c r="R53" s="120"/>
      <c r="S53" s="120"/>
      <c r="T53" s="120"/>
      <c r="U53" t="s" s="164">
        <v>876</v>
      </c>
      <c r="V53" s="166"/>
      <c r="W53" s="166"/>
      <c r="X53" t="s" s="164">
        <v>877</v>
      </c>
      <c r="Y53" s="166"/>
      <c r="Z53" s="166"/>
      <c r="AA53" s="120"/>
      <c r="AB53" s="121"/>
      <c r="AC53" s="120"/>
      <c r="AD53" s="120"/>
      <c r="AE53" s="120"/>
      <c r="AF53" s="168"/>
    </row>
    <row r="54" ht="21.25" customHeight="1">
      <c r="A54" s="194"/>
      <c r="B54" t="s" s="170">
        <f>_xlfn.IFERROR(VLOOKUP($A54,'The List'!$B1:$AS665,3,FALSE)," ")</f>
        <v>858</v>
      </c>
      <c r="C54" t="s" s="195">
        <f>_xlfn.IFERROR(VLOOKUP($A54,'The List'!$B1:$AS665,4,FALSE)," ")</f>
        <v>858</v>
      </c>
      <c r="D54" t="s" s="72">
        <f>_xlfn.IFERROR(VLOOKUP($A54,'The List'!$B1:$AS665,5,FALSE)," ")</f>
        <v>858</v>
      </c>
      <c r="E54" t="s" s="72">
        <f>_xlfn.IFERROR(VLOOKUP($A54,'The List'!$B1:$AS665,6,FALSE)," ")</f>
        <v>858</v>
      </c>
      <c r="F54" t="s" s="196">
        <f>_xlfn.IFERROR(VLOOKUP($A54,'The List'!$B1:$AS665,8,FALSE)," ")</f>
        <v>858</v>
      </c>
      <c r="G54" t="s" s="196">
        <f>_xlfn.IFERROR(VLOOKUP($A54,'The List'!$B1:$AS665,10,FALSE)," ")</f>
        <v>858</v>
      </c>
      <c r="H54" s="174"/>
      <c r="I54" t="s" s="197">
        <f>_xlfn.IFERROR(VLOOKUP($A54,'The List'!$B1:$AS665,35,FALSE)," ")</f>
        <v>858</v>
      </c>
      <c r="J54" t="s" s="197">
        <f>_xlfn.IFERROR(VLOOKUP($A54,'The List'!$B1:$AS665,36,FALSE)," ")</f>
        <v>858</v>
      </c>
      <c r="K54" t="s" s="197">
        <f>_xlfn.IFERROR(VLOOKUP($A54,'The List'!$B1:$AS665,37,FALSE)," ")</f>
        <v>858</v>
      </c>
      <c r="L54" t="s" s="197">
        <f>_xlfn.IFERROR(VLOOKUP($A54,'The List'!$B1:$AS665,38,FALSE)," ")</f>
        <v>858</v>
      </c>
      <c r="M54" t="s" s="197">
        <f>_xlfn.IFERROR(VLOOKUP($A54,'The List'!$B1:$AS665,39,FALSE)," ")</f>
        <v>858</v>
      </c>
      <c r="N54" t="s" s="197">
        <f>_xlfn.IFERROR(VLOOKUP($A54,'The List'!$B1:$AS665,40,FALSE)," ")</f>
        <v>858</v>
      </c>
      <c r="O54" t="s" s="197">
        <f>_xlfn.IFERROR(VLOOKUP($A54,'The List'!$B1:$AS665,41,FALSE)," ")</f>
        <v>858</v>
      </c>
      <c r="P54" t="s" s="197">
        <f>_xlfn.IFERROR(VLOOKUP($A54,'The List'!$B1:$AS665,42,FALSE)," ")</f>
        <v>858</v>
      </c>
      <c r="Q54" t="s" s="197">
        <f>_xlfn.IFERROR(VLOOKUP($A54,'The List'!$B1:$AS665,43,FALSE)," ")</f>
        <v>858</v>
      </c>
      <c r="R54" s="120"/>
      <c r="S54" s="120"/>
      <c r="T54" t="s" s="178">
        <f>A30</f>
        <v>880</v>
      </c>
      <c r="U54" s="179">
        <f>F51+F57</f>
        <v>0</v>
      </c>
      <c r="V54" s="31"/>
      <c r="W54" s="31"/>
      <c r="X54" s="179">
        <f>G57+G51</f>
        <v>0</v>
      </c>
      <c r="Y54" s="31"/>
      <c r="Z54" s="31"/>
      <c r="AA54" s="120"/>
      <c r="AB54" s="121"/>
      <c r="AC54" s="120"/>
      <c r="AD54" s="120"/>
      <c r="AE54" s="120"/>
      <c r="AF54" s="168"/>
    </row>
    <row r="55" ht="21.25" customHeight="1">
      <c r="A55" s="50"/>
      <c r="B55" t="s" s="180">
        <f>_xlfn.IFERROR(VLOOKUP($A55,'The List'!$B1:$AS665,3,FALSE)," ")</f>
        <v>858</v>
      </c>
      <c r="C55" t="s" s="181">
        <f>_xlfn.IFERROR(VLOOKUP($A55,'The List'!$B1:$AS665,4,FALSE)," ")</f>
        <v>858</v>
      </c>
      <c r="D55" t="s" s="86">
        <f>_xlfn.IFERROR(VLOOKUP($A55,'The List'!$B1:$AS665,5,FALSE)," ")</f>
        <v>858</v>
      </c>
      <c r="E55" t="s" s="86">
        <f>_xlfn.IFERROR(VLOOKUP($A55,'The List'!$B1:$AS665,6,FALSE)," ")</f>
        <v>858</v>
      </c>
      <c r="F55" t="s" s="124">
        <f>_xlfn.IFERROR(VLOOKUP($A55,'The List'!$B1:$AS665,8,FALSE)," ")</f>
        <v>858</v>
      </c>
      <c r="G55" t="s" s="124">
        <f>_xlfn.IFERROR(VLOOKUP($A55,'The List'!$B1:$AS665,10,FALSE)," ")</f>
        <v>858</v>
      </c>
      <c r="H55" s="77"/>
      <c r="I55" t="s" s="125">
        <f>_xlfn.IFERROR(VLOOKUP($A55,'The List'!$B1:$AS665,35,FALSE)," ")</f>
        <v>858</v>
      </c>
      <c r="J55" t="s" s="125">
        <f>_xlfn.IFERROR(VLOOKUP($A55,'The List'!$B1:$AS665,36,FALSE)," ")</f>
        <v>858</v>
      </c>
      <c r="K55" t="s" s="125">
        <f>_xlfn.IFERROR(VLOOKUP($A55,'The List'!$B1:$AS665,37,FALSE)," ")</f>
        <v>858</v>
      </c>
      <c r="L55" t="s" s="125">
        <f>_xlfn.IFERROR(VLOOKUP($A55,'The List'!$B1:$AS665,38,FALSE)," ")</f>
        <v>858</v>
      </c>
      <c r="M55" t="s" s="125">
        <f>_xlfn.IFERROR(VLOOKUP($A55,'The List'!$B1:$AS665,39,FALSE)," ")</f>
        <v>858</v>
      </c>
      <c r="N55" t="s" s="125">
        <f>_xlfn.IFERROR(VLOOKUP($A55,'The List'!$B1:$AS665,40,FALSE)," ")</f>
        <v>858</v>
      </c>
      <c r="O55" t="s" s="125">
        <f>_xlfn.IFERROR(VLOOKUP($A55,'The List'!$B1:$AS665,41,FALSE)," ")</f>
        <v>858</v>
      </c>
      <c r="P55" t="s" s="125">
        <f>_xlfn.IFERROR(VLOOKUP($A55,'The List'!$B1:$AS665,42,FALSE)," ")</f>
        <v>858</v>
      </c>
      <c r="Q55" t="s" s="125">
        <f>_xlfn.IFERROR(VLOOKUP($A55,'The List'!$B1:$AS665,43,FALSE)," ")</f>
        <v>858</v>
      </c>
      <c r="R55" s="120"/>
      <c r="S55" s="120"/>
      <c r="T55" s="120"/>
      <c r="U55" s="31"/>
      <c r="V55" s="31"/>
      <c r="W55" s="31"/>
      <c r="X55" s="31"/>
      <c r="Y55" s="31"/>
      <c r="Z55" s="31"/>
      <c r="AA55" s="120"/>
      <c r="AB55" s="121"/>
      <c r="AC55" s="120"/>
      <c r="AD55" s="120"/>
      <c r="AE55" s="120"/>
      <c r="AF55" s="168"/>
    </row>
    <row r="56" ht="21.25" customHeight="1">
      <c r="A56" s="137"/>
      <c r="B56" t="s" s="182">
        <f>_xlfn.IFERROR(VLOOKUP($A56,'The List'!$B1:$AS665,3,FALSE)," ")</f>
        <v>858</v>
      </c>
      <c r="C56" t="s" s="183">
        <f>_xlfn.IFERROR(VLOOKUP($A56,'The List'!$B1:$AS665,4,FALSE)," ")</f>
        <v>858</v>
      </c>
      <c r="D56" t="s" s="140">
        <f>_xlfn.IFERROR(VLOOKUP($A56,'The List'!$B1:$AS665,5,FALSE)," ")</f>
        <v>858</v>
      </c>
      <c r="E56" t="s" s="140">
        <f>_xlfn.IFERROR(VLOOKUP($A56,'The List'!$B1:$AS665,6,FALSE)," ")</f>
        <v>858</v>
      </c>
      <c r="F56" t="s" s="141">
        <f>_xlfn.IFERROR(VLOOKUP($A56,'The List'!$B1:$AS665,8,FALSE)," ")</f>
        <v>858</v>
      </c>
      <c r="G56" t="s" s="141">
        <f>_xlfn.IFERROR(VLOOKUP($A56,'The List'!$B1:$AS665,10,FALSE)," ")</f>
        <v>858</v>
      </c>
      <c r="H56" s="142"/>
      <c r="I56" t="s" s="143">
        <f>_xlfn.IFERROR(VLOOKUP($A56,'The List'!$B1:$AS665,35,FALSE)," ")</f>
        <v>858</v>
      </c>
      <c r="J56" t="s" s="143">
        <f>_xlfn.IFERROR(VLOOKUP($A56,'The List'!$B1:$AS665,36,FALSE)," ")</f>
        <v>858</v>
      </c>
      <c r="K56" t="s" s="143">
        <f>_xlfn.IFERROR(VLOOKUP($A56,'The List'!$B1:$AS665,37,FALSE)," ")</f>
        <v>858</v>
      </c>
      <c r="L56" t="s" s="143">
        <f>_xlfn.IFERROR(VLOOKUP($A56,'The List'!$B1:$AS665,38,FALSE)," ")</f>
        <v>858</v>
      </c>
      <c r="M56" t="s" s="143">
        <f>_xlfn.IFERROR(VLOOKUP($A56,'The List'!$B1:$AS665,39,FALSE)," ")</f>
        <v>858</v>
      </c>
      <c r="N56" t="s" s="143">
        <f>_xlfn.IFERROR(VLOOKUP($A56,'The List'!$B1:$AS665,40,FALSE)," ")</f>
        <v>858</v>
      </c>
      <c r="O56" t="s" s="143">
        <f>_xlfn.IFERROR(VLOOKUP($A56,'The List'!$B1:$AS665,41,FALSE)," ")</f>
        <v>858</v>
      </c>
      <c r="P56" t="s" s="143">
        <f>_xlfn.IFERROR(VLOOKUP($A56,'The List'!$B1:$AS665,42,FALSE)," ")</f>
        <v>858</v>
      </c>
      <c r="Q56" t="s" s="143">
        <f>_xlfn.IFERROR(VLOOKUP($A56,'The List'!$B1:$AS665,43,FALSE)," ")</f>
        <v>858</v>
      </c>
      <c r="R56" s="120"/>
      <c r="S56" s="120"/>
      <c r="T56" s="120"/>
      <c r="U56" s="31"/>
      <c r="V56" s="31"/>
      <c r="W56" s="31"/>
      <c r="X56" s="31"/>
      <c r="Y56" s="31"/>
      <c r="Z56" s="31"/>
      <c r="AA56" s="120"/>
      <c r="AB56" s="121"/>
      <c r="AC56" s="120"/>
      <c r="AD56" s="120"/>
      <c r="AE56" s="120"/>
      <c r="AF56" s="168"/>
    </row>
    <row r="57" ht="21.25" customHeight="1">
      <c r="A57" s="145"/>
      <c r="B57" s="146"/>
      <c r="C57" s="147"/>
      <c r="D57" s="148"/>
      <c r="E57" t="s" s="193">
        <f>_xlfn.IFERROR(AVERAGE(E54:E56)," ")</f>
        <v>858</v>
      </c>
      <c r="F57" s="150">
        <f>SUM(F54:F56)</f>
        <v>0</v>
      </c>
      <c r="G57" s="150">
        <f>SUM(G54:G56)</f>
        <v>0</v>
      </c>
      <c r="H57" s="151"/>
      <c r="I57" s="152">
        <f>SUM(I54:I56)</f>
        <v>0</v>
      </c>
      <c r="J57" s="151">
        <f>SUM(J54:J56)</f>
        <v>0</v>
      </c>
      <c r="K57" s="152">
        <f>SUM(K54:K56)</f>
        <v>0</v>
      </c>
      <c r="L57" s="152">
        <f>SUM(L54:L56)</f>
        <v>0</v>
      </c>
      <c r="M57" s="152">
        <f>SUM(M54:M56)</f>
        <v>0</v>
      </c>
      <c r="N57" s="152">
        <f>SUM(N54:N56)</f>
        <v>0</v>
      </c>
      <c r="O57" s="152">
        <f>SUM(O54:O56)</f>
        <v>0</v>
      </c>
      <c r="P57" s="184">
        <f>1-(O57/(N57+O57))</f>
      </c>
      <c r="Q57" s="185">
        <f>O57/I57</f>
      </c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57"/>
      <c r="AC57" s="120"/>
      <c r="AD57" s="120"/>
      <c r="AE57" s="120"/>
      <c r="AF57" s="168"/>
    </row>
    <row r="58" ht="70.75" customHeight="1">
      <c r="A58" s="156"/>
      <c r="B58" s="157"/>
      <c r="C58" s="158"/>
      <c r="D58" s="13"/>
      <c r="E58" s="13"/>
      <c r="F58" s="159"/>
      <c r="G58" s="160"/>
      <c r="H58" s="161"/>
      <c r="I58" s="162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1"/>
      <c r="AB58" s="121"/>
      <c r="AC58" s="121"/>
      <c r="AD58" s="121"/>
      <c r="AE58" s="121"/>
      <c r="AF58" s="144"/>
    </row>
    <row r="59" ht="21.25" customHeight="1">
      <c r="A59" t="s" s="186">
        <v>860</v>
      </c>
      <c r="B59" t="s" s="187">
        <v>91</v>
      </c>
      <c r="C59" s="45"/>
      <c r="D59" t="s" s="187">
        <v>92</v>
      </c>
      <c r="E59" t="s" s="187">
        <v>93</v>
      </c>
      <c r="F59" t="s" s="188">
        <v>95</v>
      </c>
      <c r="G59" t="s" s="188">
        <v>97</v>
      </c>
      <c r="H59" s="189"/>
      <c r="I59" t="s" s="190">
        <v>102</v>
      </c>
      <c r="J59" t="s" s="190">
        <v>55</v>
      </c>
      <c r="K59" t="s" s="190">
        <v>103</v>
      </c>
      <c r="L59" t="s" s="190">
        <v>104</v>
      </c>
      <c r="M59" t="s" s="190">
        <v>105</v>
      </c>
      <c r="N59" t="s" s="190">
        <v>106</v>
      </c>
      <c r="O59" t="s" s="190">
        <v>107</v>
      </c>
      <c r="P59" t="s" s="190">
        <v>63</v>
      </c>
      <c r="Q59" t="s" s="190">
        <v>108</v>
      </c>
      <c r="R59" t="s" s="190">
        <v>109</v>
      </c>
      <c r="S59" t="s" s="190">
        <v>110</v>
      </c>
      <c r="T59" t="s" s="190">
        <v>111</v>
      </c>
      <c r="U59" t="s" s="190">
        <v>112</v>
      </c>
      <c r="V59" t="s" s="190">
        <v>113</v>
      </c>
      <c r="W59" t="s" s="190">
        <v>114</v>
      </c>
      <c r="X59" t="s" s="190">
        <v>115</v>
      </c>
      <c r="Y59" t="s" s="190">
        <v>116</v>
      </c>
      <c r="Z59" t="s" s="190">
        <v>117</v>
      </c>
      <c r="AA59" s="120"/>
      <c r="AB59" s="191"/>
      <c r="AC59" s="191"/>
      <c r="AD59" s="191"/>
      <c r="AE59" s="191"/>
      <c r="AF59" s="192"/>
    </row>
    <row r="60" ht="21.25" customHeight="1">
      <c r="A60" s="50"/>
      <c r="B60" t="s" s="117">
        <f>_xlfn.IFERROR(VLOOKUP($A60,'The List'!$B1:$AS665,3,FALSE)," ")</f>
        <v>858</v>
      </c>
      <c r="C60" t="s" s="123">
        <f>_xlfn.IFERROR(VLOOKUP($A60,'The List'!$B1:$AS665,4,FALSE)," ")</f>
        <v>858</v>
      </c>
      <c r="D60" t="s" s="86">
        <f>_xlfn.IFERROR(VLOOKUP($A60,'The List'!$B1:$AS665,5,FALSE)," ")</f>
        <v>858</v>
      </c>
      <c r="E60" t="s" s="86">
        <f>_xlfn.IFERROR(VLOOKUP($A60,'The List'!$B1:$AS665,6,FALSE)," ")</f>
        <v>858</v>
      </c>
      <c r="F60" t="s" s="124">
        <f>_xlfn.IFERROR(VLOOKUP($A60,'The List'!$B1:$AS665,8,FALSE)," ")</f>
        <v>858</v>
      </c>
      <c r="G60" t="s" s="124">
        <f>_xlfn.IFERROR(VLOOKUP($A60,'The List'!$B1:$AS665,10,FALSE)," ")</f>
        <v>858</v>
      </c>
      <c r="H60" s="77"/>
      <c r="I60" t="s" s="125">
        <f>_xlfn.IFERROR(VLOOKUP($A60,'The List'!$B1:$AS665,16,FALSE)," ")</f>
        <v>858</v>
      </c>
      <c r="J60" t="s" s="125">
        <f>_xlfn.IFERROR(VLOOKUP($A60,'The List'!$B1:$AS665,17,FALSE)," ")</f>
        <v>858</v>
      </c>
      <c r="K60" t="s" s="125">
        <f>_xlfn.IFERROR(VLOOKUP($A60,'The List'!$B1:$AS665,18,FALSE)," ")</f>
        <v>858</v>
      </c>
      <c r="L60" t="s" s="125">
        <f>_xlfn.IFERROR(VLOOKUP($A60,'The List'!$B1:$AS665,19,FALSE)," ")</f>
        <v>858</v>
      </c>
      <c r="M60" t="s" s="125">
        <f>_xlfn.IFERROR(VLOOKUP($A60,'The List'!$B1:$AS665,20,FALSE)," ")</f>
        <v>858</v>
      </c>
      <c r="N60" t="s" s="125">
        <f>_xlfn.IFERROR(VLOOKUP($A60,'The List'!$B1:$AS665,21,FALSE)," ")</f>
        <v>858</v>
      </c>
      <c r="O60" t="s" s="125">
        <f>_xlfn.IFERROR(VLOOKUP($A60,'The List'!$B1:$AS665,22,FALSE)," ")</f>
        <v>858</v>
      </c>
      <c r="P60" t="s" s="125">
        <f>_xlfn.IFERROR(VLOOKUP($A60,'The List'!$B1:$AS665,23,FALSE)," ")</f>
        <v>858</v>
      </c>
      <c r="Q60" t="s" s="125">
        <f>_xlfn.IFERROR(VLOOKUP($A60,'The List'!$B1:$AS665,24,FALSE)," ")</f>
        <v>858</v>
      </c>
      <c r="R60" t="s" s="125">
        <f>_xlfn.IFERROR(VLOOKUP($A60,'The List'!$B1:$AS665,25,FALSE)," ")</f>
        <v>858</v>
      </c>
      <c r="S60" t="s" s="125">
        <f>_xlfn.IFERROR(VLOOKUP($A60,'The List'!$B1:$AS665,26,FALSE)," ")</f>
        <v>858</v>
      </c>
      <c r="T60" t="s" s="125">
        <f>_xlfn.IFERROR(VLOOKUP($A60,'The List'!$B1:$AS665,27,FALSE)," ")</f>
        <v>858</v>
      </c>
      <c r="U60" t="s" s="125">
        <f>_xlfn.IFERROR(VLOOKUP($A60,'The List'!$B1:$AS665,28,FALSE)," ")</f>
        <v>858</v>
      </c>
      <c r="V60" t="s" s="125">
        <f>_xlfn.IFERROR(VLOOKUP($A60,'The List'!$B1:$AS665,29,FALSE)," ")</f>
        <v>858</v>
      </c>
      <c r="W60" t="s" s="125">
        <f>_xlfn.IFERROR(VLOOKUP($A60,'The List'!$B1:$AS665,30,FALSE)," ")</f>
        <v>858</v>
      </c>
      <c r="X60" t="s" s="125">
        <f>_xlfn.IFERROR(VLOOKUP($A60,'The List'!$B1:$AS665,31,FALSE)," ")</f>
        <v>858</v>
      </c>
      <c r="Y60" t="s" s="125">
        <f>_xlfn.IFERROR(VLOOKUP($A60,'The List'!$B1:$AS665,32,FALSE)," ")</f>
        <v>858</v>
      </c>
      <c r="Z60" t="s" s="125">
        <f>_xlfn.IFERROR(VLOOKUP($A60,'The List'!$B1:$AS665,33,FALSE)," ")</f>
        <v>858</v>
      </c>
      <c r="AA60" s="120"/>
      <c r="AB60" s="121"/>
      <c r="AC60" s="121"/>
      <c r="AD60" s="121"/>
      <c r="AE60" s="121"/>
      <c r="AF60" s="144"/>
    </row>
    <row r="61" ht="21.25" customHeight="1">
      <c r="A61" s="50"/>
      <c r="B61" t="s" s="117">
        <f>_xlfn.IFERROR(VLOOKUP($A61,'The List'!$B1:$AS665,3,FALSE)," ")</f>
        <v>858</v>
      </c>
      <c r="C61" t="s" s="123">
        <f>_xlfn.IFERROR(VLOOKUP($A61,'The List'!$B1:$AS665,4,FALSE)," ")</f>
        <v>858</v>
      </c>
      <c r="D61" t="s" s="86">
        <f>_xlfn.IFERROR(VLOOKUP($A61,'The List'!$B1:$AS665,5,FALSE)," ")</f>
        <v>858</v>
      </c>
      <c r="E61" t="s" s="86">
        <f>_xlfn.IFERROR(VLOOKUP($A61,'The List'!$B1:$AS665,6,FALSE)," ")</f>
        <v>858</v>
      </c>
      <c r="F61" t="s" s="124">
        <f>_xlfn.IFERROR(VLOOKUP($A61,'The List'!$B1:$AS665,8,FALSE)," ")</f>
        <v>858</v>
      </c>
      <c r="G61" t="s" s="124">
        <f>_xlfn.IFERROR(VLOOKUP($A61,'The List'!$B1:$AS665,10,FALSE)," ")</f>
        <v>858</v>
      </c>
      <c r="H61" s="77"/>
      <c r="I61" t="s" s="125">
        <f>_xlfn.IFERROR(VLOOKUP($A61,'The List'!$B1:$AS665,16,FALSE)," ")</f>
        <v>858</v>
      </c>
      <c r="J61" t="s" s="125">
        <f>_xlfn.IFERROR(VLOOKUP($A61,'The List'!$B1:$AS665,17,FALSE)," ")</f>
        <v>858</v>
      </c>
      <c r="K61" t="s" s="125">
        <f>_xlfn.IFERROR(VLOOKUP($A61,'The List'!$B1:$AS665,18,FALSE)," ")</f>
        <v>858</v>
      </c>
      <c r="L61" t="s" s="125">
        <f>_xlfn.IFERROR(VLOOKUP($A61,'The List'!$B1:$AS665,19,FALSE)," ")</f>
        <v>858</v>
      </c>
      <c r="M61" t="s" s="125">
        <f>_xlfn.IFERROR(VLOOKUP($A61,'The List'!$B1:$AS665,20,FALSE)," ")</f>
        <v>858</v>
      </c>
      <c r="N61" t="s" s="125">
        <f>_xlfn.IFERROR(VLOOKUP($A61,'The List'!$B1:$AS665,21,FALSE)," ")</f>
        <v>858</v>
      </c>
      <c r="O61" t="s" s="125">
        <f>_xlfn.IFERROR(VLOOKUP($A61,'The List'!$B1:$AS665,22,FALSE)," ")</f>
        <v>858</v>
      </c>
      <c r="P61" t="s" s="125">
        <f>_xlfn.IFERROR(VLOOKUP($A61,'The List'!$B1:$AS665,23,FALSE)," ")</f>
        <v>858</v>
      </c>
      <c r="Q61" t="s" s="125">
        <f>_xlfn.IFERROR(VLOOKUP($A61,'The List'!$B1:$AS665,24,FALSE)," ")</f>
        <v>858</v>
      </c>
      <c r="R61" t="s" s="125">
        <f>_xlfn.IFERROR(VLOOKUP($A61,'The List'!$B1:$AS665,25,FALSE)," ")</f>
        <v>858</v>
      </c>
      <c r="S61" t="s" s="125">
        <f>_xlfn.IFERROR(VLOOKUP($A61,'The List'!$B1:$AS665,26,FALSE)," ")</f>
        <v>858</v>
      </c>
      <c r="T61" t="s" s="125">
        <f>_xlfn.IFERROR(VLOOKUP($A61,'The List'!$B1:$AS665,27,FALSE)," ")</f>
        <v>858</v>
      </c>
      <c r="U61" t="s" s="125">
        <f>_xlfn.IFERROR(VLOOKUP($A61,'The List'!$B1:$AS665,28,FALSE)," ")</f>
        <v>858</v>
      </c>
      <c r="V61" t="s" s="125">
        <f>_xlfn.IFERROR(VLOOKUP($A61,'The List'!$B1:$AS665,29,FALSE)," ")</f>
        <v>858</v>
      </c>
      <c r="W61" t="s" s="125">
        <f>_xlfn.IFERROR(VLOOKUP($A61,'The List'!$B1:$AS665,30,FALSE)," ")</f>
        <v>858</v>
      </c>
      <c r="X61" t="s" s="125">
        <f>_xlfn.IFERROR(VLOOKUP($A61,'The List'!$B1:$AS665,31,FALSE)," ")</f>
        <v>858</v>
      </c>
      <c r="Y61" t="s" s="125">
        <f>_xlfn.IFERROR(VLOOKUP($A61,'The List'!$B1:$AS665,32,FALSE)," ")</f>
        <v>858</v>
      </c>
      <c r="Z61" t="s" s="125">
        <f>_xlfn.IFERROR(VLOOKUP($A61,'The List'!$B1:$AS665,33,FALSE)," ")</f>
        <v>858</v>
      </c>
      <c r="AA61" s="120"/>
      <c r="AB61" s="121"/>
      <c r="AC61" s="121"/>
      <c r="AD61" s="121"/>
      <c r="AE61" s="121"/>
      <c r="AF61" s="144"/>
    </row>
    <row r="62" ht="21.25" customHeight="1">
      <c r="A62" s="50"/>
      <c r="B62" t="s" s="117">
        <f>_xlfn.IFERROR(VLOOKUP($A62,'The List'!$B1:$AS665,3,FALSE)," ")</f>
        <v>858</v>
      </c>
      <c r="C62" t="s" s="123">
        <f>_xlfn.IFERROR(VLOOKUP($A62,'The List'!$B1:$AS665,4,FALSE)," ")</f>
        <v>858</v>
      </c>
      <c r="D62" t="s" s="86">
        <f>_xlfn.IFERROR(VLOOKUP($A62,'The List'!$B1:$AS665,5,FALSE)," ")</f>
        <v>858</v>
      </c>
      <c r="E62" t="s" s="86">
        <f>_xlfn.IFERROR(VLOOKUP($A62,'The List'!$B1:$AS665,6,FALSE)," ")</f>
        <v>858</v>
      </c>
      <c r="F62" t="s" s="124">
        <f>_xlfn.IFERROR(VLOOKUP($A62,'The List'!$B1:$AS665,8,FALSE)," ")</f>
        <v>858</v>
      </c>
      <c r="G62" t="s" s="124">
        <f>_xlfn.IFERROR(VLOOKUP($A62,'The List'!$B1:$AS665,10,FALSE)," ")</f>
        <v>858</v>
      </c>
      <c r="H62" s="77"/>
      <c r="I62" t="s" s="125">
        <f>_xlfn.IFERROR(VLOOKUP($A62,'The List'!$B1:$AS665,16,FALSE)," ")</f>
        <v>858</v>
      </c>
      <c r="J62" t="s" s="125">
        <f>_xlfn.IFERROR(VLOOKUP($A62,'The List'!$B1:$AS665,17,FALSE)," ")</f>
        <v>858</v>
      </c>
      <c r="K62" t="s" s="125">
        <f>_xlfn.IFERROR(VLOOKUP($A62,'The List'!$B1:$AS665,18,FALSE)," ")</f>
        <v>858</v>
      </c>
      <c r="L62" t="s" s="125">
        <f>_xlfn.IFERROR(VLOOKUP($A62,'The List'!$B1:$AS665,19,FALSE)," ")</f>
        <v>858</v>
      </c>
      <c r="M62" t="s" s="125">
        <f>_xlfn.IFERROR(VLOOKUP($A62,'The List'!$B1:$AS665,20,FALSE)," ")</f>
        <v>858</v>
      </c>
      <c r="N62" t="s" s="125">
        <f>_xlfn.IFERROR(VLOOKUP($A62,'The List'!$B1:$AS665,21,FALSE)," ")</f>
        <v>858</v>
      </c>
      <c r="O62" t="s" s="125">
        <f>_xlfn.IFERROR(VLOOKUP($A62,'The List'!$B1:$AS665,22,FALSE)," ")</f>
        <v>858</v>
      </c>
      <c r="P62" t="s" s="125">
        <f>_xlfn.IFERROR(VLOOKUP($A62,'The List'!$B1:$AS665,23,FALSE)," ")</f>
        <v>858</v>
      </c>
      <c r="Q62" t="s" s="125">
        <f>_xlfn.IFERROR(VLOOKUP($A62,'The List'!$B1:$AS665,24,FALSE)," ")</f>
        <v>858</v>
      </c>
      <c r="R62" t="s" s="125">
        <f>_xlfn.IFERROR(VLOOKUP($A62,'The List'!$B1:$AS665,25,FALSE)," ")</f>
        <v>858</v>
      </c>
      <c r="S62" t="s" s="125">
        <f>_xlfn.IFERROR(VLOOKUP($A62,'The List'!$B1:$AS665,26,FALSE)," ")</f>
        <v>858</v>
      </c>
      <c r="T62" t="s" s="125">
        <f>_xlfn.IFERROR(VLOOKUP($A62,'The List'!$B1:$AS665,27,FALSE)," ")</f>
        <v>858</v>
      </c>
      <c r="U62" t="s" s="125">
        <f>_xlfn.IFERROR(VLOOKUP($A62,'The List'!$B1:$AS665,28,FALSE)," ")</f>
        <v>858</v>
      </c>
      <c r="V62" t="s" s="125">
        <f>_xlfn.IFERROR(VLOOKUP($A62,'The List'!$B1:$AS665,29,FALSE)," ")</f>
        <v>858</v>
      </c>
      <c r="W62" t="s" s="125">
        <f>_xlfn.IFERROR(VLOOKUP($A62,'The List'!$B1:$AS665,30,FALSE)," ")</f>
        <v>858</v>
      </c>
      <c r="X62" t="s" s="125">
        <f>_xlfn.IFERROR(VLOOKUP($A62,'The List'!$B1:$AS665,31,FALSE)," ")</f>
        <v>858</v>
      </c>
      <c r="Y62" t="s" s="125">
        <f>_xlfn.IFERROR(VLOOKUP($A62,'The List'!$B1:$AS665,32,FALSE)," ")</f>
        <v>858</v>
      </c>
      <c r="Z62" t="s" s="125">
        <f>_xlfn.IFERROR(VLOOKUP($A62,'The List'!$B1:$AS665,33,FALSE)," ")</f>
        <v>858</v>
      </c>
      <c r="AA62" s="120"/>
      <c r="AB62" s="121"/>
      <c r="AC62" s="121"/>
      <c r="AD62" s="121"/>
      <c r="AE62" s="121"/>
      <c r="AF62" s="144"/>
    </row>
    <row r="63" ht="21.25" customHeight="1">
      <c r="A63" s="50"/>
      <c r="B63" t="s" s="117">
        <f>_xlfn.IFERROR(VLOOKUP($A63,'The List'!$B1:$AS665,3,FALSE)," ")</f>
        <v>858</v>
      </c>
      <c r="C63" t="s" s="123">
        <f>_xlfn.IFERROR(VLOOKUP($A63,'The List'!$B1:$AS665,4,FALSE)," ")</f>
        <v>858</v>
      </c>
      <c r="D63" t="s" s="86">
        <f>_xlfn.IFERROR(VLOOKUP($A63,'The List'!$B1:$AS665,5,FALSE)," ")</f>
        <v>858</v>
      </c>
      <c r="E63" t="s" s="86">
        <f>_xlfn.IFERROR(VLOOKUP($A63,'The List'!$B1:$AS665,6,FALSE)," ")</f>
        <v>858</v>
      </c>
      <c r="F63" t="s" s="124">
        <f>_xlfn.IFERROR(VLOOKUP($A63,'The List'!$B1:$AS665,8,FALSE)," ")</f>
        <v>858</v>
      </c>
      <c r="G63" t="s" s="124">
        <f>_xlfn.IFERROR(VLOOKUP($A63,'The List'!$B1:$AS665,10,FALSE)," ")</f>
        <v>858</v>
      </c>
      <c r="H63" s="77"/>
      <c r="I63" t="s" s="125">
        <f>_xlfn.IFERROR(VLOOKUP($A63,'The List'!$B1:$AS665,16,FALSE)," ")</f>
        <v>858</v>
      </c>
      <c r="J63" t="s" s="125">
        <f>_xlfn.IFERROR(VLOOKUP($A63,'The List'!$B1:$AS665,17,FALSE)," ")</f>
        <v>858</v>
      </c>
      <c r="K63" t="s" s="125">
        <f>_xlfn.IFERROR(VLOOKUP($A63,'The List'!$B1:$AS665,18,FALSE)," ")</f>
        <v>858</v>
      </c>
      <c r="L63" t="s" s="125">
        <f>_xlfn.IFERROR(VLOOKUP($A63,'The List'!$B1:$AS665,19,FALSE)," ")</f>
        <v>858</v>
      </c>
      <c r="M63" t="s" s="125">
        <f>_xlfn.IFERROR(VLOOKUP($A63,'The List'!$B1:$AS665,20,FALSE)," ")</f>
        <v>858</v>
      </c>
      <c r="N63" t="s" s="125">
        <f>_xlfn.IFERROR(VLOOKUP($A63,'The List'!$B1:$AS665,21,FALSE)," ")</f>
        <v>858</v>
      </c>
      <c r="O63" t="s" s="125">
        <f>_xlfn.IFERROR(VLOOKUP($A63,'The List'!$B1:$AS665,22,FALSE)," ")</f>
        <v>858</v>
      </c>
      <c r="P63" t="s" s="125">
        <f>_xlfn.IFERROR(VLOOKUP($A63,'The List'!$B1:$AS665,23,FALSE)," ")</f>
        <v>858</v>
      </c>
      <c r="Q63" t="s" s="125">
        <f>_xlfn.IFERROR(VLOOKUP($A63,'The List'!$B1:$AS665,24,FALSE)," ")</f>
        <v>858</v>
      </c>
      <c r="R63" t="s" s="125">
        <f>_xlfn.IFERROR(VLOOKUP($A63,'The List'!$B1:$AS665,25,FALSE)," ")</f>
        <v>858</v>
      </c>
      <c r="S63" t="s" s="125">
        <f>_xlfn.IFERROR(VLOOKUP($A63,'The List'!$B1:$AS665,26,FALSE)," ")</f>
        <v>858</v>
      </c>
      <c r="T63" t="s" s="125">
        <f>_xlfn.IFERROR(VLOOKUP($A63,'The List'!$B1:$AS665,27,FALSE)," ")</f>
        <v>858</v>
      </c>
      <c r="U63" t="s" s="125">
        <f>_xlfn.IFERROR(VLOOKUP($A63,'The List'!$B1:$AS665,28,FALSE)," ")</f>
        <v>858</v>
      </c>
      <c r="V63" t="s" s="125">
        <f>_xlfn.IFERROR(VLOOKUP($A63,'The List'!$B1:$AS665,29,FALSE)," ")</f>
        <v>858</v>
      </c>
      <c r="W63" t="s" s="125">
        <f>_xlfn.IFERROR(VLOOKUP($A63,'The List'!$B1:$AS665,30,FALSE)," ")</f>
        <v>858</v>
      </c>
      <c r="X63" t="s" s="125">
        <f>_xlfn.IFERROR(VLOOKUP($A63,'The List'!$B1:$AS665,31,FALSE)," ")</f>
        <v>858</v>
      </c>
      <c r="Y63" t="s" s="125">
        <f>_xlfn.IFERROR(VLOOKUP($A63,'The List'!$B1:$AS665,32,FALSE)," ")</f>
        <v>858</v>
      </c>
      <c r="Z63" t="s" s="125">
        <f>_xlfn.IFERROR(VLOOKUP($A63,'The List'!$B1:$AS665,33,FALSE)," ")</f>
        <v>858</v>
      </c>
      <c r="AA63" s="120"/>
      <c r="AB63" s="121"/>
      <c r="AC63" s="121"/>
      <c r="AD63" s="121"/>
      <c r="AE63" s="121"/>
      <c r="AF63" s="144"/>
    </row>
    <row r="64" ht="21.25" customHeight="1">
      <c r="A64" s="50"/>
      <c r="B64" t="s" s="126">
        <f>_xlfn.IFERROR(VLOOKUP($A64,'The List'!$B1:$AS665,3,FALSE)," ")</f>
        <v>858</v>
      </c>
      <c r="C64" t="s" s="128">
        <f>_xlfn.IFERROR(VLOOKUP($A64,'The List'!$B1:$AS665,4,FALSE)," ")</f>
        <v>858</v>
      </c>
      <c r="D64" t="s" s="86">
        <f>_xlfn.IFERROR(VLOOKUP($A64,'The List'!$B1:$AS665,5,FALSE)," ")</f>
        <v>858</v>
      </c>
      <c r="E64" t="s" s="86">
        <f>_xlfn.IFERROR(VLOOKUP($A64,'The List'!$B1:$AS665,6,FALSE)," ")</f>
        <v>858</v>
      </c>
      <c r="F64" t="s" s="124">
        <f>_xlfn.IFERROR(VLOOKUP($A64,'The List'!$B1:$AS665,8,FALSE)," ")</f>
        <v>858</v>
      </c>
      <c r="G64" t="s" s="124">
        <f>_xlfn.IFERROR(VLOOKUP($A64,'The List'!$B1:$AS665,10,FALSE)," ")</f>
        <v>858</v>
      </c>
      <c r="H64" s="77"/>
      <c r="I64" t="s" s="125">
        <f>_xlfn.IFERROR(VLOOKUP($A64,'The List'!$B1:$AS665,16,FALSE)," ")</f>
        <v>858</v>
      </c>
      <c r="J64" t="s" s="125">
        <f>_xlfn.IFERROR(VLOOKUP($A64,'The List'!$B1:$AS665,17,FALSE)," ")</f>
        <v>858</v>
      </c>
      <c r="K64" t="s" s="125">
        <f>_xlfn.IFERROR(VLOOKUP($A64,'The List'!$B1:$AS665,18,FALSE)," ")</f>
        <v>858</v>
      </c>
      <c r="L64" t="s" s="125">
        <f>_xlfn.IFERROR(VLOOKUP($A64,'The List'!$B1:$AS665,19,FALSE)," ")</f>
        <v>858</v>
      </c>
      <c r="M64" t="s" s="125">
        <f>_xlfn.IFERROR(VLOOKUP($A64,'The List'!$B1:$AS665,20,FALSE)," ")</f>
        <v>858</v>
      </c>
      <c r="N64" t="s" s="125">
        <f>_xlfn.IFERROR(VLOOKUP($A64,'The List'!$B1:$AS665,21,FALSE)," ")</f>
        <v>858</v>
      </c>
      <c r="O64" t="s" s="125">
        <f>_xlfn.IFERROR(VLOOKUP($A64,'The List'!$B1:$AS665,22,FALSE)," ")</f>
        <v>858</v>
      </c>
      <c r="P64" t="s" s="125">
        <f>_xlfn.IFERROR(VLOOKUP($A64,'The List'!$B1:$AS665,23,FALSE)," ")</f>
        <v>858</v>
      </c>
      <c r="Q64" t="s" s="125">
        <f>_xlfn.IFERROR(VLOOKUP($A64,'The List'!$B1:$AS665,24,FALSE)," ")</f>
        <v>858</v>
      </c>
      <c r="R64" t="s" s="125">
        <f>_xlfn.IFERROR(VLOOKUP($A64,'The List'!$B1:$AS665,25,FALSE)," ")</f>
        <v>858</v>
      </c>
      <c r="S64" t="s" s="125">
        <f>_xlfn.IFERROR(VLOOKUP($A64,'The List'!$B1:$AS665,26,FALSE)," ")</f>
        <v>858</v>
      </c>
      <c r="T64" t="s" s="125">
        <f>_xlfn.IFERROR(VLOOKUP($A64,'The List'!$B1:$AS665,27,FALSE)," ")</f>
        <v>858</v>
      </c>
      <c r="U64" t="s" s="125">
        <f>_xlfn.IFERROR(VLOOKUP($A64,'The List'!$B1:$AS665,28,FALSE)," ")</f>
        <v>858</v>
      </c>
      <c r="V64" t="s" s="125">
        <f>_xlfn.IFERROR(VLOOKUP($A64,'The List'!$B1:$AS665,29,FALSE)," ")</f>
        <v>858</v>
      </c>
      <c r="W64" t="s" s="125">
        <f>_xlfn.IFERROR(VLOOKUP($A64,'The List'!$B1:$AS665,30,FALSE)," ")</f>
        <v>858</v>
      </c>
      <c r="X64" t="s" s="125">
        <f>_xlfn.IFERROR(VLOOKUP($A64,'The List'!$B1:$AS665,31,FALSE)," ")</f>
        <v>858</v>
      </c>
      <c r="Y64" t="s" s="125">
        <f>_xlfn.IFERROR(VLOOKUP($A64,'The List'!$B1:$AS665,32,FALSE)," ")</f>
        <v>858</v>
      </c>
      <c r="Z64" t="s" s="125">
        <f>_xlfn.IFERROR(VLOOKUP($A64,'The List'!$B1:$AS665,33,FALSE)," ")</f>
        <v>858</v>
      </c>
      <c r="AA64" s="120"/>
      <c r="AB64" s="121"/>
      <c r="AC64" s="121"/>
      <c r="AD64" s="121"/>
      <c r="AE64" s="121"/>
      <c r="AF64" s="144"/>
    </row>
    <row r="65" ht="21.25" customHeight="1">
      <c r="A65" s="50"/>
      <c r="B65" t="s" s="126">
        <f>_xlfn.IFERROR(VLOOKUP($A65,'The List'!$B1:$AS665,3,FALSE)," ")</f>
        <v>858</v>
      </c>
      <c r="C65" t="s" s="128">
        <f>_xlfn.IFERROR(VLOOKUP($A65,'The List'!$B1:$AS665,4,FALSE)," ")</f>
        <v>858</v>
      </c>
      <c r="D65" t="s" s="86">
        <f>_xlfn.IFERROR(VLOOKUP($A65,'The List'!$B1:$AS665,5,FALSE)," ")</f>
        <v>858</v>
      </c>
      <c r="E65" t="s" s="86">
        <f>_xlfn.IFERROR(VLOOKUP($A65,'The List'!$B1:$AS665,6,FALSE)," ")</f>
        <v>858</v>
      </c>
      <c r="F65" t="s" s="124">
        <f>_xlfn.IFERROR(VLOOKUP($A65,'The List'!$B1:$AS665,8,FALSE)," ")</f>
        <v>858</v>
      </c>
      <c r="G65" t="s" s="124">
        <f>_xlfn.IFERROR(VLOOKUP($A65,'The List'!$B1:$AS665,10,FALSE)," ")</f>
        <v>858</v>
      </c>
      <c r="H65" s="77"/>
      <c r="I65" t="s" s="125">
        <f>_xlfn.IFERROR(VLOOKUP($A65,'The List'!$B1:$AS665,16,FALSE)," ")</f>
        <v>858</v>
      </c>
      <c r="J65" t="s" s="125">
        <f>_xlfn.IFERROR(VLOOKUP($A65,'The List'!$B1:$AS665,17,FALSE)," ")</f>
        <v>858</v>
      </c>
      <c r="K65" t="s" s="125">
        <f>_xlfn.IFERROR(VLOOKUP($A65,'The List'!$B1:$AS665,18,FALSE)," ")</f>
        <v>858</v>
      </c>
      <c r="L65" t="s" s="125">
        <f>_xlfn.IFERROR(VLOOKUP($A65,'The List'!$B1:$AS665,19,FALSE)," ")</f>
        <v>858</v>
      </c>
      <c r="M65" t="s" s="125">
        <f>_xlfn.IFERROR(VLOOKUP($A65,'The List'!$B1:$AS665,20,FALSE)," ")</f>
        <v>858</v>
      </c>
      <c r="N65" t="s" s="125">
        <f>_xlfn.IFERROR(VLOOKUP($A65,'The List'!$B1:$AS665,21,FALSE)," ")</f>
        <v>858</v>
      </c>
      <c r="O65" t="s" s="125">
        <f>_xlfn.IFERROR(VLOOKUP($A65,'The List'!$B1:$AS665,22,FALSE)," ")</f>
        <v>858</v>
      </c>
      <c r="P65" t="s" s="125">
        <f>_xlfn.IFERROR(VLOOKUP($A65,'The List'!$B1:$AS665,23,FALSE)," ")</f>
        <v>858</v>
      </c>
      <c r="Q65" t="s" s="125">
        <f>_xlfn.IFERROR(VLOOKUP($A65,'The List'!$B1:$AS665,24,FALSE)," ")</f>
        <v>858</v>
      </c>
      <c r="R65" t="s" s="125">
        <f>_xlfn.IFERROR(VLOOKUP($A65,'The List'!$B1:$AS665,25,FALSE)," ")</f>
        <v>858</v>
      </c>
      <c r="S65" t="s" s="125">
        <f>_xlfn.IFERROR(VLOOKUP($A65,'The List'!$B1:$AS665,26,FALSE)," ")</f>
        <v>858</v>
      </c>
      <c r="T65" t="s" s="125">
        <f>_xlfn.IFERROR(VLOOKUP($A65,'The List'!$B1:$AS665,27,FALSE)," ")</f>
        <v>858</v>
      </c>
      <c r="U65" t="s" s="125">
        <f>_xlfn.IFERROR(VLOOKUP($A65,'The List'!$B1:$AS665,28,FALSE)," ")</f>
        <v>858</v>
      </c>
      <c r="V65" t="s" s="125">
        <f>_xlfn.IFERROR(VLOOKUP($A65,'The List'!$B1:$AS665,29,FALSE)," ")</f>
        <v>858</v>
      </c>
      <c r="W65" t="s" s="125">
        <f>_xlfn.IFERROR(VLOOKUP($A65,'The List'!$B1:$AS665,30,FALSE)," ")</f>
        <v>858</v>
      </c>
      <c r="X65" t="s" s="125">
        <f>_xlfn.IFERROR(VLOOKUP($A65,'The List'!$B1:$AS665,31,FALSE)," ")</f>
        <v>858</v>
      </c>
      <c r="Y65" t="s" s="125">
        <f>_xlfn.IFERROR(VLOOKUP($A65,'The List'!$B1:$AS665,32,FALSE)," ")</f>
        <v>858</v>
      </c>
      <c r="Z65" t="s" s="125">
        <f>_xlfn.IFERROR(VLOOKUP($A65,'The List'!$B1:$AS665,33,FALSE)," ")</f>
        <v>858</v>
      </c>
      <c r="AA65" s="120"/>
      <c r="AB65" s="121"/>
      <c r="AC65" s="121"/>
      <c r="AD65" s="121"/>
      <c r="AE65" s="121"/>
      <c r="AF65" s="144"/>
    </row>
    <row r="66" ht="21.25" customHeight="1">
      <c r="A66" s="50"/>
      <c r="B66" t="s" s="126">
        <f>_xlfn.IFERROR(VLOOKUP($A66,'The List'!$B1:$AS665,3,FALSE)," ")</f>
        <v>858</v>
      </c>
      <c r="C66" t="s" s="128">
        <f>_xlfn.IFERROR(VLOOKUP($A66,'The List'!$B1:$AS665,4,FALSE)," ")</f>
        <v>858</v>
      </c>
      <c r="D66" t="s" s="86">
        <f>_xlfn.IFERROR(VLOOKUP($A66,'The List'!$B1:$AS665,5,FALSE)," ")</f>
        <v>858</v>
      </c>
      <c r="E66" t="s" s="86">
        <f>_xlfn.IFERROR(VLOOKUP($A66,'The List'!$B1:$AS665,6,FALSE)," ")</f>
        <v>858</v>
      </c>
      <c r="F66" t="s" s="124">
        <f>_xlfn.IFERROR(VLOOKUP($A66,'The List'!$B1:$AS665,8,FALSE)," ")</f>
        <v>858</v>
      </c>
      <c r="G66" t="s" s="124">
        <f>_xlfn.IFERROR(VLOOKUP($A66,'The List'!$B1:$AS665,10,FALSE)," ")</f>
        <v>858</v>
      </c>
      <c r="H66" s="77"/>
      <c r="I66" t="s" s="125">
        <f>_xlfn.IFERROR(VLOOKUP($A66,'The List'!$B1:$AS665,16,FALSE)," ")</f>
        <v>858</v>
      </c>
      <c r="J66" t="s" s="125">
        <f>_xlfn.IFERROR(VLOOKUP($A66,'The List'!$B1:$AS665,17,FALSE)," ")</f>
        <v>858</v>
      </c>
      <c r="K66" t="s" s="125">
        <f>_xlfn.IFERROR(VLOOKUP($A66,'The List'!$B1:$AS665,18,FALSE)," ")</f>
        <v>858</v>
      </c>
      <c r="L66" t="s" s="125">
        <f>_xlfn.IFERROR(VLOOKUP($A66,'The List'!$B1:$AS665,19,FALSE)," ")</f>
        <v>858</v>
      </c>
      <c r="M66" t="s" s="125">
        <f>_xlfn.IFERROR(VLOOKUP($A66,'The List'!$B1:$AS665,20,FALSE)," ")</f>
        <v>858</v>
      </c>
      <c r="N66" t="s" s="125">
        <f>_xlfn.IFERROR(VLOOKUP($A66,'The List'!$B1:$AS665,21,FALSE)," ")</f>
        <v>858</v>
      </c>
      <c r="O66" t="s" s="125">
        <f>_xlfn.IFERROR(VLOOKUP($A66,'The List'!$B1:$AS665,22,FALSE)," ")</f>
        <v>858</v>
      </c>
      <c r="P66" t="s" s="125">
        <f>_xlfn.IFERROR(VLOOKUP($A66,'The List'!$B1:$AS665,23,FALSE)," ")</f>
        <v>858</v>
      </c>
      <c r="Q66" t="s" s="125">
        <f>_xlfn.IFERROR(VLOOKUP($A66,'The List'!$B1:$AS665,24,FALSE)," ")</f>
        <v>858</v>
      </c>
      <c r="R66" t="s" s="125">
        <f>_xlfn.IFERROR(VLOOKUP($A66,'The List'!$B1:$AS665,25,FALSE)," ")</f>
        <v>858</v>
      </c>
      <c r="S66" t="s" s="125">
        <f>_xlfn.IFERROR(VLOOKUP($A66,'The List'!$B1:$AS665,26,FALSE)," ")</f>
        <v>858</v>
      </c>
      <c r="T66" t="s" s="125">
        <f>_xlfn.IFERROR(VLOOKUP($A66,'The List'!$B1:$AS665,27,FALSE)," ")</f>
        <v>858</v>
      </c>
      <c r="U66" t="s" s="125">
        <f>_xlfn.IFERROR(VLOOKUP($A66,'The List'!$B1:$AS665,28,FALSE)," ")</f>
        <v>858</v>
      </c>
      <c r="V66" t="s" s="125">
        <f>_xlfn.IFERROR(VLOOKUP($A66,'The List'!$B1:$AS665,29,FALSE)," ")</f>
        <v>858</v>
      </c>
      <c r="W66" t="s" s="125">
        <f>_xlfn.IFERROR(VLOOKUP($A66,'The List'!$B1:$AS665,30,FALSE)," ")</f>
        <v>858</v>
      </c>
      <c r="X66" t="s" s="125">
        <f>_xlfn.IFERROR(VLOOKUP($A66,'The List'!$B1:$AS665,31,FALSE)," ")</f>
        <v>858</v>
      </c>
      <c r="Y66" t="s" s="125">
        <f>_xlfn.IFERROR(VLOOKUP($A66,'The List'!$B1:$AS665,32,FALSE)," ")</f>
        <v>858</v>
      </c>
      <c r="Z66" t="s" s="125">
        <f>_xlfn.IFERROR(VLOOKUP($A66,'The List'!$B1:$AS665,33,FALSE)," ")</f>
        <v>858</v>
      </c>
      <c r="AA66" s="120"/>
      <c r="AB66" s="121"/>
      <c r="AC66" s="121"/>
      <c r="AD66" s="121"/>
      <c r="AE66" s="121"/>
      <c r="AF66" s="144"/>
    </row>
    <row r="67" ht="21.25" customHeight="1">
      <c r="A67" s="50"/>
      <c r="B67" t="s" s="126">
        <f>_xlfn.IFERROR(VLOOKUP($A67,'The List'!$B1:$AS665,3,FALSE)," ")</f>
        <v>858</v>
      </c>
      <c r="C67" t="s" s="128">
        <f>_xlfn.IFERROR(VLOOKUP($A67,'The List'!$B1:$AS665,4,FALSE)," ")</f>
        <v>858</v>
      </c>
      <c r="D67" t="s" s="86">
        <f>_xlfn.IFERROR(VLOOKUP($A67,'The List'!$B1:$AS665,5,FALSE)," ")</f>
        <v>858</v>
      </c>
      <c r="E67" t="s" s="86">
        <f>_xlfn.IFERROR(VLOOKUP($A67,'The List'!$B1:$AS665,6,FALSE)," ")</f>
        <v>858</v>
      </c>
      <c r="F67" t="s" s="124">
        <f>_xlfn.IFERROR(VLOOKUP($A67,'The List'!$B1:$AS665,8,FALSE)," ")</f>
        <v>858</v>
      </c>
      <c r="G67" t="s" s="124">
        <f>_xlfn.IFERROR(VLOOKUP($A67,'The List'!$B1:$AS665,10,FALSE)," ")</f>
        <v>858</v>
      </c>
      <c r="H67" s="77"/>
      <c r="I67" t="s" s="125">
        <f>_xlfn.IFERROR(VLOOKUP($A67,'The List'!$B1:$AS665,16,FALSE)," ")</f>
        <v>858</v>
      </c>
      <c r="J67" t="s" s="125">
        <f>_xlfn.IFERROR(VLOOKUP($A67,'The List'!$B1:$AS665,17,FALSE)," ")</f>
        <v>858</v>
      </c>
      <c r="K67" t="s" s="125">
        <f>_xlfn.IFERROR(VLOOKUP($A67,'The List'!$B1:$AS665,18,FALSE)," ")</f>
        <v>858</v>
      </c>
      <c r="L67" t="s" s="125">
        <f>_xlfn.IFERROR(VLOOKUP($A67,'The List'!$B1:$AS665,19,FALSE)," ")</f>
        <v>858</v>
      </c>
      <c r="M67" t="s" s="125">
        <f>_xlfn.IFERROR(VLOOKUP($A67,'The List'!$B1:$AS665,20,FALSE)," ")</f>
        <v>858</v>
      </c>
      <c r="N67" t="s" s="125">
        <f>_xlfn.IFERROR(VLOOKUP($A67,'The List'!$B1:$AS665,21,FALSE)," ")</f>
        <v>858</v>
      </c>
      <c r="O67" t="s" s="125">
        <f>_xlfn.IFERROR(VLOOKUP($A67,'The List'!$B1:$AS665,22,FALSE)," ")</f>
        <v>858</v>
      </c>
      <c r="P67" t="s" s="125">
        <f>_xlfn.IFERROR(VLOOKUP($A67,'The List'!$B1:$AS665,23,FALSE)," ")</f>
        <v>858</v>
      </c>
      <c r="Q67" t="s" s="125">
        <f>_xlfn.IFERROR(VLOOKUP($A67,'The List'!$B1:$AS665,24,FALSE)," ")</f>
        <v>858</v>
      </c>
      <c r="R67" t="s" s="125">
        <f>_xlfn.IFERROR(VLOOKUP($A67,'The List'!$B1:$AS665,25,FALSE)," ")</f>
        <v>858</v>
      </c>
      <c r="S67" t="s" s="125">
        <f>_xlfn.IFERROR(VLOOKUP($A67,'The List'!$B1:$AS665,26,FALSE)," ")</f>
        <v>858</v>
      </c>
      <c r="T67" t="s" s="125">
        <f>_xlfn.IFERROR(VLOOKUP($A67,'The List'!$B1:$AS665,27,FALSE)," ")</f>
        <v>858</v>
      </c>
      <c r="U67" t="s" s="125">
        <f>_xlfn.IFERROR(VLOOKUP($A67,'The List'!$B1:$AS665,28,FALSE)," ")</f>
        <v>858</v>
      </c>
      <c r="V67" t="s" s="125">
        <f>_xlfn.IFERROR(VLOOKUP($A67,'The List'!$B1:$AS665,29,FALSE)," ")</f>
        <v>858</v>
      </c>
      <c r="W67" t="s" s="125">
        <f>_xlfn.IFERROR(VLOOKUP($A67,'The List'!$B1:$AS665,30,FALSE)," ")</f>
        <v>858</v>
      </c>
      <c r="X67" t="s" s="125">
        <f>_xlfn.IFERROR(VLOOKUP($A67,'The List'!$B1:$AS665,31,FALSE)," ")</f>
        <v>858</v>
      </c>
      <c r="Y67" t="s" s="125">
        <f>_xlfn.IFERROR(VLOOKUP($A67,'The List'!$B1:$AS665,32,FALSE)," ")</f>
        <v>858</v>
      </c>
      <c r="Z67" t="s" s="125">
        <f>_xlfn.IFERROR(VLOOKUP($A67,'The List'!$B1:$AS665,33,FALSE)," ")</f>
        <v>858</v>
      </c>
      <c r="AA67" s="120"/>
      <c r="AB67" s="121"/>
      <c r="AC67" s="121"/>
      <c r="AD67" s="121"/>
      <c r="AE67" s="121"/>
      <c r="AF67" s="144"/>
    </row>
    <row r="68" ht="21.25" customHeight="1">
      <c r="A68" s="50"/>
      <c r="B68" t="s" s="129">
        <f>_xlfn.IFERROR(VLOOKUP($A68,'The List'!$B1:$AS665,3,FALSE)," ")</f>
        <v>858</v>
      </c>
      <c r="C68" t="s" s="131">
        <f>_xlfn.IFERROR(VLOOKUP($A68,'The List'!$B1:$AS665,4,FALSE)," ")</f>
        <v>858</v>
      </c>
      <c r="D68" t="s" s="86">
        <f>_xlfn.IFERROR(VLOOKUP($A68,'The List'!$B1:$AS665,5,FALSE)," ")</f>
        <v>858</v>
      </c>
      <c r="E68" t="s" s="86">
        <f>_xlfn.IFERROR(VLOOKUP($A68,'The List'!$B1:$AS665,6,FALSE)," ")</f>
        <v>858</v>
      </c>
      <c r="F68" t="s" s="124">
        <f>_xlfn.IFERROR(VLOOKUP($A68,'The List'!$B1:$AS665,8,FALSE)," ")</f>
        <v>858</v>
      </c>
      <c r="G68" t="s" s="124">
        <f>_xlfn.IFERROR(VLOOKUP($A68,'The List'!$B1:$AS665,10,FALSE)," ")</f>
        <v>858</v>
      </c>
      <c r="H68" s="77"/>
      <c r="I68" t="s" s="125">
        <f>_xlfn.IFERROR(VLOOKUP($A68,'The List'!$B1:$AS665,16,FALSE)," ")</f>
        <v>858</v>
      </c>
      <c r="J68" t="s" s="125">
        <f>_xlfn.IFERROR(VLOOKUP($A68,'The List'!$B1:$AS665,17,FALSE)," ")</f>
        <v>858</v>
      </c>
      <c r="K68" t="s" s="125">
        <f>_xlfn.IFERROR(VLOOKUP($A68,'The List'!$B1:$AS665,18,FALSE)," ")</f>
        <v>858</v>
      </c>
      <c r="L68" t="s" s="125">
        <f>_xlfn.IFERROR(VLOOKUP($A68,'The List'!$B1:$AS665,19,FALSE)," ")</f>
        <v>858</v>
      </c>
      <c r="M68" t="s" s="125">
        <f>_xlfn.IFERROR(VLOOKUP($A68,'The List'!$B1:$AS665,20,FALSE)," ")</f>
        <v>858</v>
      </c>
      <c r="N68" t="s" s="125">
        <f>_xlfn.IFERROR(VLOOKUP($A68,'The List'!$B1:$AS665,21,FALSE)," ")</f>
        <v>858</v>
      </c>
      <c r="O68" t="s" s="125">
        <f>_xlfn.IFERROR(VLOOKUP($A68,'The List'!$B1:$AS665,22,FALSE)," ")</f>
        <v>858</v>
      </c>
      <c r="P68" t="s" s="125">
        <f>_xlfn.IFERROR(VLOOKUP($A68,'The List'!$B1:$AS665,23,FALSE)," ")</f>
        <v>858</v>
      </c>
      <c r="Q68" t="s" s="125">
        <f>_xlfn.IFERROR(VLOOKUP($A68,'The List'!$B1:$AS665,24,FALSE)," ")</f>
        <v>858</v>
      </c>
      <c r="R68" t="s" s="125">
        <f>_xlfn.IFERROR(VLOOKUP($A68,'The List'!$B1:$AS665,25,FALSE)," ")</f>
        <v>858</v>
      </c>
      <c r="S68" t="s" s="125">
        <f>_xlfn.IFERROR(VLOOKUP($A68,'The List'!$B1:$AS665,26,FALSE)," ")</f>
        <v>858</v>
      </c>
      <c r="T68" t="s" s="125">
        <f>_xlfn.IFERROR(VLOOKUP($A68,'The List'!$B1:$AS665,27,FALSE)," ")</f>
        <v>858</v>
      </c>
      <c r="U68" t="s" s="125">
        <f>_xlfn.IFERROR(VLOOKUP($A68,'The List'!$B1:$AS665,28,FALSE)," ")</f>
        <v>858</v>
      </c>
      <c r="V68" t="s" s="125">
        <f>_xlfn.IFERROR(VLOOKUP($A68,'The List'!$B1:$AS665,29,FALSE)," ")</f>
        <v>858</v>
      </c>
      <c r="W68" t="s" s="125">
        <f>_xlfn.IFERROR(VLOOKUP($A68,'The List'!$B1:$AS665,30,FALSE)," ")</f>
        <v>858</v>
      </c>
      <c r="X68" t="s" s="125">
        <f>_xlfn.IFERROR(VLOOKUP($A68,'The List'!$B1:$AS665,31,FALSE)," ")</f>
        <v>858</v>
      </c>
      <c r="Y68" t="s" s="125">
        <f>_xlfn.IFERROR(VLOOKUP($A68,'The List'!$B1:$AS665,32,FALSE)," ")</f>
        <v>858</v>
      </c>
      <c r="Z68" t="s" s="125">
        <f>_xlfn.IFERROR(VLOOKUP($A68,'The List'!$B1:$AS665,33,FALSE)," ")</f>
        <v>858</v>
      </c>
      <c r="AA68" s="120"/>
      <c r="AB68" s="121"/>
      <c r="AC68" s="121"/>
      <c r="AD68" s="121"/>
      <c r="AE68" s="121"/>
      <c r="AF68" s="144"/>
    </row>
    <row r="69" ht="21.25" customHeight="1">
      <c r="A69" s="50"/>
      <c r="B69" t="s" s="129">
        <f>_xlfn.IFERROR(VLOOKUP($A69,'The List'!$B1:$AS665,3,FALSE)," ")</f>
        <v>858</v>
      </c>
      <c r="C69" t="s" s="131">
        <f>_xlfn.IFERROR(VLOOKUP($A69,'The List'!$B1:$AS665,4,FALSE)," ")</f>
        <v>858</v>
      </c>
      <c r="D69" t="s" s="86">
        <f>_xlfn.IFERROR(VLOOKUP($A69,'The List'!$B1:$AS665,5,FALSE)," ")</f>
        <v>858</v>
      </c>
      <c r="E69" t="s" s="86">
        <f>_xlfn.IFERROR(VLOOKUP($A69,'The List'!$B1:$AS665,6,FALSE)," ")</f>
        <v>858</v>
      </c>
      <c r="F69" t="s" s="124">
        <f>_xlfn.IFERROR(VLOOKUP($A69,'The List'!$B1:$AS665,8,FALSE)," ")</f>
        <v>858</v>
      </c>
      <c r="G69" t="s" s="124">
        <f>_xlfn.IFERROR(VLOOKUP($A69,'The List'!$B1:$AS665,10,FALSE)," ")</f>
        <v>858</v>
      </c>
      <c r="H69" s="77"/>
      <c r="I69" t="s" s="125">
        <f>_xlfn.IFERROR(VLOOKUP($A69,'The List'!$B1:$AS665,16,FALSE)," ")</f>
        <v>858</v>
      </c>
      <c r="J69" t="s" s="125">
        <f>_xlfn.IFERROR(VLOOKUP($A69,'The List'!$B1:$AS665,17,FALSE)," ")</f>
        <v>858</v>
      </c>
      <c r="K69" t="s" s="125">
        <f>_xlfn.IFERROR(VLOOKUP($A69,'The List'!$B1:$AS665,18,FALSE)," ")</f>
        <v>858</v>
      </c>
      <c r="L69" t="s" s="125">
        <f>_xlfn.IFERROR(VLOOKUP($A69,'The List'!$B1:$AS665,19,FALSE)," ")</f>
        <v>858</v>
      </c>
      <c r="M69" t="s" s="125">
        <f>_xlfn.IFERROR(VLOOKUP($A69,'The List'!$B1:$AS665,20,FALSE)," ")</f>
        <v>858</v>
      </c>
      <c r="N69" t="s" s="125">
        <f>_xlfn.IFERROR(VLOOKUP($A69,'The List'!$B1:$AS665,21,FALSE)," ")</f>
        <v>858</v>
      </c>
      <c r="O69" t="s" s="125">
        <f>_xlfn.IFERROR(VLOOKUP($A69,'The List'!$B1:$AS665,22,FALSE)," ")</f>
        <v>858</v>
      </c>
      <c r="P69" t="s" s="125">
        <f>_xlfn.IFERROR(VLOOKUP($A69,'The List'!$B1:$AS665,23,FALSE)," ")</f>
        <v>858</v>
      </c>
      <c r="Q69" t="s" s="125">
        <f>_xlfn.IFERROR(VLOOKUP($A69,'The List'!$B1:$AS665,24,FALSE)," ")</f>
        <v>858</v>
      </c>
      <c r="R69" t="s" s="125">
        <f>_xlfn.IFERROR(VLOOKUP($A69,'The List'!$B1:$AS665,25,FALSE)," ")</f>
        <v>858</v>
      </c>
      <c r="S69" t="s" s="125">
        <f>_xlfn.IFERROR(VLOOKUP($A69,'The List'!$B1:$AS665,26,FALSE)," ")</f>
        <v>858</v>
      </c>
      <c r="T69" t="s" s="125">
        <f>_xlfn.IFERROR(VLOOKUP($A69,'The List'!$B1:$AS665,27,FALSE)," ")</f>
        <v>858</v>
      </c>
      <c r="U69" t="s" s="125">
        <f>_xlfn.IFERROR(VLOOKUP($A69,'The List'!$B1:$AS665,28,FALSE)," ")</f>
        <v>858</v>
      </c>
      <c r="V69" t="s" s="125">
        <f>_xlfn.IFERROR(VLOOKUP($A69,'The List'!$B1:$AS665,29,FALSE)," ")</f>
        <v>858</v>
      </c>
      <c r="W69" t="s" s="125">
        <f>_xlfn.IFERROR(VLOOKUP($A69,'The List'!$B1:$AS665,30,FALSE)," ")</f>
        <v>858</v>
      </c>
      <c r="X69" t="s" s="125">
        <f>_xlfn.IFERROR(VLOOKUP($A69,'The List'!$B1:$AS665,31,FALSE)," ")</f>
        <v>858</v>
      </c>
      <c r="Y69" t="s" s="125">
        <f>_xlfn.IFERROR(VLOOKUP($A69,'The List'!$B1:$AS665,32,FALSE)," ")</f>
        <v>858</v>
      </c>
      <c r="Z69" t="s" s="125">
        <f>_xlfn.IFERROR(VLOOKUP($A69,'The List'!$B1:$AS665,33,FALSE)," ")</f>
        <v>858</v>
      </c>
      <c r="AA69" s="120"/>
      <c r="AB69" s="121"/>
      <c r="AC69" s="121"/>
      <c r="AD69" s="121"/>
      <c r="AE69" s="121"/>
      <c r="AF69" s="144"/>
    </row>
    <row r="70" ht="21.25" customHeight="1">
      <c r="A70" s="50"/>
      <c r="B70" t="s" s="129">
        <f>_xlfn.IFERROR(VLOOKUP($A70,'The List'!$B1:$AS665,3,FALSE)," ")</f>
        <v>858</v>
      </c>
      <c r="C70" t="s" s="131">
        <f>_xlfn.IFERROR(VLOOKUP($A70,'The List'!$B1:$AS665,4,FALSE)," ")</f>
        <v>858</v>
      </c>
      <c r="D70" t="s" s="86">
        <f>_xlfn.IFERROR(VLOOKUP($A70,'The List'!$B1:$AS665,5,FALSE)," ")</f>
        <v>858</v>
      </c>
      <c r="E70" t="s" s="86">
        <f>_xlfn.IFERROR(VLOOKUP($A70,'The List'!$B1:$AS665,6,FALSE)," ")</f>
        <v>858</v>
      </c>
      <c r="F70" t="s" s="124">
        <f>_xlfn.IFERROR(VLOOKUP($A70,'The List'!$B1:$AS665,8,FALSE)," ")</f>
        <v>858</v>
      </c>
      <c r="G70" t="s" s="124">
        <f>_xlfn.IFERROR(VLOOKUP($A70,'The List'!$B1:$AS665,10,FALSE)," ")</f>
        <v>858</v>
      </c>
      <c r="H70" s="77"/>
      <c r="I70" t="s" s="125">
        <f>_xlfn.IFERROR(VLOOKUP($A70,'The List'!$B1:$AS665,16,FALSE)," ")</f>
        <v>858</v>
      </c>
      <c r="J70" t="s" s="125">
        <f>_xlfn.IFERROR(VLOOKUP($A70,'The List'!$B1:$AS665,17,FALSE)," ")</f>
        <v>858</v>
      </c>
      <c r="K70" t="s" s="125">
        <f>_xlfn.IFERROR(VLOOKUP($A70,'The List'!$B1:$AS665,18,FALSE)," ")</f>
        <v>858</v>
      </c>
      <c r="L70" t="s" s="125">
        <f>_xlfn.IFERROR(VLOOKUP($A70,'The List'!$B1:$AS665,19,FALSE)," ")</f>
        <v>858</v>
      </c>
      <c r="M70" t="s" s="125">
        <f>_xlfn.IFERROR(VLOOKUP($A70,'The List'!$B1:$AS665,20,FALSE)," ")</f>
        <v>858</v>
      </c>
      <c r="N70" t="s" s="125">
        <f>_xlfn.IFERROR(VLOOKUP($A70,'The List'!$B1:$AS665,21,FALSE)," ")</f>
        <v>858</v>
      </c>
      <c r="O70" t="s" s="125">
        <f>_xlfn.IFERROR(VLOOKUP($A70,'The List'!$B1:$AS665,22,FALSE)," ")</f>
        <v>858</v>
      </c>
      <c r="P70" t="s" s="125">
        <f>_xlfn.IFERROR(VLOOKUP($A70,'The List'!$B1:$AS665,23,FALSE)," ")</f>
        <v>858</v>
      </c>
      <c r="Q70" t="s" s="125">
        <f>_xlfn.IFERROR(VLOOKUP($A70,'The List'!$B1:$AS665,24,FALSE)," ")</f>
        <v>858</v>
      </c>
      <c r="R70" t="s" s="125">
        <f>_xlfn.IFERROR(VLOOKUP($A70,'The List'!$B1:$AS665,25,FALSE)," ")</f>
        <v>858</v>
      </c>
      <c r="S70" t="s" s="125">
        <f>_xlfn.IFERROR(VLOOKUP($A70,'The List'!$B1:$AS665,26,FALSE)," ")</f>
        <v>858</v>
      </c>
      <c r="T70" t="s" s="125">
        <f>_xlfn.IFERROR(VLOOKUP($A70,'The List'!$B1:$AS665,27,FALSE)," ")</f>
        <v>858</v>
      </c>
      <c r="U70" t="s" s="125">
        <f>_xlfn.IFERROR(VLOOKUP($A70,'The List'!$B1:$AS665,28,FALSE)," ")</f>
        <v>858</v>
      </c>
      <c r="V70" t="s" s="125">
        <f>_xlfn.IFERROR(VLOOKUP($A70,'The List'!$B1:$AS665,29,FALSE)," ")</f>
        <v>858</v>
      </c>
      <c r="W70" t="s" s="125">
        <f>_xlfn.IFERROR(VLOOKUP($A70,'The List'!$B1:$AS665,30,FALSE)," ")</f>
        <v>858</v>
      </c>
      <c r="X70" t="s" s="125">
        <f>_xlfn.IFERROR(VLOOKUP($A70,'The List'!$B1:$AS665,31,FALSE)," ")</f>
        <v>858</v>
      </c>
      <c r="Y70" t="s" s="125">
        <f>_xlfn.IFERROR(VLOOKUP($A70,'The List'!$B1:$AS665,32,FALSE)," ")</f>
        <v>858</v>
      </c>
      <c r="Z70" t="s" s="125">
        <f>_xlfn.IFERROR(VLOOKUP($A70,'The List'!$B1:$AS665,33,FALSE)," ")</f>
        <v>858</v>
      </c>
      <c r="AA70" s="120"/>
      <c r="AB70" s="121"/>
      <c r="AC70" s="121"/>
      <c r="AD70" s="121"/>
      <c r="AE70" s="121"/>
      <c r="AF70" s="144"/>
    </row>
    <row r="71" ht="21.25" customHeight="1">
      <c r="A71" s="50"/>
      <c r="B71" t="s" s="129">
        <f>_xlfn.IFERROR(VLOOKUP($A71,'The List'!$B1:$AS665,3,FALSE)," ")</f>
        <v>858</v>
      </c>
      <c r="C71" t="s" s="131">
        <f>_xlfn.IFERROR(VLOOKUP($A71,'The List'!$B1:$AS665,4,FALSE)," ")</f>
        <v>858</v>
      </c>
      <c r="D71" t="s" s="86">
        <f>_xlfn.IFERROR(VLOOKUP($A71,'The List'!$B1:$AS665,5,FALSE)," ")</f>
        <v>858</v>
      </c>
      <c r="E71" t="s" s="86">
        <f>_xlfn.IFERROR(VLOOKUP($A71,'The List'!$B1:$AS665,6,FALSE)," ")</f>
        <v>858</v>
      </c>
      <c r="F71" t="s" s="124">
        <f>_xlfn.IFERROR(VLOOKUP($A71,'The List'!$B1:$AS665,8,FALSE)," ")</f>
        <v>858</v>
      </c>
      <c r="G71" t="s" s="124">
        <f>_xlfn.IFERROR(VLOOKUP($A71,'The List'!$B1:$AS665,10,FALSE)," ")</f>
        <v>858</v>
      </c>
      <c r="H71" s="77"/>
      <c r="I71" t="s" s="125">
        <f>_xlfn.IFERROR(VLOOKUP($A71,'The List'!$B1:$AS665,16,FALSE)," ")</f>
        <v>858</v>
      </c>
      <c r="J71" t="s" s="125">
        <f>_xlfn.IFERROR(VLOOKUP($A71,'The List'!$B1:$AS665,17,FALSE)," ")</f>
        <v>858</v>
      </c>
      <c r="K71" t="s" s="125">
        <f>_xlfn.IFERROR(VLOOKUP($A71,'The List'!$B1:$AS665,18,FALSE)," ")</f>
        <v>858</v>
      </c>
      <c r="L71" t="s" s="125">
        <f>_xlfn.IFERROR(VLOOKUP($A71,'The List'!$B1:$AS665,19,FALSE)," ")</f>
        <v>858</v>
      </c>
      <c r="M71" t="s" s="125">
        <f>_xlfn.IFERROR(VLOOKUP($A71,'The List'!$B1:$AS665,20,FALSE)," ")</f>
        <v>858</v>
      </c>
      <c r="N71" t="s" s="125">
        <f>_xlfn.IFERROR(VLOOKUP($A71,'The List'!$B1:$AS665,21,FALSE)," ")</f>
        <v>858</v>
      </c>
      <c r="O71" t="s" s="125">
        <f>_xlfn.IFERROR(VLOOKUP($A71,'The List'!$B1:$AS665,22,FALSE)," ")</f>
        <v>858</v>
      </c>
      <c r="P71" t="s" s="125">
        <f>_xlfn.IFERROR(VLOOKUP($A71,'The List'!$B1:$AS665,23,FALSE)," ")</f>
        <v>858</v>
      </c>
      <c r="Q71" t="s" s="125">
        <f>_xlfn.IFERROR(VLOOKUP($A71,'The List'!$B1:$AS665,24,FALSE)," ")</f>
        <v>858</v>
      </c>
      <c r="R71" t="s" s="125">
        <f>_xlfn.IFERROR(VLOOKUP($A71,'The List'!$B1:$AS665,25,FALSE)," ")</f>
        <v>858</v>
      </c>
      <c r="S71" t="s" s="125">
        <f>_xlfn.IFERROR(VLOOKUP($A71,'The List'!$B1:$AS665,26,FALSE)," ")</f>
        <v>858</v>
      </c>
      <c r="T71" t="s" s="125">
        <f>_xlfn.IFERROR(VLOOKUP($A71,'The List'!$B1:$AS665,27,FALSE)," ")</f>
        <v>858</v>
      </c>
      <c r="U71" t="s" s="125">
        <f>_xlfn.IFERROR(VLOOKUP($A71,'The List'!$B1:$AS665,28,FALSE)," ")</f>
        <v>858</v>
      </c>
      <c r="V71" t="s" s="125">
        <f>_xlfn.IFERROR(VLOOKUP($A71,'The List'!$B1:$AS665,29,FALSE)," ")</f>
        <v>858</v>
      </c>
      <c r="W71" t="s" s="125">
        <f>_xlfn.IFERROR(VLOOKUP($A71,'The List'!$B1:$AS665,30,FALSE)," ")</f>
        <v>858</v>
      </c>
      <c r="X71" t="s" s="125">
        <f>_xlfn.IFERROR(VLOOKUP($A71,'The List'!$B1:$AS665,31,FALSE)," ")</f>
        <v>858</v>
      </c>
      <c r="Y71" t="s" s="125">
        <f>_xlfn.IFERROR(VLOOKUP($A71,'The List'!$B1:$AS665,32,FALSE)," ")</f>
        <v>858</v>
      </c>
      <c r="Z71" t="s" s="125">
        <f>_xlfn.IFERROR(VLOOKUP($A71,'The List'!$B1:$AS665,33,FALSE)," ")</f>
        <v>858</v>
      </c>
      <c r="AA71" s="120"/>
      <c r="AB71" s="121"/>
      <c r="AC71" s="121"/>
      <c r="AD71" s="121"/>
      <c r="AE71" s="121"/>
      <c r="AF71" s="144"/>
    </row>
    <row r="72" ht="21.25" customHeight="1">
      <c r="A72" s="50"/>
      <c r="B72" t="s" s="132">
        <f>_xlfn.IFERROR(VLOOKUP($A72,'The List'!$B1:$AS665,3,FALSE)," ")</f>
        <v>858</v>
      </c>
      <c r="C72" t="s" s="134">
        <f>_xlfn.IFERROR(VLOOKUP($A72,'The List'!$B1:$AS665,4,FALSE)," ")</f>
        <v>858</v>
      </c>
      <c r="D72" t="s" s="86">
        <f>_xlfn.IFERROR(VLOOKUP($A72,'The List'!$B1:$AS665,5,FALSE)," ")</f>
        <v>858</v>
      </c>
      <c r="E72" t="s" s="86">
        <f>_xlfn.IFERROR(VLOOKUP($A72,'The List'!$B1:$AS665,6,FALSE)," ")</f>
        <v>858</v>
      </c>
      <c r="F72" t="s" s="124">
        <f>_xlfn.IFERROR(VLOOKUP($A72,'The List'!$B1:$AS665,8,FALSE)," ")</f>
        <v>858</v>
      </c>
      <c r="G72" t="s" s="124">
        <f>_xlfn.IFERROR(VLOOKUP($A72,'The List'!$B1:$AS665,10,FALSE)," ")</f>
        <v>858</v>
      </c>
      <c r="H72" s="77"/>
      <c r="I72" t="s" s="125">
        <f>_xlfn.IFERROR(VLOOKUP($A72,'The List'!$B1:$AS665,16,FALSE)," ")</f>
        <v>858</v>
      </c>
      <c r="J72" t="s" s="125">
        <f>_xlfn.IFERROR(VLOOKUP($A72,'The List'!$B1:$AS665,17,FALSE)," ")</f>
        <v>858</v>
      </c>
      <c r="K72" t="s" s="125">
        <f>_xlfn.IFERROR(VLOOKUP($A72,'The List'!$B1:$AS665,18,FALSE)," ")</f>
        <v>858</v>
      </c>
      <c r="L72" t="s" s="125">
        <f>_xlfn.IFERROR(VLOOKUP($A72,'The List'!$B1:$AS665,19,FALSE)," ")</f>
        <v>858</v>
      </c>
      <c r="M72" t="s" s="125">
        <f>_xlfn.IFERROR(VLOOKUP($A72,'The List'!$B1:$AS665,20,FALSE)," ")</f>
        <v>858</v>
      </c>
      <c r="N72" t="s" s="125">
        <f>_xlfn.IFERROR(VLOOKUP($A72,'The List'!$B1:$AS665,21,FALSE)," ")</f>
        <v>858</v>
      </c>
      <c r="O72" t="s" s="125">
        <f>_xlfn.IFERROR(VLOOKUP($A72,'The List'!$B1:$AS665,22,FALSE)," ")</f>
        <v>858</v>
      </c>
      <c r="P72" t="s" s="125">
        <f>_xlfn.IFERROR(VLOOKUP($A72,'The List'!$B1:$AS665,23,FALSE)," ")</f>
        <v>858</v>
      </c>
      <c r="Q72" t="s" s="125">
        <f>_xlfn.IFERROR(VLOOKUP($A72,'The List'!$B1:$AS665,24,FALSE)," ")</f>
        <v>858</v>
      </c>
      <c r="R72" t="s" s="125">
        <f>_xlfn.IFERROR(VLOOKUP($A72,'The List'!$B1:$AS665,25,FALSE)," ")</f>
        <v>858</v>
      </c>
      <c r="S72" t="s" s="125">
        <f>_xlfn.IFERROR(VLOOKUP($A72,'The List'!$B1:$AS665,26,FALSE)," ")</f>
        <v>858</v>
      </c>
      <c r="T72" t="s" s="125">
        <f>_xlfn.IFERROR(VLOOKUP($A72,'The List'!$B1:$AS665,27,FALSE)," ")</f>
        <v>858</v>
      </c>
      <c r="U72" t="s" s="125">
        <f>_xlfn.IFERROR(VLOOKUP($A72,'The List'!$B1:$AS665,28,FALSE)," ")</f>
        <v>858</v>
      </c>
      <c r="V72" t="s" s="125">
        <f>_xlfn.IFERROR(VLOOKUP($A72,'The List'!$B1:$AS665,29,FALSE)," ")</f>
        <v>858</v>
      </c>
      <c r="W72" t="s" s="125">
        <f>_xlfn.IFERROR(VLOOKUP($A72,'The List'!$B1:$AS665,30,FALSE)," ")</f>
        <v>858</v>
      </c>
      <c r="X72" t="s" s="125">
        <f>_xlfn.IFERROR(VLOOKUP($A72,'The List'!$B1:$AS665,31,FALSE)," ")</f>
        <v>858</v>
      </c>
      <c r="Y72" t="s" s="125">
        <f>_xlfn.IFERROR(VLOOKUP($A72,'The List'!$B1:$AS665,32,FALSE)," ")</f>
        <v>858</v>
      </c>
      <c r="Z72" t="s" s="125">
        <f>_xlfn.IFERROR(VLOOKUP($A72,'The List'!$B1:$AS665,33,FALSE)," ")</f>
        <v>858</v>
      </c>
      <c r="AA72" s="120"/>
      <c r="AB72" s="121"/>
      <c r="AC72" s="121"/>
      <c r="AD72" s="121"/>
      <c r="AE72" s="121"/>
      <c r="AF72" s="144"/>
    </row>
    <row r="73" ht="21.25" customHeight="1">
      <c r="A73" s="50"/>
      <c r="B73" t="s" s="132">
        <f>_xlfn.IFERROR(VLOOKUP($A73,'The List'!$B1:$AS665,3,FALSE)," ")</f>
        <v>858</v>
      </c>
      <c r="C73" t="s" s="134">
        <f>_xlfn.IFERROR(VLOOKUP($A73,'The List'!$B1:$AS665,4,FALSE)," ")</f>
        <v>858</v>
      </c>
      <c r="D73" t="s" s="86">
        <f>_xlfn.IFERROR(VLOOKUP($A73,'The List'!$B1:$AS665,5,FALSE)," ")</f>
        <v>858</v>
      </c>
      <c r="E73" t="s" s="86">
        <f>_xlfn.IFERROR(VLOOKUP($A73,'The List'!$B1:$AS665,6,FALSE)," ")</f>
        <v>858</v>
      </c>
      <c r="F73" t="s" s="124">
        <f>_xlfn.IFERROR(VLOOKUP($A73,'The List'!$B1:$AS665,8,FALSE)," ")</f>
        <v>858</v>
      </c>
      <c r="G73" t="s" s="124">
        <f>_xlfn.IFERROR(VLOOKUP($A73,'The List'!$B1:$AS665,10,FALSE)," ")</f>
        <v>858</v>
      </c>
      <c r="H73" s="77"/>
      <c r="I73" t="s" s="125">
        <f>_xlfn.IFERROR(VLOOKUP($A73,'The List'!$B1:$AS665,16,FALSE)," ")</f>
        <v>858</v>
      </c>
      <c r="J73" t="s" s="125">
        <f>_xlfn.IFERROR(VLOOKUP($A73,'The List'!$B1:$AS665,17,FALSE)," ")</f>
        <v>858</v>
      </c>
      <c r="K73" t="s" s="125">
        <f>_xlfn.IFERROR(VLOOKUP($A73,'The List'!$B1:$AS665,18,FALSE)," ")</f>
        <v>858</v>
      </c>
      <c r="L73" t="s" s="125">
        <f>_xlfn.IFERROR(VLOOKUP($A73,'The List'!$B1:$AS665,19,FALSE)," ")</f>
        <v>858</v>
      </c>
      <c r="M73" t="s" s="125">
        <f>_xlfn.IFERROR(VLOOKUP($A73,'The List'!$B1:$AS665,20,FALSE)," ")</f>
        <v>858</v>
      </c>
      <c r="N73" t="s" s="125">
        <f>_xlfn.IFERROR(VLOOKUP($A73,'The List'!$B1:$AS665,21,FALSE)," ")</f>
        <v>858</v>
      </c>
      <c r="O73" t="s" s="125">
        <f>_xlfn.IFERROR(VLOOKUP($A73,'The List'!$B1:$AS665,22,FALSE)," ")</f>
        <v>858</v>
      </c>
      <c r="P73" t="s" s="125">
        <f>_xlfn.IFERROR(VLOOKUP($A73,'The List'!$B1:$AS665,23,FALSE)," ")</f>
        <v>858</v>
      </c>
      <c r="Q73" t="s" s="125">
        <f>_xlfn.IFERROR(VLOOKUP($A73,'The List'!$B1:$AS665,24,FALSE)," ")</f>
        <v>858</v>
      </c>
      <c r="R73" t="s" s="125">
        <f>_xlfn.IFERROR(VLOOKUP($A73,'The List'!$B1:$AS665,25,FALSE)," ")</f>
        <v>858</v>
      </c>
      <c r="S73" t="s" s="125">
        <f>_xlfn.IFERROR(VLOOKUP($A73,'The List'!$B1:$AS665,26,FALSE)," ")</f>
        <v>858</v>
      </c>
      <c r="T73" t="s" s="125">
        <f>_xlfn.IFERROR(VLOOKUP($A73,'The List'!$B1:$AS665,27,FALSE)," ")</f>
        <v>858</v>
      </c>
      <c r="U73" t="s" s="125">
        <f>_xlfn.IFERROR(VLOOKUP($A73,'The List'!$B1:$AS665,28,FALSE)," ")</f>
        <v>858</v>
      </c>
      <c r="V73" t="s" s="125">
        <f>_xlfn.IFERROR(VLOOKUP($A73,'The List'!$B1:$AS665,29,FALSE)," ")</f>
        <v>858</v>
      </c>
      <c r="W73" t="s" s="125">
        <f>_xlfn.IFERROR(VLOOKUP($A73,'The List'!$B1:$AS665,30,FALSE)," ")</f>
        <v>858</v>
      </c>
      <c r="X73" t="s" s="125">
        <f>_xlfn.IFERROR(VLOOKUP($A73,'The List'!$B1:$AS665,31,FALSE)," ")</f>
        <v>858</v>
      </c>
      <c r="Y73" t="s" s="125">
        <f>_xlfn.IFERROR(VLOOKUP($A73,'The List'!$B1:$AS665,32,FALSE)," ")</f>
        <v>858</v>
      </c>
      <c r="Z73" t="s" s="125">
        <f>_xlfn.IFERROR(VLOOKUP($A73,'The List'!$B1:$AS665,33,FALSE)," ")</f>
        <v>858</v>
      </c>
      <c r="AA73" s="120"/>
      <c r="AB73" s="121"/>
      <c r="AC73" s="121"/>
      <c r="AD73" s="121"/>
      <c r="AE73" s="121"/>
      <c r="AF73" s="144"/>
    </row>
    <row r="74" ht="21.25" customHeight="1">
      <c r="A74" s="50"/>
      <c r="B74" t="s" s="132">
        <f>_xlfn.IFERROR(VLOOKUP($A74,'The List'!$B1:$AS665,3,FALSE)," ")</f>
        <v>858</v>
      </c>
      <c r="C74" t="s" s="134">
        <f>_xlfn.IFERROR(VLOOKUP($A74,'The List'!$B1:$AS665,4,FALSE)," ")</f>
        <v>858</v>
      </c>
      <c r="D74" t="s" s="86">
        <f>_xlfn.IFERROR(VLOOKUP($A74,'The List'!$B1:$AS665,5,FALSE)," ")</f>
        <v>858</v>
      </c>
      <c r="E74" t="s" s="86">
        <f>_xlfn.IFERROR(VLOOKUP($A74,'The List'!$B1:$AS665,6,FALSE)," ")</f>
        <v>858</v>
      </c>
      <c r="F74" t="s" s="124">
        <f>_xlfn.IFERROR(VLOOKUP($A74,'The List'!$B1:$AS665,8,FALSE)," ")</f>
        <v>858</v>
      </c>
      <c r="G74" t="s" s="124">
        <f>_xlfn.IFERROR(VLOOKUP($A74,'The List'!$B1:$AS665,10,FALSE)," ")</f>
        <v>858</v>
      </c>
      <c r="H74" s="77"/>
      <c r="I74" t="s" s="125">
        <f>_xlfn.IFERROR(VLOOKUP($A74,'The List'!$B1:$AS665,16,FALSE)," ")</f>
        <v>858</v>
      </c>
      <c r="J74" t="s" s="125">
        <f>_xlfn.IFERROR(VLOOKUP($A74,'The List'!$B1:$AS665,17,FALSE)," ")</f>
        <v>858</v>
      </c>
      <c r="K74" t="s" s="125">
        <f>_xlfn.IFERROR(VLOOKUP($A74,'The List'!$B1:$AS665,18,FALSE)," ")</f>
        <v>858</v>
      </c>
      <c r="L74" t="s" s="125">
        <f>_xlfn.IFERROR(VLOOKUP($A74,'The List'!$B1:$AS665,19,FALSE)," ")</f>
        <v>858</v>
      </c>
      <c r="M74" t="s" s="125">
        <f>_xlfn.IFERROR(VLOOKUP($A74,'The List'!$B1:$AS665,20,FALSE)," ")</f>
        <v>858</v>
      </c>
      <c r="N74" t="s" s="125">
        <f>_xlfn.IFERROR(VLOOKUP($A74,'The List'!$B1:$AS665,21,FALSE)," ")</f>
        <v>858</v>
      </c>
      <c r="O74" t="s" s="125">
        <f>_xlfn.IFERROR(VLOOKUP($A74,'The List'!$B1:$AS665,22,FALSE)," ")</f>
        <v>858</v>
      </c>
      <c r="P74" t="s" s="125">
        <f>_xlfn.IFERROR(VLOOKUP($A74,'The List'!$B1:$AS665,23,FALSE)," ")</f>
        <v>858</v>
      </c>
      <c r="Q74" t="s" s="125">
        <f>_xlfn.IFERROR(VLOOKUP($A74,'The List'!$B1:$AS665,24,FALSE)," ")</f>
        <v>858</v>
      </c>
      <c r="R74" t="s" s="125">
        <f>_xlfn.IFERROR(VLOOKUP($A74,'The List'!$B1:$AS665,25,FALSE)," ")</f>
        <v>858</v>
      </c>
      <c r="S74" t="s" s="125">
        <f>_xlfn.IFERROR(VLOOKUP($A74,'The List'!$B1:$AS665,26,FALSE)," ")</f>
        <v>858</v>
      </c>
      <c r="T74" t="s" s="125">
        <f>_xlfn.IFERROR(VLOOKUP($A74,'The List'!$B1:$AS665,27,FALSE)," ")</f>
        <v>858</v>
      </c>
      <c r="U74" t="s" s="125">
        <f>_xlfn.IFERROR(VLOOKUP($A74,'The List'!$B1:$AS665,28,FALSE)," ")</f>
        <v>858</v>
      </c>
      <c r="V74" t="s" s="125">
        <f>_xlfn.IFERROR(VLOOKUP($A74,'The List'!$B1:$AS665,29,FALSE)," ")</f>
        <v>858</v>
      </c>
      <c r="W74" t="s" s="125">
        <f>_xlfn.IFERROR(VLOOKUP($A74,'The List'!$B1:$AS665,30,FALSE)," ")</f>
        <v>858</v>
      </c>
      <c r="X74" t="s" s="125">
        <f>_xlfn.IFERROR(VLOOKUP($A74,'The List'!$B1:$AS665,31,FALSE)," ")</f>
        <v>858</v>
      </c>
      <c r="Y74" t="s" s="125">
        <f>_xlfn.IFERROR(VLOOKUP($A74,'The List'!$B1:$AS665,32,FALSE)," ")</f>
        <v>858</v>
      </c>
      <c r="Z74" t="s" s="125">
        <f>_xlfn.IFERROR(VLOOKUP($A74,'The List'!$B1:$AS665,33,FALSE)," ")</f>
        <v>858</v>
      </c>
      <c r="AA74" s="120"/>
      <c r="AB74" s="121"/>
      <c r="AC74" s="121"/>
      <c r="AD74" s="121"/>
      <c r="AE74" s="121"/>
      <c r="AF74" s="144"/>
    </row>
    <row r="75" ht="21.25" customHeight="1">
      <c r="A75" s="50"/>
      <c r="B75" t="s" s="132">
        <f>_xlfn.IFERROR(VLOOKUP($A75,'The List'!$B1:$AS665,3,FALSE)," ")</f>
        <v>858</v>
      </c>
      <c r="C75" t="s" s="134">
        <f>_xlfn.IFERROR(VLOOKUP($A75,'The List'!$B1:$AS665,4,FALSE)," ")</f>
        <v>858</v>
      </c>
      <c r="D75" t="s" s="86">
        <f>_xlfn.IFERROR(VLOOKUP($A75,'The List'!$B1:$AS665,5,FALSE)," ")</f>
        <v>858</v>
      </c>
      <c r="E75" t="s" s="86">
        <f>_xlfn.IFERROR(VLOOKUP($A75,'The List'!$B1:$AS665,6,FALSE)," ")</f>
        <v>858</v>
      </c>
      <c r="F75" t="s" s="124">
        <f>_xlfn.IFERROR(VLOOKUP($A75,'The List'!$B1:$AS665,8,FALSE)," ")</f>
        <v>858</v>
      </c>
      <c r="G75" t="s" s="124">
        <f>_xlfn.IFERROR(VLOOKUP($A75,'The List'!$B1:$AS665,10,FALSE)," ")</f>
        <v>858</v>
      </c>
      <c r="H75" s="77"/>
      <c r="I75" t="s" s="125">
        <f>_xlfn.IFERROR(VLOOKUP($A75,'The List'!$B1:$AS665,16,FALSE)," ")</f>
        <v>858</v>
      </c>
      <c r="J75" t="s" s="125">
        <f>_xlfn.IFERROR(VLOOKUP($A75,'The List'!$B1:$AS665,17,FALSE)," ")</f>
        <v>858</v>
      </c>
      <c r="K75" t="s" s="125">
        <f>_xlfn.IFERROR(VLOOKUP($A75,'The List'!$B1:$AS665,18,FALSE)," ")</f>
        <v>858</v>
      </c>
      <c r="L75" t="s" s="125">
        <f>_xlfn.IFERROR(VLOOKUP($A75,'The List'!$B1:$AS665,19,FALSE)," ")</f>
        <v>858</v>
      </c>
      <c r="M75" t="s" s="125">
        <f>_xlfn.IFERROR(VLOOKUP($A75,'The List'!$B1:$AS665,20,FALSE)," ")</f>
        <v>858</v>
      </c>
      <c r="N75" t="s" s="125">
        <f>_xlfn.IFERROR(VLOOKUP($A75,'The List'!$B1:$AS665,21,FALSE)," ")</f>
        <v>858</v>
      </c>
      <c r="O75" t="s" s="125">
        <f>_xlfn.IFERROR(VLOOKUP($A75,'The List'!$B1:$AS665,22,FALSE)," ")</f>
        <v>858</v>
      </c>
      <c r="P75" t="s" s="125">
        <f>_xlfn.IFERROR(VLOOKUP($A75,'The List'!$B1:$AS665,23,FALSE)," ")</f>
        <v>858</v>
      </c>
      <c r="Q75" t="s" s="125">
        <f>_xlfn.IFERROR(VLOOKUP($A75,'The List'!$B1:$AS665,24,FALSE)," ")</f>
        <v>858</v>
      </c>
      <c r="R75" t="s" s="125">
        <f>_xlfn.IFERROR(VLOOKUP($A75,'The List'!$B1:$AS665,25,FALSE)," ")</f>
        <v>858</v>
      </c>
      <c r="S75" t="s" s="125">
        <f>_xlfn.IFERROR(VLOOKUP($A75,'The List'!$B1:$AS665,26,FALSE)," ")</f>
        <v>858</v>
      </c>
      <c r="T75" t="s" s="125">
        <f>_xlfn.IFERROR(VLOOKUP($A75,'The List'!$B1:$AS665,27,FALSE)," ")</f>
        <v>858</v>
      </c>
      <c r="U75" t="s" s="125">
        <f>_xlfn.IFERROR(VLOOKUP($A75,'The List'!$B1:$AS665,28,FALSE)," ")</f>
        <v>858</v>
      </c>
      <c r="V75" t="s" s="125">
        <f>_xlfn.IFERROR(VLOOKUP($A75,'The List'!$B1:$AS665,29,FALSE)," ")</f>
        <v>858</v>
      </c>
      <c r="W75" t="s" s="125">
        <f>_xlfn.IFERROR(VLOOKUP($A75,'The List'!$B1:$AS665,30,FALSE)," ")</f>
        <v>858</v>
      </c>
      <c r="X75" t="s" s="125">
        <f>_xlfn.IFERROR(VLOOKUP($A75,'The List'!$B1:$AS665,31,FALSE)," ")</f>
        <v>858</v>
      </c>
      <c r="Y75" t="s" s="125">
        <f>_xlfn.IFERROR(VLOOKUP($A75,'The List'!$B1:$AS665,32,FALSE)," ")</f>
        <v>858</v>
      </c>
      <c r="Z75" t="s" s="125">
        <f>_xlfn.IFERROR(VLOOKUP($A75,'The List'!$B1:$AS665,33,FALSE)," ")</f>
        <v>858</v>
      </c>
      <c r="AA75" s="120"/>
      <c r="AB75" s="121"/>
      <c r="AC75" s="121"/>
      <c r="AD75" s="121"/>
      <c r="AE75" s="121"/>
      <c r="AF75" s="144"/>
    </row>
    <row r="76" ht="21.25" customHeight="1">
      <c r="A76" s="50"/>
      <c r="B76" t="s" s="132">
        <f>_xlfn.IFERROR(VLOOKUP($A76,'The List'!$B1:$AS665,3,FALSE)," ")</f>
        <v>858</v>
      </c>
      <c r="C76" t="s" s="134">
        <f>_xlfn.IFERROR(VLOOKUP($A76,'The List'!$B1:$AS665,4,FALSE)," ")</f>
        <v>858</v>
      </c>
      <c r="D76" t="s" s="86">
        <f>_xlfn.IFERROR(VLOOKUP($A76,'The List'!$B1:$AS665,5,FALSE)," ")</f>
        <v>858</v>
      </c>
      <c r="E76" t="s" s="86">
        <f>_xlfn.IFERROR(VLOOKUP($A76,'The List'!$B1:$AS665,6,FALSE)," ")</f>
        <v>858</v>
      </c>
      <c r="F76" t="s" s="124">
        <f>_xlfn.IFERROR(VLOOKUP($A76,'The List'!$B1:$AS665,8,FALSE)," ")</f>
        <v>858</v>
      </c>
      <c r="G76" t="s" s="124">
        <f>_xlfn.IFERROR(VLOOKUP($A76,'The List'!$B1:$AS665,10,FALSE)," ")</f>
        <v>858</v>
      </c>
      <c r="H76" s="77"/>
      <c r="I76" t="s" s="125">
        <f>_xlfn.IFERROR(VLOOKUP($A76,'The List'!$B1:$AS665,16,FALSE)," ")</f>
        <v>858</v>
      </c>
      <c r="J76" t="s" s="125">
        <f>_xlfn.IFERROR(VLOOKUP($A76,'The List'!$B1:$AS665,17,FALSE)," ")</f>
        <v>858</v>
      </c>
      <c r="K76" t="s" s="125">
        <f>_xlfn.IFERROR(VLOOKUP($A76,'The List'!$B1:$AS665,18,FALSE)," ")</f>
        <v>858</v>
      </c>
      <c r="L76" t="s" s="125">
        <f>_xlfn.IFERROR(VLOOKUP($A76,'The List'!$B1:$AS665,19,FALSE)," ")</f>
        <v>858</v>
      </c>
      <c r="M76" t="s" s="125">
        <f>_xlfn.IFERROR(VLOOKUP($A76,'The List'!$B1:$AS665,20,FALSE)," ")</f>
        <v>858</v>
      </c>
      <c r="N76" t="s" s="125">
        <f>_xlfn.IFERROR(VLOOKUP($A76,'The List'!$B1:$AS665,21,FALSE)," ")</f>
        <v>858</v>
      </c>
      <c r="O76" t="s" s="125">
        <f>_xlfn.IFERROR(VLOOKUP($A76,'The List'!$B1:$AS665,22,FALSE)," ")</f>
        <v>858</v>
      </c>
      <c r="P76" t="s" s="125">
        <f>_xlfn.IFERROR(VLOOKUP($A76,'The List'!$B1:$AS665,23,FALSE)," ")</f>
        <v>858</v>
      </c>
      <c r="Q76" t="s" s="125">
        <f>_xlfn.IFERROR(VLOOKUP($A76,'The List'!$B1:$AS665,24,FALSE)," ")</f>
        <v>858</v>
      </c>
      <c r="R76" t="s" s="125">
        <f>_xlfn.IFERROR(VLOOKUP($A76,'The List'!$B1:$AS665,25,FALSE)," ")</f>
        <v>858</v>
      </c>
      <c r="S76" t="s" s="125">
        <f>_xlfn.IFERROR(VLOOKUP($A76,'The List'!$B1:$AS665,26,FALSE)," ")</f>
        <v>858</v>
      </c>
      <c r="T76" t="s" s="125">
        <f>_xlfn.IFERROR(VLOOKUP($A76,'The List'!$B1:$AS665,27,FALSE)," ")</f>
        <v>858</v>
      </c>
      <c r="U76" t="s" s="125">
        <f>_xlfn.IFERROR(VLOOKUP($A76,'The List'!$B1:$AS665,28,FALSE)," ")</f>
        <v>858</v>
      </c>
      <c r="V76" t="s" s="125">
        <f>_xlfn.IFERROR(VLOOKUP($A76,'The List'!$B1:$AS665,29,FALSE)," ")</f>
        <v>858</v>
      </c>
      <c r="W76" t="s" s="125">
        <f>_xlfn.IFERROR(VLOOKUP($A76,'The List'!$B1:$AS665,30,FALSE)," ")</f>
        <v>858</v>
      </c>
      <c r="X76" t="s" s="125">
        <f>_xlfn.IFERROR(VLOOKUP($A76,'The List'!$B1:$AS665,31,FALSE)," ")</f>
        <v>858</v>
      </c>
      <c r="Y76" t="s" s="125">
        <f>_xlfn.IFERROR(VLOOKUP($A76,'The List'!$B1:$AS665,32,FALSE)," ")</f>
        <v>858</v>
      </c>
      <c r="Z76" t="s" s="125">
        <f>_xlfn.IFERROR(VLOOKUP($A76,'The List'!$B1:$AS665,33,FALSE)," ")</f>
        <v>858</v>
      </c>
      <c r="AA76" s="120"/>
      <c r="AB76" s="121"/>
      <c r="AC76" s="121"/>
      <c r="AD76" s="121"/>
      <c r="AE76" s="121"/>
      <c r="AF76" s="144"/>
    </row>
    <row r="77" ht="21.25" customHeight="1">
      <c r="A77" s="50"/>
      <c r="B77" t="s" s="132">
        <f>_xlfn.IFERROR(VLOOKUP($A77,'The List'!$B1:$AS665,3,FALSE)," ")</f>
        <v>858</v>
      </c>
      <c r="C77" t="s" s="134">
        <f>_xlfn.IFERROR(VLOOKUP($A77,'The List'!$B1:$AS665,4,FALSE)," ")</f>
        <v>858</v>
      </c>
      <c r="D77" t="s" s="86">
        <f>_xlfn.IFERROR(VLOOKUP($A77,'The List'!$B1:$AS665,5,FALSE)," ")</f>
        <v>858</v>
      </c>
      <c r="E77" t="s" s="86">
        <f>_xlfn.IFERROR(VLOOKUP($A77,'The List'!$B1:$AS665,6,FALSE)," ")</f>
        <v>858</v>
      </c>
      <c r="F77" t="s" s="124">
        <f>_xlfn.IFERROR(VLOOKUP($A77,'The List'!$B1:$AS665,8,FALSE)," ")</f>
        <v>858</v>
      </c>
      <c r="G77" t="s" s="124">
        <f>_xlfn.IFERROR(VLOOKUP($A77,'The List'!$B1:$AS665,10,FALSE)," ")</f>
        <v>858</v>
      </c>
      <c r="H77" s="77"/>
      <c r="I77" t="s" s="125">
        <f>_xlfn.IFERROR(VLOOKUP($A77,'The List'!$B1:$AS665,16,FALSE)," ")</f>
        <v>858</v>
      </c>
      <c r="J77" t="s" s="125">
        <f>_xlfn.IFERROR(VLOOKUP($A77,'The List'!$B1:$AS665,17,FALSE)," ")</f>
        <v>858</v>
      </c>
      <c r="K77" t="s" s="125">
        <f>_xlfn.IFERROR(VLOOKUP($A77,'The List'!$B1:$AS665,18,FALSE)," ")</f>
        <v>858</v>
      </c>
      <c r="L77" t="s" s="125">
        <f>_xlfn.IFERROR(VLOOKUP($A77,'The List'!$B1:$AS665,19,FALSE)," ")</f>
        <v>858</v>
      </c>
      <c r="M77" t="s" s="125">
        <f>_xlfn.IFERROR(VLOOKUP($A77,'The List'!$B1:$AS665,20,FALSE)," ")</f>
        <v>858</v>
      </c>
      <c r="N77" t="s" s="125">
        <f>_xlfn.IFERROR(VLOOKUP($A77,'The List'!$B1:$AS665,21,FALSE)," ")</f>
        <v>858</v>
      </c>
      <c r="O77" t="s" s="125">
        <f>_xlfn.IFERROR(VLOOKUP($A77,'The List'!$B1:$AS665,22,FALSE)," ")</f>
        <v>858</v>
      </c>
      <c r="P77" t="s" s="125">
        <f>_xlfn.IFERROR(VLOOKUP($A77,'The List'!$B1:$AS665,23,FALSE)," ")</f>
        <v>858</v>
      </c>
      <c r="Q77" t="s" s="125">
        <f>_xlfn.IFERROR(VLOOKUP($A77,'The List'!$B1:$AS665,24,FALSE)," ")</f>
        <v>858</v>
      </c>
      <c r="R77" t="s" s="125">
        <f>_xlfn.IFERROR(VLOOKUP($A77,'The List'!$B1:$AS665,25,FALSE)," ")</f>
        <v>858</v>
      </c>
      <c r="S77" t="s" s="125">
        <f>_xlfn.IFERROR(VLOOKUP($A77,'The List'!$B1:$AS665,26,FALSE)," ")</f>
        <v>858</v>
      </c>
      <c r="T77" t="s" s="125">
        <f>_xlfn.IFERROR(VLOOKUP($A77,'The List'!$B1:$AS665,27,FALSE)," ")</f>
        <v>858</v>
      </c>
      <c r="U77" t="s" s="125">
        <f>_xlfn.IFERROR(VLOOKUP($A77,'The List'!$B1:$AS665,28,FALSE)," ")</f>
        <v>858</v>
      </c>
      <c r="V77" t="s" s="125">
        <f>_xlfn.IFERROR(VLOOKUP($A77,'The List'!$B1:$AS665,29,FALSE)," ")</f>
        <v>858</v>
      </c>
      <c r="W77" t="s" s="125">
        <f>_xlfn.IFERROR(VLOOKUP($A77,'The List'!$B1:$AS665,30,FALSE)," ")</f>
        <v>858</v>
      </c>
      <c r="X77" t="s" s="125">
        <f>_xlfn.IFERROR(VLOOKUP($A77,'The List'!$B1:$AS665,31,FALSE)," ")</f>
        <v>858</v>
      </c>
      <c r="Y77" t="s" s="125">
        <f>_xlfn.IFERROR(VLOOKUP($A77,'The List'!$B1:$AS665,32,FALSE)," ")</f>
        <v>858</v>
      </c>
      <c r="Z77" t="s" s="125">
        <f>_xlfn.IFERROR(VLOOKUP($A77,'The List'!$B1:$AS665,33,FALSE)," ")</f>
        <v>858</v>
      </c>
      <c r="AA77" s="120"/>
      <c r="AB77" s="121"/>
      <c r="AC77" s="121"/>
      <c r="AD77" s="121"/>
      <c r="AE77" s="121"/>
      <c r="AF77" s="144"/>
    </row>
    <row r="78" ht="21.25" customHeight="1">
      <c r="A78" s="50"/>
      <c r="B78" t="s" s="132">
        <f>_xlfn.IFERROR(VLOOKUP($A78,'The List'!$B1:$AS665,3,FALSE)," ")</f>
        <v>858</v>
      </c>
      <c r="C78" t="s" s="134">
        <f>_xlfn.IFERROR(VLOOKUP($A78,'The List'!$B1:$AS665,4,FALSE)," ")</f>
        <v>858</v>
      </c>
      <c r="D78" t="s" s="86">
        <f>_xlfn.IFERROR(VLOOKUP($A78,'The List'!$B1:$AS665,5,FALSE)," ")</f>
        <v>858</v>
      </c>
      <c r="E78" t="s" s="86">
        <f>_xlfn.IFERROR(VLOOKUP($A78,'The List'!$B1:$AS665,6,FALSE)," ")</f>
        <v>858</v>
      </c>
      <c r="F78" t="s" s="124">
        <f>_xlfn.IFERROR(VLOOKUP($A78,'The List'!$B1:$AS665,8,FALSE)," ")</f>
        <v>858</v>
      </c>
      <c r="G78" t="s" s="124">
        <f>_xlfn.IFERROR(VLOOKUP($A78,'The List'!$B1:$AS665,10,FALSE)," ")</f>
        <v>858</v>
      </c>
      <c r="H78" s="77"/>
      <c r="I78" t="s" s="125">
        <f>_xlfn.IFERROR(VLOOKUP($A78,'The List'!$B1:$AS665,16,FALSE)," ")</f>
        <v>858</v>
      </c>
      <c r="J78" t="s" s="125">
        <f>_xlfn.IFERROR(VLOOKUP($A78,'The List'!$B1:$AS665,17,FALSE)," ")</f>
        <v>858</v>
      </c>
      <c r="K78" t="s" s="125">
        <f>_xlfn.IFERROR(VLOOKUP($A78,'The List'!$B1:$AS665,18,FALSE)," ")</f>
        <v>858</v>
      </c>
      <c r="L78" t="s" s="125">
        <f>_xlfn.IFERROR(VLOOKUP($A78,'The List'!$B1:$AS665,19,FALSE)," ")</f>
        <v>858</v>
      </c>
      <c r="M78" t="s" s="125">
        <f>_xlfn.IFERROR(VLOOKUP($A78,'The List'!$B1:$AS665,20,FALSE)," ")</f>
        <v>858</v>
      </c>
      <c r="N78" t="s" s="125">
        <f>_xlfn.IFERROR(VLOOKUP($A78,'The List'!$B1:$AS665,21,FALSE)," ")</f>
        <v>858</v>
      </c>
      <c r="O78" t="s" s="125">
        <f>_xlfn.IFERROR(VLOOKUP($A78,'The List'!$B1:$AS665,22,FALSE)," ")</f>
        <v>858</v>
      </c>
      <c r="P78" t="s" s="125">
        <f>_xlfn.IFERROR(VLOOKUP($A78,'The List'!$B1:$AS665,23,FALSE)," ")</f>
        <v>858</v>
      </c>
      <c r="Q78" t="s" s="125">
        <f>_xlfn.IFERROR(VLOOKUP($A78,'The List'!$B1:$AS665,24,FALSE)," ")</f>
        <v>858</v>
      </c>
      <c r="R78" t="s" s="125">
        <f>_xlfn.IFERROR(VLOOKUP($A78,'The List'!$B1:$AS665,25,FALSE)," ")</f>
        <v>858</v>
      </c>
      <c r="S78" t="s" s="125">
        <f>_xlfn.IFERROR(VLOOKUP($A78,'The List'!$B1:$AS665,26,FALSE)," ")</f>
        <v>858</v>
      </c>
      <c r="T78" t="s" s="125">
        <f>_xlfn.IFERROR(VLOOKUP($A78,'The List'!$B1:$AS665,27,FALSE)," ")</f>
        <v>858</v>
      </c>
      <c r="U78" t="s" s="125">
        <f>_xlfn.IFERROR(VLOOKUP($A78,'The List'!$B1:$AS665,28,FALSE)," ")</f>
        <v>858</v>
      </c>
      <c r="V78" t="s" s="125">
        <f>_xlfn.IFERROR(VLOOKUP($A78,'The List'!$B1:$AS665,29,FALSE)," ")</f>
        <v>858</v>
      </c>
      <c r="W78" t="s" s="125">
        <f>_xlfn.IFERROR(VLOOKUP($A78,'The List'!$B1:$AS665,30,FALSE)," ")</f>
        <v>858</v>
      </c>
      <c r="X78" t="s" s="125">
        <f>_xlfn.IFERROR(VLOOKUP($A78,'The List'!$B1:$AS665,31,FALSE)," ")</f>
        <v>858</v>
      </c>
      <c r="Y78" t="s" s="125">
        <f>_xlfn.IFERROR(VLOOKUP($A78,'The List'!$B1:$AS665,32,FALSE)," ")</f>
        <v>858</v>
      </c>
      <c r="Z78" t="s" s="125">
        <f>_xlfn.IFERROR(VLOOKUP($A78,'The List'!$B1:$AS665,33,FALSE)," ")</f>
        <v>858</v>
      </c>
      <c r="AA78" s="120"/>
      <c r="AB78" s="121"/>
      <c r="AC78" s="121"/>
      <c r="AD78" s="121"/>
      <c r="AE78" s="121"/>
      <c r="AF78" s="144"/>
    </row>
    <row r="79" ht="21.25" customHeight="1">
      <c r="A79" s="137"/>
      <c r="B79" t="s" s="138">
        <f>_xlfn.IFERROR(VLOOKUP($A79,'The List'!$B1:$AS665,3,FALSE)," ")</f>
        <v>858</v>
      </c>
      <c r="C79" t="s" s="139">
        <f>_xlfn.IFERROR(VLOOKUP($A79,'The List'!$B1:$AS665,4,FALSE)," ")</f>
        <v>858</v>
      </c>
      <c r="D79" t="s" s="140">
        <f>_xlfn.IFERROR(VLOOKUP($A79,'The List'!$B1:$AS665,5,FALSE)," ")</f>
        <v>858</v>
      </c>
      <c r="E79" t="s" s="140">
        <f>_xlfn.IFERROR(VLOOKUP($A79,'The List'!$B1:$AS665,6,FALSE)," ")</f>
        <v>858</v>
      </c>
      <c r="F79" t="s" s="141">
        <f>_xlfn.IFERROR(VLOOKUP($A79,'The List'!$B1:$AS665,8,FALSE)," ")</f>
        <v>858</v>
      </c>
      <c r="G79" t="s" s="141">
        <f>_xlfn.IFERROR(VLOOKUP($A79,'The List'!$B1:$AS665,10,FALSE)," ")</f>
        <v>858</v>
      </c>
      <c r="H79" s="142"/>
      <c r="I79" t="s" s="143">
        <f>_xlfn.IFERROR(VLOOKUP($A79,'The List'!$B1:$AS665,16,FALSE)," ")</f>
        <v>858</v>
      </c>
      <c r="J79" t="s" s="143">
        <f>_xlfn.IFERROR(VLOOKUP($A79,'The List'!$B1:$AS665,17,FALSE)," ")</f>
        <v>858</v>
      </c>
      <c r="K79" t="s" s="143">
        <f>_xlfn.IFERROR(VLOOKUP($A79,'The List'!$B1:$AS665,18,FALSE)," ")</f>
        <v>858</v>
      </c>
      <c r="L79" t="s" s="143">
        <f>_xlfn.IFERROR(VLOOKUP($A79,'The List'!$B1:$AS665,19,FALSE)," ")</f>
        <v>858</v>
      </c>
      <c r="M79" t="s" s="143">
        <f>_xlfn.IFERROR(VLOOKUP($A79,'The List'!$B1:$AS665,20,FALSE)," ")</f>
        <v>858</v>
      </c>
      <c r="N79" t="s" s="143">
        <f>_xlfn.IFERROR(VLOOKUP($A79,'The List'!$B1:$AS665,21,FALSE)," ")</f>
        <v>858</v>
      </c>
      <c r="O79" t="s" s="143">
        <f>_xlfn.IFERROR(VLOOKUP($A79,'The List'!$B1:$AS665,22,FALSE)," ")</f>
        <v>858</v>
      </c>
      <c r="P79" t="s" s="143">
        <f>_xlfn.IFERROR(VLOOKUP($A79,'The List'!$B1:$AS665,23,FALSE)," ")</f>
        <v>858</v>
      </c>
      <c r="Q79" t="s" s="143">
        <f>_xlfn.IFERROR(VLOOKUP($A79,'The List'!$B1:$AS665,24,FALSE)," ")</f>
        <v>858</v>
      </c>
      <c r="R79" t="s" s="143">
        <f>_xlfn.IFERROR(VLOOKUP($A79,'The List'!$B1:$AS665,25,FALSE)," ")</f>
        <v>858</v>
      </c>
      <c r="S79" t="s" s="143">
        <f>_xlfn.IFERROR(VLOOKUP($A79,'The List'!$B1:$AS665,26,FALSE)," ")</f>
        <v>858</v>
      </c>
      <c r="T79" t="s" s="143">
        <f>_xlfn.IFERROR(VLOOKUP($A79,'The List'!$B1:$AS665,27,FALSE)," ")</f>
        <v>858</v>
      </c>
      <c r="U79" t="s" s="143">
        <f>_xlfn.IFERROR(VLOOKUP($A79,'The List'!$B1:$AS665,28,FALSE)," ")</f>
        <v>858</v>
      </c>
      <c r="V79" t="s" s="143">
        <f>_xlfn.IFERROR(VLOOKUP($A79,'The List'!$B1:$AS665,29,FALSE)," ")</f>
        <v>858</v>
      </c>
      <c r="W79" t="s" s="143">
        <f>_xlfn.IFERROR(VLOOKUP($A79,'The List'!$B1:$AS665,30,FALSE)," ")</f>
        <v>858</v>
      </c>
      <c r="X79" t="s" s="143">
        <f>_xlfn.IFERROR(VLOOKUP($A79,'The List'!$B1:$AS665,31,FALSE)," ")</f>
        <v>858</v>
      </c>
      <c r="Y79" t="s" s="143">
        <f>_xlfn.IFERROR(VLOOKUP($A79,'The List'!$B1:$AS665,32,FALSE)," ")</f>
        <v>858</v>
      </c>
      <c r="Z79" t="s" s="143">
        <f>_xlfn.IFERROR(VLOOKUP($A79,'The List'!$B1:$AS665,33,FALSE)," ")</f>
        <v>858</v>
      </c>
      <c r="AA79" s="120"/>
      <c r="AB79" s="121"/>
      <c r="AC79" s="121"/>
      <c r="AD79" s="121"/>
      <c r="AE79" s="121"/>
      <c r="AF79" s="144"/>
    </row>
    <row r="80" ht="21.25" customHeight="1">
      <c r="A80" s="145"/>
      <c r="B80" s="146"/>
      <c r="C80" s="147"/>
      <c r="D80" s="148"/>
      <c r="E80" t="s" s="193">
        <f>_xlfn.IFERROR(AVERAGE(E60:E79)," ")</f>
        <v>858</v>
      </c>
      <c r="F80" s="150">
        <f>SUM(F60:F79)</f>
        <v>0</v>
      </c>
      <c r="G80" s="150">
        <f>SUM(G60:G79)</f>
        <v>0</v>
      </c>
      <c r="H80" s="151"/>
      <c r="I80" s="152">
        <f>SUM(I60:I79)</f>
        <v>0</v>
      </c>
      <c r="J80" s="151">
        <f>AVERAGE(J60:J79)</f>
      </c>
      <c r="K80" s="152">
        <f>SUM(K60:K79)</f>
        <v>0</v>
      </c>
      <c r="L80" s="152">
        <f>SUM(L60:L79)</f>
        <v>0</v>
      </c>
      <c r="M80" s="152">
        <f>SUM(M60:M79)</f>
        <v>0</v>
      </c>
      <c r="N80" s="152">
        <f>SUM(N60:N79)</f>
        <v>0</v>
      </c>
      <c r="O80" s="152">
        <f>SUM(O60:O79)</f>
        <v>0</v>
      </c>
      <c r="P80" s="152">
        <f>SUM(P60:P79)</f>
        <v>0</v>
      </c>
      <c r="Q80" s="152">
        <f>SUM(Q60:Q79)</f>
        <v>0</v>
      </c>
      <c r="R80" s="152">
        <f>SUM(R60:R79)</f>
        <v>0</v>
      </c>
      <c r="S80" s="152">
        <f>SUM(S60:S79)</f>
        <v>0</v>
      </c>
      <c r="T80" s="152">
        <f>SUM(T60:T79)</f>
        <v>0</v>
      </c>
      <c r="U80" s="152">
        <f>SUM(U60:U79)</f>
        <v>0</v>
      </c>
      <c r="V80" s="152">
        <f>SUM(V60:V79)</f>
        <v>0</v>
      </c>
      <c r="W80" s="152">
        <f>SUM(W60:W79)</f>
        <v>0</v>
      </c>
      <c r="X80" s="152">
        <f>SUM(X60:X79)</f>
        <v>0</v>
      </c>
      <c r="Y80" s="152">
        <f>SUM(Y60:Y79)</f>
        <v>0</v>
      </c>
      <c r="Z80" s="153">
        <f>_xlfn.IFERROR(X80/(X80+Y80),0)</f>
        <v>0</v>
      </c>
      <c r="AA80" s="120"/>
      <c r="AB80" s="154"/>
      <c r="AC80" s="154"/>
      <c r="AD80" s="154"/>
      <c r="AE80" s="154"/>
      <c r="AF80" s="155"/>
    </row>
    <row r="81" ht="21.25" customHeight="1">
      <c r="A81" s="156"/>
      <c r="B81" s="157"/>
      <c r="C81" s="158"/>
      <c r="D81" s="13"/>
      <c r="E81" s="13"/>
      <c r="F81" s="159"/>
      <c r="G81" s="160"/>
      <c r="H81" s="161"/>
      <c r="I81" s="162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1"/>
      <c r="AC81" s="121"/>
      <c r="AD81" s="121"/>
      <c r="AE81" s="121"/>
      <c r="AF81" s="144"/>
    </row>
    <row r="82" ht="21.25" customHeight="1">
      <c r="A82" t="s" s="163">
        <v>89</v>
      </c>
      <c r="B82" t="s" s="164">
        <v>91</v>
      </c>
      <c r="C82" s="31"/>
      <c r="D82" t="s" s="164">
        <v>92</v>
      </c>
      <c r="E82" t="s" s="164">
        <v>93</v>
      </c>
      <c r="F82" t="s" s="165">
        <v>95</v>
      </c>
      <c r="G82" t="s" s="165">
        <v>97</v>
      </c>
      <c r="H82" s="166"/>
      <c r="I82" t="s" s="167">
        <v>102</v>
      </c>
      <c r="J82" t="s" s="167">
        <v>118</v>
      </c>
      <c r="K82" t="s" s="167">
        <v>119</v>
      </c>
      <c r="L82" t="s" s="167">
        <v>120</v>
      </c>
      <c r="M82" t="s" s="167">
        <v>121</v>
      </c>
      <c r="N82" t="s" s="167">
        <v>122</v>
      </c>
      <c r="O82" t="s" s="167">
        <v>123</v>
      </c>
      <c r="P82" t="s" s="167">
        <v>124</v>
      </c>
      <c r="Q82" t="s" s="167">
        <v>125</v>
      </c>
      <c r="R82" s="120"/>
      <c r="S82" s="120"/>
      <c r="T82" s="120"/>
      <c r="U82" t="s" s="164">
        <v>876</v>
      </c>
      <c r="V82" s="166"/>
      <c r="W82" s="166"/>
      <c r="X82" t="s" s="164">
        <v>877</v>
      </c>
      <c r="Y82" s="166"/>
      <c r="Z82" s="166"/>
      <c r="AA82" s="120"/>
      <c r="AB82" s="120"/>
      <c r="AC82" s="120"/>
      <c r="AD82" s="120"/>
      <c r="AE82" s="120"/>
      <c r="AF82" s="168"/>
    </row>
    <row r="83" ht="21.25" customHeight="1">
      <c r="A83" s="194"/>
      <c r="B83" t="s" s="170">
        <f>_xlfn.IFERROR(VLOOKUP($A83,'The List'!$B1:$AS665,3,FALSE)," ")</f>
        <v>858</v>
      </c>
      <c r="C83" t="s" s="195">
        <f>_xlfn.IFERROR(VLOOKUP($A83,'The List'!$B1:$AS665,4,FALSE)," ")</f>
        <v>858</v>
      </c>
      <c r="D83" t="s" s="72">
        <f>_xlfn.IFERROR(VLOOKUP($A83,'The List'!$B1:$AS665,5,FALSE)," ")</f>
        <v>858</v>
      </c>
      <c r="E83" t="s" s="72">
        <f>_xlfn.IFERROR(VLOOKUP($A83,'The List'!$B1:$AS665,6,FALSE)," ")</f>
        <v>858</v>
      </c>
      <c r="F83" t="s" s="196">
        <f>_xlfn.IFERROR(VLOOKUP($A83,'The List'!$B1:$AS665,8,FALSE)," ")</f>
        <v>858</v>
      </c>
      <c r="G83" t="s" s="196">
        <f>_xlfn.IFERROR(VLOOKUP($A83,'The List'!$B1:$AS665,10,FALSE)," ")</f>
        <v>858</v>
      </c>
      <c r="H83" s="174"/>
      <c r="I83" t="s" s="197">
        <f>_xlfn.IFERROR(VLOOKUP($A83,'The List'!$B1:$AS665,35,FALSE)," ")</f>
        <v>858</v>
      </c>
      <c r="J83" t="s" s="197">
        <f>_xlfn.IFERROR(VLOOKUP($A83,'The List'!$B1:$AS665,36,FALSE)," ")</f>
        <v>858</v>
      </c>
      <c r="K83" t="s" s="197">
        <f>_xlfn.IFERROR(VLOOKUP($A83,'The List'!$B1:$AS665,37,FALSE)," ")</f>
        <v>858</v>
      </c>
      <c r="L83" t="s" s="197">
        <f>_xlfn.IFERROR(VLOOKUP($A83,'The List'!$B1:$AS665,38,FALSE)," ")</f>
        <v>858</v>
      </c>
      <c r="M83" t="s" s="197">
        <f>_xlfn.IFERROR(VLOOKUP($A83,'The List'!$B1:$AS665,39,FALSE)," ")</f>
        <v>858</v>
      </c>
      <c r="N83" t="s" s="197">
        <f>_xlfn.IFERROR(VLOOKUP($A83,'The List'!$B1:$AS665,40,FALSE)," ")</f>
        <v>858</v>
      </c>
      <c r="O83" t="s" s="197">
        <f>_xlfn.IFERROR(VLOOKUP($A83,'The List'!$B1:$AS665,41,FALSE)," ")</f>
        <v>858</v>
      </c>
      <c r="P83" t="s" s="197">
        <f>_xlfn.IFERROR(VLOOKUP($A83,'The List'!$B1:$AS665,42,FALSE)," ")</f>
        <v>858</v>
      </c>
      <c r="Q83" t="s" s="197">
        <f>_xlfn.IFERROR(VLOOKUP($A83,'The List'!$B1:$AS665,43,FALSE)," ")</f>
        <v>858</v>
      </c>
      <c r="R83" s="120"/>
      <c r="S83" s="120"/>
      <c r="T83" t="s" s="178">
        <f>A59</f>
        <v>881</v>
      </c>
      <c r="U83" s="179">
        <f>F80+F86</f>
        <v>0</v>
      </c>
      <c r="V83" s="31"/>
      <c r="W83" s="31"/>
      <c r="X83" s="179">
        <f>G86+G80</f>
        <v>0</v>
      </c>
      <c r="Y83" s="31"/>
      <c r="Z83" s="31"/>
      <c r="AA83" s="120"/>
      <c r="AB83" s="120"/>
      <c r="AC83" s="120"/>
      <c r="AD83" s="120"/>
      <c r="AE83" s="120"/>
      <c r="AF83" s="168"/>
    </row>
    <row r="84" ht="21.25" customHeight="1">
      <c r="A84" s="50"/>
      <c r="B84" t="s" s="180">
        <f>_xlfn.IFERROR(VLOOKUP($A84,'The List'!$B1:$AS665,3,FALSE)," ")</f>
        <v>858</v>
      </c>
      <c r="C84" t="s" s="181">
        <f>_xlfn.IFERROR(VLOOKUP($A84,'The List'!$B1:$AS665,4,FALSE)," ")</f>
        <v>858</v>
      </c>
      <c r="D84" t="s" s="86">
        <f>_xlfn.IFERROR(VLOOKUP($A84,'The List'!$B1:$AS665,5,FALSE)," ")</f>
        <v>858</v>
      </c>
      <c r="E84" t="s" s="86">
        <f>_xlfn.IFERROR(VLOOKUP($A84,'The List'!$B1:$AS665,6,FALSE)," ")</f>
        <v>858</v>
      </c>
      <c r="F84" t="s" s="124">
        <f>_xlfn.IFERROR(VLOOKUP($A84,'The List'!$B1:$AS665,8,FALSE)," ")</f>
        <v>858</v>
      </c>
      <c r="G84" t="s" s="124">
        <f>_xlfn.IFERROR(VLOOKUP($A84,'The List'!$B1:$AS665,10,FALSE)," ")</f>
        <v>858</v>
      </c>
      <c r="H84" s="77"/>
      <c r="I84" t="s" s="125">
        <f>_xlfn.IFERROR(VLOOKUP($A84,'The List'!$B1:$AS665,35,FALSE)," ")</f>
        <v>858</v>
      </c>
      <c r="J84" t="s" s="125">
        <f>_xlfn.IFERROR(VLOOKUP($A84,'The List'!$B1:$AS665,36,FALSE)," ")</f>
        <v>858</v>
      </c>
      <c r="K84" t="s" s="125">
        <f>_xlfn.IFERROR(VLOOKUP($A84,'The List'!$B1:$AS665,37,FALSE)," ")</f>
        <v>858</v>
      </c>
      <c r="L84" t="s" s="125">
        <f>_xlfn.IFERROR(VLOOKUP($A84,'The List'!$B1:$AS665,38,FALSE)," ")</f>
        <v>858</v>
      </c>
      <c r="M84" t="s" s="125">
        <f>_xlfn.IFERROR(VLOOKUP($A84,'The List'!$B1:$AS665,39,FALSE)," ")</f>
        <v>858</v>
      </c>
      <c r="N84" t="s" s="125">
        <f>_xlfn.IFERROR(VLOOKUP($A84,'The List'!$B1:$AS665,40,FALSE)," ")</f>
        <v>858</v>
      </c>
      <c r="O84" t="s" s="125">
        <f>_xlfn.IFERROR(VLOOKUP($A84,'The List'!$B1:$AS665,41,FALSE)," ")</f>
        <v>858</v>
      </c>
      <c r="P84" t="s" s="125">
        <f>_xlfn.IFERROR(VLOOKUP($A84,'The List'!$B1:$AS665,42,FALSE)," ")</f>
        <v>858</v>
      </c>
      <c r="Q84" t="s" s="125">
        <f>_xlfn.IFERROR(VLOOKUP($A84,'The List'!$B1:$AS665,43,FALSE)," ")</f>
        <v>858</v>
      </c>
      <c r="R84" s="120"/>
      <c r="S84" s="120"/>
      <c r="T84" s="120"/>
      <c r="U84" s="31"/>
      <c r="V84" s="31"/>
      <c r="W84" s="31"/>
      <c r="X84" s="31"/>
      <c r="Y84" s="31"/>
      <c r="Z84" s="31"/>
      <c r="AA84" s="120"/>
      <c r="AB84" s="120"/>
      <c r="AC84" s="120"/>
      <c r="AD84" s="120"/>
      <c r="AE84" s="120"/>
      <c r="AF84" s="168"/>
    </row>
    <row r="85" ht="21.25" customHeight="1">
      <c r="A85" s="137"/>
      <c r="B85" t="s" s="182">
        <f>_xlfn.IFERROR(VLOOKUP($A85,'The List'!$B1:$AS665,3,FALSE)," ")</f>
        <v>858</v>
      </c>
      <c r="C85" t="s" s="183">
        <f>_xlfn.IFERROR(VLOOKUP($A85,'The List'!$B1:$AS665,4,FALSE)," ")</f>
        <v>858</v>
      </c>
      <c r="D85" t="s" s="140">
        <f>_xlfn.IFERROR(VLOOKUP($A85,'The List'!$B1:$AS665,5,FALSE)," ")</f>
        <v>858</v>
      </c>
      <c r="E85" t="s" s="140">
        <f>_xlfn.IFERROR(VLOOKUP($A85,'The List'!$B1:$AS665,6,FALSE)," ")</f>
        <v>858</v>
      </c>
      <c r="F85" t="s" s="141">
        <f>_xlfn.IFERROR(VLOOKUP($A85,'The List'!$B1:$AS665,8,FALSE)," ")</f>
        <v>858</v>
      </c>
      <c r="G85" t="s" s="141">
        <f>_xlfn.IFERROR(VLOOKUP($A85,'The List'!$B1:$AS665,10,FALSE)," ")</f>
        <v>858</v>
      </c>
      <c r="H85" s="142"/>
      <c r="I85" t="s" s="143">
        <f>_xlfn.IFERROR(VLOOKUP($A85,'The List'!$B1:$AS665,35,FALSE)," ")</f>
        <v>858</v>
      </c>
      <c r="J85" t="s" s="143">
        <f>_xlfn.IFERROR(VLOOKUP($A85,'The List'!$B1:$AS665,36,FALSE)," ")</f>
        <v>858</v>
      </c>
      <c r="K85" t="s" s="143">
        <f>_xlfn.IFERROR(VLOOKUP($A85,'The List'!$B1:$AS665,37,FALSE)," ")</f>
        <v>858</v>
      </c>
      <c r="L85" t="s" s="143">
        <f>_xlfn.IFERROR(VLOOKUP($A85,'The List'!$B1:$AS665,38,FALSE)," ")</f>
        <v>858</v>
      </c>
      <c r="M85" t="s" s="143">
        <f>_xlfn.IFERROR(VLOOKUP($A85,'The List'!$B1:$AS665,39,FALSE)," ")</f>
        <v>858</v>
      </c>
      <c r="N85" t="s" s="143">
        <f>_xlfn.IFERROR(VLOOKUP($A85,'The List'!$B1:$AS665,40,FALSE)," ")</f>
        <v>858</v>
      </c>
      <c r="O85" t="s" s="143">
        <f>_xlfn.IFERROR(VLOOKUP($A85,'The List'!$B1:$AS665,41,FALSE)," ")</f>
        <v>858</v>
      </c>
      <c r="P85" t="s" s="143">
        <f>_xlfn.IFERROR(VLOOKUP($A85,'The List'!$B1:$AS665,42,FALSE)," ")</f>
        <v>858</v>
      </c>
      <c r="Q85" t="s" s="143">
        <f>_xlfn.IFERROR(VLOOKUP($A85,'The List'!$B1:$AS665,43,FALSE)," ")</f>
        <v>858</v>
      </c>
      <c r="R85" s="120"/>
      <c r="S85" s="120"/>
      <c r="T85" s="120"/>
      <c r="U85" s="31"/>
      <c r="V85" s="31"/>
      <c r="W85" s="31"/>
      <c r="X85" s="31"/>
      <c r="Y85" s="31"/>
      <c r="Z85" s="31"/>
      <c r="AA85" s="120"/>
      <c r="AB85" s="120"/>
      <c r="AC85" s="120"/>
      <c r="AD85" s="120"/>
      <c r="AE85" s="120"/>
      <c r="AF85" s="168"/>
    </row>
    <row r="86" ht="21.25" customHeight="1">
      <c r="A86" s="145"/>
      <c r="B86" s="146"/>
      <c r="C86" s="147"/>
      <c r="D86" s="148"/>
      <c r="E86" t="s" s="193">
        <f>_xlfn.IFERROR(AVERAGE(E83:E85)," ")</f>
        <v>858</v>
      </c>
      <c r="F86" s="150">
        <f>SUM(F83:F85)</f>
        <v>0</v>
      </c>
      <c r="G86" s="150">
        <f>SUM(G83:G85)</f>
        <v>0</v>
      </c>
      <c r="H86" s="151"/>
      <c r="I86" s="152">
        <f>SUM(I83:I85)</f>
        <v>0</v>
      </c>
      <c r="J86" s="151">
        <f>SUM(J83:J85)</f>
        <v>0</v>
      </c>
      <c r="K86" s="152">
        <f>SUM(K83:K85)</f>
        <v>0</v>
      </c>
      <c r="L86" s="152">
        <f>SUM(L83:L85)</f>
        <v>0</v>
      </c>
      <c r="M86" s="152">
        <f>SUM(M83:M85)</f>
        <v>0</v>
      </c>
      <c r="N86" s="152">
        <f>SUM(N83:N85)</f>
        <v>0</v>
      </c>
      <c r="O86" s="152">
        <f>SUM(O83:O85)</f>
        <v>0</v>
      </c>
      <c r="P86" s="184">
        <f>1-(O86/(N86+O86))</f>
      </c>
      <c r="Q86" s="185">
        <f>O86/I86</f>
      </c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68"/>
    </row>
    <row r="87" ht="70.75" customHeight="1">
      <c r="A87" s="156"/>
      <c r="B87" s="157"/>
      <c r="C87" s="158"/>
      <c r="D87" s="13"/>
      <c r="E87" s="13"/>
      <c r="F87" s="159"/>
      <c r="G87" s="160"/>
      <c r="H87" s="161"/>
      <c r="I87" s="162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1"/>
      <c r="AB87" s="121"/>
      <c r="AC87" s="121"/>
      <c r="AD87" s="121"/>
      <c r="AE87" s="121"/>
      <c r="AF87" s="144"/>
    </row>
    <row r="88" ht="21.25" customHeight="1">
      <c r="A88" t="s" s="186">
        <v>861</v>
      </c>
      <c r="B88" t="s" s="187">
        <v>91</v>
      </c>
      <c r="C88" s="45"/>
      <c r="D88" t="s" s="187">
        <v>92</v>
      </c>
      <c r="E88" t="s" s="187">
        <v>93</v>
      </c>
      <c r="F88" t="s" s="188">
        <v>95</v>
      </c>
      <c r="G88" t="s" s="188">
        <v>97</v>
      </c>
      <c r="H88" s="189"/>
      <c r="I88" t="s" s="190">
        <v>102</v>
      </c>
      <c r="J88" t="s" s="190">
        <v>55</v>
      </c>
      <c r="K88" t="s" s="190">
        <v>103</v>
      </c>
      <c r="L88" t="s" s="190">
        <v>104</v>
      </c>
      <c r="M88" t="s" s="190">
        <v>105</v>
      </c>
      <c r="N88" t="s" s="190">
        <v>106</v>
      </c>
      <c r="O88" t="s" s="190">
        <v>107</v>
      </c>
      <c r="P88" t="s" s="190">
        <v>63</v>
      </c>
      <c r="Q88" t="s" s="190">
        <v>108</v>
      </c>
      <c r="R88" t="s" s="190">
        <v>109</v>
      </c>
      <c r="S88" t="s" s="190">
        <v>110</v>
      </c>
      <c r="T88" t="s" s="190">
        <v>111</v>
      </c>
      <c r="U88" t="s" s="190">
        <v>112</v>
      </c>
      <c r="V88" t="s" s="190">
        <v>113</v>
      </c>
      <c r="W88" t="s" s="190">
        <v>114</v>
      </c>
      <c r="X88" t="s" s="190">
        <v>115</v>
      </c>
      <c r="Y88" t="s" s="190">
        <v>116</v>
      </c>
      <c r="Z88" t="s" s="190">
        <v>117</v>
      </c>
      <c r="AA88" s="120"/>
      <c r="AB88" s="191"/>
      <c r="AC88" s="191"/>
      <c r="AD88" s="191"/>
      <c r="AE88" s="191"/>
      <c r="AF88" s="192"/>
    </row>
    <row r="89" ht="21.25" customHeight="1">
      <c r="A89" s="50"/>
      <c r="B89" t="s" s="117">
        <f>_xlfn.IFERROR(VLOOKUP($A89,'The List'!$B1:$AS665,3,FALSE)," ")</f>
        <v>858</v>
      </c>
      <c r="C89" t="s" s="123">
        <f>_xlfn.IFERROR(VLOOKUP($A89,'The List'!$B1:$AS665,4,FALSE)," ")</f>
        <v>858</v>
      </c>
      <c r="D89" t="s" s="86">
        <f>_xlfn.IFERROR(VLOOKUP($A89,'The List'!$B1:$AS665,5,FALSE)," ")</f>
        <v>858</v>
      </c>
      <c r="E89" t="s" s="86">
        <f>_xlfn.IFERROR(VLOOKUP($A89,'The List'!$B1:$AS665,6,FALSE)," ")</f>
        <v>858</v>
      </c>
      <c r="F89" t="s" s="124">
        <f>_xlfn.IFERROR(VLOOKUP($A89,'The List'!$B1:$AS665,8,FALSE)," ")</f>
        <v>858</v>
      </c>
      <c r="G89" t="s" s="124">
        <f>_xlfn.IFERROR(VLOOKUP($A89,'The List'!$B1:$AS665,10,FALSE)," ")</f>
        <v>858</v>
      </c>
      <c r="H89" s="77"/>
      <c r="I89" t="s" s="125">
        <f>_xlfn.IFERROR(VLOOKUP($A89,'The List'!$B1:$AS665,16,FALSE)," ")</f>
        <v>858</v>
      </c>
      <c r="J89" t="s" s="125">
        <f>_xlfn.IFERROR(VLOOKUP($A89,'The List'!$B1:$AS665,17,FALSE)," ")</f>
        <v>858</v>
      </c>
      <c r="K89" t="s" s="125">
        <f>_xlfn.IFERROR(VLOOKUP($A89,'The List'!$B1:$AS665,18,FALSE)," ")</f>
        <v>858</v>
      </c>
      <c r="L89" t="s" s="125">
        <f>_xlfn.IFERROR(VLOOKUP($A89,'The List'!$B1:$AS665,19,FALSE)," ")</f>
        <v>858</v>
      </c>
      <c r="M89" t="s" s="125">
        <f>_xlfn.IFERROR(VLOOKUP($A89,'The List'!$B1:$AS665,20,FALSE)," ")</f>
        <v>858</v>
      </c>
      <c r="N89" t="s" s="125">
        <f>_xlfn.IFERROR(VLOOKUP($A89,'The List'!$B1:$AS665,21,FALSE)," ")</f>
        <v>858</v>
      </c>
      <c r="O89" t="s" s="125">
        <f>_xlfn.IFERROR(VLOOKUP($A89,'The List'!$B1:$AS665,22,FALSE)," ")</f>
        <v>858</v>
      </c>
      <c r="P89" t="s" s="125">
        <f>_xlfn.IFERROR(VLOOKUP($A89,'The List'!$B1:$AS665,23,FALSE)," ")</f>
        <v>858</v>
      </c>
      <c r="Q89" t="s" s="125">
        <f>_xlfn.IFERROR(VLOOKUP($A89,'The List'!$B1:$AS665,24,FALSE)," ")</f>
        <v>858</v>
      </c>
      <c r="R89" t="s" s="125">
        <f>_xlfn.IFERROR(VLOOKUP($A89,'The List'!$B1:$AS665,25,FALSE)," ")</f>
        <v>858</v>
      </c>
      <c r="S89" t="s" s="125">
        <f>_xlfn.IFERROR(VLOOKUP($A89,'The List'!$B1:$AS665,26,FALSE)," ")</f>
        <v>858</v>
      </c>
      <c r="T89" t="s" s="125">
        <f>_xlfn.IFERROR(VLOOKUP($A89,'The List'!$B1:$AS665,27,FALSE)," ")</f>
        <v>858</v>
      </c>
      <c r="U89" t="s" s="125">
        <f>_xlfn.IFERROR(VLOOKUP($A89,'The List'!$B1:$AS665,28,FALSE)," ")</f>
        <v>858</v>
      </c>
      <c r="V89" t="s" s="125">
        <f>_xlfn.IFERROR(VLOOKUP($A89,'The List'!$B1:$AS665,29,FALSE)," ")</f>
        <v>858</v>
      </c>
      <c r="W89" t="s" s="125">
        <f>_xlfn.IFERROR(VLOOKUP($A89,'The List'!$B1:$AS665,30,FALSE)," ")</f>
        <v>858</v>
      </c>
      <c r="X89" t="s" s="125">
        <f>_xlfn.IFERROR(VLOOKUP($A89,'The List'!$B1:$AS665,31,FALSE)," ")</f>
        <v>858</v>
      </c>
      <c r="Y89" t="s" s="125">
        <f>_xlfn.IFERROR(VLOOKUP($A89,'The List'!$B1:$AS665,32,FALSE)," ")</f>
        <v>858</v>
      </c>
      <c r="Z89" t="s" s="125">
        <f>_xlfn.IFERROR(VLOOKUP($A89,'The List'!$B1:$AS665,33,FALSE)," ")</f>
        <v>858</v>
      </c>
      <c r="AA89" s="120"/>
      <c r="AB89" s="121"/>
      <c r="AC89" s="121"/>
      <c r="AD89" s="121"/>
      <c r="AE89" s="121"/>
      <c r="AF89" s="144"/>
    </row>
    <row r="90" ht="21.25" customHeight="1">
      <c r="A90" s="50"/>
      <c r="B90" t="s" s="117">
        <f>_xlfn.IFERROR(VLOOKUP($A90,'The List'!$B1:$AS665,3,FALSE)," ")</f>
        <v>858</v>
      </c>
      <c r="C90" t="s" s="123">
        <f>_xlfn.IFERROR(VLOOKUP($A90,'The List'!$B1:$AS665,4,FALSE)," ")</f>
        <v>858</v>
      </c>
      <c r="D90" t="s" s="86">
        <f>_xlfn.IFERROR(VLOOKUP($A90,'The List'!$B1:$AS665,5,FALSE)," ")</f>
        <v>858</v>
      </c>
      <c r="E90" t="s" s="86">
        <f>_xlfn.IFERROR(VLOOKUP($A90,'The List'!$B1:$AS665,6,FALSE)," ")</f>
        <v>858</v>
      </c>
      <c r="F90" t="s" s="124">
        <f>_xlfn.IFERROR(VLOOKUP($A90,'The List'!$B1:$AS665,8,FALSE)," ")</f>
        <v>858</v>
      </c>
      <c r="G90" t="s" s="124">
        <f>_xlfn.IFERROR(VLOOKUP($A90,'The List'!$B1:$AS665,10,FALSE)," ")</f>
        <v>858</v>
      </c>
      <c r="H90" s="77"/>
      <c r="I90" t="s" s="125">
        <f>_xlfn.IFERROR(VLOOKUP($A90,'The List'!$B1:$AS665,16,FALSE)," ")</f>
        <v>858</v>
      </c>
      <c r="J90" t="s" s="125">
        <f>_xlfn.IFERROR(VLOOKUP($A90,'The List'!$B1:$AS665,17,FALSE)," ")</f>
        <v>858</v>
      </c>
      <c r="K90" t="s" s="125">
        <f>_xlfn.IFERROR(VLOOKUP($A90,'The List'!$B1:$AS665,18,FALSE)," ")</f>
        <v>858</v>
      </c>
      <c r="L90" t="s" s="125">
        <f>_xlfn.IFERROR(VLOOKUP($A90,'The List'!$B1:$AS665,19,FALSE)," ")</f>
        <v>858</v>
      </c>
      <c r="M90" t="s" s="125">
        <f>_xlfn.IFERROR(VLOOKUP($A90,'The List'!$B1:$AS665,20,FALSE)," ")</f>
        <v>858</v>
      </c>
      <c r="N90" t="s" s="125">
        <f>_xlfn.IFERROR(VLOOKUP($A90,'The List'!$B1:$AS665,21,FALSE)," ")</f>
        <v>858</v>
      </c>
      <c r="O90" t="s" s="125">
        <f>_xlfn.IFERROR(VLOOKUP($A90,'The List'!$B1:$AS665,22,FALSE)," ")</f>
        <v>858</v>
      </c>
      <c r="P90" t="s" s="125">
        <f>_xlfn.IFERROR(VLOOKUP($A90,'The List'!$B1:$AS665,23,FALSE)," ")</f>
        <v>858</v>
      </c>
      <c r="Q90" t="s" s="125">
        <f>_xlfn.IFERROR(VLOOKUP($A90,'The List'!$B1:$AS665,24,FALSE)," ")</f>
        <v>858</v>
      </c>
      <c r="R90" t="s" s="125">
        <f>_xlfn.IFERROR(VLOOKUP($A90,'The List'!$B1:$AS665,25,FALSE)," ")</f>
        <v>858</v>
      </c>
      <c r="S90" t="s" s="125">
        <f>_xlfn.IFERROR(VLOOKUP($A90,'The List'!$B1:$AS665,26,FALSE)," ")</f>
        <v>858</v>
      </c>
      <c r="T90" t="s" s="125">
        <f>_xlfn.IFERROR(VLOOKUP($A90,'The List'!$B1:$AS665,27,FALSE)," ")</f>
        <v>858</v>
      </c>
      <c r="U90" t="s" s="125">
        <f>_xlfn.IFERROR(VLOOKUP($A90,'The List'!$B1:$AS665,28,FALSE)," ")</f>
        <v>858</v>
      </c>
      <c r="V90" t="s" s="125">
        <f>_xlfn.IFERROR(VLOOKUP($A90,'The List'!$B1:$AS665,29,FALSE)," ")</f>
        <v>858</v>
      </c>
      <c r="W90" t="s" s="125">
        <f>_xlfn.IFERROR(VLOOKUP($A90,'The List'!$B1:$AS665,30,FALSE)," ")</f>
        <v>858</v>
      </c>
      <c r="X90" t="s" s="125">
        <f>_xlfn.IFERROR(VLOOKUP($A90,'The List'!$B1:$AS665,31,FALSE)," ")</f>
        <v>858</v>
      </c>
      <c r="Y90" t="s" s="125">
        <f>_xlfn.IFERROR(VLOOKUP($A90,'The List'!$B1:$AS665,32,FALSE)," ")</f>
        <v>858</v>
      </c>
      <c r="Z90" t="s" s="125">
        <f>_xlfn.IFERROR(VLOOKUP($A90,'The List'!$B1:$AS665,33,FALSE)," ")</f>
        <v>858</v>
      </c>
      <c r="AA90" s="120"/>
      <c r="AB90" s="121"/>
      <c r="AC90" s="121"/>
      <c r="AD90" s="121"/>
      <c r="AE90" s="121"/>
      <c r="AF90" s="144"/>
    </row>
    <row r="91" ht="21.25" customHeight="1">
      <c r="A91" s="50"/>
      <c r="B91" t="s" s="117">
        <f>_xlfn.IFERROR(VLOOKUP($A91,'The List'!$B1:$AS665,3,FALSE)," ")</f>
        <v>858</v>
      </c>
      <c r="C91" t="s" s="123">
        <f>_xlfn.IFERROR(VLOOKUP($A91,'The List'!$B1:$AS665,4,FALSE)," ")</f>
        <v>858</v>
      </c>
      <c r="D91" t="s" s="86">
        <f>_xlfn.IFERROR(VLOOKUP($A91,'The List'!$B1:$AS665,5,FALSE)," ")</f>
        <v>858</v>
      </c>
      <c r="E91" t="s" s="86">
        <f>_xlfn.IFERROR(VLOOKUP($A91,'The List'!$B1:$AS665,6,FALSE)," ")</f>
        <v>858</v>
      </c>
      <c r="F91" t="s" s="124">
        <f>_xlfn.IFERROR(VLOOKUP($A91,'The List'!$B1:$AS665,8,FALSE)," ")</f>
        <v>858</v>
      </c>
      <c r="G91" t="s" s="124">
        <f>_xlfn.IFERROR(VLOOKUP($A91,'The List'!$B1:$AS665,10,FALSE)," ")</f>
        <v>858</v>
      </c>
      <c r="H91" s="77"/>
      <c r="I91" t="s" s="125">
        <f>_xlfn.IFERROR(VLOOKUP($A91,'The List'!$B1:$AS665,16,FALSE)," ")</f>
        <v>858</v>
      </c>
      <c r="J91" t="s" s="125">
        <f>_xlfn.IFERROR(VLOOKUP($A91,'The List'!$B1:$AS665,17,FALSE)," ")</f>
        <v>858</v>
      </c>
      <c r="K91" t="s" s="125">
        <f>_xlfn.IFERROR(VLOOKUP($A91,'The List'!$B1:$AS665,18,FALSE)," ")</f>
        <v>858</v>
      </c>
      <c r="L91" t="s" s="125">
        <f>_xlfn.IFERROR(VLOOKUP($A91,'The List'!$B1:$AS665,19,FALSE)," ")</f>
        <v>858</v>
      </c>
      <c r="M91" t="s" s="125">
        <f>_xlfn.IFERROR(VLOOKUP($A91,'The List'!$B1:$AS665,20,FALSE)," ")</f>
        <v>858</v>
      </c>
      <c r="N91" t="s" s="125">
        <f>_xlfn.IFERROR(VLOOKUP($A91,'The List'!$B1:$AS665,21,FALSE)," ")</f>
        <v>858</v>
      </c>
      <c r="O91" t="s" s="125">
        <f>_xlfn.IFERROR(VLOOKUP($A91,'The List'!$B1:$AS665,22,FALSE)," ")</f>
        <v>858</v>
      </c>
      <c r="P91" t="s" s="125">
        <f>_xlfn.IFERROR(VLOOKUP($A91,'The List'!$B1:$AS665,23,FALSE)," ")</f>
        <v>858</v>
      </c>
      <c r="Q91" t="s" s="125">
        <f>_xlfn.IFERROR(VLOOKUP($A91,'The List'!$B1:$AS665,24,FALSE)," ")</f>
        <v>858</v>
      </c>
      <c r="R91" t="s" s="125">
        <f>_xlfn.IFERROR(VLOOKUP($A91,'The List'!$B1:$AS665,25,FALSE)," ")</f>
        <v>858</v>
      </c>
      <c r="S91" t="s" s="125">
        <f>_xlfn.IFERROR(VLOOKUP($A91,'The List'!$B1:$AS665,26,FALSE)," ")</f>
        <v>858</v>
      </c>
      <c r="T91" t="s" s="125">
        <f>_xlfn.IFERROR(VLOOKUP($A91,'The List'!$B1:$AS665,27,FALSE)," ")</f>
        <v>858</v>
      </c>
      <c r="U91" t="s" s="125">
        <f>_xlfn.IFERROR(VLOOKUP($A91,'The List'!$B1:$AS665,28,FALSE)," ")</f>
        <v>858</v>
      </c>
      <c r="V91" t="s" s="125">
        <f>_xlfn.IFERROR(VLOOKUP($A91,'The List'!$B1:$AS665,29,FALSE)," ")</f>
        <v>858</v>
      </c>
      <c r="W91" t="s" s="125">
        <f>_xlfn.IFERROR(VLOOKUP($A91,'The List'!$B1:$AS665,30,FALSE)," ")</f>
        <v>858</v>
      </c>
      <c r="X91" t="s" s="125">
        <f>_xlfn.IFERROR(VLOOKUP($A91,'The List'!$B1:$AS665,31,FALSE)," ")</f>
        <v>858</v>
      </c>
      <c r="Y91" t="s" s="125">
        <f>_xlfn.IFERROR(VLOOKUP($A91,'The List'!$B1:$AS665,32,FALSE)," ")</f>
        <v>858</v>
      </c>
      <c r="Z91" t="s" s="125">
        <f>_xlfn.IFERROR(VLOOKUP($A91,'The List'!$B1:$AS665,33,FALSE)," ")</f>
        <v>858</v>
      </c>
      <c r="AA91" s="120"/>
      <c r="AB91" s="121"/>
      <c r="AC91" s="121"/>
      <c r="AD91" s="121"/>
      <c r="AE91" s="121"/>
      <c r="AF91" s="144"/>
    </row>
    <row r="92" ht="21.25" customHeight="1">
      <c r="A92" s="50"/>
      <c r="B92" t="s" s="117">
        <f>_xlfn.IFERROR(VLOOKUP($A92,'The List'!$B1:$AS665,3,FALSE)," ")</f>
        <v>858</v>
      </c>
      <c r="C92" t="s" s="123">
        <f>_xlfn.IFERROR(VLOOKUP($A92,'The List'!$B1:$AS665,4,FALSE)," ")</f>
        <v>858</v>
      </c>
      <c r="D92" t="s" s="86">
        <f>_xlfn.IFERROR(VLOOKUP($A92,'The List'!$B1:$AS665,5,FALSE)," ")</f>
        <v>858</v>
      </c>
      <c r="E92" t="s" s="86">
        <f>_xlfn.IFERROR(VLOOKUP($A92,'The List'!$B1:$AS665,6,FALSE)," ")</f>
        <v>858</v>
      </c>
      <c r="F92" t="s" s="124">
        <f>_xlfn.IFERROR(VLOOKUP($A92,'The List'!$B1:$AS665,8,FALSE)," ")</f>
        <v>858</v>
      </c>
      <c r="G92" t="s" s="124">
        <f>_xlfn.IFERROR(VLOOKUP($A92,'The List'!$B1:$AS665,10,FALSE)," ")</f>
        <v>858</v>
      </c>
      <c r="H92" s="77"/>
      <c r="I92" t="s" s="125">
        <f>_xlfn.IFERROR(VLOOKUP($A92,'The List'!$B1:$AS665,16,FALSE)," ")</f>
        <v>858</v>
      </c>
      <c r="J92" t="s" s="125">
        <f>_xlfn.IFERROR(VLOOKUP($A92,'The List'!$B1:$AS665,17,FALSE)," ")</f>
        <v>858</v>
      </c>
      <c r="K92" t="s" s="125">
        <f>_xlfn.IFERROR(VLOOKUP($A92,'The List'!$B1:$AS665,18,FALSE)," ")</f>
        <v>858</v>
      </c>
      <c r="L92" t="s" s="125">
        <f>_xlfn.IFERROR(VLOOKUP($A92,'The List'!$B1:$AS665,19,FALSE)," ")</f>
        <v>858</v>
      </c>
      <c r="M92" t="s" s="125">
        <f>_xlfn.IFERROR(VLOOKUP($A92,'The List'!$B1:$AS665,20,FALSE)," ")</f>
        <v>858</v>
      </c>
      <c r="N92" t="s" s="125">
        <f>_xlfn.IFERROR(VLOOKUP($A92,'The List'!$B1:$AS665,21,FALSE)," ")</f>
        <v>858</v>
      </c>
      <c r="O92" t="s" s="125">
        <f>_xlfn.IFERROR(VLOOKUP($A92,'The List'!$B1:$AS665,22,FALSE)," ")</f>
        <v>858</v>
      </c>
      <c r="P92" t="s" s="125">
        <f>_xlfn.IFERROR(VLOOKUP($A92,'The List'!$B1:$AS665,23,FALSE)," ")</f>
        <v>858</v>
      </c>
      <c r="Q92" t="s" s="125">
        <f>_xlfn.IFERROR(VLOOKUP($A92,'The List'!$B1:$AS665,24,FALSE)," ")</f>
        <v>858</v>
      </c>
      <c r="R92" t="s" s="125">
        <f>_xlfn.IFERROR(VLOOKUP($A92,'The List'!$B1:$AS665,25,FALSE)," ")</f>
        <v>858</v>
      </c>
      <c r="S92" t="s" s="125">
        <f>_xlfn.IFERROR(VLOOKUP($A92,'The List'!$B1:$AS665,26,FALSE)," ")</f>
        <v>858</v>
      </c>
      <c r="T92" t="s" s="125">
        <f>_xlfn.IFERROR(VLOOKUP($A92,'The List'!$B1:$AS665,27,FALSE)," ")</f>
        <v>858</v>
      </c>
      <c r="U92" t="s" s="125">
        <f>_xlfn.IFERROR(VLOOKUP($A92,'The List'!$B1:$AS665,28,FALSE)," ")</f>
        <v>858</v>
      </c>
      <c r="V92" t="s" s="125">
        <f>_xlfn.IFERROR(VLOOKUP($A92,'The List'!$B1:$AS665,29,FALSE)," ")</f>
        <v>858</v>
      </c>
      <c r="W92" t="s" s="125">
        <f>_xlfn.IFERROR(VLOOKUP($A92,'The List'!$B1:$AS665,30,FALSE)," ")</f>
        <v>858</v>
      </c>
      <c r="X92" t="s" s="125">
        <f>_xlfn.IFERROR(VLOOKUP($A92,'The List'!$B1:$AS665,31,FALSE)," ")</f>
        <v>858</v>
      </c>
      <c r="Y92" t="s" s="125">
        <f>_xlfn.IFERROR(VLOOKUP($A92,'The List'!$B1:$AS665,32,FALSE)," ")</f>
        <v>858</v>
      </c>
      <c r="Z92" t="s" s="125">
        <f>_xlfn.IFERROR(VLOOKUP($A92,'The List'!$B1:$AS665,33,FALSE)," ")</f>
        <v>858</v>
      </c>
      <c r="AA92" s="120"/>
      <c r="AB92" s="121"/>
      <c r="AC92" s="121"/>
      <c r="AD92" s="121"/>
      <c r="AE92" s="121"/>
      <c r="AF92" s="144"/>
    </row>
    <row r="93" ht="21.25" customHeight="1">
      <c r="A93" s="50"/>
      <c r="B93" t="s" s="126">
        <f>_xlfn.IFERROR(VLOOKUP($A93,'The List'!$B1:$AS665,3,FALSE)," ")</f>
        <v>858</v>
      </c>
      <c r="C93" t="s" s="128">
        <f>_xlfn.IFERROR(VLOOKUP($A93,'The List'!$B1:$AS665,4,FALSE)," ")</f>
        <v>858</v>
      </c>
      <c r="D93" t="s" s="86">
        <f>_xlfn.IFERROR(VLOOKUP($A93,'The List'!$B1:$AS665,5,FALSE)," ")</f>
        <v>858</v>
      </c>
      <c r="E93" t="s" s="86">
        <f>_xlfn.IFERROR(VLOOKUP($A93,'The List'!$B1:$AS665,6,FALSE)," ")</f>
        <v>858</v>
      </c>
      <c r="F93" t="s" s="124">
        <f>_xlfn.IFERROR(VLOOKUP($A93,'The List'!$B1:$AS665,8,FALSE)," ")</f>
        <v>858</v>
      </c>
      <c r="G93" t="s" s="124">
        <f>_xlfn.IFERROR(VLOOKUP($A93,'The List'!$B1:$AS665,10,FALSE)," ")</f>
        <v>858</v>
      </c>
      <c r="H93" s="77"/>
      <c r="I93" t="s" s="125">
        <f>_xlfn.IFERROR(VLOOKUP($A93,'The List'!$B1:$AS665,16,FALSE)," ")</f>
        <v>858</v>
      </c>
      <c r="J93" t="s" s="125">
        <f>_xlfn.IFERROR(VLOOKUP($A93,'The List'!$B1:$AS665,17,FALSE)," ")</f>
        <v>858</v>
      </c>
      <c r="K93" t="s" s="125">
        <f>_xlfn.IFERROR(VLOOKUP($A93,'The List'!$B1:$AS665,18,FALSE)," ")</f>
        <v>858</v>
      </c>
      <c r="L93" t="s" s="125">
        <f>_xlfn.IFERROR(VLOOKUP($A93,'The List'!$B1:$AS665,19,FALSE)," ")</f>
        <v>858</v>
      </c>
      <c r="M93" t="s" s="125">
        <f>_xlfn.IFERROR(VLOOKUP($A93,'The List'!$B1:$AS665,20,FALSE)," ")</f>
        <v>858</v>
      </c>
      <c r="N93" t="s" s="125">
        <f>_xlfn.IFERROR(VLOOKUP($A93,'The List'!$B1:$AS665,21,FALSE)," ")</f>
        <v>858</v>
      </c>
      <c r="O93" t="s" s="125">
        <f>_xlfn.IFERROR(VLOOKUP($A93,'The List'!$B1:$AS665,22,FALSE)," ")</f>
        <v>858</v>
      </c>
      <c r="P93" t="s" s="125">
        <f>_xlfn.IFERROR(VLOOKUP($A93,'The List'!$B1:$AS665,23,FALSE)," ")</f>
        <v>858</v>
      </c>
      <c r="Q93" t="s" s="125">
        <f>_xlfn.IFERROR(VLOOKUP($A93,'The List'!$B1:$AS665,24,FALSE)," ")</f>
        <v>858</v>
      </c>
      <c r="R93" t="s" s="125">
        <f>_xlfn.IFERROR(VLOOKUP($A93,'The List'!$B1:$AS665,25,FALSE)," ")</f>
        <v>858</v>
      </c>
      <c r="S93" t="s" s="125">
        <f>_xlfn.IFERROR(VLOOKUP($A93,'The List'!$B1:$AS665,26,FALSE)," ")</f>
        <v>858</v>
      </c>
      <c r="T93" t="s" s="125">
        <f>_xlfn.IFERROR(VLOOKUP($A93,'The List'!$B1:$AS665,27,FALSE)," ")</f>
        <v>858</v>
      </c>
      <c r="U93" t="s" s="125">
        <f>_xlfn.IFERROR(VLOOKUP($A93,'The List'!$B1:$AS665,28,FALSE)," ")</f>
        <v>858</v>
      </c>
      <c r="V93" t="s" s="125">
        <f>_xlfn.IFERROR(VLOOKUP($A93,'The List'!$B1:$AS665,29,FALSE)," ")</f>
        <v>858</v>
      </c>
      <c r="W93" t="s" s="125">
        <f>_xlfn.IFERROR(VLOOKUP($A93,'The List'!$B1:$AS665,30,FALSE)," ")</f>
        <v>858</v>
      </c>
      <c r="X93" t="s" s="125">
        <f>_xlfn.IFERROR(VLOOKUP($A93,'The List'!$B1:$AS665,31,FALSE)," ")</f>
        <v>858</v>
      </c>
      <c r="Y93" t="s" s="125">
        <f>_xlfn.IFERROR(VLOOKUP($A93,'The List'!$B1:$AS665,32,FALSE)," ")</f>
        <v>858</v>
      </c>
      <c r="Z93" t="s" s="125">
        <f>_xlfn.IFERROR(VLOOKUP($A93,'The List'!$B1:$AS665,33,FALSE)," ")</f>
        <v>858</v>
      </c>
      <c r="AA93" s="120"/>
      <c r="AB93" s="121"/>
      <c r="AC93" s="121"/>
      <c r="AD93" s="121"/>
      <c r="AE93" s="121"/>
      <c r="AF93" s="144"/>
    </row>
    <row r="94" ht="21.25" customHeight="1">
      <c r="A94" s="50"/>
      <c r="B94" t="s" s="126">
        <f>_xlfn.IFERROR(VLOOKUP($A94,'The List'!$B1:$AS665,3,FALSE)," ")</f>
        <v>858</v>
      </c>
      <c r="C94" t="s" s="128">
        <f>_xlfn.IFERROR(VLOOKUP($A94,'The List'!$B1:$AS665,4,FALSE)," ")</f>
        <v>858</v>
      </c>
      <c r="D94" t="s" s="86">
        <f>_xlfn.IFERROR(VLOOKUP($A94,'The List'!$B1:$AS665,5,FALSE)," ")</f>
        <v>858</v>
      </c>
      <c r="E94" t="s" s="86">
        <f>_xlfn.IFERROR(VLOOKUP($A94,'The List'!$B1:$AS665,6,FALSE)," ")</f>
        <v>858</v>
      </c>
      <c r="F94" t="s" s="124">
        <f>_xlfn.IFERROR(VLOOKUP($A94,'The List'!$B1:$AS665,8,FALSE)," ")</f>
        <v>858</v>
      </c>
      <c r="G94" t="s" s="124">
        <f>_xlfn.IFERROR(VLOOKUP($A94,'The List'!$B1:$AS665,10,FALSE)," ")</f>
        <v>858</v>
      </c>
      <c r="H94" s="77"/>
      <c r="I94" t="s" s="125">
        <f>_xlfn.IFERROR(VLOOKUP($A94,'The List'!$B1:$AS665,16,FALSE)," ")</f>
        <v>858</v>
      </c>
      <c r="J94" t="s" s="125">
        <f>_xlfn.IFERROR(VLOOKUP($A94,'The List'!$B1:$AS665,17,FALSE)," ")</f>
        <v>858</v>
      </c>
      <c r="K94" t="s" s="125">
        <f>_xlfn.IFERROR(VLOOKUP($A94,'The List'!$B1:$AS665,18,FALSE)," ")</f>
        <v>858</v>
      </c>
      <c r="L94" t="s" s="125">
        <f>_xlfn.IFERROR(VLOOKUP($A94,'The List'!$B1:$AS665,19,FALSE)," ")</f>
        <v>858</v>
      </c>
      <c r="M94" t="s" s="125">
        <f>_xlfn.IFERROR(VLOOKUP($A94,'The List'!$B1:$AS665,20,FALSE)," ")</f>
        <v>858</v>
      </c>
      <c r="N94" t="s" s="125">
        <f>_xlfn.IFERROR(VLOOKUP($A94,'The List'!$B1:$AS665,21,FALSE)," ")</f>
        <v>858</v>
      </c>
      <c r="O94" t="s" s="125">
        <f>_xlfn.IFERROR(VLOOKUP($A94,'The List'!$B1:$AS665,22,FALSE)," ")</f>
        <v>858</v>
      </c>
      <c r="P94" t="s" s="125">
        <f>_xlfn.IFERROR(VLOOKUP($A94,'The List'!$B1:$AS665,23,FALSE)," ")</f>
        <v>858</v>
      </c>
      <c r="Q94" t="s" s="125">
        <f>_xlfn.IFERROR(VLOOKUP($A94,'The List'!$B1:$AS665,24,FALSE)," ")</f>
        <v>858</v>
      </c>
      <c r="R94" t="s" s="125">
        <f>_xlfn.IFERROR(VLOOKUP($A94,'The List'!$B1:$AS665,25,FALSE)," ")</f>
        <v>858</v>
      </c>
      <c r="S94" t="s" s="125">
        <f>_xlfn.IFERROR(VLOOKUP($A94,'The List'!$B1:$AS665,26,FALSE)," ")</f>
        <v>858</v>
      </c>
      <c r="T94" t="s" s="125">
        <f>_xlfn.IFERROR(VLOOKUP($A94,'The List'!$B1:$AS665,27,FALSE)," ")</f>
        <v>858</v>
      </c>
      <c r="U94" t="s" s="125">
        <f>_xlfn.IFERROR(VLOOKUP($A94,'The List'!$B1:$AS665,28,FALSE)," ")</f>
        <v>858</v>
      </c>
      <c r="V94" t="s" s="125">
        <f>_xlfn.IFERROR(VLOOKUP($A94,'The List'!$B1:$AS665,29,FALSE)," ")</f>
        <v>858</v>
      </c>
      <c r="W94" t="s" s="125">
        <f>_xlfn.IFERROR(VLOOKUP($A94,'The List'!$B1:$AS665,30,FALSE)," ")</f>
        <v>858</v>
      </c>
      <c r="X94" t="s" s="125">
        <f>_xlfn.IFERROR(VLOOKUP($A94,'The List'!$B1:$AS665,31,FALSE)," ")</f>
        <v>858</v>
      </c>
      <c r="Y94" t="s" s="125">
        <f>_xlfn.IFERROR(VLOOKUP($A94,'The List'!$B1:$AS665,32,FALSE)," ")</f>
        <v>858</v>
      </c>
      <c r="Z94" t="s" s="125">
        <f>_xlfn.IFERROR(VLOOKUP($A94,'The List'!$B1:$AS665,33,FALSE)," ")</f>
        <v>858</v>
      </c>
      <c r="AA94" s="120"/>
      <c r="AB94" s="121"/>
      <c r="AC94" s="121"/>
      <c r="AD94" s="121"/>
      <c r="AE94" s="121"/>
      <c r="AF94" s="144"/>
    </row>
    <row r="95" ht="21.25" customHeight="1">
      <c r="A95" s="50"/>
      <c r="B95" t="s" s="126">
        <f>_xlfn.IFERROR(VLOOKUP($A95,'The List'!$B1:$AS665,3,FALSE)," ")</f>
        <v>858</v>
      </c>
      <c r="C95" t="s" s="128">
        <f>_xlfn.IFERROR(VLOOKUP($A95,'The List'!$B1:$AS665,4,FALSE)," ")</f>
        <v>858</v>
      </c>
      <c r="D95" t="s" s="86">
        <f>_xlfn.IFERROR(VLOOKUP($A95,'The List'!$B1:$AS665,5,FALSE)," ")</f>
        <v>858</v>
      </c>
      <c r="E95" t="s" s="86">
        <f>_xlfn.IFERROR(VLOOKUP($A95,'The List'!$B1:$AS665,6,FALSE)," ")</f>
        <v>858</v>
      </c>
      <c r="F95" t="s" s="124">
        <f>_xlfn.IFERROR(VLOOKUP($A95,'The List'!$B1:$AS665,8,FALSE)," ")</f>
        <v>858</v>
      </c>
      <c r="G95" t="s" s="124">
        <f>_xlfn.IFERROR(VLOOKUP($A95,'The List'!$B1:$AS665,10,FALSE)," ")</f>
        <v>858</v>
      </c>
      <c r="H95" s="77"/>
      <c r="I95" t="s" s="125">
        <f>_xlfn.IFERROR(VLOOKUP($A95,'The List'!$B1:$AS665,16,FALSE)," ")</f>
        <v>858</v>
      </c>
      <c r="J95" t="s" s="125">
        <f>_xlfn.IFERROR(VLOOKUP($A95,'The List'!$B1:$AS665,17,FALSE)," ")</f>
        <v>858</v>
      </c>
      <c r="K95" t="s" s="125">
        <f>_xlfn.IFERROR(VLOOKUP($A95,'The List'!$B1:$AS665,18,FALSE)," ")</f>
        <v>858</v>
      </c>
      <c r="L95" t="s" s="125">
        <f>_xlfn.IFERROR(VLOOKUP($A95,'The List'!$B1:$AS665,19,FALSE)," ")</f>
        <v>858</v>
      </c>
      <c r="M95" t="s" s="125">
        <f>_xlfn.IFERROR(VLOOKUP($A95,'The List'!$B1:$AS665,20,FALSE)," ")</f>
        <v>858</v>
      </c>
      <c r="N95" t="s" s="125">
        <f>_xlfn.IFERROR(VLOOKUP($A95,'The List'!$B1:$AS665,21,FALSE)," ")</f>
        <v>858</v>
      </c>
      <c r="O95" t="s" s="125">
        <f>_xlfn.IFERROR(VLOOKUP($A95,'The List'!$B1:$AS665,22,FALSE)," ")</f>
        <v>858</v>
      </c>
      <c r="P95" t="s" s="125">
        <f>_xlfn.IFERROR(VLOOKUP($A95,'The List'!$B1:$AS665,23,FALSE)," ")</f>
        <v>858</v>
      </c>
      <c r="Q95" t="s" s="125">
        <f>_xlfn.IFERROR(VLOOKUP($A95,'The List'!$B1:$AS665,24,FALSE)," ")</f>
        <v>858</v>
      </c>
      <c r="R95" t="s" s="125">
        <f>_xlfn.IFERROR(VLOOKUP($A95,'The List'!$B1:$AS665,25,FALSE)," ")</f>
        <v>858</v>
      </c>
      <c r="S95" t="s" s="125">
        <f>_xlfn.IFERROR(VLOOKUP($A95,'The List'!$B1:$AS665,26,FALSE)," ")</f>
        <v>858</v>
      </c>
      <c r="T95" t="s" s="125">
        <f>_xlfn.IFERROR(VLOOKUP($A95,'The List'!$B1:$AS665,27,FALSE)," ")</f>
        <v>858</v>
      </c>
      <c r="U95" t="s" s="125">
        <f>_xlfn.IFERROR(VLOOKUP($A95,'The List'!$B1:$AS665,28,FALSE)," ")</f>
        <v>858</v>
      </c>
      <c r="V95" t="s" s="125">
        <f>_xlfn.IFERROR(VLOOKUP($A95,'The List'!$B1:$AS665,29,FALSE)," ")</f>
        <v>858</v>
      </c>
      <c r="W95" t="s" s="125">
        <f>_xlfn.IFERROR(VLOOKUP($A95,'The List'!$B1:$AS665,30,FALSE)," ")</f>
        <v>858</v>
      </c>
      <c r="X95" t="s" s="125">
        <f>_xlfn.IFERROR(VLOOKUP($A95,'The List'!$B1:$AS665,31,FALSE)," ")</f>
        <v>858</v>
      </c>
      <c r="Y95" t="s" s="125">
        <f>_xlfn.IFERROR(VLOOKUP($A95,'The List'!$B1:$AS665,32,FALSE)," ")</f>
        <v>858</v>
      </c>
      <c r="Z95" t="s" s="125">
        <f>_xlfn.IFERROR(VLOOKUP($A95,'The List'!$B1:$AS665,33,FALSE)," ")</f>
        <v>858</v>
      </c>
      <c r="AA95" s="120"/>
      <c r="AB95" s="121"/>
      <c r="AC95" s="121"/>
      <c r="AD95" s="121"/>
      <c r="AE95" s="121"/>
      <c r="AF95" s="144"/>
    </row>
    <row r="96" ht="21.25" customHeight="1">
      <c r="A96" s="50"/>
      <c r="B96" t="s" s="126">
        <f>_xlfn.IFERROR(VLOOKUP($A96,'The List'!$B1:$AS665,3,FALSE)," ")</f>
        <v>858</v>
      </c>
      <c r="C96" t="s" s="128">
        <f>_xlfn.IFERROR(VLOOKUP($A96,'The List'!$B1:$AS665,4,FALSE)," ")</f>
        <v>858</v>
      </c>
      <c r="D96" t="s" s="86">
        <f>_xlfn.IFERROR(VLOOKUP($A96,'The List'!$B1:$AS665,5,FALSE)," ")</f>
        <v>858</v>
      </c>
      <c r="E96" t="s" s="86">
        <f>_xlfn.IFERROR(VLOOKUP($A96,'The List'!$B1:$AS665,6,FALSE)," ")</f>
        <v>858</v>
      </c>
      <c r="F96" t="s" s="124">
        <f>_xlfn.IFERROR(VLOOKUP($A96,'The List'!$B1:$AS665,8,FALSE)," ")</f>
        <v>858</v>
      </c>
      <c r="G96" t="s" s="124">
        <f>_xlfn.IFERROR(VLOOKUP($A96,'The List'!$B1:$AS665,10,FALSE)," ")</f>
        <v>858</v>
      </c>
      <c r="H96" s="77"/>
      <c r="I96" t="s" s="125">
        <f>_xlfn.IFERROR(VLOOKUP($A96,'The List'!$B1:$AS665,16,FALSE)," ")</f>
        <v>858</v>
      </c>
      <c r="J96" t="s" s="125">
        <f>_xlfn.IFERROR(VLOOKUP($A96,'The List'!$B1:$AS665,17,FALSE)," ")</f>
        <v>858</v>
      </c>
      <c r="K96" t="s" s="125">
        <f>_xlfn.IFERROR(VLOOKUP($A96,'The List'!$B1:$AS665,18,FALSE)," ")</f>
        <v>858</v>
      </c>
      <c r="L96" t="s" s="125">
        <f>_xlfn.IFERROR(VLOOKUP($A96,'The List'!$B1:$AS665,19,FALSE)," ")</f>
        <v>858</v>
      </c>
      <c r="M96" t="s" s="125">
        <f>_xlfn.IFERROR(VLOOKUP($A96,'The List'!$B1:$AS665,20,FALSE)," ")</f>
        <v>858</v>
      </c>
      <c r="N96" t="s" s="125">
        <f>_xlfn.IFERROR(VLOOKUP($A96,'The List'!$B1:$AS665,21,FALSE)," ")</f>
        <v>858</v>
      </c>
      <c r="O96" t="s" s="125">
        <f>_xlfn.IFERROR(VLOOKUP($A96,'The List'!$B1:$AS665,22,FALSE)," ")</f>
        <v>858</v>
      </c>
      <c r="P96" t="s" s="125">
        <f>_xlfn.IFERROR(VLOOKUP($A96,'The List'!$B1:$AS665,23,FALSE)," ")</f>
        <v>858</v>
      </c>
      <c r="Q96" t="s" s="125">
        <f>_xlfn.IFERROR(VLOOKUP($A96,'The List'!$B1:$AS665,24,FALSE)," ")</f>
        <v>858</v>
      </c>
      <c r="R96" t="s" s="125">
        <f>_xlfn.IFERROR(VLOOKUP($A96,'The List'!$B1:$AS665,25,FALSE)," ")</f>
        <v>858</v>
      </c>
      <c r="S96" t="s" s="125">
        <f>_xlfn.IFERROR(VLOOKUP($A96,'The List'!$B1:$AS665,26,FALSE)," ")</f>
        <v>858</v>
      </c>
      <c r="T96" t="s" s="125">
        <f>_xlfn.IFERROR(VLOOKUP($A96,'The List'!$B1:$AS665,27,FALSE)," ")</f>
        <v>858</v>
      </c>
      <c r="U96" t="s" s="125">
        <f>_xlfn.IFERROR(VLOOKUP($A96,'The List'!$B1:$AS665,28,FALSE)," ")</f>
        <v>858</v>
      </c>
      <c r="V96" t="s" s="125">
        <f>_xlfn.IFERROR(VLOOKUP($A96,'The List'!$B1:$AS665,29,FALSE)," ")</f>
        <v>858</v>
      </c>
      <c r="W96" t="s" s="125">
        <f>_xlfn.IFERROR(VLOOKUP($A96,'The List'!$B1:$AS665,30,FALSE)," ")</f>
        <v>858</v>
      </c>
      <c r="X96" t="s" s="125">
        <f>_xlfn.IFERROR(VLOOKUP($A96,'The List'!$B1:$AS665,31,FALSE)," ")</f>
        <v>858</v>
      </c>
      <c r="Y96" t="s" s="125">
        <f>_xlfn.IFERROR(VLOOKUP($A96,'The List'!$B1:$AS665,32,FALSE)," ")</f>
        <v>858</v>
      </c>
      <c r="Z96" t="s" s="125">
        <f>_xlfn.IFERROR(VLOOKUP($A96,'The List'!$B1:$AS665,33,FALSE)," ")</f>
        <v>858</v>
      </c>
      <c r="AA96" s="120"/>
      <c r="AB96" s="121"/>
      <c r="AC96" s="121"/>
      <c r="AD96" s="121"/>
      <c r="AE96" s="121"/>
      <c r="AF96" s="144"/>
    </row>
    <row r="97" ht="21.25" customHeight="1">
      <c r="A97" s="50"/>
      <c r="B97" t="s" s="129">
        <f>_xlfn.IFERROR(VLOOKUP($A97,'The List'!$B1:$AS665,3,FALSE)," ")</f>
        <v>858</v>
      </c>
      <c r="C97" t="s" s="131">
        <f>_xlfn.IFERROR(VLOOKUP($A97,'The List'!$B1:$AS665,4,FALSE)," ")</f>
        <v>858</v>
      </c>
      <c r="D97" t="s" s="86">
        <f>_xlfn.IFERROR(VLOOKUP($A97,'The List'!$B1:$AS665,5,FALSE)," ")</f>
        <v>858</v>
      </c>
      <c r="E97" t="s" s="86">
        <f>_xlfn.IFERROR(VLOOKUP($A97,'The List'!$B1:$AS665,6,FALSE)," ")</f>
        <v>858</v>
      </c>
      <c r="F97" t="s" s="124">
        <f>_xlfn.IFERROR(VLOOKUP($A97,'The List'!$B1:$AS665,8,FALSE)," ")</f>
        <v>858</v>
      </c>
      <c r="G97" t="s" s="124">
        <f>_xlfn.IFERROR(VLOOKUP($A97,'The List'!$B1:$AS665,10,FALSE)," ")</f>
        <v>858</v>
      </c>
      <c r="H97" s="77"/>
      <c r="I97" t="s" s="125">
        <f>_xlfn.IFERROR(VLOOKUP($A97,'The List'!$B1:$AS665,16,FALSE)," ")</f>
        <v>858</v>
      </c>
      <c r="J97" t="s" s="125">
        <f>_xlfn.IFERROR(VLOOKUP($A97,'The List'!$B1:$AS665,17,FALSE)," ")</f>
        <v>858</v>
      </c>
      <c r="K97" t="s" s="125">
        <f>_xlfn.IFERROR(VLOOKUP($A97,'The List'!$B1:$AS665,18,FALSE)," ")</f>
        <v>858</v>
      </c>
      <c r="L97" t="s" s="125">
        <f>_xlfn.IFERROR(VLOOKUP($A97,'The List'!$B1:$AS665,19,FALSE)," ")</f>
        <v>858</v>
      </c>
      <c r="M97" t="s" s="125">
        <f>_xlfn.IFERROR(VLOOKUP($A97,'The List'!$B1:$AS665,20,FALSE)," ")</f>
        <v>858</v>
      </c>
      <c r="N97" t="s" s="125">
        <f>_xlfn.IFERROR(VLOOKUP($A97,'The List'!$B1:$AS665,21,FALSE)," ")</f>
        <v>858</v>
      </c>
      <c r="O97" t="s" s="125">
        <f>_xlfn.IFERROR(VLOOKUP($A97,'The List'!$B1:$AS665,22,FALSE)," ")</f>
        <v>858</v>
      </c>
      <c r="P97" t="s" s="125">
        <f>_xlfn.IFERROR(VLOOKUP($A97,'The List'!$B1:$AS665,23,FALSE)," ")</f>
        <v>858</v>
      </c>
      <c r="Q97" t="s" s="125">
        <f>_xlfn.IFERROR(VLOOKUP($A97,'The List'!$B1:$AS665,24,FALSE)," ")</f>
        <v>858</v>
      </c>
      <c r="R97" t="s" s="125">
        <f>_xlfn.IFERROR(VLOOKUP($A97,'The List'!$B1:$AS665,25,FALSE)," ")</f>
        <v>858</v>
      </c>
      <c r="S97" t="s" s="125">
        <f>_xlfn.IFERROR(VLOOKUP($A97,'The List'!$B1:$AS665,26,FALSE)," ")</f>
        <v>858</v>
      </c>
      <c r="T97" t="s" s="125">
        <f>_xlfn.IFERROR(VLOOKUP($A97,'The List'!$B1:$AS665,27,FALSE)," ")</f>
        <v>858</v>
      </c>
      <c r="U97" t="s" s="125">
        <f>_xlfn.IFERROR(VLOOKUP($A97,'The List'!$B1:$AS665,28,FALSE)," ")</f>
        <v>858</v>
      </c>
      <c r="V97" t="s" s="125">
        <f>_xlfn.IFERROR(VLOOKUP($A97,'The List'!$B1:$AS665,29,FALSE)," ")</f>
        <v>858</v>
      </c>
      <c r="W97" t="s" s="125">
        <f>_xlfn.IFERROR(VLOOKUP($A97,'The List'!$B1:$AS665,30,FALSE)," ")</f>
        <v>858</v>
      </c>
      <c r="X97" t="s" s="125">
        <f>_xlfn.IFERROR(VLOOKUP($A97,'The List'!$B1:$AS665,31,FALSE)," ")</f>
        <v>858</v>
      </c>
      <c r="Y97" t="s" s="125">
        <f>_xlfn.IFERROR(VLOOKUP($A97,'The List'!$B1:$AS665,32,FALSE)," ")</f>
        <v>858</v>
      </c>
      <c r="Z97" t="s" s="125">
        <f>_xlfn.IFERROR(VLOOKUP($A97,'The List'!$B1:$AS665,33,FALSE)," ")</f>
        <v>858</v>
      </c>
      <c r="AA97" s="120"/>
      <c r="AB97" s="121"/>
      <c r="AC97" s="121"/>
      <c r="AD97" s="121"/>
      <c r="AE97" s="121"/>
      <c r="AF97" s="144"/>
    </row>
    <row r="98" ht="21.25" customHeight="1">
      <c r="A98" s="50"/>
      <c r="B98" t="s" s="129">
        <f>_xlfn.IFERROR(VLOOKUP($A98,'The List'!$B1:$AS665,3,FALSE)," ")</f>
        <v>858</v>
      </c>
      <c r="C98" t="s" s="131">
        <f>_xlfn.IFERROR(VLOOKUP($A98,'The List'!$B1:$AS665,4,FALSE)," ")</f>
        <v>858</v>
      </c>
      <c r="D98" t="s" s="86">
        <f>_xlfn.IFERROR(VLOOKUP($A98,'The List'!$B1:$AS665,5,FALSE)," ")</f>
        <v>858</v>
      </c>
      <c r="E98" t="s" s="86">
        <f>_xlfn.IFERROR(VLOOKUP($A98,'The List'!$B1:$AS665,6,FALSE)," ")</f>
        <v>858</v>
      </c>
      <c r="F98" t="s" s="124">
        <f>_xlfn.IFERROR(VLOOKUP($A98,'The List'!$B1:$AS665,8,FALSE)," ")</f>
        <v>858</v>
      </c>
      <c r="G98" t="s" s="124">
        <f>_xlfn.IFERROR(VLOOKUP($A98,'The List'!$B1:$AS665,10,FALSE)," ")</f>
        <v>858</v>
      </c>
      <c r="H98" s="77"/>
      <c r="I98" t="s" s="125">
        <f>_xlfn.IFERROR(VLOOKUP($A98,'The List'!$B1:$AS665,16,FALSE)," ")</f>
        <v>858</v>
      </c>
      <c r="J98" t="s" s="125">
        <f>_xlfn.IFERROR(VLOOKUP($A98,'The List'!$B1:$AS665,17,FALSE)," ")</f>
        <v>858</v>
      </c>
      <c r="K98" t="s" s="125">
        <f>_xlfn.IFERROR(VLOOKUP($A98,'The List'!$B1:$AS665,18,FALSE)," ")</f>
        <v>858</v>
      </c>
      <c r="L98" t="s" s="125">
        <f>_xlfn.IFERROR(VLOOKUP($A98,'The List'!$B1:$AS665,19,FALSE)," ")</f>
        <v>858</v>
      </c>
      <c r="M98" t="s" s="125">
        <f>_xlfn.IFERROR(VLOOKUP($A98,'The List'!$B1:$AS665,20,FALSE)," ")</f>
        <v>858</v>
      </c>
      <c r="N98" t="s" s="125">
        <f>_xlfn.IFERROR(VLOOKUP($A98,'The List'!$B1:$AS665,21,FALSE)," ")</f>
        <v>858</v>
      </c>
      <c r="O98" t="s" s="125">
        <f>_xlfn.IFERROR(VLOOKUP($A98,'The List'!$B1:$AS665,22,FALSE)," ")</f>
        <v>858</v>
      </c>
      <c r="P98" t="s" s="125">
        <f>_xlfn.IFERROR(VLOOKUP($A98,'The List'!$B1:$AS665,23,FALSE)," ")</f>
        <v>858</v>
      </c>
      <c r="Q98" t="s" s="125">
        <f>_xlfn.IFERROR(VLOOKUP($A98,'The List'!$B1:$AS665,24,FALSE)," ")</f>
        <v>858</v>
      </c>
      <c r="R98" t="s" s="125">
        <f>_xlfn.IFERROR(VLOOKUP($A98,'The List'!$B1:$AS665,25,FALSE)," ")</f>
        <v>858</v>
      </c>
      <c r="S98" t="s" s="125">
        <f>_xlfn.IFERROR(VLOOKUP($A98,'The List'!$B1:$AS665,26,FALSE)," ")</f>
        <v>858</v>
      </c>
      <c r="T98" t="s" s="125">
        <f>_xlfn.IFERROR(VLOOKUP($A98,'The List'!$B1:$AS665,27,FALSE)," ")</f>
        <v>858</v>
      </c>
      <c r="U98" t="s" s="125">
        <f>_xlfn.IFERROR(VLOOKUP($A98,'The List'!$B1:$AS665,28,FALSE)," ")</f>
        <v>858</v>
      </c>
      <c r="V98" t="s" s="125">
        <f>_xlfn.IFERROR(VLOOKUP($A98,'The List'!$B1:$AS665,29,FALSE)," ")</f>
        <v>858</v>
      </c>
      <c r="W98" t="s" s="125">
        <f>_xlfn.IFERROR(VLOOKUP($A98,'The List'!$B1:$AS665,30,FALSE)," ")</f>
        <v>858</v>
      </c>
      <c r="X98" t="s" s="125">
        <f>_xlfn.IFERROR(VLOOKUP($A98,'The List'!$B1:$AS665,31,FALSE)," ")</f>
        <v>858</v>
      </c>
      <c r="Y98" t="s" s="125">
        <f>_xlfn.IFERROR(VLOOKUP($A98,'The List'!$B1:$AS665,32,FALSE)," ")</f>
        <v>858</v>
      </c>
      <c r="Z98" t="s" s="125">
        <f>_xlfn.IFERROR(VLOOKUP($A98,'The List'!$B1:$AS665,33,FALSE)," ")</f>
        <v>858</v>
      </c>
      <c r="AA98" s="120"/>
      <c r="AB98" s="121"/>
      <c r="AC98" s="121"/>
      <c r="AD98" s="121"/>
      <c r="AE98" s="121"/>
      <c r="AF98" s="144"/>
    </row>
    <row r="99" ht="21.25" customHeight="1">
      <c r="A99" s="50"/>
      <c r="B99" t="s" s="129">
        <f>_xlfn.IFERROR(VLOOKUP($A99,'The List'!$B1:$AS665,3,FALSE)," ")</f>
        <v>858</v>
      </c>
      <c r="C99" t="s" s="131">
        <f>_xlfn.IFERROR(VLOOKUP($A99,'The List'!$B1:$AS665,4,FALSE)," ")</f>
        <v>858</v>
      </c>
      <c r="D99" t="s" s="86">
        <f>_xlfn.IFERROR(VLOOKUP($A99,'The List'!$B1:$AS665,5,FALSE)," ")</f>
        <v>858</v>
      </c>
      <c r="E99" t="s" s="86">
        <f>_xlfn.IFERROR(VLOOKUP($A99,'The List'!$B1:$AS665,6,FALSE)," ")</f>
        <v>858</v>
      </c>
      <c r="F99" t="s" s="124">
        <f>_xlfn.IFERROR(VLOOKUP($A99,'The List'!$B1:$AS665,8,FALSE)," ")</f>
        <v>858</v>
      </c>
      <c r="G99" t="s" s="124">
        <f>_xlfn.IFERROR(VLOOKUP($A99,'The List'!$B1:$AS665,10,FALSE)," ")</f>
        <v>858</v>
      </c>
      <c r="H99" s="77"/>
      <c r="I99" t="s" s="125">
        <f>_xlfn.IFERROR(VLOOKUP($A99,'The List'!$B1:$AS665,16,FALSE)," ")</f>
        <v>858</v>
      </c>
      <c r="J99" t="s" s="125">
        <f>_xlfn.IFERROR(VLOOKUP($A99,'The List'!$B1:$AS665,17,FALSE)," ")</f>
        <v>858</v>
      </c>
      <c r="K99" t="s" s="125">
        <f>_xlfn.IFERROR(VLOOKUP($A99,'The List'!$B1:$AS665,18,FALSE)," ")</f>
        <v>858</v>
      </c>
      <c r="L99" t="s" s="125">
        <f>_xlfn.IFERROR(VLOOKUP($A99,'The List'!$B1:$AS665,19,FALSE)," ")</f>
        <v>858</v>
      </c>
      <c r="M99" t="s" s="125">
        <f>_xlfn.IFERROR(VLOOKUP($A99,'The List'!$B1:$AS665,20,FALSE)," ")</f>
        <v>858</v>
      </c>
      <c r="N99" t="s" s="125">
        <f>_xlfn.IFERROR(VLOOKUP($A99,'The List'!$B1:$AS665,21,FALSE)," ")</f>
        <v>858</v>
      </c>
      <c r="O99" t="s" s="125">
        <f>_xlfn.IFERROR(VLOOKUP($A99,'The List'!$B1:$AS665,22,FALSE)," ")</f>
        <v>858</v>
      </c>
      <c r="P99" t="s" s="125">
        <f>_xlfn.IFERROR(VLOOKUP($A99,'The List'!$B1:$AS665,23,FALSE)," ")</f>
        <v>858</v>
      </c>
      <c r="Q99" t="s" s="125">
        <f>_xlfn.IFERROR(VLOOKUP($A99,'The List'!$B1:$AS665,24,FALSE)," ")</f>
        <v>858</v>
      </c>
      <c r="R99" t="s" s="125">
        <f>_xlfn.IFERROR(VLOOKUP($A99,'The List'!$B1:$AS665,25,FALSE)," ")</f>
        <v>858</v>
      </c>
      <c r="S99" t="s" s="125">
        <f>_xlfn.IFERROR(VLOOKUP($A99,'The List'!$B1:$AS665,26,FALSE)," ")</f>
        <v>858</v>
      </c>
      <c r="T99" t="s" s="125">
        <f>_xlfn.IFERROR(VLOOKUP($A99,'The List'!$B1:$AS665,27,FALSE)," ")</f>
        <v>858</v>
      </c>
      <c r="U99" t="s" s="125">
        <f>_xlfn.IFERROR(VLOOKUP($A99,'The List'!$B1:$AS665,28,FALSE)," ")</f>
        <v>858</v>
      </c>
      <c r="V99" t="s" s="125">
        <f>_xlfn.IFERROR(VLOOKUP($A99,'The List'!$B1:$AS665,29,FALSE)," ")</f>
        <v>858</v>
      </c>
      <c r="W99" t="s" s="125">
        <f>_xlfn.IFERROR(VLOOKUP($A99,'The List'!$B1:$AS665,30,FALSE)," ")</f>
        <v>858</v>
      </c>
      <c r="X99" t="s" s="125">
        <f>_xlfn.IFERROR(VLOOKUP($A99,'The List'!$B1:$AS665,31,FALSE)," ")</f>
        <v>858</v>
      </c>
      <c r="Y99" t="s" s="125">
        <f>_xlfn.IFERROR(VLOOKUP($A99,'The List'!$B1:$AS665,32,FALSE)," ")</f>
        <v>858</v>
      </c>
      <c r="Z99" t="s" s="125">
        <f>_xlfn.IFERROR(VLOOKUP($A99,'The List'!$B1:$AS665,33,FALSE)," ")</f>
        <v>858</v>
      </c>
      <c r="AA99" s="120"/>
      <c r="AB99" s="121"/>
      <c r="AC99" s="121"/>
      <c r="AD99" s="121"/>
      <c r="AE99" s="121"/>
      <c r="AF99" s="144"/>
    </row>
    <row r="100" ht="21.25" customHeight="1">
      <c r="A100" s="50"/>
      <c r="B100" t="s" s="129">
        <f>_xlfn.IFERROR(VLOOKUP($A100,'The List'!$B1:$AS665,3,FALSE)," ")</f>
        <v>858</v>
      </c>
      <c r="C100" t="s" s="131">
        <f>_xlfn.IFERROR(VLOOKUP($A100,'The List'!$B1:$AS665,4,FALSE)," ")</f>
        <v>858</v>
      </c>
      <c r="D100" t="s" s="86">
        <f>_xlfn.IFERROR(VLOOKUP($A100,'The List'!$B1:$AS665,5,FALSE)," ")</f>
        <v>858</v>
      </c>
      <c r="E100" t="s" s="86">
        <f>_xlfn.IFERROR(VLOOKUP($A100,'The List'!$B1:$AS665,6,FALSE)," ")</f>
        <v>858</v>
      </c>
      <c r="F100" t="s" s="124">
        <f>_xlfn.IFERROR(VLOOKUP($A100,'The List'!$B1:$AS665,8,FALSE)," ")</f>
        <v>858</v>
      </c>
      <c r="G100" t="s" s="124">
        <f>_xlfn.IFERROR(VLOOKUP($A100,'The List'!$B1:$AS665,10,FALSE)," ")</f>
        <v>858</v>
      </c>
      <c r="H100" s="77"/>
      <c r="I100" t="s" s="125">
        <f>_xlfn.IFERROR(VLOOKUP($A100,'The List'!$B1:$AS665,16,FALSE)," ")</f>
        <v>858</v>
      </c>
      <c r="J100" t="s" s="125">
        <f>_xlfn.IFERROR(VLOOKUP($A100,'The List'!$B1:$AS665,17,FALSE)," ")</f>
        <v>858</v>
      </c>
      <c r="K100" t="s" s="125">
        <f>_xlfn.IFERROR(VLOOKUP($A100,'The List'!$B1:$AS665,18,FALSE)," ")</f>
        <v>858</v>
      </c>
      <c r="L100" t="s" s="125">
        <f>_xlfn.IFERROR(VLOOKUP($A100,'The List'!$B1:$AS665,19,FALSE)," ")</f>
        <v>858</v>
      </c>
      <c r="M100" t="s" s="125">
        <f>_xlfn.IFERROR(VLOOKUP($A100,'The List'!$B1:$AS665,20,FALSE)," ")</f>
        <v>858</v>
      </c>
      <c r="N100" t="s" s="125">
        <f>_xlfn.IFERROR(VLOOKUP($A100,'The List'!$B1:$AS665,21,FALSE)," ")</f>
        <v>858</v>
      </c>
      <c r="O100" t="s" s="125">
        <f>_xlfn.IFERROR(VLOOKUP($A100,'The List'!$B1:$AS665,22,FALSE)," ")</f>
        <v>858</v>
      </c>
      <c r="P100" t="s" s="125">
        <f>_xlfn.IFERROR(VLOOKUP($A100,'The List'!$B1:$AS665,23,FALSE)," ")</f>
        <v>858</v>
      </c>
      <c r="Q100" t="s" s="125">
        <f>_xlfn.IFERROR(VLOOKUP($A100,'The List'!$B1:$AS665,24,FALSE)," ")</f>
        <v>858</v>
      </c>
      <c r="R100" t="s" s="125">
        <f>_xlfn.IFERROR(VLOOKUP($A100,'The List'!$B1:$AS665,25,FALSE)," ")</f>
        <v>858</v>
      </c>
      <c r="S100" t="s" s="125">
        <f>_xlfn.IFERROR(VLOOKUP($A100,'The List'!$B1:$AS665,26,FALSE)," ")</f>
        <v>858</v>
      </c>
      <c r="T100" t="s" s="125">
        <f>_xlfn.IFERROR(VLOOKUP($A100,'The List'!$B1:$AS665,27,FALSE)," ")</f>
        <v>858</v>
      </c>
      <c r="U100" t="s" s="125">
        <f>_xlfn.IFERROR(VLOOKUP($A100,'The List'!$B1:$AS665,28,FALSE)," ")</f>
        <v>858</v>
      </c>
      <c r="V100" t="s" s="125">
        <f>_xlfn.IFERROR(VLOOKUP($A100,'The List'!$B1:$AS665,29,FALSE)," ")</f>
        <v>858</v>
      </c>
      <c r="W100" t="s" s="125">
        <f>_xlfn.IFERROR(VLOOKUP($A100,'The List'!$B1:$AS665,30,FALSE)," ")</f>
        <v>858</v>
      </c>
      <c r="X100" t="s" s="125">
        <f>_xlfn.IFERROR(VLOOKUP($A100,'The List'!$B1:$AS665,31,FALSE)," ")</f>
        <v>858</v>
      </c>
      <c r="Y100" t="s" s="125">
        <f>_xlfn.IFERROR(VLOOKUP($A100,'The List'!$B1:$AS665,32,FALSE)," ")</f>
        <v>858</v>
      </c>
      <c r="Z100" t="s" s="125">
        <f>_xlfn.IFERROR(VLOOKUP($A100,'The List'!$B1:$AS665,33,FALSE)," ")</f>
        <v>858</v>
      </c>
      <c r="AA100" s="120"/>
      <c r="AB100" s="121"/>
      <c r="AC100" s="121"/>
      <c r="AD100" s="121"/>
      <c r="AE100" s="121"/>
      <c r="AF100" s="144"/>
    </row>
    <row r="101" ht="21.25" customHeight="1">
      <c r="A101" s="50"/>
      <c r="B101" t="s" s="132">
        <f>_xlfn.IFERROR(VLOOKUP($A101,'The List'!$B1:$AS665,3,FALSE)," ")</f>
        <v>858</v>
      </c>
      <c r="C101" t="s" s="134">
        <f>_xlfn.IFERROR(VLOOKUP($A101,'The List'!$B1:$AS665,4,FALSE)," ")</f>
        <v>858</v>
      </c>
      <c r="D101" t="s" s="86">
        <f>_xlfn.IFERROR(VLOOKUP($A101,'The List'!$B1:$AS665,5,FALSE)," ")</f>
        <v>858</v>
      </c>
      <c r="E101" t="s" s="86">
        <f>_xlfn.IFERROR(VLOOKUP($A101,'The List'!$B1:$AS665,6,FALSE)," ")</f>
        <v>858</v>
      </c>
      <c r="F101" t="s" s="124">
        <f>_xlfn.IFERROR(VLOOKUP($A101,'The List'!$B1:$AS665,8,FALSE)," ")</f>
        <v>858</v>
      </c>
      <c r="G101" t="s" s="124">
        <f>_xlfn.IFERROR(VLOOKUP($A101,'The List'!$B1:$AS665,10,FALSE)," ")</f>
        <v>858</v>
      </c>
      <c r="H101" s="77"/>
      <c r="I101" t="s" s="125">
        <f>_xlfn.IFERROR(VLOOKUP($A101,'The List'!$B1:$AS665,16,FALSE)," ")</f>
        <v>858</v>
      </c>
      <c r="J101" t="s" s="125">
        <f>_xlfn.IFERROR(VLOOKUP($A101,'The List'!$B1:$AS665,17,FALSE)," ")</f>
        <v>858</v>
      </c>
      <c r="K101" t="s" s="125">
        <f>_xlfn.IFERROR(VLOOKUP($A101,'The List'!$B1:$AS665,18,FALSE)," ")</f>
        <v>858</v>
      </c>
      <c r="L101" t="s" s="125">
        <f>_xlfn.IFERROR(VLOOKUP($A101,'The List'!$B1:$AS665,19,FALSE)," ")</f>
        <v>858</v>
      </c>
      <c r="M101" t="s" s="125">
        <f>_xlfn.IFERROR(VLOOKUP($A101,'The List'!$B1:$AS665,20,FALSE)," ")</f>
        <v>858</v>
      </c>
      <c r="N101" t="s" s="125">
        <f>_xlfn.IFERROR(VLOOKUP($A101,'The List'!$B1:$AS665,21,FALSE)," ")</f>
        <v>858</v>
      </c>
      <c r="O101" t="s" s="125">
        <f>_xlfn.IFERROR(VLOOKUP($A101,'The List'!$B1:$AS665,22,FALSE)," ")</f>
        <v>858</v>
      </c>
      <c r="P101" t="s" s="125">
        <f>_xlfn.IFERROR(VLOOKUP($A101,'The List'!$B1:$AS665,23,FALSE)," ")</f>
        <v>858</v>
      </c>
      <c r="Q101" t="s" s="125">
        <f>_xlfn.IFERROR(VLOOKUP($A101,'The List'!$B1:$AS665,24,FALSE)," ")</f>
        <v>858</v>
      </c>
      <c r="R101" t="s" s="125">
        <f>_xlfn.IFERROR(VLOOKUP($A101,'The List'!$B1:$AS665,25,FALSE)," ")</f>
        <v>858</v>
      </c>
      <c r="S101" t="s" s="125">
        <f>_xlfn.IFERROR(VLOOKUP($A101,'The List'!$B1:$AS665,26,FALSE)," ")</f>
        <v>858</v>
      </c>
      <c r="T101" t="s" s="125">
        <f>_xlfn.IFERROR(VLOOKUP($A101,'The List'!$B1:$AS665,27,FALSE)," ")</f>
        <v>858</v>
      </c>
      <c r="U101" t="s" s="125">
        <f>_xlfn.IFERROR(VLOOKUP($A101,'The List'!$B1:$AS665,28,FALSE)," ")</f>
        <v>858</v>
      </c>
      <c r="V101" t="s" s="125">
        <f>_xlfn.IFERROR(VLOOKUP($A101,'The List'!$B1:$AS665,29,FALSE)," ")</f>
        <v>858</v>
      </c>
      <c r="W101" t="s" s="125">
        <f>_xlfn.IFERROR(VLOOKUP($A101,'The List'!$B1:$AS665,30,FALSE)," ")</f>
        <v>858</v>
      </c>
      <c r="X101" t="s" s="125">
        <f>_xlfn.IFERROR(VLOOKUP($A101,'The List'!$B1:$AS665,31,FALSE)," ")</f>
        <v>858</v>
      </c>
      <c r="Y101" t="s" s="125">
        <f>_xlfn.IFERROR(VLOOKUP($A101,'The List'!$B1:$AS665,32,FALSE)," ")</f>
        <v>858</v>
      </c>
      <c r="Z101" t="s" s="125">
        <f>_xlfn.IFERROR(VLOOKUP($A101,'The List'!$B1:$AS665,33,FALSE)," ")</f>
        <v>858</v>
      </c>
      <c r="AA101" s="120"/>
      <c r="AB101" s="121"/>
      <c r="AC101" s="121"/>
      <c r="AD101" s="121"/>
      <c r="AE101" s="121"/>
      <c r="AF101" s="144"/>
    </row>
    <row r="102" ht="21.25" customHeight="1">
      <c r="A102" s="50"/>
      <c r="B102" t="s" s="132">
        <f>_xlfn.IFERROR(VLOOKUP($A102,'The List'!$B1:$AS665,3,FALSE)," ")</f>
        <v>858</v>
      </c>
      <c r="C102" t="s" s="134">
        <f>_xlfn.IFERROR(VLOOKUP($A102,'The List'!$B1:$AS665,4,FALSE)," ")</f>
        <v>858</v>
      </c>
      <c r="D102" t="s" s="86">
        <f>_xlfn.IFERROR(VLOOKUP($A102,'The List'!$B1:$AS665,5,FALSE)," ")</f>
        <v>858</v>
      </c>
      <c r="E102" t="s" s="86">
        <f>_xlfn.IFERROR(VLOOKUP($A102,'The List'!$B1:$AS665,6,FALSE)," ")</f>
        <v>858</v>
      </c>
      <c r="F102" t="s" s="124">
        <f>_xlfn.IFERROR(VLOOKUP($A102,'The List'!$B1:$AS665,8,FALSE)," ")</f>
        <v>858</v>
      </c>
      <c r="G102" t="s" s="124">
        <f>_xlfn.IFERROR(VLOOKUP($A102,'The List'!$B1:$AS665,10,FALSE)," ")</f>
        <v>858</v>
      </c>
      <c r="H102" s="77"/>
      <c r="I102" t="s" s="125">
        <f>_xlfn.IFERROR(VLOOKUP($A102,'The List'!$B1:$AS665,16,FALSE)," ")</f>
        <v>858</v>
      </c>
      <c r="J102" t="s" s="125">
        <f>_xlfn.IFERROR(VLOOKUP($A102,'The List'!$B1:$AS665,17,FALSE)," ")</f>
        <v>858</v>
      </c>
      <c r="K102" t="s" s="125">
        <f>_xlfn.IFERROR(VLOOKUP($A102,'The List'!$B1:$AS665,18,FALSE)," ")</f>
        <v>858</v>
      </c>
      <c r="L102" t="s" s="125">
        <f>_xlfn.IFERROR(VLOOKUP($A102,'The List'!$B1:$AS665,19,FALSE)," ")</f>
        <v>858</v>
      </c>
      <c r="M102" t="s" s="125">
        <f>_xlfn.IFERROR(VLOOKUP($A102,'The List'!$B1:$AS665,20,FALSE)," ")</f>
        <v>858</v>
      </c>
      <c r="N102" t="s" s="125">
        <f>_xlfn.IFERROR(VLOOKUP($A102,'The List'!$B1:$AS665,21,FALSE)," ")</f>
        <v>858</v>
      </c>
      <c r="O102" t="s" s="125">
        <f>_xlfn.IFERROR(VLOOKUP($A102,'The List'!$B1:$AS665,22,FALSE)," ")</f>
        <v>858</v>
      </c>
      <c r="P102" t="s" s="125">
        <f>_xlfn.IFERROR(VLOOKUP($A102,'The List'!$B1:$AS665,23,FALSE)," ")</f>
        <v>858</v>
      </c>
      <c r="Q102" t="s" s="125">
        <f>_xlfn.IFERROR(VLOOKUP($A102,'The List'!$B1:$AS665,24,FALSE)," ")</f>
        <v>858</v>
      </c>
      <c r="R102" t="s" s="125">
        <f>_xlfn.IFERROR(VLOOKUP($A102,'The List'!$B1:$AS665,25,FALSE)," ")</f>
        <v>858</v>
      </c>
      <c r="S102" t="s" s="125">
        <f>_xlfn.IFERROR(VLOOKUP($A102,'The List'!$B1:$AS665,26,FALSE)," ")</f>
        <v>858</v>
      </c>
      <c r="T102" t="s" s="125">
        <f>_xlfn.IFERROR(VLOOKUP($A102,'The List'!$B1:$AS665,27,FALSE)," ")</f>
        <v>858</v>
      </c>
      <c r="U102" t="s" s="125">
        <f>_xlfn.IFERROR(VLOOKUP($A102,'The List'!$B1:$AS665,28,FALSE)," ")</f>
        <v>858</v>
      </c>
      <c r="V102" t="s" s="125">
        <f>_xlfn.IFERROR(VLOOKUP($A102,'The List'!$B1:$AS665,29,FALSE)," ")</f>
        <v>858</v>
      </c>
      <c r="W102" t="s" s="125">
        <f>_xlfn.IFERROR(VLOOKUP($A102,'The List'!$B1:$AS665,30,FALSE)," ")</f>
        <v>858</v>
      </c>
      <c r="X102" t="s" s="125">
        <f>_xlfn.IFERROR(VLOOKUP($A102,'The List'!$B1:$AS665,31,FALSE)," ")</f>
        <v>858</v>
      </c>
      <c r="Y102" t="s" s="125">
        <f>_xlfn.IFERROR(VLOOKUP($A102,'The List'!$B1:$AS665,32,FALSE)," ")</f>
        <v>858</v>
      </c>
      <c r="Z102" t="s" s="125">
        <f>_xlfn.IFERROR(VLOOKUP($A102,'The List'!$B1:$AS665,33,FALSE)," ")</f>
        <v>858</v>
      </c>
      <c r="AA102" s="120"/>
      <c r="AB102" s="121"/>
      <c r="AC102" s="121"/>
      <c r="AD102" s="121"/>
      <c r="AE102" s="121"/>
      <c r="AF102" s="144"/>
    </row>
    <row r="103" ht="21.25" customHeight="1">
      <c r="A103" s="50"/>
      <c r="B103" t="s" s="132">
        <f>_xlfn.IFERROR(VLOOKUP($A103,'The List'!$B1:$AS665,3,FALSE)," ")</f>
        <v>858</v>
      </c>
      <c r="C103" t="s" s="134">
        <f>_xlfn.IFERROR(VLOOKUP($A103,'The List'!$B1:$AS665,4,FALSE)," ")</f>
        <v>858</v>
      </c>
      <c r="D103" t="s" s="86">
        <f>_xlfn.IFERROR(VLOOKUP($A103,'The List'!$B1:$AS665,5,FALSE)," ")</f>
        <v>858</v>
      </c>
      <c r="E103" t="s" s="86">
        <f>_xlfn.IFERROR(VLOOKUP($A103,'The List'!$B1:$AS665,6,FALSE)," ")</f>
        <v>858</v>
      </c>
      <c r="F103" t="s" s="124">
        <f>_xlfn.IFERROR(VLOOKUP($A103,'The List'!$B1:$AS665,8,FALSE)," ")</f>
        <v>858</v>
      </c>
      <c r="G103" t="s" s="124">
        <f>_xlfn.IFERROR(VLOOKUP($A103,'The List'!$B1:$AS665,10,FALSE)," ")</f>
        <v>858</v>
      </c>
      <c r="H103" s="77"/>
      <c r="I103" t="s" s="125">
        <f>_xlfn.IFERROR(VLOOKUP($A103,'The List'!$B1:$AS665,16,FALSE)," ")</f>
        <v>858</v>
      </c>
      <c r="J103" t="s" s="125">
        <f>_xlfn.IFERROR(VLOOKUP($A103,'The List'!$B1:$AS665,17,FALSE)," ")</f>
        <v>858</v>
      </c>
      <c r="K103" t="s" s="125">
        <f>_xlfn.IFERROR(VLOOKUP($A103,'The List'!$B1:$AS665,18,FALSE)," ")</f>
        <v>858</v>
      </c>
      <c r="L103" t="s" s="125">
        <f>_xlfn.IFERROR(VLOOKUP($A103,'The List'!$B1:$AS665,19,FALSE)," ")</f>
        <v>858</v>
      </c>
      <c r="M103" t="s" s="125">
        <f>_xlfn.IFERROR(VLOOKUP($A103,'The List'!$B1:$AS665,20,FALSE)," ")</f>
        <v>858</v>
      </c>
      <c r="N103" t="s" s="125">
        <f>_xlfn.IFERROR(VLOOKUP($A103,'The List'!$B1:$AS665,21,FALSE)," ")</f>
        <v>858</v>
      </c>
      <c r="O103" t="s" s="125">
        <f>_xlfn.IFERROR(VLOOKUP($A103,'The List'!$B1:$AS665,22,FALSE)," ")</f>
        <v>858</v>
      </c>
      <c r="P103" t="s" s="125">
        <f>_xlfn.IFERROR(VLOOKUP($A103,'The List'!$B1:$AS665,23,FALSE)," ")</f>
        <v>858</v>
      </c>
      <c r="Q103" t="s" s="125">
        <f>_xlfn.IFERROR(VLOOKUP($A103,'The List'!$B1:$AS665,24,FALSE)," ")</f>
        <v>858</v>
      </c>
      <c r="R103" t="s" s="125">
        <f>_xlfn.IFERROR(VLOOKUP($A103,'The List'!$B1:$AS665,25,FALSE)," ")</f>
        <v>858</v>
      </c>
      <c r="S103" t="s" s="125">
        <f>_xlfn.IFERROR(VLOOKUP($A103,'The List'!$B1:$AS665,26,FALSE)," ")</f>
        <v>858</v>
      </c>
      <c r="T103" t="s" s="125">
        <f>_xlfn.IFERROR(VLOOKUP($A103,'The List'!$B1:$AS665,27,FALSE)," ")</f>
        <v>858</v>
      </c>
      <c r="U103" t="s" s="125">
        <f>_xlfn.IFERROR(VLOOKUP($A103,'The List'!$B1:$AS665,28,FALSE)," ")</f>
        <v>858</v>
      </c>
      <c r="V103" t="s" s="125">
        <f>_xlfn.IFERROR(VLOOKUP($A103,'The List'!$B1:$AS665,29,FALSE)," ")</f>
        <v>858</v>
      </c>
      <c r="W103" t="s" s="125">
        <f>_xlfn.IFERROR(VLOOKUP($A103,'The List'!$B1:$AS665,30,FALSE)," ")</f>
        <v>858</v>
      </c>
      <c r="X103" t="s" s="125">
        <f>_xlfn.IFERROR(VLOOKUP($A103,'The List'!$B1:$AS665,31,FALSE)," ")</f>
        <v>858</v>
      </c>
      <c r="Y103" t="s" s="125">
        <f>_xlfn.IFERROR(VLOOKUP($A103,'The List'!$B1:$AS665,32,FALSE)," ")</f>
        <v>858</v>
      </c>
      <c r="Z103" t="s" s="125">
        <f>_xlfn.IFERROR(VLOOKUP($A103,'The List'!$B1:$AS665,33,FALSE)," ")</f>
        <v>858</v>
      </c>
      <c r="AA103" s="120"/>
      <c r="AB103" s="121"/>
      <c r="AC103" s="121"/>
      <c r="AD103" s="121"/>
      <c r="AE103" s="121"/>
      <c r="AF103" s="144"/>
    </row>
    <row r="104" ht="21.25" customHeight="1">
      <c r="A104" s="50"/>
      <c r="B104" t="s" s="132">
        <f>_xlfn.IFERROR(VLOOKUP($A104,'The List'!$B1:$AS665,3,FALSE)," ")</f>
        <v>858</v>
      </c>
      <c r="C104" t="s" s="134">
        <f>_xlfn.IFERROR(VLOOKUP($A104,'The List'!$B1:$AS665,4,FALSE)," ")</f>
        <v>858</v>
      </c>
      <c r="D104" t="s" s="86">
        <f>_xlfn.IFERROR(VLOOKUP($A104,'The List'!$B1:$AS665,5,FALSE)," ")</f>
        <v>858</v>
      </c>
      <c r="E104" t="s" s="86">
        <f>_xlfn.IFERROR(VLOOKUP($A104,'The List'!$B1:$AS665,6,FALSE)," ")</f>
        <v>858</v>
      </c>
      <c r="F104" t="s" s="124">
        <f>_xlfn.IFERROR(VLOOKUP($A104,'The List'!$B1:$AS665,8,FALSE)," ")</f>
        <v>858</v>
      </c>
      <c r="G104" t="s" s="124">
        <f>_xlfn.IFERROR(VLOOKUP($A104,'The List'!$B1:$AS665,10,FALSE)," ")</f>
        <v>858</v>
      </c>
      <c r="H104" s="77"/>
      <c r="I104" t="s" s="125">
        <f>_xlfn.IFERROR(VLOOKUP($A104,'The List'!$B1:$AS665,16,FALSE)," ")</f>
        <v>858</v>
      </c>
      <c r="J104" t="s" s="125">
        <f>_xlfn.IFERROR(VLOOKUP($A104,'The List'!$B1:$AS665,17,FALSE)," ")</f>
        <v>858</v>
      </c>
      <c r="K104" t="s" s="125">
        <f>_xlfn.IFERROR(VLOOKUP($A104,'The List'!$B1:$AS665,18,FALSE)," ")</f>
        <v>858</v>
      </c>
      <c r="L104" t="s" s="125">
        <f>_xlfn.IFERROR(VLOOKUP($A104,'The List'!$B1:$AS665,19,FALSE)," ")</f>
        <v>858</v>
      </c>
      <c r="M104" t="s" s="125">
        <f>_xlfn.IFERROR(VLOOKUP($A104,'The List'!$B1:$AS665,20,FALSE)," ")</f>
        <v>858</v>
      </c>
      <c r="N104" t="s" s="125">
        <f>_xlfn.IFERROR(VLOOKUP($A104,'The List'!$B1:$AS665,21,FALSE)," ")</f>
        <v>858</v>
      </c>
      <c r="O104" t="s" s="125">
        <f>_xlfn.IFERROR(VLOOKUP($A104,'The List'!$B1:$AS665,22,FALSE)," ")</f>
        <v>858</v>
      </c>
      <c r="P104" t="s" s="125">
        <f>_xlfn.IFERROR(VLOOKUP($A104,'The List'!$B1:$AS665,23,FALSE)," ")</f>
        <v>858</v>
      </c>
      <c r="Q104" t="s" s="125">
        <f>_xlfn.IFERROR(VLOOKUP($A104,'The List'!$B1:$AS665,24,FALSE)," ")</f>
        <v>858</v>
      </c>
      <c r="R104" t="s" s="125">
        <f>_xlfn.IFERROR(VLOOKUP($A104,'The List'!$B1:$AS665,25,FALSE)," ")</f>
        <v>858</v>
      </c>
      <c r="S104" t="s" s="125">
        <f>_xlfn.IFERROR(VLOOKUP($A104,'The List'!$B1:$AS665,26,FALSE)," ")</f>
        <v>858</v>
      </c>
      <c r="T104" t="s" s="125">
        <f>_xlfn.IFERROR(VLOOKUP($A104,'The List'!$B1:$AS665,27,FALSE)," ")</f>
        <v>858</v>
      </c>
      <c r="U104" t="s" s="125">
        <f>_xlfn.IFERROR(VLOOKUP($A104,'The List'!$B1:$AS665,28,FALSE)," ")</f>
        <v>858</v>
      </c>
      <c r="V104" t="s" s="125">
        <f>_xlfn.IFERROR(VLOOKUP($A104,'The List'!$B1:$AS665,29,FALSE)," ")</f>
        <v>858</v>
      </c>
      <c r="W104" t="s" s="125">
        <f>_xlfn.IFERROR(VLOOKUP($A104,'The List'!$B1:$AS665,30,FALSE)," ")</f>
        <v>858</v>
      </c>
      <c r="X104" t="s" s="125">
        <f>_xlfn.IFERROR(VLOOKUP($A104,'The List'!$B1:$AS665,31,FALSE)," ")</f>
        <v>858</v>
      </c>
      <c r="Y104" t="s" s="125">
        <f>_xlfn.IFERROR(VLOOKUP($A104,'The List'!$B1:$AS665,32,FALSE)," ")</f>
        <v>858</v>
      </c>
      <c r="Z104" t="s" s="125">
        <f>_xlfn.IFERROR(VLOOKUP($A104,'The List'!$B1:$AS665,33,FALSE)," ")</f>
        <v>858</v>
      </c>
      <c r="AA104" s="120"/>
      <c r="AB104" s="121"/>
      <c r="AC104" s="121"/>
      <c r="AD104" s="121"/>
      <c r="AE104" s="121"/>
      <c r="AF104" s="144"/>
    </row>
    <row r="105" ht="21.25" customHeight="1">
      <c r="A105" s="50"/>
      <c r="B105" t="s" s="132">
        <f>_xlfn.IFERROR(VLOOKUP($A105,'The List'!$B1:$AS665,3,FALSE)," ")</f>
        <v>858</v>
      </c>
      <c r="C105" t="s" s="134">
        <f>_xlfn.IFERROR(VLOOKUP($A105,'The List'!$B1:$AS665,4,FALSE)," ")</f>
        <v>858</v>
      </c>
      <c r="D105" t="s" s="86">
        <f>_xlfn.IFERROR(VLOOKUP($A105,'The List'!$B1:$AS665,5,FALSE)," ")</f>
        <v>858</v>
      </c>
      <c r="E105" t="s" s="86">
        <f>_xlfn.IFERROR(VLOOKUP($A105,'The List'!$B1:$AS665,6,FALSE)," ")</f>
        <v>858</v>
      </c>
      <c r="F105" t="s" s="124">
        <f>_xlfn.IFERROR(VLOOKUP($A105,'The List'!$B1:$AS665,8,FALSE)," ")</f>
        <v>858</v>
      </c>
      <c r="G105" t="s" s="124">
        <f>_xlfn.IFERROR(VLOOKUP($A105,'The List'!$B1:$AS665,10,FALSE)," ")</f>
        <v>858</v>
      </c>
      <c r="H105" s="77"/>
      <c r="I105" t="s" s="125">
        <f>_xlfn.IFERROR(VLOOKUP($A105,'The List'!$B1:$AS665,16,FALSE)," ")</f>
        <v>858</v>
      </c>
      <c r="J105" t="s" s="125">
        <f>_xlfn.IFERROR(VLOOKUP($A105,'The List'!$B1:$AS665,17,FALSE)," ")</f>
        <v>858</v>
      </c>
      <c r="K105" t="s" s="125">
        <f>_xlfn.IFERROR(VLOOKUP($A105,'The List'!$B1:$AS665,18,FALSE)," ")</f>
        <v>858</v>
      </c>
      <c r="L105" t="s" s="125">
        <f>_xlfn.IFERROR(VLOOKUP($A105,'The List'!$B1:$AS665,19,FALSE)," ")</f>
        <v>858</v>
      </c>
      <c r="M105" t="s" s="125">
        <f>_xlfn.IFERROR(VLOOKUP($A105,'The List'!$B1:$AS665,20,FALSE)," ")</f>
        <v>858</v>
      </c>
      <c r="N105" t="s" s="125">
        <f>_xlfn.IFERROR(VLOOKUP($A105,'The List'!$B1:$AS665,21,FALSE)," ")</f>
        <v>858</v>
      </c>
      <c r="O105" t="s" s="125">
        <f>_xlfn.IFERROR(VLOOKUP($A105,'The List'!$B1:$AS665,22,FALSE)," ")</f>
        <v>858</v>
      </c>
      <c r="P105" t="s" s="125">
        <f>_xlfn.IFERROR(VLOOKUP($A105,'The List'!$B1:$AS665,23,FALSE)," ")</f>
        <v>858</v>
      </c>
      <c r="Q105" t="s" s="125">
        <f>_xlfn.IFERROR(VLOOKUP($A105,'The List'!$B1:$AS665,24,FALSE)," ")</f>
        <v>858</v>
      </c>
      <c r="R105" t="s" s="125">
        <f>_xlfn.IFERROR(VLOOKUP($A105,'The List'!$B1:$AS665,25,FALSE)," ")</f>
        <v>858</v>
      </c>
      <c r="S105" t="s" s="125">
        <f>_xlfn.IFERROR(VLOOKUP($A105,'The List'!$B1:$AS665,26,FALSE)," ")</f>
        <v>858</v>
      </c>
      <c r="T105" t="s" s="125">
        <f>_xlfn.IFERROR(VLOOKUP($A105,'The List'!$B1:$AS665,27,FALSE)," ")</f>
        <v>858</v>
      </c>
      <c r="U105" t="s" s="125">
        <f>_xlfn.IFERROR(VLOOKUP($A105,'The List'!$B1:$AS665,28,FALSE)," ")</f>
        <v>858</v>
      </c>
      <c r="V105" t="s" s="125">
        <f>_xlfn.IFERROR(VLOOKUP($A105,'The List'!$B1:$AS665,29,FALSE)," ")</f>
        <v>858</v>
      </c>
      <c r="W105" t="s" s="125">
        <f>_xlfn.IFERROR(VLOOKUP($A105,'The List'!$B1:$AS665,30,FALSE)," ")</f>
        <v>858</v>
      </c>
      <c r="X105" t="s" s="125">
        <f>_xlfn.IFERROR(VLOOKUP($A105,'The List'!$B1:$AS665,31,FALSE)," ")</f>
        <v>858</v>
      </c>
      <c r="Y105" t="s" s="125">
        <f>_xlfn.IFERROR(VLOOKUP($A105,'The List'!$B1:$AS665,32,FALSE)," ")</f>
        <v>858</v>
      </c>
      <c r="Z105" t="s" s="125">
        <f>_xlfn.IFERROR(VLOOKUP($A105,'The List'!$B1:$AS665,33,FALSE)," ")</f>
        <v>858</v>
      </c>
      <c r="AA105" s="120"/>
      <c r="AB105" s="121"/>
      <c r="AC105" s="121"/>
      <c r="AD105" s="121"/>
      <c r="AE105" s="121"/>
      <c r="AF105" s="144"/>
    </row>
    <row r="106" ht="21.25" customHeight="1">
      <c r="A106" s="50"/>
      <c r="B106" t="s" s="132">
        <f>_xlfn.IFERROR(VLOOKUP($A106,'The List'!$B1:$AS665,3,FALSE)," ")</f>
        <v>858</v>
      </c>
      <c r="C106" t="s" s="134">
        <f>_xlfn.IFERROR(VLOOKUP($A106,'The List'!$B1:$AS665,4,FALSE)," ")</f>
        <v>858</v>
      </c>
      <c r="D106" t="s" s="86">
        <f>_xlfn.IFERROR(VLOOKUP($A106,'The List'!$B1:$AS665,5,FALSE)," ")</f>
        <v>858</v>
      </c>
      <c r="E106" t="s" s="86">
        <f>_xlfn.IFERROR(VLOOKUP($A106,'The List'!$B1:$AS665,6,FALSE)," ")</f>
        <v>858</v>
      </c>
      <c r="F106" t="s" s="124">
        <f>_xlfn.IFERROR(VLOOKUP($A106,'The List'!$B1:$AS665,8,FALSE)," ")</f>
        <v>858</v>
      </c>
      <c r="G106" t="s" s="124">
        <f>_xlfn.IFERROR(VLOOKUP($A106,'The List'!$B1:$AS665,10,FALSE)," ")</f>
        <v>858</v>
      </c>
      <c r="H106" s="77"/>
      <c r="I106" t="s" s="125">
        <f>_xlfn.IFERROR(VLOOKUP($A106,'The List'!$B1:$AS665,16,FALSE)," ")</f>
        <v>858</v>
      </c>
      <c r="J106" t="s" s="125">
        <f>_xlfn.IFERROR(VLOOKUP($A106,'The List'!$B1:$AS665,17,FALSE)," ")</f>
        <v>858</v>
      </c>
      <c r="K106" t="s" s="125">
        <f>_xlfn.IFERROR(VLOOKUP($A106,'The List'!$B1:$AS665,18,FALSE)," ")</f>
        <v>858</v>
      </c>
      <c r="L106" t="s" s="125">
        <f>_xlfn.IFERROR(VLOOKUP($A106,'The List'!$B1:$AS665,19,FALSE)," ")</f>
        <v>858</v>
      </c>
      <c r="M106" t="s" s="125">
        <f>_xlfn.IFERROR(VLOOKUP($A106,'The List'!$B1:$AS665,20,FALSE)," ")</f>
        <v>858</v>
      </c>
      <c r="N106" t="s" s="125">
        <f>_xlfn.IFERROR(VLOOKUP($A106,'The List'!$B1:$AS665,21,FALSE)," ")</f>
        <v>858</v>
      </c>
      <c r="O106" t="s" s="125">
        <f>_xlfn.IFERROR(VLOOKUP($A106,'The List'!$B1:$AS665,22,FALSE)," ")</f>
        <v>858</v>
      </c>
      <c r="P106" t="s" s="125">
        <f>_xlfn.IFERROR(VLOOKUP($A106,'The List'!$B1:$AS665,23,FALSE)," ")</f>
        <v>858</v>
      </c>
      <c r="Q106" t="s" s="125">
        <f>_xlfn.IFERROR(VLOOKUP($A106,'The List'!$B1:$AS665,24,FALSE)," ")</f>
        <v>858</v>
      </c>
      <c r="R106" t="s" s="125">
        <f>_xlfn.IFERROR(VLOOKUP($A106,'The List'!$B1:$AS665,25,FALSE)," ")</f>
        <v>858</v>
      </c>
      <c r="S106" t="s" s="125">
        <f>_xlfn.IFERROR(VLOOKUP($A106,'The List'!$B1:$AS665,26,FALSE)," ")</f>
        <v>858</v>
      </c>
      <c r="T106" t="s" s="125">
        <f>_xlfn.IFERROR(VLOOKUP($A106,'The List'!$B1:$AS665,27,FALSE)," ")</f>
        <v>858</v>
      </c>
      <c r="U106" t="s" s="125">
        <f>_xlfn.IFERROR(VLOOKUP($A106,'The List'!$B1:$AS665,28,FALSE)," ")</f>
        <v>858</v>
      </c>
      <c r="V106" t="s" s="125">
        <f>_xlfn.IFERROR(VLOOKUP($A106,'The List'!$B1:$AS665,29,FALSE)," ")</f>
        <v>858</v>
      </c>
      <c r="W106" t="s" s="125">
        <f>_xlfn.IFERROR(VLOOKUP($A106,'The List'!$B1:$AS665,30,FALSE)," ")</f>
        <v>858</v>
      </c>
      <c r="X106" t="s" s="125">
        <f>_xlfn.IFERROR(VLOOKUP($A106,'The List'!$B1:$AS665,31,FALSE)," ")</f>
        <v>858</v>
      </c>
      <c r="Y106" t="s" s="125">
        <f>_xlfn.IFERROR(VLOOKUP($A106,'The List'!$B1:$AS665,32,FALSE)," ")</f>
        <v>858</v>
      </c>
      <c r="Z106" t="s" s="125">
        <f>_xlfn.IFERROR(VLOOKUP($A106,'The List'!$B1:$AS665,33,FALSE)," ")</f>
        <v>858</v>
      </c>
      <c r="AA106" s="120"/>
      <c r="AB106" s="121"/>
      <c r="AC106" s="121"/>
      <c r="AD106" s="121"/>
      <c r="AE106" s="121"/>
      <c r="AF106" s="144"/>
    </row>
    <row r="107" ht="21.25" customHeight="1">
      <c r="A107" s="50"/>
      <c r="B107" t="s" s="132">
        <f>_xlfn.IFERROR(VLOOKUP($A107,'The List'!$B1:$AS665,3,FALSE)," ")</f>
        <v>858</v>
      </c>
      <c r="C107" t="s" s="134">
        <f>_xlfn.IFERROR(VLOOKUP($A107,'The List'!$B1:$AS665,4,FALSE)," ")</f>
        <v>858</v>
      </c>
      <c r="D107" t="s" s="86">
        <f>_xlfn.IFERROR(VLOOKUP($A107,'The List'!$B1:$AS665,5,FALSE)," ")</f>
        <v>858</v>
      </c>
      <c r="E107" t="s" s="86">
        <f>_xlfn.IFERROR(VLOOKUP($A107,'The List'!$B1:$AS665,6,FALSE)," ")</f>
        <v>858</v>
      </c>
      <c r="F107" t="s" s="124">
        <f>_xlfn.IFERROR(VLOOKUP($A107,'The List'!$B1:$AS665,8,FALSE)," ")</f>
        <v>858</v>
      </c>
      <c r="G107" t="s" s="124">
        <f>_xlfn.IFERROR(VLOOKUP($A107,'The List'!$B1:$AS665,10,FALSE)," ")</f>
        <v>858</v>
      </c>
      <c r="H107" s="77"/>
      <c r="I107" t="s" s="125">
        <f>_xlfn.IFERROR(VLOOKUP($A107,'The List'!$B1:$AS665,16,FALSE)," ")</f>
        <v>858</v>
      </c>
      <c r="J107" t="s" s="125">
        <f>_xlfn.IFERROR(VLOOKUP($A107,'The List'!$B1:$AS665,17,FALSE)," ")</f>
        <v>858</v>
      </c>
      <c r="K107" t="s" s="125">
        <f>_xlfn.IFERROR(VLOOKUP($A107,'The List'!$B1:$AS665,18,FALSE)," ")</f>
        <v>858</v>
      </c>
      <c r="L107" t="s" s="125">
        <f>_xlfn.IFERROR(VLOOKUP($A107,'The List'!$B1:$AS665,19,FALSE)," ")</f>
        <v>858</v>
      </c>
      <c r="M107" t="s" s="125">
        <f>_xlfn.IFERROR(VLOOKUP($A107,'The List'!$B1:$AS665,20,FALSE)," ")</f>
        <v>858</v>
      </c>
      <c r="N107" t="s" s="125">
        <f>_xlfn.IFERROR(VLOOKUP($A107,'The List'!$B1:$AS665,21,FALSE)," ")</f>
        <v>858</v>
      </c>
      <c r="O107" t="s" s="125">
        <f>_xlfn.IFERROR(VLOOKUP($A107,'The List'!$B1:$AS665,22,FALSE)," ")</f>
        <v>858</v>
      </c>
      <c r="P107" t="s" s="125">
        <f>_xlfn.IFERROR(VLOOKUP($A107,'The List'!$B1:$AS665,23,FALSE)," ")</f>
        <v>858</v>
      </c>
      <c r="Q107" t="s" s="125">
        <f>_xlfn.IFERROR(VLOOKUP($A107,'The List'!$B1:$AS665,24,FALSE)," ")</f>
        <v>858</v>
      </c>
      <c r="R107" t="s" s="125">
        <f>_xlfn.IFERROR(VLOOKUP($A107,'The List'!$B1:$AS665,25,FALSE)," ")</f>
        <v>858</v>
      </c>
      <c r="S107" t="s" s="125">
        <f>_xlfn.IFERROR(VLOOKUP($A107,'The List'!$B1:$AS665,26,FALSE)," ")</f>
        <v>858</v>
      </c>
      <c r="T107" t="s" s="125">
        <f>_xlfn.IFERROR(VLOOKUP($A107,'The List'!$B1:$AS665,27,FALSE)," ")</f>
        <v>858</v>
      </c>
      <c r="U107" t="s" s="125">
        <f>_xlfn.IFERROR(VLOOKUP($A107,'The List'!$B1:$AS665,28,FALSE)," ")</f>
        <v>858</v>
      </c>
      <c r="V107" t="s" s="125">
        <f>_xlfn.IFERROR(VLOOKUP($A107,'The List'!$B1:$AS665,29,FALSE)," ")</f>
        <v>858</v>
      </c>
      <c r="W107" t="s" s="125">
        <f>_xlfn.IFERROR(VLOOKUP($A107,'The List'!$B1:$AS665,30,FALSE)," ")</f>
        <v>858</v>
      </c>
      <c r="X107" t="s" s="125">
        <f>_xlfn.IFERROR(VLOOKUP($A107,'The List'!$B1:$AS665,31,FALSE)," ")</f>
        <v>858</v>
      </c>
      <c r="Y107" t="s" s="125">
        <f>_xlfn.IFERROR(VLOOKUP($A107,'The List'!$B1:$AS665,32,FALSE)," ")</f>
        <v>858</v>
      </c>
      <c r="Z107" t="s" s="125">
        <f>_xlfn.IFERROR(VLOOKUP($A107,'The List'!$B1:$AS665,33,FALSE)," ")</f>
        <v>858</v>
      </c>
      <c r="AA107" s="120"/>
      <c r="AB107" s="121"/>
      <c r="AC107" s="121"/>
      <c r="AD107" s="121"/>
      <c r="AE107" s="121"/>
      <c r="AF107" s="144"/>
    </row>
    <row r="108" ht="21.25" customHeight="1">
      <c r="A108" s="137"/>
      <c r="B108" t="s" s="138">
        <f>_xlfn.IFERROR(VLOOKUP($A108,'The List'!$B1:$AS665,3,FALSE)," ")</f>
        <v>858</v>
      </c>
      <c r="C108" t="s" s="139">
        <f>_xlfn.IFERROR(VLOOKUP($A108,'The List'!$B1:$AS665,4,FALSE)," ")</f>
        <v>858</v>
      </c>
      <c r="D108" t="s" s="140">
        <f>_xlfn.IFERROR(VLOOKUP($A108,'The List'!$B1:$AS665,5,FALSE)," ")</f>
        <v>858</v>
      </c>
      <c r="E108" t="s" s="140">
        <f>_xlfn.IFERROR(VLOOKUP($A108,'The List'!$B1:$AS665,6,FALSE)," ")</f>
        <v>858</v>
      </c>
      <c r="F108" t="s" s="141">
        <f>_xlfn.IFERROR(VLOOKUP($A108,'The List'!$B1:$AS665,8,FALSE)," ")</f>
        <v>858</v>
      </c>
      <c r="G108" t="s" s="141">
        <f>_xlfn.IFERROR(VLOOKUP($A108,'The List'!$B1:$AS665,10,FALSE)," ")</f>
        <v>858</v>
      </c>
      <c r="H108" s="142"/>
      <c r="I108" t="s" s="143">
        <f>_xlfn.IFERROR(VLOOKUP($A108,'The List'!$B1:$AS665,16,FALSE)," ")</f>
        <v>858</v>
      </c>
      <c r="J108" t="s" s="143">
        <f>_xlfn.IFERROR(VLOOKUP($A108,'The List'!$B1:$AS665,17,FALSE)," ")</f>
        <v>858</v>
      </c>
      <c r="K108" t="s" s="143">
        <f>_xlfn.IFERROR(VLOOKUP($A108,'The List'!$B1:$AS665,18,FALSE)," ")</f>
        <v>858</v>
      </c>
      <c r="L108" t="s" s="143">
        <f>_xlfn.IFERROR(VLOOKUP($A108,'The List'!$B1:$AS665,19,FALSE)," ")</f>
        <v>858</v>
      </c>
      <c r="M108" t="s" s="143">
        <f>_xlfn.IFERROR(VLOOKUP($A108,'The List'!$B1:$AS665,20,FALSE)," ")</f>
        <v>858</v>
      </c>
      <c r="N108" t="s" s="143">
        <f>_xlfn.IFERROR(VLOOKUP($A108,'The List'!$B1:$AS665,21,FALSE)," ")</f>
        <v>858</v>
      </c>
      <c r="O108" t="s" s="143">
        <f>_xlfn.IFERROR(VLOOKUP($A108,'The List'!$B1:$AS665,22,FALSE)," ")</f>
        <v>858</v>
      </c>
      <c r="P108" t="s" s="143">
        <f>_xlfn.IFERROR(VLOOKUP($A108,'The List'!$B1:$AS665,23,FALSE)," ")</f>
        <v>858</v>
      </c>
      <c r="Q108" t="s" s="143">
        <f>_xlfn.IFERROR(VLOOKUP($A108,'The List'!$B1:$AS665,24,FALSE)," ")</f>
        <v>858</v>
      </c>
      <c r="R108" t="s" s="143">
        <f>_xlfn.IFERROR(VLOOKUP($A108,'The List'!$B1:$AS665,25,FALSE)," ")</f>
        <v>858</v>
      </c>
      <c r="S108" t="s" s="143">
        <f>_xlfn.IFERROR(VLOOKUP($A108,'The List'!$B1:$AS665,26,FALSE)," ")</f>
        <v>858</v>
      </c>
      <c r="T108" t="s" s="143">
        <f>_xlfn.IFERROR(VLOOKUP($A108,'The List'!$B1:$AS665,27,FALSE)," ")</f>
        <v>858</v>
      </c>
      <c r="U108" t="s" s="143">
        <f>_xlfn.IFERROR(VLOOKUP($A108,'The List'!$B1:$AS665,28,FALSE)," ")</f>
        <v>858</v>
      </c>
      <c r="V108" t="s" s="143">
        <f>_xlfn.IFERROR(VLOOKUP($A108,'The List'!$B1:$AS665,29,FALSE)," ")</f>
        <v>858</v>
      </c>
      <c r="W108" t="s" s="143">
        <f>_xlfn.IFERROR(VLOOKUP($A108,'The List'!$B1:$AS665,30,FALSE)," ")</f>
        <v>858</v>
      </c>
      <c r="X108" t="s" s="143">
        <f>_xlfn.IFERROR(VLOOKUP($A108,'The List'!$B1:$AS665,31,FALSE)," ")</f>
        <v>858</v>
      </c>
      <c r="Y108" t="s" s="143">
        <f>_xlfn.IFERROR(VLOOKUP($A108,'The List'!$B1:$AS665,32,FALSE)," ")</f>
        <v>858</v>
      </c>
      <c r="Z108" t="s" s="143">
        <f>_xlfn.IFERROR(VLOOKUP($A108,'The List'!$B1:$AS665,33,FALSE)," ")</f>
        <v>858</v>
      </c>
      <c r="AA108" s="120"/>
      <c r="AB108" s="121"/>
      <c r="AC108" s="121"/>
      <c r="AD108" s="121"/>
      <c r="AE108" s="121"/>
      <c r="AF108" s="144"/>
    </row>
    <row r="109" ht="21.25" customHeight="1">
      <c r="A109" s="145"/>
      <c r="B109" s="146"/>
      <c r="C109" s="147"/>
      <c r="D109" s="148"/>
      <c r="E109" t="s" s="193">
        <f>_xlfn.IFERROR(AVERAGE(E89:E108)," ")</f>
        <v>858</v>
      </c>
      <c r="F109" s="150">
        <f>SUM(F89:F108)</f>
        <v>0</v>
      </c>
      <c r="G109" s="150">
        <f>SUM(G89:G108)</f>
        <v>0</v>
      </c>
      <c r="H109" s="151"/>
      <c r="I109" s="152">
        <f>SUM(I89:I108)</f>
        <v>0</v>
      </c>
      <c r="J109" s="151">
        <f>AVERAGE(J89:J108)</f>
      </c>
      <c r="K109" s="152">
        <f>SUM(K89:K108)</f>
        <v>0</v>
      </c>
      <c r="L109" s="152">
        <f>SUM(L89:L108)</f>
        <v>0</v>
      </c>
      <c r="M109" s="152">
        <f>SUM(M89:M108)</f>
        <v>0</v>
      </c>
      <c r="N109" s="152">
        <f>SUM(N89:N108)</f>
        <v>0</v>
      </c>
      <c r="O109" s="152">
        <f>SUM(O89:O108)</f>
        <v>0</v>
      </c>
      <c r="P109" s="152">
        <f>SUM(P89:P108)</f>
        <v>0</v>
      </c>
      <c r="Q109" s="152">
        <f>SUM(Q89:Q108)</f>
        <v>0</v>
      </c>
      <c r="R109" s="152">
        <f>SUM(R89:R108)</f>
        <v>0</v>
      </c>
      <c r="S109" s="152">
        <f>SUM(S89:S108)</f>
        <v>0</v>
      </c>
      <c r="T109" s="152">
        <f>SUM(T89:T108)</f>
        <v>0</v>
      </c>
      <c r="U109" s="152">
        <f>SUM(U89:U108)</f>
        <v>0</v>
      </c>
      <c r="V109" s="152">
        <f>SUM(V89:V108)</f>
        <v>0</v>
      </c>
      <c r="W109" s="152">
        <f>SUM(W89:W108)</f>
        <v>0</v>
      </c>
      <c r="X109" s="152">
        <f>SUM(X89:X108)</f>
        <v>0</v>
      </c>
      <c r="Y109" s="152">
        <f>SUM(Y89:Y108)</f>
        <v>0</v>
      </c>
      <c r="Z109" s="153">
        <f>_xlfn.IFERROR(X109/(X109+Y109),0)</f>
        <v>0</v>
      </c>
      <c r="AA109" s="120"/>
      <c r="AB109" s="154"/>
      <c r="AC109" s="154"/>
      <c r="AD109" s="154"/>
      <c r="AE109" s="154"/>
      <c r="AF109" s="155"/>
    </row>
    <row r="110" ht="21.25" customHeight="1">
      <c r="A110" s="156"/>
      <c r="B110" s="157"/>
      <c r="C110" s="158"/>
      <c r="D110" s="13"/>
      <c r="E110" s="13"/>
      <c r="F110" s="159"/>
      <c r="G110" s="160"/>
      <c r="H110" s="161"/>
      <c r="I110" s="162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  <c r="AB110" s="121"/>
      <c r="AC110" s="121"/>
      <c r="AD110" s="121"/>
      <c r="AE110" s="121"/>
      <c r="AF110" s="144"/>
    </row>
    <row r="111" ht="21.25" customHeight="1">
      <c r="A111" t="s" s="163">
        <v>89</v>
      </c>
      <c r="B111" t="s" s="164">
        <v>91</v>
      </c>
      <c r="C111" s="31"/>
      <c r="D111" t="s" s="164">
        <v>92</v>
      </c>
      <c r="E111" t="s" s="164">
        <v>93</v>
      </c>
      <c r="F111" t="s" s="165">
        <v>95</v>
      </c>
      <c r="G111" t="s" s="165">
        <v>97</v>
      </c>
      <c r="H111" s="166"/>
      <c r="I111" t="s" s="167">
        <v>102</v>
      </c>
      <c r="J111" t="s" s="167">
        <v>118</v>
      </c>
      <c r="K111" t="s" s="167">
        <v>119</v>
      </c>
      <c r="L111" t="s" s="167">
        <v>120</v>
      </c>
      <c r="M111" t="s" s="167">
        <v>121</v>
      </c>
      <c r="N111" t="s" s="167">
        <v>122</v>
      </c>
      <c r="O111" t="s" s="167">
        <v>123</v>
      </c>
      <c r="P111" t="s" s="167">
        <v>124</v>
      </c>
      <c r="Q111" t="s" s="167">
        <v>125</v>
      </c>
      <c r="R111" s="120"/>
      <c r="S111" s="120"/>
      <c r="T111" s="120"/>
      <c r="U111" t="s" s="164">
        <v>876</v>
      </c>
      <c r="V111" s="166"/>
      <c r="W111" s="166"/>
      <c r="X111" t="s" s="164">
        <v>877</v>
      </c>
      <c r="Y111" s="166"/>
      <c r="Z111" s="166"/>
      <c r="AA111" s="120"/>
      <c r="AB111" s="120"/>
      <c r="AC111" s="120"/>
      <c r="AD111" s="120"/>
      <c r="AE111" s="120"/>
      <c r="AF111" s="168"/>
    </row>
    <row r="112" ht="21.25" customHeight="1">
      <c r="A112" s="194"/>
      <c r="B112" t="s" s="170">
        <f>_xlfn.IFERROR(VLOOKUP($A112,'The List'!$B1:$AS665,3,FALSE)," ")</f>
        <v>858</v>
      </c>
      <c r="C112" t="s" s="195">
        <f>_xlfn.IFERROR(VLOOKUP($A112,'The List'!$B1:$AS665,4,FALSE)," ")</f>
        <v>858</v>
      </c>
      <c r="D112" t="s" s="72">
        <f>_xlfn.IFERROR(VLOOKUP($A112,'The List'!$B1:$AS665,5,FALSE)," ")</f>
        <v>858</v>
      </c>
      <c r="E112" t="s" s="72">
        <f>_xlfn.IFERROR(VLOOKUP($A112,'The List'!$B1:$AS665,6,FALSE)," ")</f>
        <v>858</v>
      </c>
      <c r="F112" t="s" s="196">
        <f>_xlfn.IFERROR(VLOOKUP($A112,'The List'!$B1:$AS665,8,FALSE)," ")</f>
        <v>858</v>
      </c>
      <c r="G112" t="s" s="196">
        <f>_xlfn.IFERROR(VLOOKUP($A112,'The List'!$B1:$AS665,10,FALSE)," ")</f>
        <v>858</v>
      </c>
      <c r="H112" s="174"/>
      <c r="I112" t="s" s="197">
        <f>_xlfn.IFERROR(VLOOKUP($A112,'The List'!$B1:$AS665,35,FALSE)," ")</f>
        <v>858</v>
      </c>
      <c r="J112" t="s" s="197">
        <f>_xlfn.IFERROR(VLOOKUP($A112,'The List'!$B1:$AS665,36,FALSE)," ")</f>
        <v>858</v>
      </c>
      <c r="K112" t="s" s="197">
        <f>_xlfn.IFERROR(VLOOKUP($A112,'The List'!$B1:$AS665,37,FALSE)," ")</f>
        <v>858</v>
      </c>
      <c r="L112" t="s" s="197">
        <f>_xlfn.IFERROR(VLOOKUP($A112,'The List'!$B1:$AS665,38,FALSE)," ")</f>
        <v>858</v>
      </c>
      <c r="M112" t="s" s="197">
        <f>_xlfn.IFERROR(VLOOKUP($A112,'The List'!$B1:$AS665,39,FALSE)," ")</f>
        <v>858</v>
      </c>
      <c r="N112" t="s" s="197">
        <f>_xlfn.IFERROR(VLOOKUP($A112,'The List'!$B1:$AS665,40,FALSE)," ")</f>
        <v>858</v>
      </c>
      <c r="O112" t="s" s="197">
        <f>_xlfn.IFERROR(VLOOKUP($A112,'The List'!$B1:$AS665,41,FALSE)," ")</f>
        <v>858</v>
      </c>
      <c r="P112" t="s" s="197">
        <f>_xlfn.IFERROR(VLOOKUP($A112,'The List'!$B1:$AS665,42,FALSE)," ")</f>
        <v>858</v>
      </c>
      <c r="Q112" t="s" s="197">
        <f>_xlfn.IFERROR(VLOOKUP($A112,'The List'!$B1:$AS665,43,FALSE)," ")</f>
        <v>858</v>
      </c>
      <c r="R112" s="120"/>
      <c r="S112" s="120"/>
      <c r="T112" t="s" s="178">
        <f>A88</f>
        <v>882</v>
      </c>
      <c r="U112" s="179">
        <f>F109+F115</f>
        <v>0</v>
      </c>
      <c r="V112" s="31"/>
      <c r="W112" s="31"/>
      <c r="X112" s="179">
        <f>G115+G109</f>
        <v>0</v>
      </c>
      <c r="Y112" s="31"/>
      <c r="Z112" s="31"/>
      <c r="AA112" s="120"/>
      <c r="AB112" s="120"/>
      <c r="AC112" s="120"/>
      <c r="AD112" s="120"/>
      <c r="AE112" s="120"/>
      <c r="AF112" s="168"/>
    </row>
    <row r="113" ht="21.25" customHeight="1">
      <c r="A113" s="50"/>
      <c r="B113" t="s" s="180">
        <f>_xlfn.IFERROR(VLOOKUP($A113,'The List'!$B1:$AS665,3,FALSE)," ")</f>
        <v>858</v>
      </c>
      <c r="C113" t="s" s="181">
        <f>_xlfn.IFERROR(VLOOKUP($A113,'The List'!$B1:$AS665,4,FALSE)," ")</f>
        <v>858</v>
      </c>
      <c r="D113" t="s" s="86">
        <f>_xlfn.IFERROR(VLOOKUP($A113,'The List'!$B1:$AS665,5,FALSE)," ")</f>
        <v>858</v>
      </c>
      <c r="E113" t="s" s="86">
        <f>_xlfn.IFERROR(VLOOKUP($A113,'The List'!$B1:$AS665,6,FALSE)," ")</f>
        <v>858</v>
      </c>
      <c r="F113" t="s" s="124">
        <f>_xlfn.IFERROR(VLOOKUP($A113,'The List'!$B1:$AS665,8,FALSE)," ")</f>
        <v>858</v>
      </c>
      <c r="G113" t="s" s="124">
        <f>_xlfn.IFERROR(VLOOKUP($A113,'The List'!$B1:$AS665,10,FALSE)," ")</f>
        <v>858</v>
      </c>
      <c r="H113" s="77"/>
      <c r="I113" t="s" s="125">
        <f>_xlfn.IFERROR(VLOOKUP($A113,'The List'!$B1:$AS665,35,FALSE)," ")</f>
        <v>858</v>
      </c>
      <c r="J113" t="s" s="125">
        <f>_xlfn.IFERROR(VLOOKUP($A113,'The List'!$B1:$AS665,36,FALSE)," ")</f>
        <v>858</v>
      </c>
      <c r="K113" t="s" s="125">
        <f>_xlfn.IFERROR(VLOOKUP($A113,'The List'!$B1:$AS665,37,FALSE)," ")</f>
        <v>858</v>
      </c>
      <c r="L113" t="s" s="125">
        <f>_xlfn.IFERROR(VLOOKUP($A113,'The List'!$B1:$AS665,38,FALSE)," ")</f>
        <v>858</v>
      </c>
      <c r="M113" t="s" s="125">
        <f>_xlfn.IFERROR(VLOOKUP($A113,'The List'!$B1:$AS665,39,FALSE)," ")</f>
        <v>858</v>
      </c>
      <c r="N113" t="s" s="125">
        <f>_xlfn.IFERROR(VLOOKUP($A113,'The List'!$B1:$AS665,40,FALSE)," ")</f>
        <v>858</v>
      </c>
      <c r="O113" t="s" s="125">
        <f>_xlfn.IFERROR(VLOOKUP($A113,'The List'!$B1:$AS665,41,FALSE)," ")</f>
        <v>858</v>
      </c>
      <c r="P113" t="s" s="125">
        <f>_xlfn.IFERROR(VLOOKUP($A113,'The List'!$B1:$AS665,42,FALSE)," ")</f>
        <v>858</v>
      </c>
      <c r="Q113" t="s" s="125">
        <f>_xlfn.IFERROR(VLOOKUP($A113,'The List'!$B1:$AS665,43,FALSE)," ")</f>
        <v>858</v>
      </c>
      <c r="R113" s="120"/>
      <c r="S113" s="120"/>
      <c r="T113" s="120"/>
      <c r="U113" s="31"/>
      <c r="V113" s="31"/>
      <c r="W113" s="31"/>
      <c r="X113" s="31"/>
      <c r="Y113" s="31"/>
      <c r="Z113" s="31"/>
      <c r="AA113" s="120"/>
      <c r="AB113" s="120"/>
      <c r="AC113" s="120"/>
      <c r="AD113" s="120"/>
      <c r="AE113" s="120"/>
      <c r="AF113" s="168"/>
    </row>
    <row r="114" ht="21.25" customHeight="1">
      <c r="A114" s="137"/>
      <c r="B114" t="s" s="182">
        <f>_xlfn.IFERROR(VLOOKUP($A114,'The List'!$B1:$AS665,3,FALSE)," ")</f>
        <v>858</v>
      </c>
      <c r="C114" t="s" s="183">
        <f>_xlfn.IFERROR(VLOOKUP($A114,'The List'!$B1:$AS665,4,FALSE)," ")</f>
        <v>858</v>
      </c>
      <c r="D114" t="s" s="140">
        <f>_xlfn.IFERROR(VLOOKUP($A114,'The List'!$B1:$AS665,5,FALSE)," ")</f>
        <v>858</v>
      </c>
      <c r="E114" t="s" s="140">
        <f>_xlfn.IFERROR(VLOOKUP($A114,'The List'!$B1:$AS665,6,FALSE)," ")</f>
        <v>858</v>
      </c>
      <c r="F114" t="s" s="141">
        <f>_xlfn.IFERROR(VLOOKUP($A114,'The List'!$B1:$AS665,8,FALSE)," ")</f>
        <v>858</v>
      </c>
      <c r="G114" t="s" s="141">
        <f>_xlfn.IFERROR(VLOOKUP($A114,'The List'!$B1:$AS665,10,FALSE)," ")</f>
        <v>858</v>
      </c>
      <c r="H114" s="142"/>
      <c r="I114" t="s" s="143">
        <f>_xlfn.IFERROR(VLOOKUP($A114,'The List'!$B1:$AS665,35,FALSE)," ")</f>
        <v>858</v>
      </c>
      <c r="J114" t="s" s="143">
        <f>_xlfn.IFERROR(VLOOKUP($A114,'The List'!$B1:$AS665,36,FALSE)," ")</f>
        <v>858</v>
      </c>
      <c r="K114" t="s" s="143">
        <f>_xlfn.IFERROR(VLOOKUP($A114,'The List'!$B1:$AS665,37,FALSE)," ")</f>
        <v>858</v>
      </c>
      <c r="L114" t="s" s="143">
        <f>_xlfn.IFERROR(VLOOKUP($A114,'The List'!$B1:$AS665,38,FALSE)," ")</f>
        <v>858</v>
      </c>
      <c r="M114" t="s" s="143">
        <f>_xlfn.IFERROR(VLOOKUP($A114,'The List'!$B1:$AS665,39,FALSE)," ")</f>
        <v>858</v>
      </c>
      <c r="N114" t="s" s="143">
        <f>_xlfn.IFERROR(VLOOKUP($A114,'The List'!$B1:$AS665,40,FALSE)," ")</f>
        <v>858</v>
      </c>
      <c r="O114" t="s" s="143">
        <f>_xlfn.IFERROR(VLOOKUP($A114,'The List'!$B1:$AS665,41,FALSE)," ")</f>
        <v>858</v>
      </c>
      <c r="P114" t="s" s="143">
        <f>_xlfn.IFERROR(VLOOKUP($A114,'The List'!$B1:$AS665,42,FALSE)," ")</f>
        <v>858</v>
      </c>
      <c r="Q114" t="s" s="143">
        <f>_xlfn.IFERROR(VLOOKUP($A114,'The List'!$B1:$AS665,43,FALSE)," ")</f>
        <v>858</v>
      </c>
      <c r="R114" s="120"/>
      <c r="S114" s="120"/>
      <c r="T114" s="120"/>
      <c r="U114" s="31"/>
      <c r="V114" s="31"/>
      <c r="W114" s="31"/>
      <c r="X114" s="31"/>
      <c r="Y114" s="31"/>
      <c r="Z114" s="31"/>
      <c r="AA114" s="120"/>
      <c r="AB114" s="120"/>
      <c r="AC114" s="120"/>
      <c r="AD114" s="120"/>
      <c r="AE114" s="120"/>
      <c r="AF114" s="168"/>
    </row>
    <row r="115" ht="21.25" customHeight="1">
      <c r="A115" s="145"/>
      <c r="B115" s="146"/>
      <c r="C115" s="147"/>
      <c r="D115" s="148"/>
      <c r="E115" t="s" s="193">
        <f>_xlfn.IFERROR(AVERAGE(E112:E114)," ")</f>
        <v>858</v>
      </c>
      <c r="F115" s="150">
        <f>SUM(F112:F114)</f>
        <v>0</v>
      </c>
      <c r="G115" s="150">
        <f>SUM(G112:G114)</f>
        <v>0</v>
      </c>
      <c r="H115" s="151"/>
      <c r="I115" s="152">
        <f>SUM(I112:I114)</f>
        <v>0</v>
      </c>
      <c r="J115" s="151">
        <f>SUM(J112:J114)</f>
        <v>0</v>
      </c>
      <c r="K115" s="152">
        <f>SUM(K112:K114)</f>
        <v>0</v>
      </c>
      <c r="L115" s="152">
        <f>SUM(L112:L114)</f>
        <v>0</v>
      </c>
      <c r="M115" s="152">
        <f>SUM(M112:M114)</f>
        <v>0</v>
      </c>
      <c r="N115" s="152">
        <f>SUM(N112:N114)</f>
        <v>0</v>
      </c>
      <c r="O115" s="152">
        <f>SUM(O112:O114)</f>
        <v>0</v>
      </c>
      <c r="P115" s="184">
        <f>1-(O115/(N115+O115))</f>
      </c>
      <c r="Q115" s="185">
        <f>O115/I115</f>
      </c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  <c r="AB115" s="120"/>
      <c r="AC115" s="120"/>
      <c r="AD115" s="120"/>
      <c r="AE115" s="120"/>
      <c r="AF115" s="168"/>
    </row>
    <row r="116" ht="70.75" customHeight="1">
      <c r="A116" s="156"/>
      <c r="B116" s="157"/>
      <c r="C116" s="158"/>
      <c r="D116" s="13"/>
      <c r="E116" s="13"/>
      <c r="F116" s="159"/>
      <c r="G116" s="160"/>
      <c r="H116" s="161"/>
      <c r="I116" s="162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1"/>
      <c r="AB116" s="121"/>
      <c r="AC116" s="121"/>
      <c r="AD116" s="121"/>
      <c r="AE116" s="121"/>
      <c r="AF116" s="144"/>
    </row>
    <row r="117" ht="21.25" customHeight="1">
      <c r="A117" t="s" s="186">
        <v>862</v>
      </c>
      <c r="B117" t="s" s="187">
        <v>91</v>
      </c>
      <c r="C117" s="45"/>
      <c r="D117" t="s" s="187">
        <v>92</v>
      </c>
      <c r="E117" t="s" s="187">
        <v>93</v>
      </c>
      <c r="F117" t="s" s="188">
        <v>95</v>
      </c>
      <c r="G117" t="s" s="188">
        <v>97</v>
      </c>
      <c r="H117" s="189"/>
      <c r="I117" t="s" s="190">
        <v>102</v>
      </c>
      <c r="J117" t="s" s="190">
        <v>55</v>
      </c>
      <c r="K117" t="s" s="190">
        <v>103</v>
      </c>
      <c r="L117" t="s" s="190">
        <v>104</v>
      </c>
      <c r="M117" t="s" s="190">
        <v>105</v>
      </c>
      <c r="N117" t="s" s="190">
        <v>106</v>
      </c>
      <c r="O117" t="s" s="190">
        <v>107</v>
      </c>
      <c r="P117" t="s" s="190">
        <v>63</v>
      </c>
      <c r="Q117" t="s" s="190">
        <v>108</v>
      </c>
      <c r="R117" t="s" s="190">
        <v>109</v>
      </c>
      <c r="S117" t="s" s="190">
        <v>110</v>
      </c>
      <c r="T117" t="s" s="190">
        <v>111</v>
      </c>
      <c r="U117" t="s" s="190">
        <v>112</v>
      </c>
      <c r="V117" t="s" s="190">
        <v>113</v>
      </c>
      <c r="W117" t="s" s="190">
        <v>114</v>
      </c>
      <c r="X117" t="s" s="190">
        <v>115</v>
      </c>
      <c r="Y117" t="s" s="190">
        <v>116</v>
      </c>
      <c r="Z117" t="s" s="190">
        <v>117</v>
      </c>
      <c r="AA117" s="120"/>
      <c r="AB117" s="191"/>
      <c r="AC117" s="191"/>
      <c r="AD117" s="191"/>
      <c r="AE117" s="191"/>
      <c r="AF117" s="192"/>
    </row>
    <row r="118" ht="21.25" customHeight="1">
      <c r="A118" s="50"/>
      <c r="B118" t="s" s="117">
        <f>_xlfn.IFERROR(VLOOKUP($A118,'The List'!$B1:$AS665,3,FALSE)," ")</f>
        <v>858</v>
      </c>
      <c r="C118" t="s" s="123">
        <f>_xlfn.IFERROR(VLOOKUP($A118,'The List'!$B1:$AS665,4,FALSE)," ")</f>
        <v>858</v>
      </c>
      <c r="D118" t="s" s="86">
        <f>_xlfn.IFERROR(VLOOKUP($A118,'The List'!$B1:$AS665,5,FALSE)," ")</f>
        <v>858</v>
      </c>
      <c r="E118" t="s" s="86">
        <f>_xlfn.IFERROR(VLOOKUP($A118,'The List'!$B1:$AS665,6,FALSE)," ")</f>
        <v>858</v>
      </c>
      <c r="F118" t="s" s="124">
        <f>_xlfn.IFERROR(VLOOKUP($A118,'The List'!$B1:$AS665,8,FALSE)," ")</f>
        <v>858</v>
      </c>
      <c r="G118" t="s" s="124">
        <f>_xlfn.IFERROR(VLOOKUP($A118,'The List'!$B1:$AS665,10,FALSE)," ")</f>
        <v>858</v>
      </c>
      <c r="H118" s="77"/>
      <c r="I118" t="s" s="125">
        <f>_xlfn.IFERROR(VLOOKUP($A118,'The List'!$B1:$AS665,16,FALSE)," ")</f>
        <v>858</v>
      </c>
      <c r="J118" t="s" s="125">
        <f>_xlfn.IFERROR(VLOOKUP($A118,'The List'!$B1:$AS665,17,FALSE)," ")</f>
        <v>858</v>
      </c>
      <c r="K118" t="s" s="125">
        <f>_xlfn.IFERROR(VLOOKUP($A118,'The List'!$B1:$AS665,18,FALSE)," ")</f>
        <v>858</v>
      </c>
      <c r="L118" t="s" s="125">
        <f>_xlfn.IFERROR(VLOOKUP($A118,'The List'!$B1:$AS665,19,FALSE)," ")</f>
        <v>858</v>
      </c>
      <c r="M118" t="s" s="125">
        <f>_xlfn.IFERROR(VLOOKUP($A118,'The List'!$B1:$AS665,20,FALSE)," ")</f>
        <v>858</v>
      </c>
      <c r="N118" t="s" s="125">
        <f>_xlfn.IFERROR(VLOOKUP($A118,'The List'!$B1:$AS665,21,FALSE)," ")</f>
        <v>858</v>
      </c>
      <c r="O118" t="s" s="125">
        <f>_xlfn.IFERROR(VLOOKUP($A118,'The List'!$B1:$AS665,22,FALSE)," ")</f>
        <v>858</v>
      </c>
      <c r="P118" t="s" s="125">
        <f>_xlfn.IFERROR(VLOOKUP($A118,'The List'!$B1:$AS665,23,FALSE)," ")</f>
        <v>858</v>
      </c>
      <c r="Q118" t="s" s="125">
        <f>_xlfn.IFERROR(VLOOKUP($A118,'The List'!$B1:$AS665,24,FALSE)," ")</f>
        <v>858</v>
      </c>
      <c r="R118" t="s" s="125">
        <f>_xlfn.IFERROR(VLOOKUP($A118,'The List'!$B1:$AS665,25,FALSE)," ")</f>
        <v>858</v>
      </c>
      <c r="S118" t="s" s="125">
        <f>_xlfn.IFERROR(VLOOKUP($A118,'The List'!$B1:$AS665,26,FALSE)," ")</f>
        <v>858</v>
      </c>
      <c r="T118" t="s" s="125">
        <f>_xlfn.IFERROR(VLOOKUP($A118,'The List'!$B1:$AS665,27,FALSE)," ")</f>
        <v>858</v>
      </c>
      <c r="U118" t="s" s="125">
        <f>_xlfn.IFERROR(VLOOKUP($A118,'The List'!$B1:$AS665,28,FALSE)," ")</f>
        <v>858</v>
      </c>
      <c r="V118" t="s" s="125">
        <f>_xlfn.IFERROR(VLOOKUP($A118,'The List'!$B1:$AS665,29,FALSE)," ")</f>
        <v>858</v>
      </c>
      <c r="W118" t="s" s="125">
        <f>_xlfn.IFERROR(VLOOKUP($A118,'The List'!$B1:$AS665,30,FALSE)," ")</f>
        <v>858</v>
      </c>
      <c r="X118" t="s" s="125">
        <f>_xlfn.IFERROR(VLOOKUP($A118,'The List'!$B1:$AS665,31,FALSE)," ")</f>
        <v>858</v>
      </c>
      <c r="Y118" t="s" s="125">
        <f>_xlfn.IFERROR(VLOOKUP($A118,'The List'!$B1:$AS665,32,FALSE)," ")</f>
        <v>858</v>
      </c>
      <c r="Z118" t="s" s="125">
        <f>_xlfn.IFERROR(VLOOKUP($A118,'The List'!$B1:$AS665,33,FALSE)," ")</f>
        <v>858</v>
      </c>
      <c r="AA118" s="120"/>
      <c r="AB118" s="121"/>
      <c r="AC118" s="121"/>
      <c r="AD118" s="121"/>
      <c r="AE118" s="121"/>
      <c r="AF118" s="144"/>
    </row>
    <row r="119" ht="21.25" customHeight="1">
      <c r="A119" s="50"/>
      <c r="B119" t="s" s="117">
        <f>_xlfn.IFERROR(VLOOKUP($A119,'The List'!$B1:$AS665,3,FALSE)," ")</f>
        <v>858</v>
      </c>
      <c r="C119" t="s" s="123">
        <f>_xlfn.IFERROR(VLOOKUP($A119,'The List'!$B1:$AS665,4,FALSE)," ")</f>
        <v>858</v>
      </c>
      <c r="D119" t="s" s="86">
        <f>_xlfn.IFERROR(VLOOKUP($A119,'The List'!$B1:$AS665,5,FALSE)," ")</f>
        <v>858</v>
      </c>
      <c r="E119" t="s" s="86">
        <f>_xlfn.IFERROR(VLOOKUP($A119,'The List'!$B1:$AS665,6,FALSE)," ")</f>
        <v>858</v>
      </c>
      <c r="F119" t="s" s="124">
        <f>_xlfn.IFERROR(VLOOKUP($A119,'The List'!$B1:$AS665,8,FALSE)," ")</f>
        <v>858</v>
      </c>
      <c r="G119" t="s" s="124">
        <f>_xlfn.IFERROR(VLOOKUP($A119,'The List'!$B1:$AS665,10,FALSE)," ")</f>
        <v>858</v>
      </c>
      <c r="H119" s="77"/>
      <c r="I119" t="s" s="125">
        <f>_xlfn.IFERROR(VLOOKUP($A119,'The List'!$B1:$AS665,16,FALSE)," ")</f>
        <v>858</v>
      </c>
      <c r="J119" t="s" s="125">
        <f>_xlfn.IFERROR(VLOOKUP($A119,'The List'!$B1:$AS665,17,FALSE)," ")</f>
        <v>858</v>
      </c>
      <c r="K119" t="s" s="125">
        <f>_xlfn.IFERROR(VLOOKUP($A119,'The List'!$B1:$AS665,18,FALSE)," ")</f>
        <v>858</v>
      </c>
      <c r="L119" t="s" s="125">
        <f>_xlfn.IFERROR(VLOOKUP($A119,'The List'!$B1:$AS665,19,FALSE)," ")</f>
        <v>858</v>
      </c>
      <c r="M119" t="s" s="125">
        <f>_xlfn.IFERROR(VLOOKUP($A119,'The List'!$B1:$AS665,20,FALSE)," ")</f>
        <v>858</v>
      </c>
      <c r="N119" t="s" s="125">
        <f>_xlfn.IFERROR(VLOOKUP($A119,'The List'!$B1:$AS665,21,FALSE)," ")</f>
        <v>858</v>
      </c>
      <c r="O119" t="s" s="125">
        <f>_xlfn.IFERROR(VLOOKUP($A119,'The List'!$B1:$AS665,22,FALSE)," ")</f>
        <v>858</v>
      </c>
      <c r="P119" t="s" s="125">
        <f>_xlfn.IFERROR(VLOOKUP($A119,'The List'!$B1:$AS665,23,FALSE)," ")</f>
        <v>858</v>
      </c>
      <c r="Q119" t="s" s="125">
        <f>_xlfn.IFERROR(VLOOKUP($A119,'The List'!$B1:$AS665,24,FALSE)," ")</f>
        <v>858</v>
      </c>
      <c r="R119" t="s" s="125">
        <f>_xlfn.IFERROR(VLOOKUP($A119,'The List'!$B1:$AS665,25,FALSE)," ")</f>
        <v>858</v>
      </c>
      <c r="S119" t="s" s="125">
        <f>_xlfn.IFERROR(VLOOKUP($A119,'The List'!$B1:$AS665,26,FALSE)," ")</f>
        <v>858</v>
      </c>
      <c r="T119" t="s" s="125">
        <f>_xlfn.IFERROR(VLOOKUP($A119,'The List'!$B1:$AS665,27,FALSE)," ")</f>
        <v>858</v>
      </c>
      <c r="U119" t="s" s="125">
        <f>_xlfn.IFERROR(VLOOKUP($A119,'The List'!$B1:$AS665,28,FALSE)," ")</f>
        <v>858</v>
      </c>
      <c r="V119" t="s" s="125">
        <f>_xlfn.IFERROR(VLOOKUP($A119,'The List'!$B1:$AS665,29,FALSE)," ")</f>
        <v>858</v>
      </c>
      <c r="W119" t="s" s="125">
        <f>_xlfn.IFERROR(VLOOKUP($A119,'The List'!$B1:$AS665,30,FALSE)," ")</f>
        <v>858</v>
      </c>
      <c r="X119" t="s" s="125">
        <f>_xlfn.IFERROR(VLOOKUP($A119,'The List'!$B1:$AS665,31,FALSE)," ")</f>
        <v>858</v>
      </c>
      <c r="Y119" t="s" s="125">
        <f>_xlfn.IFERROR(VLOOKUP($A119,'The List'!$B1:$AS665,32,FALSE)," ")</f>
        <v>858</v>
      </c>
      <c r="Z119" t="s" s="125">
        <f>_xlfn.IFERROR(VLOOKUP($A119,'The List'!$B1:$AS665,33,FALSE)," ")</f>
        <v>858</v>
      </c>
      <c r="AA119" s="120"/>
      <c r="AB119" s="121"/>
      <c r="AC119" s="121"/>
      <c r="AD119" s="121"/>
      <c r="AE119" s="121"/>
      <c r="AF119" s="144"/>
    </row>
    <row r="120" ht="21.25" customHeight="1">
      <c r="A120" s="50"/>
      <c r="B120" t="s" s="117">
        <f>_xlfn.IFERROR(VLOOKUP($A120,'The List'!$B1:$AS665,3,FALSE)," ")</f>
        <v>858</v>
      </c>
      <c r="C120" t="s" s="123">
        <f>_xlfn.IFERROR(VLOOKUP($A120,'The List'!$B1:$AS665,4,FALSE)," ")</f>
        <v>858</v>
      </c>
      <c r="D120" t="s" s="86">
        <f>_xlfn.IFERROR(VLOOKUP($A120,'The List'!$B1:$AS665,5,FALSE)," ")</f>
        <v>858</v>
      </c>
      <c r="E120" t="s" s="86">
        <f>_xlfn.IFERROR(VLOOKUP($A120,'The List'!$B1:$AS665,6,FALSE)," ")</f>
        <v>858</v>
      </c>
      <c r="F120" t="s" s="124">
        <f>_xlfn.IFERROR(VLOOKUP($A120,'The List'!$B1:$AS665,8,FALSE)," ")</f>
        <v>858</v>
      </c>
      <c r="G120" t="s" s="124">
        <f>_xlfn.IFERROR(VLOOKUP($A120,'The List'!$B1:$AS665,10,FALSE)," ")</f>
        <v>858</v>
      </c>
      <c r="H120" s="77"/>
      <c r="I120" t="s" s="125">
        <f>_xlfn.IFERROR(VLOOKUP($A120,'The List'!$B1:$AS665,16,FALSE)," ")</f>
        <v>858</v>
      </c>
      <c r="J120" t="s" s="125">
        <f>_xlfn.IFERROR(VLOOKUP($A120,'The List'!$B1:$AS665,17,FALSE)," ")</f>
        <v>858</v>
      </c>
      <c r="K120" t="s" s="125">
        <f>_xlfn.IFERROR(VLOOKUP($A120,'The List'!$B1:$AS665,18,FALSE)," ")</f>
        <v>858</v>
      </c>
      <c r="L120" t="s" s="125">
        <f>_xlfn.IFERROR(VLOOKUP($A120,'The List'!$B1:$AS665,19,FALSE)," ")</f>
        <v>858</v>
      </c>
      <c r="M120" t="s" s="125">
        <f>_xlfn.IFERROR(VLOOKUP($A120,'The List'!$B1:$AS665,20,FALSE)," ")</f>
        <v>858</v>
      </c>
      <c r="N120" t="s" s="125">
        <f>_xlfn.IFERROR(VLOOKUP($A120,'The List'!$B1:$AS665,21,FALSE)," ")</f>
        <v>858</v>
      </c>
      <c r="O120" t="s" s="125">
        <f>_xlfn.IFERROR(VLOOKUP($A120,'The List'!$B1:$AS665,22,FALSE)," ")</f>
        <v>858</v>
      </c>
      <c r="P120" t="s" s="125">
        <f>_xlfn.IFERROR(VLOOKUP($A120,'The List'!$B1:$AS665,23,FALSE)," ")</f>
        <v>858</v>
      </c>
      <c r="Q120" t="s" s="125">
        <f>_xlfn.IFERROR(VLOOKUP($A120,'The List'!$B1:$AS665,24,FALSE)," ")</f>
        <v>858</v>
      </c>
      <c r="R120" t="s" s="125">
        <f>_xlfn.IFERROR(VLOOKUP($A120,'The List'!$B1:$AS665,25,FALSE)," ")</f>
        <v>858</v>
      </c>
      <c r="S120" t="s" s="125">
        <f>_xlfn.IFERROR(VLOOKUP($A120,'The List'!$B1:$AS665,26,FALSE)," ")</f>
        <v>858</v>
      </c>
      <c r="T120" t="s" s="125">
        <f>_xlfn.IFERROR(VLOOKUP($A120,'The List'!$B1:$AS665,27,FALSE)," ")</f>
        <v>858</v>
      </c>
      <c r="U120" t="s" s="125">
        <f>_xlfn.IFERROR(VLOOKUP($A120,'The List'!$B1:$AS665,28,FALSE)," ")</f>
        <v>858</v>
      </c>
      <c r="V120" t="s" s="125">
        <f>_xlfn.IFERROR(VLOOKUP($A120,'The List'!$B1:$AS665,29,FALSE)," ")</f>
        <v>858</v>
      </c>
      <c r="W120" t="s" s="125">
        <f>_xlfn.IFERROR(VLOOKUP($A120,'The List'!$B1:$AS665,30,FALSE)," ")</f>
        <v>858</v>
      </c>
      <c r="X120" t="s" s="125">
        <f>_xlfn.IFERROR(VLOOKUP($A120,'The List'!$B1:$AS665,31,FALSE)," ")</f>
        <v>858</v>
      </c>
      <c r="Y120" t="s" s="125">
        <f>_xlfn.IFERROR(VLOOKUP($A120,'The List'!$B1:$AS665,32,FALSE)," ")</f>
        <v>858</v>
      </c>
      <c r="Z120" t="s" s="125">
        <f>_xlfn.IFERROR(VLOOKUP($A120,'The List'!$B1:$AS665,33,FALSE)," ")</f>
        <v>858</v>
      </c>
      <c r="AA120" s="120"/>
      <c r="AB120" s="121"/>
      <c r="AC120" s="121"/>
      <c r="AD120" s="121"/>
      <c r="AE120" s="121"/>
      <c r="AF120" s="144"/>
    </row>
    <row r="121" ht="21.25" customHeight="1">
      <c r="A121" s="50"/>
      <c r="B121" t="s" s="117">
        <f>_xlfn.IFERROR(VLOOKUP($A121,'The List'!$B1:$AS665,3,FALSE)," ")</f>
        <v>858</v>
      </c>
      <c r="C121" t="s" s="123">
        <f>_xlfn.IFERROR(VLOOKUP($A121,'The List'!$B1:$AS665,4,FALSE)," ")</f>
        <v>858</v>
      </c>
      <c r="D121" t="s" s="86">
        <f>_xlfn.IFERROR(VLOOKUP($A121,'The List'!$B1:$AS665,5,FALSE)," ")</f>
        <v>858</v>
      </c>
      <c r="E121" t="s" s="86">
        <f>_xlfn.IFERROR(VLOOKUP($A121,'The List'!$B1:$AS665,6,FALSE)," ")</f>
        <v>858</v>
      </c>
      <c r="F121" t="s" s="124">
        <f>_xlfn.IFERROR(VLOOKUP($A121,'The List'!$B1:$AS665,8,FALSE)," ")</f>
        <v>858</v>
      </c>
      <c r="G121" t="s" s="124">
        <f>_xlfn.IFERROR(VLOOKUP($A121,'The List'!$B1:$AS665,10,FALSE)," ")</f>
        <v>858</v>
      </c>
      <c r="H121" s="77"/>
      <c r="I121" t="s" s="125">
        <f>_xlfn.IFERROR(VLOOKUP($A121,'The List'!$B1:$AS665,16,FALSE)," ")</f>
        <v>858</v>
      </c>
      <c r="J121" t="s" s="125">
        <f>_xlfn.IFERROR(VLOOKUP($A121,'The List'!$B1:$AS665,17,FALSE)," ")</f>
        <v>858</v>
      </c>
      <c r="K121" t="s" s="125">
        <f>_xlfn.IFERROR(VLOOKUP($A121,'The List'!$B1:$AS665,18,FALSE)," ")</f>
        <v>858</v>
      </c>
      <c r="L121" t="s" s="125">
        <f>_xlfn.IFERROR(VLOOKUP($A121,'The List'!$B1:$AS665,19,FALSE)," ")</f>
        <v>858</v>
      </c>
      <c r="M121" t="s" s="125">
        <f>_xlfn.IFERROR(VLOOKUP($A121,'The List'!$B1:$AS665,20,FALSE)," ")</f>
        <v>858</v>
      </c>
      <c r="N121" t="s" s="125">
        <f>_xlfn.IFERROR(VLOOKUP($A121,'The List'!$B1:$AS665,21,FALSE)," ")</f>
        <v>858</v>
      </c>
      <c r="O121" t="s" s="125">
        <f>_xlfn.IFERROR(VLOOKUP($A121,'The List'!$B1:$AS665,22,FALSE)," ")</f>
        <v>858</v>
      </c>
      <c r="P121" t="s" s="125">
        <f>_xlfn.IFERROR(VLOOKUP($A121,'The List'!$B1:$AS665,23,FALSE)," ")</f>
        <v>858</v>
      </c>
      <c r="Q121" t="s" s="125">
        <f>_xlfn.IFERROR(VLOOKUP($A121,'The List'!$B1:$AS665,24,FALSE)," ")</f>
        <v>858</v>
      </c>
      <c r="R121" t="s" s="125">
        <f>_xlfn.IFERROR(VLOOKUP($A121,'The List'!$B1:$AS665,25,FALSE)," ")</f>
        <v>858</v>
      </c>
      <c r="S121" t="s" s="125">
        <f>_xlfn.IFERROR(VLOOKUP($A121,'The List'!$B1:$AS665,26,FALSE)," ")</f>
        <v>858</v>
      </c>
      <c r="T121" t="s" s="125">
        <f>_xlfn.IFERROR(VLOOKUP($A121,'The List'!$B1:$AS665,27,FALSE)," ")</f>
        <v>858</v>
      </c>
      <c r="U121" t="s" s="125">
        <f>_xlfn.IFERROR(VLOOKUP($A121,'The List'!$B1:$AS665,28,FALSE)," ")</f>
        <v>858</v>
      </c>
      <c r="V121" t="s" s="125">
        <f>_xlfn.IFERROR(VLOOKUP($A121,'The List'!$B1:$AS665,29,FALSE)," ")</f>
        <v>858</v>
      </c>
      <c r="W121" t="s" s="125">
        <f>_xlfn.IFERROR(VLOOKUP($A121,'The List'!$B1:$AS665,30,FALSE)," ")</f>
        <v>858</v>
      </c>
      <c r="X121" t="s" s="125">
        <f>_xlfn.IFERROR(VLOOKUP($A121,'The List'!$B1:$AS665,31,FALSE)," ")</f>
        <v>858</v>
      </c>
      <c r="Y121" t="s" s="125">
        <f>_xlfn.IFERROR(VLOOKUP($A121,'The List'!$B1:$AS665,32,FALSE)," ")</f>
        <v>858</v>
      </c>
      <c r="Z121" t="s" s="125">
        <f>_xlfn.IFERROR(VLOOKUP($A121,'The List'!$B1:$AS665,33,FALSE)," ")</f>
        <v>858</v>
      </c>
      <c r="AA121" s="120"/>
      <c r="AB121" s="121"/>
      <c r="AC121" s="121"/>
      <c r="AD121" s="121"/>
      <c r="AE121" s="121"/>
      <c r="AF121" s="144"/>
    </row>
    <row r="122" ht="21.25" customHeight="1">
      <c r="A122" s="50"/>
      <c r="B122" t="s" s="126">
        <f>_xlfn.IFERROR(VLOOKUP($A122,'The List'!$B1:$AS665,3,FALSE)," ")</f>
        <v>858</v>
      </c>
      <c r="C122" t="s" s="128">
        <f>_xlfn.IFERROR(VLOOKUP($A122,'The List'!$B1:$AS665,4,FALSE)," ")</f>
        <v>858</v>
      </c>
      <c r="D122" t="s" s="86">
        <f>_xlfn.IFERROR(VLOOKUP($A122,'The List'!$B1:$AS665,5,FALSE)," ")</f>
        <v>858</v>
      </c>
      <c r="E122" t="s" s="86">
        <f>_xlfn.IFERROR(VLOOKUP($A122,'The List'!$B1:$AS665,6,FALSE)," ")</f>
        <v>858</v>
      </c>
      <c r="F122" t="s" s="124">
        <f>_xlfn.IFERROR(VLOOKUP($A122,'The List'!$B1:$AS665,8,FALSE)," ")</f>
        <v>858</v>
      </c>
      <c r="G122" t="s" s="124">
        <f>_xlfn.IFERROR(VLOOKUP($A122,'The List'!$B1:$AS665,10,FALSE)," ")</f>
        <v>858</v>
      </c>
      <c r="H122" s="77"/>
      <c r="I122" t="s" s="125">
        <f>_xlfn.IFERROR(VLOOKUP($A122,'The List'!$B1:$AS665,16,FALSE)," ")</f>
        <v>858</v>
      </c>
      <c r="J122" t="s" s="125">
        <f>_xlfn.IFERROR(VLOOKUP($A122,'The List'!$B1:$AS665,17,FALSE)," ")</f>
        <v>858</v>
      </c>
      <c r="K122" t="s" s="125">
        <f>_xlfn.IFERROR(VLOOKUP($A122,'The List'!$B1:$AS665,18,FALSE)," ")</f>
        <v>858</v>
      </c>
      <c r="L122" t="s" s="125">
        <f>_xlfn.IFERROR(VLOOKUP($A122,'The List'!$B1:$AS665,19,FALSE)," ")</f>
        <v>858</v>
      </c>
      <c r="M122" t="s" s="125">
        <f>_xlfn.IFERROR(VLOOKUP($A122,'The List'!$B1:$AS665,20,FALSE)," ")</f>
        <v>858</v>
      </c>
      <c r="N122" t="s" s="125">
        <f>_xlfn.IFERROR(VLOOKUP($A122,'The List'!$B1:$AS665,21,FALSE)," ")</f>
        <v>858</v>
      </c>
      <c r="O122" t="s" s="125">
        <f>_xlfn.IFERROR(VLOOKUP($A122,'The List'!$B1:$AS665,22,FALSE)," ")</f>
        <v>858</v>
      </c>
      <c r="P122" t="s" s="125">
        <f>_xlfn.IFERROR(VLOOKUP($A122,'The List'!$B1:$AS665,23,FALSE)," ")</f>
        <v>858</v>
      </c>
      <c r="Q122" t="s" s="125">
        <f>_xlfn.IFERROR(VLOOKUP($A122,'The List'!$B1:$AS665,24,FALSE)," ")</f>
        <v>858</v>
      </c>
      <c r="R122" t="s" s="125">
        <f>_xlfn.IFERROR(VLOOKUP($A122,'The List'!$B1:$AS665,25,FALSE)," ")</f>
        <v>858</v>
      </c>
      <c r="S122" t="s" s="125">
        <f>_xlfn.IFERROR(VLOOKUP($A122,'The List'!$B1:$AS665,26,FALSE)," ")</f>
        <v>858</v>
      </c>
      <c r="T122" t="s" s="125">
        <f>_xlfn.IFERROR(VLOOKUP($A122,'The List'!$B1:$AS665,27,FALSE)," ")</f>
        <v>858</v>
      </c>
      <c r="U122" t="s" s="125">
        <f>_xlfn.IFERROR(VLOOKUP($A122,'The List'!$B1:$AS665,28,FALSE)," ")</f>
        <v>858</v>
      </c>
      <c r="V122" t="s" s="125">
        <f>_xlfn.IFERROR(VLOOKUP($A122,'The List'!$B1:$AS665,29,FALSE)," ")</f>
        <v>858</v>
      </c>
      <c r="W122" t="s" s="125">
        <f>_xlfn.IFERROR(VLOOKUP($A122,'The List'!$B1:$AS665,30,FALSE)," ")</f>
        <v>858</v>
      </c>
      <c r="X122" t="s" s="125">
        <f>_xlfn.IFERROR(VLOOKUP($A122,'The List'!$B1:$AS665,31,FALSE)," ")</f>
        <v>858</v>
      </c>
      <c r="Y122" t="s" s="125">
        <f>_xlfn.IFERROR(VLOOKUP($A122,'The List'!$B1:$AS665,32,FALSE)," ")</f>
        <v>858</v>
      </c>
      <c r="Z122" t="s" s="125">
        <f>_xlfn.IFERROR(VLOOKUP($A122,'The List'!$B1:$AS665,33,FALSE)," ")</f>
        <v>858</v>
      </c>
      <c r="AA122" s="120"/>
      <c r="AB122" s="121"/>
      <c r="AC122" s="121"/>
      <c r="AD122" s="121"/>
      <c r="AE122" s="121"/>
      <c r="AF122" s="144"/>
    </row>
    <row r="123" ht="21.25" customHeight="1">
      <c r="A123" s="50"/>
      <c r="B123" t="s" s="126">
        <f>_xlfn.IFERROR(VLOOKUP($A123,'The List'!$B1:$AS665,3,FALSE)," ")</f>
        <v>858</v>
      </c>
      <c r="C123" t="s" s="128">
        <f>_xlfn.IFERROR(VLOOKUP($A123,'The List'!$B1:$AS665,4,FALSE)," ")</f>
        <v>858</v>
      </c>
      <c r="D123" t="s" s="86">
        <f>_xlfn.IFERROR(VLOOKUP($A123,'The List'!$B1:$AS665,5,FALSE)," ")</f>
        <v>858</v>
      </c>
      <c r="E123" t="s" s="86">
        <f>_xlfn.IFERROR(VLOOKUP($A123,'The List'!$B1:$AS665,6,FALSE)," ")</f>
        <v>858</v>
      </c>
      <c r="F123" t="s" s="124">
        <f>_xlfn.IFERROR(VLOOKUP($A123,'The List'!$B1:$AS665,8,FALSE)," ")</f>
        <v>858</v>
      </c>
      <c r="G123" t="s" s="124">
        <f>_xlfn.IFERROR(VLOOKUP($A123,'The List'!$B1:$AS665,10,FALSE)," ")</f>
        <v>858</v>
      </c>
      <c r="H123" s="77"/>
      <c r="I123" t="s" s="125">
        <f>_xlfn.IFERROR(VLOOKUP($A123,'The List'!$B1:$AS665,16,FALSE)," ")</f>
        <v>858</v>
      </c>
      <c r="J123" t="s" s="125">
        <f>_xlfn.IFERROR(VLOOKUP($A123,'The List'!$B1:$AS665,17,FALSE)," ")</f>
        <v>858</v>
      </c>
      <c r="K123" t="s" s="125">
        <f>_xlfn.IFERROR(VLOOKUP($A123,'The List'!$B1:$AS665,18,FALSE)," ")</f>
        <v>858</v>
      </c>
      <c r="L123" t="s" s="125">
        <f>_xlfn.IFERROR(VLOOKUP($A123,'The List'!$B1:$AS665,19,FALSE)," ")</f>
        <v>858</v>
      </c>
      <c r="M123" t="s" s="125">
        <f>_xlfn.IFERROR(VLOOKUP($A123,'The List'!$B1:$AS665,20,FALSE)," ")</f>
        <v>858</v>
      </c>
      <c r="N123" t="s" s="125">
        <f>_xlfn.IFERROR(VLOOKUP($A123,'The List'!$B1:$AS665,21,FALSE)," ")</f>
        <v>858</v>
      </c>
      <c r="O123" t="s" s="125">
        <f>_xlfn.IFERROR(VLOOKUP($A123,'The List'!$B1:$AS665,22,FALSE)," ")</f>
        <v>858</v>
      </c>
      <c r="P123" t="s" s="125">
        <f>_xlfn.IFERROR(VLOOKUP($A123,'The List'!$B1:$AS665,23,FALSE)," ")</f>
        <v>858</v>
      </c>
      <c r="Q123" t="s" s="125">
        <f>_xlfn.IFERROR(VLOOKUP($A123,'The List'!$B1:$AS665,24,FALSE)," ")</f>
        <v>858</v>
      </c>
      <c r="R123" t="s" s="125">
        <f>_xlfn.IFERROR(VLOOKUP($A123,'The List'!$B1:$AS665,25,FALSE)," ")</f>
        <v>858</v>
      </c>
      <c r="S123" t="s" s="125">
        <f>_xlfn.IFERROR(VLOOKUP($A123,'The List'!$B1:$AS665,26,FALSE)," ")</f>
        <v>858</v>
      </c>
      <c r="T123" t="s" s="125">
        <f>_xlfn.IFERROR(VLOOKUP($A123,'The List'!$B1:$AS665,27,FALSE)," ")</f>
        <v>858</v>
      </c>
      <c r="U123" t="s" s="125">
        <f>_xlfn.IFERROR(VLOOKUP($A123,'The List'!$B1:$AS665,28,FALSE)," ")</f>
        <v>858</v>
      </c>
      <c r="V123" t="s" s="125">
        <f>_xlfn.IFERROR(VLOOKUP($A123,'The List'!$B1:$AS665,29,FALSE)," ")</f>
        <v>858</v>
      </c>
      <c r="W123" t="s" s="125">
        <f>_xlfn.IFERROR(VLOOKUP($A123,'The List'!$B1:$AS665,30,FALSE)," ")</f>
        <v>858</v>
      </c>
      <c r="X123" t="s" s="125">
        <f>_xlfn.IFERROR(VLOOKUP($A123,'The List'!$B1:$AS665,31,FALSE)," ")</f>
        <v>858</v>
      </c>
      <c r="Y123" t="s" s="125">
        <f>_xlfn.IFERROR(VLOOKUP($A123,'The List'!$B1:$AS665,32,FALSE)," ")</f>
        <v>858</v>
      </c>
      <c r="Z123" t="s" s="125">
        <f>_xlfn.IFERROR(VLOOKUP($A123,'The List'!$B1:$AS665,33,FALSE)," ")</f>
        <v>858</v>
      </c>
      <c r="AA123" s="120"/>
      <c r="AB123" s="121"/>
      <c r="AC123" s="121"/>
      <c r="AD123" s="121"/>
      <c r="AE123" s="121"/>
      <c r="AF123" s="144"/>
    </row>
    <row r="124" ht="21.25" customHeight="1">
      <c r="A124" s="50"/>
      <c r="B124" t="s" s="126">
        <f>_xlfn.IFERROR(VLOOKUP($A124,'The List'!$B1:$AS665,3,FALSE)," ")</f>
        <v>858</v>
      </c>
      <c r="C124" t="s" s="128">
        <f>_xlfn.IFERROR(VLOOKUP($A124,'The List'!$B1:$AS665,4,FALSE)," ")</f>
        <v>858</v>
      </c>
      <c r="D124" t="s" s="86">
        <f>_xlfn.IFERROR(VLOOKUP($A124,'The List'!$B1:$AS665,5,FALSE)," ")</f>
        <v>858</v>
      </c>
      <c r="E124" t="s" s="86">
        <f>_xlfn.IFERROR(VLOOKUP($A124,'The List'!$B1:$AS665,6,FALSE)," ")</f>
        <v>858</v>
      </c>
      <c r="F124" t="s" s="124">
        <f>_xlfn.IFERROR(VLOOKUP($A124,'The List'!$B1:$AS665,8,FALSE)," ")</f>
        <v>858</v>
      </c>
      <c r="G124" t="s" s="124">
        <f>_xlfn.IFERROR(VLOOKUP($A124,'The List'!$B1:$AS665,10,FALSE)," ")</f>
        <v>858</v>
      </c>
      <c r="H124" s="77"/>
      <c r="I124" t="s" s="125">
        <f>_xlfn.IFERROR(VLOOKUP($A124,'The List'!$B1:$AS665,16,FALSE)," ")</f>
        <v>858</v>
      </c>
      <c r="J124" t="s" s="125">
        <f>_xlfn.IFERROR(VLOOKUP($A124,'The List'!$B1:$AS665,17,FALSE)," ")</f>
        <v>858</v>
      </c>
      <c r="K124" t="s" s="125">
        <f>_xlfn.IFERROR(VLOOKUP($A124,'The List'!$B1:$AS665,18,FALSE)," ")</f>
        <v>858</v>
      </c>
      <c r="L124" t="s" s="125">
        <f>_xlfn.IFERROR(VLOOKUP($A124,'The List'!$B1:$AS665,19,FALSE)," ")</f>
        <v>858</v>
      </c>
      <c r="M124" t="s" s="125">
        <f>_xlfn.IFERROR(VLOOKUP($A124,'The List'!$B1:$AS665,20,FALSE)," ")</f>
        <v>858</v>
      </c>
      <c r="N124" t="s" s="125">
        <f>_xlfn.IFERROR(VLOOKUP($A124,'The List'!$B1:$AS665,21,FALSE)," ")</f>
        <v>858</v>
      </c>
      <c r="O124" t="s" s="125">
        <f>_xlfn.IFERROR(VLOOKUP($A124,'The List'!$B1:$AS665,22,FALSE)," ")</f>
        <v>858</v>
      </c>
      <c r="P124" t="s" s="125">
        <f>_xlfn.IFERROR(VLOOKUP($A124,'The List'!$B1:$AS665,23,FALSE)," ")</f>
        <v>858</v>
      </c>
      <c r="Q124" t="s" s="125">
        <f>_xlfn.IFERROR(VLOOKUP($A124,'The List'!$B1:$AS665,24,FALSE)," ")</f>
        <v>858</v>
      </c>
      <c r="R124" t="s" s="125">
        <f>_xlfn.IFERROR(VLOOKUP($A124,'The List'!$B1:$AS665,25,FALSE)," ")</f>
        <v>858</v>
      </c>
      <c r="S124" t="s" s="125">
        <f>_xlfn.IFERROR(VLOOKUP($A124,'The List'!$B1:$AS665,26,FALSE)," ")</f>
        <v>858</v>
      </c>
      <c r="T124" t="s" s="125">
        <f>_xlfn.IFERROR(VLOOKUP($A124,'The List'!$B1:$AS665,27,FALSE)," ")</f>
        <v>858</v>
      </c>
      <c r="U124" t="s" s="125">
        <f>_xlfn.IFERROR(VLOOKUP($A124,'The List'!$B1:$AS665,28,FALSE)," ")</f>
        <v>858</v>
      </c>
      <c r="V124" t="s" s="125">
        <f>_xlfn.IFERROR(VLOOKUP($A124,'The List'!$B1:$AS665,29,FALSE)," ")</f>
        <v>858</v>
      </c>
      <c r="W124" t="s" s="125">
        <f>_xlfn.IFERROR(VLOOKUP($A124,'The List'!$B1:$AS665,30,FALSE)," ")</f>
        <v>858</v>
      </c>
      <c r="X124" t="s" s="125">
        <f>_xlfn.IFERROR(VLOOKUP($A124,'The List'!$B1:$AS665,31,FALSE)," ")</f>
        <v>858</v>
      </c>
      <c r="Y124" t="s" s="125">
        <f>_xlfn.IFERROR(VLOOKUP($A124,'The List'!$B1:$AS665,32,FALSE)," ")</f>
        <v>858</v>
      </c>
      <c r="Z124" t="s" s="125">
        <f>_xlfn.IFERROR(VLOOKUP($A124,'The List'!$B1:$AS665,33,FALSE)," ")</f>
        <v>858</v>
      </c>
      <c r="AA124" s="120"/>
      <c r="AB124" s="121"/>
      <c r="AC124" s="121"/>
      <c r="AD124" s="121"/>
      <c r="AE124" s="121"/>
      <c r="AF124" s="144"/>
    </row>
    <row r="125" ht="21.25" customHeight="1">
      <c r="A125" s="50"/>
      <c r="B125" t="s" s="126">
        <f>_xlfn.IFERROR(VLOOKUP($A125,'The List'!$B1:$AS665,3,FALSE)," ")</f>
        <v>858</v>
      </c>
      <c r="C125" t="s" s="128">
        <f>_xlfn.IFERROR(VLOOKUP($A125,'The List'!$B1:$AS665,4,FALSE)," ")</f>
        <v>858</v>
      </c>
      <c r="D125" t="s" s="86">
        <f>_xlfn.IFERROR(VLOOKUP($A125,'The List'!$B1:$AS665,5,FALSE)," ")</f>
        <v>858</v>
      </c>
      <c r="E125" t="s" s="86">
        <f>_xlfn.IFERROR(VLOOKUP($A125,'The List'!$B1:$AS665,6,FALSE)," ")</f>
        <v>858</v>
      </c>
      <c r="F125" t="s" s="124">
        <f>_xlfn.IFERROR(VLOOKUP($A125,'The List'!$B1:$AS665,8,FALSE)," ")</f>
        <v>858</v>
      </c>
      <c r="G125" t="s" s="124">
        <f>_xlfn.IFERROR(VLOOKUP($A125,'The List'!$B1:$AS665,10,FALSE)," ")</f>
        <v>858</v>
      </c>
      <c r="H125" s="77"/>
      <c r="I125" t="s" s="125">
        <f>_xlfn.IFERROR(VLOOKUP($A125,'The List'!$B1:$AS665,16,FALSE)," ")</f>
        <v>858</v>
      </c>
      <c r="J125" t="s" s="125">
        <f>_xlfn.IFERROR(VLOOKUP($A125,'The List'!$B1:$AS665,17,FALSE)," ")</f>
        <v>858</v>
      </c>
      <c r="K125" t="s" s="125">
        <f>_xlfn.IFERROR(VLOOKUP($A125,'The List'!$B1:$AS665,18,FALSE)," ")</f>
        <v>858</v>
      </c>
      <c r="L125" t="s" s="125">
        <f>_xlfn.IFERROR(VLOOKUP($A125,'The List'!$B1:$AS665,19,FALSE)," ")</f>
        <v>858</v>
      </c>
      <c r="M125" t="s" s="125">
        <f>_xlfn.IFERROR(VLOOKUP($A125,'The List'!$B1:$AS665,20,FALSE)," ")</f>
        <v>858</v>
      </c>
      <c r="N125" t="s" s="125">
        <f>_xlfn.IFERROR(VLOOKUP($A125,'The List'!$B1:$AS665,21,FALSE)," ")</f>
        <v>858</v>
      </c>
      <c r="O125" t="s" s="125">
        <f>_xlfn.IFERROR(VLOOKUP($A125,'The List'!$B1:$AS665,22,FALSE)," ")</f>
        <v>858</v>
      </c>
      <c r="P125" t="s" s="125">
        <f>_xlfn.IFERROR(VLOOKUP($A125,'The List'!$B1:$AS665,23,FALSE)," ")</f>
        <v>858</v>
      </c>
      <c r="Q125" t="s" s="125">
        <f>_xlfn.IFERROR(VLOOKUP($A125,'The List'!$B1:$AS665,24,FALSE)," ")</f>
        <v>858</v>
      </c>
      <c r="R125" t="s" s="125">
        <f>_xlfn.IFERROR(VLOOKUP($A125,'The List'!$B1:$AS665,25,FALSE)," ")</f>
        <v>858</v>
      </c>
      <c r="S125" t="s" s="125">
        <f>_xlfn.IFERROR(VLOOKUP($A125,'The List'!$B1:$AS665,26,FALSE)," ")</f>
        <v>858</v>
      </c>
      <c r="T125" t="s" s="125">
        <f>_xlfn.IFERROR(VLOOKUP($A125,'The List'!$B1:$AS665,27,FALSE)," ")</f>
        <v>858</v>
      </c>
      <c r="U125" t="s" s="125">
        <f>_xlfn.IFERROR(VLOOKUP($A125,'The List'!$B1:$AS665,28,FALSE)," ")</f>
        <v>858</v>
      </c>
      <c r="V125" t="s" s="125">
        <f>_xlfn.IFERROR(VLOOKUP($A125,'The List'!$B1:$AS665,29,FALSE)," ")</f>
        <v>858</v>
      </c>
      <c r="W125" t="s" s="125">
        <f>_xlfn.IFERROR(VLOOKUP($A125,'The List'!$B1:$AS665,30,FALSE)," ")</f>
        <v>858</v>
      </c>
      <c r="X125" t="s" s="125">
        <f>_xlfn.IFERROR(VLOOKUP($A125,'The List'!$B1:$AS665,31,FALSE)," ")</f>
        <v>858</v>
      </c>
      <c r="Y125" t="s" s="125">
        <f>_xlfn.IFERROR(VLOOKUP($A125,'The List'!$B1:$AS665,32,FALSE)," ")</f>
        <v>858</v>
      </c>
      <c r="Z125" t="s" s="125">
        <f>_xlfn.IFERROR(VLOOKUP($A125,'The List'!$B1:$AS665,33,FALSE)," ")</f>
        <v>858</v>
      </c>
      <c r="AA125" s="120"/>
      <c r="AB125" s="121"/>
      <c r="AC125" s="121"/>
      <c r="AD125" s="121"/>
      <c r="AE125" s="121"/>
      <c r="AF125" s="144"/>
    </row>
    <row r="126" ht="21.25" customHeight="1">
      <c r="A126" s="50"/>
      <c r="B126" t="s" s="129">
        <f>_xlfn.IFERROR(VLOOKUP($A126,'The List'!$B1:$AS665,3,FALSE)," ")</f>
        <v>858</v>
      </c>
      <c r="C126" t="s" s="131">
        <f>_xlfn.IFERROR(VLOOKUP($A126,'The List'!$B1:$AS665,4,FALSE)," ")</f>
        <v>858</v>
      </c>
      <c r="D126" t="s" s="86">
        <f>_xlfn.IFERROR(VLOOKUP($A126,'The List'!$B1:$AS665,5,FALSE)," ")</f>
        <v>858</v>
      </c>
      <c r="E126" t="s" s="86">
        <f>_xlfn.IFERROR(VLOOKUP($A126,'The List'!$B1:$AS665,6,FALSE)," ")</f>
        <v>858</v>
      </c>
      <c r="F126" t="s" s="124">
        <f>_xlfn.IFERROR(VLOOKUP($A126,'The List'!$B1:$AS665,8,FALSE)," ")</f>
        <v>858</v>
      </c>
      <c r="G126" t="s" s="124">
        <f>_xlfn.IFERROR(VLOOKUP($A126,'The List'!$B1:$AS665,10,FALSE)," ")</f>
        <v>858</v>
      </c>
      <c r="H126" s="77"/>
      <c r="I126" t="s" s="125">
        <f>_xlfn.IFERROR(VLOOKUP($A126,'The List'!$B1:$AS665,16,FALSE)," ")</f>
        <v>858</v>
      </c>
      <c r="J126" t="s" s="125">
        <f>_xlfn.IFERROR(VLOOKUP($A126,'The List'!$B1:$AS665,17,FALSE)," ")</f>
        <v>858</v>
      </c>
      <c r="K126" t="s" s="125">
        <f>_xlfn.IFERROR(VLOOKUP($A126,'The List'!$B1:$AS665,18,FALSE)," ")</f>
        <v>858</v>
      </c>
      <c r="L126" t="s" s="125">
        <f>_xlfn.IFERROR(VLOOKUP($A126,'The List'!$B1:$AS665,19,FALSE)," ")</f>
        <v>858</v>
      </c>
      <c r="M126" t="s" s="125">
        <f>_xlfn.IFERROR(VLOOKUP($A126,'The List'!$B1:$AS665,20,FALSE)," ")</f>
        <v>858</v>
      </c>
      <c r="N126" t="s" s="125">
        <f>_xlfn.IFERROR(VLOOKUP($A126,'The List'!$B1:$AS665,21,FALSE)," ")</f>
        <v>858</v>
      </c>
      <c r="O126" t="s" s="125">
        <f>_xlfn.IFERROR(VLOOKUP($A126,'The List'!$B1:$AS665,22,FALSE)," ")</f>
        <v>858</v>
      </c>
      <c r="P126" t="s" s="125">
        <f>_xlfn.IFERROR(VLOOKUP($A126,'The List'!$B1:$AS665,23,FALSE)," ")</f>
        <v>858</v>
      </c>
      <c r="Q126" t="s" s="125">
        <f>_xlfn.IFERROR(VLOOKUP($A126,'The List'!$B1:$AS665,24,FALSE)," ")</f>
        <v>858</v>
      </c>
      <c r="R126" t="s" s="125">
        <f>_xlfn.IFERROR(VLOOKUP($A126,'The List'!$B1:$AS665,25,FALSE)," ")</f>
        <v>858</v>
      </c>
      <c r="S126" t="s" s="125">
        <f>_xlfn.IFERROR(VLOOKUP($A126,'The List'!$B1:$AS665,26,FALSE)," ")</f>
        <v>858</v>
      </c>
      <c r="T126" t="s" s="125">
        <f>_xlfn.IFERROR(VLOOKUP($A126,'The List'!$B1:$AS665,27,FALSE)," ")</f>
        <v>858</v>
      </c>
      <c r="U126" t="s" s="125">
        <f>_xlfn.IFERROR(VLOOKUP($A126,'The List'!$B1:$AS665,28,FALSE)," ")</f>
        <v>858</v>
      </c>
      <c r="V126" t="s" s="125">
        <f>_xlfn.IFERROR(VLOOKUP($A126,'The List'!$B1:$AS665,29,FALSE)," ")</f>
        <v>858</v>
      </c>
      <c r="W126" t="s" s="125">
        <f>_xlfn.IFERROR(VLOOKUP($A126,'The List'!$B1:$AS665,30,FALSE)," ")</f>
        <v>858</v>
      </c>
      <c r="X126" t="s" s="125">
        <f>_xlfn.IFERROR(VLOOKUP($A126,'The List'!$B1:$AS665,31,FALSE)," ")</f>
        <v>858</v>
      </c>
      <c r="Y126" t="s" s="125">
        <f>_xlfn.IFERROR(VLOOKUP($A126,'The List'!$B1:$AS665,32,FALSE)," ")</f>
        <v>858</v>
      </c>
      <c r="Z126" t="s" s="125">
        <f>_xlfn.IFERROR(VLOOKUP($A126,'The List'!$B1:$AS665,33,FALSE)," ")</f>
        <v>858</v>
      </c>
      <c r="AA126" s="120"/>
      <c r="AB126" s="121"/>
      <c r="AC126" s="121"/>
      <c r="AD126" s="121"/>
      <c r="AE126" s="121"/>
      <c r="AF126" s="144"/>
    </row>
    <row r="127" ht="21.25" customHeight="1">
      <c r="A127" s="50"/>
      <c r="B127" t="s" s="129">
        <f>_xlfn.IFERROR(VLOOKUP($A127,'The List'!$B1:$AS665,3,FALSE)," ")</f>
        <v>858</v>
      </c>
      <c r="C127" t="s" s="131">
        <f>_xlfn.IFERROR(VLOOKUP($A127,'The List'!$B1:$AS665,4,FALSE)," ")</f>
        <v>858</v>
      </c>
      <c r="D127" t="s" s="86">
        <f>_xlfn.IFERROR(VLOOKUP($A127,'The List'!$B1:$AS665,5,FALSE)," ")</f>
        <v>858</v>
      </c>
      <c r="E127" t="s" s="86">
        <f>_xlfn.IFERROR(VLOOKUP($A127,'The List'!$B1:$AS665,6,FALSE)," ")</f>
        <v>858</v>
      </c>
      <c r="F127" t="s" s="124">
        <f>_xlfn.IFERROR(VLOOKUP($A127,'The List'!$B1:$AS665,8,FALSE)," ")</f>
        <v>858</v>
      </c>
      <c r="G127" t="s" s="124">
        <f>_xlfn.IFERROR(VLOOKUP($A127,'The List'!$B1:$AS665,10,FALSE)," ")</f>
        <v>858</v>
      </c>
      <c r="H127" s="77"/>
      <c r="I127" t="s" s="125">
        <f>_xlfn.IFERROR(VLOOKUP($A127,'The List'!$B1:$AS665,16,FALSE)," ")</f>
        <v>858</v>
      </c>
      <c r="J127" t="s" s="125">
        <f>_xlfn.IFERROR(VLOOKUP($A127,'The List'!$B1:$AS665,17,FALSE)," ")</f>
        <v>858</v>
      </c>
      <c r="K127" t="s" s="125">
        <f>_xlfn.IFERROR(VLOOKUP($A127,'The List'!$B1:$AS665,18,FALSE)," ")</f>
        <v>858</v>
      </c>
      <c r="L127" t="s" s="125">
        <f>_xlfn.IFERROR(VLOOKUP($A127,'The List'!$B1:$AS665,19,FALSE)," ")</f>
        <v>858</v>
      </c>
      <c r="M127" t="s" s="125">
        <f>_xlfn.IFERROR(VLOOKUP($A127,'The List'!$B1:$AS665,20,FALSE)," ")</f>
        <v>858</v>
      </c>
      <c r="N127" t="s" s="125">
        <f>_xlfn.IFERROR(VLOOKUP($A127,'The List'!$B1:$AS665,21,FALSE)," ")</f>
        <v>858</v>
      </c>
      <c r="O127" t="s" s="125">
        <f>_xlfn.IFERROR(VLOOKUP($A127,'The List'!$B1:$AS665,22,FALSE)," ")</f>
        <v>858</v>
      </c>
      <c r="P127" t="s" s="125">
        <f>_xlfn.IFERROR(VLOOKUP($A127,'The List'!$B1:$AS665,23,FALSE)," ")</f>
        <v>858</v>
      </c>
      <c r="Q127" t="s" s="125">
        <f>_xlfn.IFERROR(VLOOKUP($A127,'The List'!$B1:$AS665,24,FALSE)," ")</f>
        <v>858</v>
      </c>
      <c r="R127" t="s" s="125">
        <f>_xlfn.IFERROR(VLOOKUP($A127,'The List'!$B1:$AS665,25,FALSE)," ")</f>
        <v>858</v>
      </c>
      <c r="S127" t="s" s="125">
        <f>_xlfn.IFERROR(VLOOKUP($A127,'The List'!$B1:$AS665,26,FALSE)," ")</f>
        <v>858</v>
      </c>
      <c r="T127" t="s" s="125">
        <f>_xlfn.IFERROR(VLOOKUP($A127,'The List'!$B1:$AS665,27,FALSE)," ")</f>
        <v>858</v>
      </c>
      <c r="U127" t="s" s="125">
        <f>_xlfn.IFERROR(VLOOKUP($A127,'The List'!$B1:$AS665,28,FALSE)," ")</f>
        <v>858</v>
      </c>
      <c r="V127" t="s" s="125">
        <f>_xlfn.IFERROR(VLOOKUP($A127,'The List'!$B1:$AS665,29,FALSE)," ")</f>
        <v>858</v>
      </c>
      <c r="W127" t="s" s="125">
        <f>_xlfn.IFERROR(VLOOKUP($A127,'The List'!$B1:$AS665,30,FALSE)," ")</f>
        <v>858</v>
      </c>
      <c r="X127" t="s" s="125">
        <f>_xlfn.IFERROR(VLOOKUP($A127,'The List'!$B1:$AS665,31,FALSE)," ")</f>
        <v>858</v>
      </c>
      <c r="Y127" t="s" s="125">
        <f>_xlfn.IFERROR(VLOOKUP($A127,'The List'!$B1:$AS665,32,FALSE)," ")</f>
        <v>858</v>
      </c>
      <c r="Z127" t="s" s="125">
        <f>_xlfn.IFERROR(VLOOKUP($A127,'The List'!$B1:$AS665,33,FALSE)," ")</f>
        <v>858</v>
      </c>
      <c r="AA127" s="120"/>
      <c r="AB127" s="121"/>
      <c r="AC127" s="121"/>
      <c r="AD127" s="121"/>
      <c r="AE127" s="121"/>
      <c r="AF127" s="144"/>
    </row>
    <row r="128" ht="21.25" customHeight="1">
      <c r="A128" s="50"/>
      <c r="B128" t="s" s="129">
        <f>_xlfn.IFERROR(VLOOKUP($A128,'The List'!$B1:$AS665,3,FALSE)," ")</f>
        <v>858</v>
      </c>
      <c r="C128" t="s" s="131">
        <f>_xlfn.IFERROR(VLOOKUP($A128,'The List'!$B1:$AS665,4,FALSE)," ")</f>
        <v>858</v>
      </c>
      <c r="D128" t="s" s="86">
        <f>_xlfn.IFERROR(VLOOKUP($A128,'The List'!$B1:$AS665,5,FALSE)," ")</f>
        <v>858</v>
      </c>
      <c r="E128" t="s" s="86">
        <f>_xlfn.IFERROR(VLOOKUP($A128,'The List'!$B1:$AS665,6,FALSE)," ")</f>
        <v>858</v>
      </c>
      <c r="F128" t="s" s="124">
        <f>_xlfn.IFERROR(VLOOKUP($A128,'The List'!$B1:$AS665,8,FALSE)," ")</f>
        <v>858</v>
      </c>
      <c r="G128" t="s" s="124">
        <f>_xlfn.IFERROR(VLOOKUP($A128,'The List'!$B1:$AS665,10,FALSE)," ")</f>
        <v>858</v>
      </c>
      <c r="H128" s="77"/>
      <c r="I128" t="s" s="125">
        <f>_xlfn.IFERROR(VLOOKUP($A128,'The List'!$B1:$AS665,16,FALSE)," ")</f>
        <v>858</v>
      </c>
      <c r="J128" t="s" s="125">
        <f>_xlfn.IFERROR(VLOOKUP($A128,'The List'!$B1:$AS665,17,FALSE)," ")</f>
        <v>858</v>
      </c>
      <c r="K128" t="s" s="125">
        <f>_xlfn.IFERROR(VLOOKUP($A128,'The List'!$B1:$AS665,18,FALSE)," ")</f>
        <v>858</v>
      </c>
      <c r="L128" t="s" s="125">
        <f>_xlfn.IFERROR(VLOOKUP($A128,'The List'!$B1:$AS665,19,FALSE)," ")</f>
        <v>858</v>
      </c>
      <c r="M128" t="s" s="125">
        <f>_xlfn.IFERROR(VLOOKUP($A128,'The List'!$B1:$AS665,20,FALSE)," ")</f>
        <v>858</v>
      </c>
      <c r="N128" t="s" s="125">
        <f>_xlfn.IFERROR(VLOOKUP($A128,'The List'!$B1:$AS665,21,FALSE)," ")</f>
        <v>858</v>
      </c>
      <c r="O128" t="s" s="125">
        <f>_xlfn.IFERROR(VLOOKUP($A128,'The List'!$B1:$AS665,22,FALSE)," ")</f>
        <v>858</v>
      </c>
      <c r="P128" t="s" s="125">
        <f>_xlfn.IFERROR(VLOOKUP($A128,'The List'!$B1:$AS665,23,FALSE)," ")</f>
        <v>858</v>
      </c>
      <c r="Q128" t="s" s="125">
        <f>_xlfn.IFERROR(VLOOKUP($A128,'The List'!$B1:$AS665,24,FALSE)," ")</f>
        <v>858</v>
      </c>
      <c r="R128" t="s" s="125">
        <f>_xlfn.IFERROR(VLOOKUP($A128,'The List'!$B1:$AS665,25,FALSE)," ")</f>
        <v>858</v>
      </c>
      <c r="S128" t="s" s="125">
        <f>_xlfn.IFERROR(VLOOKUP($A128,'The List'!$B1:$AS665,26,FALSE)," ")</f>
        <v>858</v>
      </c>
      <c r="T128" t="s" s="125">
        <f>_xlfn.IFERROR(VLOOKUP($A128,'The List'!$B1:$AS665,27,FALSE)," ")</f>
        <v>858</v>
      </c>
      <c r="U128" t="s" s="125">
        <f>_xlfn.IFERROR(VLOOKUP($A128,'The List'!$B1:$AS665,28,FALSE)," ")</f>
        <v>858</v>
      </c>
      <c r="V128" t="s" s="125">
        <f>_xlfn.IFERROR(VLOOKUP($A128,'The List'!$B1:$AS665,29,FALSE)," ")</f>
        <v>858</v>
      </c>
      <c r="W128" t="s" s="125">
        <f>_xlfn.IFERROR(VLOOKUP($A128,'The List'!$B1:$AS665,30,FALSE)," ")</f>
        <v>858</v>
      </c>
      <c r="X128" t="s" s="125">
        <f>_xlfn.IFERROR(VLOOKUP($A128,'The List'!$B1:$AS665,31,FALSE)," ")</f>
        <v>858</v>
      </c>
      <c r="Y128" t="s" s="125">
        <f>_xlfn.IFERROR(VLOOKUP($A128,'The List'!$B1:$AS665,32,FALSE)," ")</f>
        <v>858</v>
      </c>
      <c r="Z128" t="s" s="125">
        <f>_xlfn.IFERROR(VLOOKUP($A128,'The List'!$B1:$AS665,33,FALSE)," ")</f>
        <v>858</v>
      </c>
      <c r="AA128" s="120"/>
      <c r="AB128" s="121"/>
      <c r="AC128" s="121"/>
      <c r="AD128" s="121"/>
      <c r="AE128" s="121"/>
      <c r="AF128" s="144"/>
    </row>
    <row r="129" ht="21.25" customHeight="1">
      <c r="A129" s="50"/>
      <c r="B129" t="s" s="129">
        <f>_xlfn.IFERROR(VLOOKUP($A129,'The List'!$B1:$AS665,3,FALSE)," ")</f>
        <v>858</v>
      </c>
      <c r="C129" t="s" s="131">
        <f>_xlfn.IFERROR(VLOOKUP($A129,'The List'!$B1:$AS665,4,FALSE)," ")</f>
        <v>858</v>
      </c>
      <c r="D129" t="s" s="86">
        <f>_xlfn.IFERROR(VLOOKUP($A129,'The List'!$B1:$AS665,5,FALSE)," ")</f>
        <v>858</v>
      </c>
      <c r="E129" t="s" s="86">
        <f>_xlfn.IFERROR(VLOOKUP($A129,'The List'!$B1:$AS665,6,FALSE)," ")</f>
        <v>858</v>
      </c>
      <c r="F129" t="s" s="124">
        <f>_xlfn.IFERROR(VLOOKUP($A129,'The List'!$B1:$AS665,8,FALSE)," ")</f>
        <v>858</v>
      </c>
      <c r="G129" t="s" s="124">
        <f>_xlfn.IFERROR(VLOOKUP($A129,'The List'!$B1:$AS665,10,FALSE)," ")</f>
        <v>858</v>
      </c>
      <c r="H129" s="77"/>
      <c r="I129" t="s" s="125">
        <f>_xlfn.IFERROR(VLOOKUP($A129,'The List'!$B1:$AS665,16,FALSE)," ")</f>
        <v>858</v>
      </c>
      <c r="J129" t="s" s="125">
        <f>_xlfn.IFERROR(VLOOKUP($A129,'The List'!$B1:$AS665,17,FALSE)," ")</f>
        <v>858</v>
      </c>
      <c r="K129" t="s" s="125">
        <f>_xlfn.IFERROR(VLOOKUP($A129,'The List'!$B1:$AS665,18,FALSE)," ")</f>
        <v>858</v>
      </c>
      <c r="L129" t="s" s="125">
        <f>_xlfn.IFERROR(VLOOKUP($A129,'The List'!$B1:$AS665,19,FALSE)," ")</f>
        <v>858</v>
      </c>
      <c r="M129" t="s" s="125">
        <f>_xlfn.IFERROR(VLOOKUP($A129,'The List'!$B1:$AS665,20,FALSE)," ")</f>
        <v>858</v>
      </c>
      <c r="N129" t="s" s="125">
        <f>_xlfn.IFERROR(VLOOKUP($A129,'The List'!$B1:$AS665,21,FALSE)," ")</f>
        <v>858</v>
      </c>
      <c r="O129" t="s" s="125">
        <f>_xlfn.IFERROR(VLOOKUP($A129,'The List'!$B1:$AS665,22,FALSE)," ")</f>
        <v>858</v>
      </c>
      <c r="P129" t="s" s="125">
        <f>_xlfn.IFERROR(VLOOKUP($A129,'The List'!$B1:$AS665,23,FALSE)," ")</f>
        <v>858</v>
      </c>
      <c r="Q129" t="s" s="125">
        <f>_xlfn.IFERROR(VLOOKUP($A129,'The List'!$B1:$AS665,24,FALSE)," ")</f>
        <v>858</v>
      </c>
      <c r="R129" t="s" s="125">
        <f>_xlfn.IFERROR(VLOOKUP($A129,'The List'!$B1:$AS665,25,FALSE)," ")</f>
        <v>858</v>
      </c>
      <c r="S129" t="s" s="125">
        <f>_xlfn.IFERROR(VLOOKUP($A129,'The List'!$B1:$AS665,26,FALSE)," ")</f>
        <v>858</v>
      </c>
      <c r="T129" t="s" s="125">
        <f>_xlfn.IFERROR(VLOOKUP($A129,'The List'!$B1:$AS665,27,FALSE)," ")</f>
        <v>858</v>
      </c>
      <c r="U129" t="s" s="125">
        <f>_xlfn.IFERROR(VLOOKUP($A129,'The List'!$B1:$AS665,28,FALSE)," ")</f>
        <v>858</v>
      </c>
      <c r="V129" t="s" s="125">
        <f>_xlfn.IFERROR(VLOOKUP($A129,'The List'!$B1:$AS665,29,FALSE)," ")</f>
        <v>858</v>
      </c>
      <c r="W129" t="s" s="125">
        <f>_xlfn.IFERROR(VLOOKUP($A129,'The List'!$B1:$AS665,30,FALSE)," ")</f>
        <v>858</v>
      </c>
      <c r="X129" t="s" s="125">
        <f>_xlfn.IFERROR(VLOOKUP($A129,'The List'!$B1:$AS665,31,FALSE)," ")</f>
        <v>858</v>
      </c>
      <c r="Y129" t="s" s="125">
        <f>_xlfn.IFERROR(VLOOKUP($A129,'The List'!$B1:$AS665,32,FALSE)," ")</f>
        <v>858</v>
      </c>
      <c r="Z129" t="s" s="125">
        <f>_xlfn.IFERROR(VLOOKUP($A129,'The List'!$B1:$AS665,33,FALSE)," ")</f>
        <v>858</v>
      </c>
      <c r="AA129" s="120"/>
      <c r="AB129" s="121"/>
      <c r="AC129" s="121"/>
      <c r="AD129" s="121"/>
      <c r="AE129" s="121"/>
      <c r="AF129" s="144"/>
    </row>
    <row r="130" ht="21.25" customHeight="1">
      <c r="A130" s="50"/>
      <c r="B130" t="s" s="132">
        <f>_xlfn.IFERROR(VLOOKUP($A130,'The List'!$B1:$AS665,3,FALSE)," ")</f>
        <v>858</v>
      </c>
      <c r="C130" t="s" s="134">
        <f>_xlfn.IFERROR(VLOOKUP($A130,'The List'!$B1:$AS665,4,FALSE)," ")</f>
        <v>858</v>
      </c>
      <c r="D130" t="s" s="86">
        <f>_xlfn.IFERROR(VLOOKUP($A130,'The List'!$B1:$AS665,5,FALSE)," ")</f>
        <v>858</v>
      </c>
      <c r="E130" t="s" s="86">
        <f>_xlfn.IFERROR(VLOOKUP($A130,'The List'!$B1:$AS665,6,FALSE)," ")</f>
        <v>858</v>
      </c>
      <c r="F130" t="s" s="124">
        <f>_xlfn.IFERROR(VLOOKUP($A130,'The List'!$B1:$AS665,8,FALSE)," ")</f>
        <v>858</v>
      </c>
      <c r="G130" t="s" s="124">
        <f>_xlfn.IFERROR(VLOOKUP($A130,'The List'!$B1:$AS665,10,FALSE)," ")</f>
        <v>858</v>
      </c>
      <c r="H130" s="77"/>
      <c r="I130" t="s" s="125">
        <f>_xlfn.IFERROR(VLOOKUP($A130,'The List'!$B1:$AS665,16,FALSE)," ")</f>
        <v>858</v>
      </c>
      <c r="J130" t="s" s="125">
        <f>_xlfn.IFERROR(VLOOKUP($A130,'The List'!$B1:$AS665,17,FALSE)," ")</f>
        <v>858</v>
      </c>
      <c r="K130" t="s" s="125">
        <f>_xlfn.IFERROR(VLOOKUP($A130,'The List'!$B1:$AS665,18,FALSE)," ")</f>
        <v>858</v>
      </c>
      <c r="L130" t="s" s="125">
        <f>_xlfn.IFERROR(VLOOKUP($A130,'The List'!$B1:$AS665,19,FALSE)," ")</f>
        <v>858</v>
      </c>
      <c r="M130" t="s" s="125">
        <f>_xlfn.IFERROR(VLOOKUP($A130,'The List'!$B1:$AS665,20,FALSE)," ")</f>
        <v>858</v>
      </c>
      <c r="N130" t="s" s="125">
        <f>_xlfn.IFERROR(VLOOKUP($A130,'The List'!$B1:$AS665,21,FALSE)," ")</f>
        <v>858</v>
      </c>
      <c r="O130" t="s" s="125">
        <f>_xlfn.IFERROR(VLOOKUP($A130,'The List'!$B1:$AS665,22,FALSE)," ")</f>
        <v>858</v>
      </c>
      <c r="P130" t="s" s="125">
        <f>_xlfn.IFERROR(VLOOKUP($A130,'The List'!$B1:$AS665,23,FALSE)," ")</f>
        <v>858</v>
      </c>
      <c r="Q130" t="s" s="125">
        <f>_xlfn.IFERROR(VLOOKUP($A130,'The List'!$B1:$AS665,24,FALSE)," ")</f>
        <v>858</v>
      </c>
      <c r="R130" t="s" s="125">
        <f>_xlfn.IFERROR(VLOOKUP($A130,'The List'!$B1:$AS665,25,FALSE)," ")</f>
        <v>858</v>
      </c>
      <c r="S130" t="s" s="125">
        <f>_xlfn.IFERROR(VLOOKUP($A130,'The List'!$B1:$AS665,26,FALSE)," ")</f>
        <v>858</v>
      </c>
      <c r="T130" t="s" s="125">
        <f>_xlfn.IFERROR(VLOOKUP($A130,'The List'!$B1:$AS665,27,FALSE)," ")</f>
        <v>858</v>
      </c>
      <c r="U130" t="s" s="125">
        <f>_xlfn.IFERROR(VLOOKUP($A130,'The List'!$B1:$AS665,28,FALSE)," ")</f>
        <v>858</v>
      </c>
      <c r="V130" t="s" s="125">
        <f>_xlfn.IFERROR(VLOOKUP($A130,'The List'!$B1:$AS665,29,FALSE)," ")</f>
        <v>858</v>
      </c>
      <c r="W130" t="s" s="125">
        <f>_xlfn.IFERROR(VLOOKUP($A130,'The List'!$B1:$AS665,30,FALSE)," ")</f>
        <v>858</v>
      </c>
      <c r="X130" t="s" s="125">
        <f>_xlfn.IFERROR(VLOOKUP($A130,'The List'!$B1:$AS665,31,FALSE)," ")</f>
        <v>858</v>
      </c>
      <c r="Y130" t="s" s="125">
        <f>_xlfn.IFERROR(VLOOKUP($A130,'The List'!$B1:$AS665,32,FALSE)," ")</f>
        <v>858</v>
      </c>
      <c r="Z130" t="s" s="125">
        <f>_xlfn.IFERROR(VLOOKUP($A130,'The List'!$B1:$AS665,33,FALSE)," ")</f>
        <v>858</v>
      </c>
      <c r="AA130" s="120"/>
      <c r="AB130" s="121"/>
      <c r="AC130" s="121"/>
      <c r="AD130" s="121"/>
      <c r="AE130" s="121"/>
      <c r="AF130" s="144"/>
    </row>
    <row r="131" ht="21.25" customHeight="1">
      <c r="A131" s="50"/>
      <c r="B131" t="s" s="132">
        <f>_xlfn.IFERROR(VLOOKUP($A131,'The List'!$B1:$AS665,3,FALSE)," ")</f>
        <v>858</v>
      </c>
      <c r="C131" t="s" s="134">
        <f>_xlfn.IFERROR(VLOOKUP($A131,'The List'!$B1:$AS665,4,FALSE)," ")</f>
        <v>858</v>
      </c>
      <c r="D131" t="s" s="86">
        <f>_xlfn.IFERROR(VLOOKUP($A131,'The List'!$B1:$AS665,5,FALSE)," ")</f>
        <v>858</v>
      </c>
      <c r="E131" t="s" s="86">
        <f>_xlfn.IFERROR(VLOOKUP($A131,'The List'!$B1:$AS665,6,FALSE)," ")</f>
        <v>858</v>
      </c>
      <c r="F131" t="s" s="124">
        <f>_xlfn.IFERROR(VLOOKUP($A131,'The List'!$B1:$AS665,8,FALSE)," ")</f>
        <v>858</v>
      </c>
      <c r="G131" t="s" s="124">
        <f>_xlfn.IFERROR(VLOOKUP($A131,'The List'!$B1:$AS665,10,FALSE)," ")</f>
        <v>858</v>
      </c>
      <c r="H131" s="77"/>
      <c r="I131" t="s" s="125">
        <f>_xlfn.IFERROR(VLOOKUP($A131,'The List'!$B1:$AS665,16,FALSE)," ")</f>
        <v>858</v>
      </c>
      <c r="J131" t="s" s="125">
        <f>_xlfn.IFERROR(VLOOKUP($A131,'The List'!$B1:$AS665,17,FALSE)," ")</f>
        <v>858</v>
      </c>
      <c r="K131" t="s" s="125">
        <f>_xlfn.IFERROR(VLOOKUP($A131,'The List'!$B1:$AS665,18,FALSE)," ")</f>
        <v>858</v>
      </c>
      <c r="L131" t="s" s="125">
        <f>_xlfn.IFERROR(VLOOKUP($A131,'The List'!$B1:$AS665,19,FALSE)," ")</f>
        <v>858</v>
      </c>
      <c r="M131" t="s" s="125">
        <f>_xlfn.IFERROR(VLOOKUP($A131,'The List'!$B1:$AS665,20,FALSE)," ")</f>
        <v>858</v>
      </c>
      <c r="N131" t="s" s="125">
        <f>_xlfn.IFERROR(VLOOKUP($A131,'The List'!$B1:$AS665,21,FALSE)," ")</f>
        <v>858</v>
      </c>
      <c r="O131" t="s" s="125">
        <f>_xlfn.IFERROR(VLOOKUP($A131,'The List'!$B1:$AS665,22,FALSE)," ")</f>
        <v>858</v>
      </c>
      <c r="P131" t="s" s="125">
        <f>_xlfn.IFERROR(VLOOKUP($A131,'The List'!$B1:$AS665,23,FALSE)," ")</f>
        <v>858</v>
      </c>
      <c r="Q131" t="s" s="125">
        <f>_xlfn.IFERROR(VLOOKUP($A131,'The List'!$B1:$AS665,24,FALSE)," ")</f>
        <v>858</v>
      </c>
      <c r="R131" t="s" s="125">
        <f>_xlfn.IFERROR(VLOOKUP($A131,'The List'!$B1:$AS665,25,FALSE)," ")</f>
        <v>858</v>
      </c>
      <c r="S131" t="s" s="125">
        <f>_xlfn.IFERROR(VLOOKUP($A131,'The List'!$B1:$AS665,26,FALSE)," ")</f>
        <v>858</v>
      </c>
      <c r="T131" t="s" s="125">
        <f>_xlfn.IFERROR(VLOOKUP($A131,'The List'!$B1:$AS665,27,FALSE)," ")</f>
        <v>858</v>
      </c>
      <c r="U131" t="s" s="125">
        <f>_xlfn.IFERROR(VLOOKUP($A131,'The List'!$B1:$AS665,28,FALSE)," ")</f>
        <v>858</v>
      </c>
      <c r="V131" t="s" s="125">
        <f>_xlfn.IFERROR(VLOOKUP($A131,'The List'!$B1:$AS665,29,FALSE)," ")</f>
        <v>858</v>
      </c>
      <c r="W131" t="s" s="125">
        <f>_xlfn.IFERROR(VLOOKUP($A131,'The List'!$B1:$AS665,30,FALSE)," ")</f>
        <v>858</v>
      </c>
      <c r="X131" t="s" s="125">
        <f>_xlfn.IFERROR(VLOOKUP($A131,'The List'!$B1:$AS665,31,FALSE)," ")</f>
        <v>858</v>
      </c>
      <c r="Y131" t="s" s="125">
        <f>_xlfn.IFERROR(VLOOKUP($A131,'The List'!$B1:$AS665,32,FALSE)," ")</f>
        <v>858</v>
      </c>
      <c r="Z131" t="s" s="125">
        <f>_xlfn.IFERROR(VLOOKUP($A131,'The List'!$B1:$AS665,33,FALSE)," ")</f>
        <v>858</v>
      </c>
      <c r="AA131" s="120"/>
      <c r="AB131" s="121"/>
      <c r="AC131" s="121"/>
      <c r="AD131" s="121"/>
      <c r="AE131" s="121"/>
      <c r="AF131" s="144"/>
    </row>
    <row r="132" ht="21.25" customHeight="1">
      <c r="A132" s="50"/>
      <c r="B132" t="s" s="132">
        <f>_xlfn.IFERROR(VLOOKUP($A132,'The List'!$B1:$AS665,3,FALSE)," ")</f>
        <v>858</v>
      </c>
      <c r="C132" t="s" s="134">
        <f>_xlfn.IFERROR(VLOOKUP($A132,'The List'!$B1:$AS665,4,FALSE)," ")</f>
        <v>858</v>
      </c>
      <c r="D132" t="s" s="86">
        <f>_xlfn.IFERROR(VLOOKUP($A132,'The List'!$B1:$AS665,5,FALSE)," ")</f>
        <v>858</v>
      </c>
      <c r="E132" t="s" s="86">
        <f>_xlfn.IFERROR(VLOOKUP($A132,'The List'!$B1:$AS665,6,FALSE)," ")</f>
        <v>858</v>
      </c>
      <c r="F132" t="s" s="124">
        <f>_xlfn.IFERROR(VLOOKUP($A132,'The List'!$B1:$AS665,8,FALSE)," ")</f>
        <v>858</v>
      </c>
      <c r="G132" t="s" s="124">
        <f>_xlfn.IFERROR(VLOOKUP($A132,'The List'!$B1:$AS665,10,FALSE)," ")</f>
        <v>858</v>
      </c>
      <c r="H132" s="77"/>
      <c r="I132" t="s" s="125">
        <f>_xlfn.IFERROR(VLOOKUP($A132,'The List'!$B1:$AS665,16,FALSE)," ")</f>
        <v>858</v>
      </c>
      <c r="J132" t="s" s="125">
        <f>_xlfn.IFERROR(VLOOKUP($A132,'The List'!$B1:$AS665,17,FALSE)," ")</f>
        <v>858</v>
      </c>
      <c r="K132" t="s" s="125">
        <f>_xlfn.IFERROR(VLOOKUP($A132,'The List'!$B1:$AS665,18,FALSE)," ")</f>
        <v>858</v>
      </c>
      <c r="L132" t="s" s="125">
        <f>_xlfn.IFERROR(VLOOKUP($A132,'The List'!$B1:$AS665,19,FALSE)," ")</f>
        <v>858</v>
      </c>
      <c r="M132" t="s" s="125">
        <f>_xlfn.IFERROR(VLOOKUP($A132,'The List'!$B1:$AS665,20,FALSE)," ")</f>
        <v>858</v>
      </c>
      <c r="N132" t="s" s="125">
        <f>_xlfn.IFERROR(VLOOKUP($A132,'The List'!$B1:$AS665,21,FALSE)," ")</f>
        <v>858</v>
      </c>
      <c r="O132" t="s" s="125">
        <f>_xlfn.IFERROR(VLOOKUP($A132,'The List'!$B1:$AS665,22,FALSE)," ")</f>
        <v>858</v>
      </c>
      <c r="P132" t="s" s="125">
        <f>_xlfn.IFERROR(VLOOKUP($A132,'The List'!$B1:$AS665,23,FALSE)," ")</f>
        <v>858</v>
      </c>
      <c r="Q132" t="s" s="125">
        <f>_xlfn.IFERROR(VLOOKUP($A132,'The List'!$B1:$AS665,24,FALSE)," ")</f>
        <v>858</v>
      </c>
      <c r="R132" t="s" s="125">
        <f>_xlfn.IFERROR(VLOOKUP($A132,'The List'!$B1:$AS665,25,FALSE)," ")</f>
        <v>858</v>
      </c>
      <c r="S132" t="s" s="125">
        <f>_xlfn.IFERROR(VLOOKUP($A132,'The List'!$B1:$AS665,26,FALSE)," ")</f>
        <v>858</v>
      </c>
      <c r="T132" t="s" s="125">
        <f>_xlfn.IFERROR(VLOOKUP($A132,'The List'!$B1:$AS665,27,FALSE)," ")</f>
        <v>858</v>
      </c>
      <c r="U132" t="s" s="125">
        <f>_xlfn.IFERROR(VLOOKUP($A132,'The List'!$B1:$AS665,28,FALSE)," ")</f>
        <v>858</v>
      </c>
      <c r="V132" t="s" s="125">
        <f>_xlfn.IFERROR(VLOOKUP($A132,'The List'!$B1:$AS665,29,FALSE)," ")</f>
        <v>858</v>
      </c>
      <c r="W132" t="s" s="125">
        <f>_xlfn.IFERROR(VLOOKUP($A132,'The List'!$B1:$AS665,30,FALSE)," ")</f>
        <v>858</v>
      </c>
      <c r="X132" t="s" s="125">
        <f>_xlfn.IFERROR(VLOOKUP($A132,'The List'!$B1:$AS665,31,FALSE)," ")</f>
        <v>858</v>
      </c>
      <c r="Y132" t="s" s="125">
        <f>_xlfn.IFERROR(VLOOKUP($A132,'The List'!$B1:$AS665,32,FALSE)," ")</f>
        <v>858</v>
      </c>
      <c r="Z132" t="s" s="125">
        <f>_xlfn.IFERROR(VLOOKUP($A132,'The List'!$B1:$AS665,33,FALSE)," ")</f>
        <v>858</v>
      </c>
      <c r="AA132" s="120"/>
      <c r="AB132" s="121"/>
      <c r="AC132" s="121"/>
      <c r="AD132" s="121"/>
      <c r="AE132" s="121"/>
      <c r="AF132" s="144"/>
    </row>
    <row r="133" ht="21.25" customHeight="1">
      <c r="A133" s="50"/>
      <c r="B133" t="s" s="132">
        <f>_xlfn.IFERROR(VLOOKUP($A133,'The List'!$B1:$AS665,3,FALSE)," ")</f>
        <v>858</v>
      </c>
      <c r="C133" t="s" s="134">
        <f>_xlfn.IFERROR(VLOOKUP($A133,'The List'!$B1:$AS665,4,FALSE)," ")</f>
        <v>858</v>
      </c>
      <c r="D133" t="s" s="86">
        <f>_xlfn.IFERROR(VLOOKUP($A133,'The List'!$B1:$AS665,5,FALSE)," ")</f>
        <v>858</v>
      </c>
      <c r="E133" t="s" s="86">
        <f>_xlfn.IFERROR(VLOOKUP($A133,'The List'!$B1:$AS665,6,FALSE)," ")</f>
        <v>858</v>
      </c>
      <c r="F133" t="s" s="124">
        <f>_xlfn.IFERROR(VLOOKUP($A133,'The List'!$B1:$AS665,8,FALSE)," ")</f>
        <v>858</v>
      </c>
      <c r="G133" t="s" s="124">
        <f>_xlfn.IFERROR(VLOOKUP($A133,'The List'!$B1:$AS665,10,FALSE)," ")</f>
        <v>858</v>
      </c>
      <c r="H133" s="77"/>
      <c r="I133" t="s" s="125">
        <f>_xlfn.IFERROR(VLOOKUP($A133,'The List'!$B1:$AS665,16,FALSE)," ")</f>
        <v>858</v>
      </c>
      <c r="J133" t="s" s="125">
        <f>_xlfn.IFERROR(VLOOKUP($A133,'The List'!$B1:$AS665,17,FALSE)," ")</f>
        <v>858</v>
      </c>
      <c r="K133" t="s" s="125">
        <f>_xlfn.IFERROR(VLOOKUP($A133,'The List'!$B1:$AS665,18,FALSE)," ")</f>
        <v>858</v>
      </c>
      <c r="L133" t="s" s="125">
        <f>_xlfn.IFERROR(VLOOKUP($A133,'The List'!$B1:$AS665,19,FALSE)," ")</f>
        <v>858</v>
      </c>
      <c r="M133" t="s" s="125">
        <f>_xlfn.IFERROR(VLOOKUP($A133,'The List'!$B1:$AS665,20,FALSE)," ")</f>
        <v>858</v>
      </c>
      <c r="N133" t="s" s="125">
        <f>_xlfn.IFERROR(VLOOKUP($A133,'The List'!$B1:$AS665,21,FALSE)," ")</f>
        <v>858</v>
      </c>
      <c r="O133" t="s" s="125">
        <f>_xlfn.IFERROR(VLOOKUP($A133,'The List'!$B1:$AS665,22,FALSE)," ")</f>
        <v>858</v>
      </c>
      <c r="P133" t="s" s="125">
        <f>_xlfn.IFERROR(VLOOKUP($A133,'The List'!$B1:$AS665,23,FALSE)," ")</f>
        <v>858</v>
      </c>
      <c r="Q133" t="s" s="125">
        <f>_xlfn.IFERROR(VLOOKUP($A133,'The List'!$B1:$AS665,24,FALSE)," ")</f>
        <v>858</v>
      </c>
      <c r="R133" t="s" s="125">
        <f>_xlfn.IFERROR(VLOOKUP($A133,'The List'!$B1:$AS665,25,FALSE)," ")</f>
        <v>858</v>
      </c>
      <c r="S133" t="s" s="125">
        <f>_xlfn.IFERROR(VLOOKUP($A133,'The List'!$B1:$AS665,26,FALSE)," ")</f>
        <v>858</v>
      </c>
      <c r="T133" t="s" s="125">
        <f>_xlfn.IFERROR(VLOOKUP($A133,'The List'!$B1:$AS665,27,FALSE)," ")</f>
        <v>858</v>
      </c>
      <c r="U133" t="s" s="125">
        <f>_xlfn.IFERROR(VLOOKUP($A133,'The List'!$B1:$AS665,28,FALSE)," ")</f>
        <v>858</v>
      </c>
      <c r="V133" t="s" s="125">
        <f>_xlfn.IFERROR(VLOOKUP($A133,'The List'!$B1:$AS665,29,FALSE)," ")</f>
        <v>858</v>
      </c>
      <c r="W133" t="s" s="125">
        <f>_xlfn.IFERROR(VLOOKUP($A133,'The List'!$B1:$AS665,30,FALSE)," ")</f>
        <v>858</v>
      </c>
      <c r="X133" t="s" s="125">
        <f>_xlfn.IFERROR(VLOOKUP($A133,'The List'!$B1:$AS665,31,FALSE)," ")</f>
        <v>858</v>
      </c>
      <c r="Y133" t="s" s="125">
        <f>_xlfn.IFERROR(VLOOKUP($A133,'The List'!$B1:$AS665,32,FALSE)," ")</f>
        <v>858</v>
      </c>
      <c r="Z133" t="s" s="125">
        <f>_xlfn.IFERROR(VLOOKUP($A133,'The List'!$B1:$AS665,33,FALSE)," ")</f>
        <v>858</v>
      </c>
      <c r="AA133" s="120"/>
      <c r="AB133" s="121"/>
      <c r="AC133" s="121"/>
      <c r="AD133" s="121"/>
      <c r="AE133" s="121"/>
      <c r="AF133" s="144"/>
    </row>
    <row r="134" ht="21.25" customHeight="1">
      <c r="A134" s="50"/>
      <c r="B134" t="s" s="132">
        <f>_xlfn.IFERROR(VLOOKUP($A134,'The List'!$B1:$AS665,3,FALSE)," ")</f>
        <v>858</v>
      </c>
      <c r="C134" t="s" s="134">
        <f>_xlfn.IFERROR(VLOOKUP($A134,'The List'!$B1:$AS665,4,FALSE)," ")</f>
        <v>858</v>
      </c>
      <c r="D134" t="s" s="86">
        <f>_xlfn.IFERROR(VLOOKUP($A134,'The List'!$B1:$AS665,5,FALSE)," ")</f>
        <v>858</v>
      </c>
      <c r="E134" t="s" s="86">
        <f>_xlfn.IFERROR(VLOOKUP($A134,'The List'!$B1:$AS665,6,FALSE)," ")</f>
        <v>858</v>
      </c>
      <c r="F134" t="s" s="124">
        <f>_xlfn.IFERROR(VLOOKUP($A134,'The List'!$B1:$AS665,8,FALSE)," ")</f>
        <v>858</v>
      </c>
      <c r="G134" t="s" s="124">
        <f>_xlfn.IFERROR(VLOOKUP($A134,'The List'!$B1:$AS665,10,FALSE)," ")</f>
        <v>858</v>
      </c>
      <c r="H134" s="77"/>
      <c r="I134" t="s" s="125">
        <f>_xlfn.IFERROR(VLOOKUP($A134,'The List'!$B1:$AS665,16,FALSE)," ")</f>
        <v>858</v>
      </c>
      <c r="J134" t="s" s="125">
        <f>_xlfn.IFERROR(VLOOKUP($A134,'The List'!$B1:$AS665,17,FALSE)," ")</f>
        <v>858</v>
      </c>
      <c r="K134" t="s" s="125">
        <f>_xlfn.IFERROR(VLOOKUP($A134,'The List'!$B1:$AS665,18,FALSE)," ")</f>
        <v>858</v>
      </c>
      <c r="L134" t="s" s="125">
        <f>_xlfn.IFERROR(VLOOKUP($A134,'The List'!$B1:$AS665,19,FALSE)," ")</f>
        <v>858</v>
      </c>
      <c r="M134" t="s" s="125">
        <f>_xlfn.IFERROR(VLOOKUP($A134,'The List'!$B1:$AS665,20,FALSE)," ")</f>
        <v>858</v>
      </c>
      <c r="N134" t="s" s="125">
        <f>_xlfn.IFERROR(VLOOKUP($A134,'The List'!$B1:$AS665,21,FALSE)," ")</f>
        <v>858</v>
      </c>
      <c r="O134" t="s" s="125">
        <f>_xlfn.IFERROR(VLOOKUP($A134,'The List'!$B1:$AS665,22,FALSE)," ")</f>
        <v>858</v>
      </c>
      <c r="P134" t="s" s="125">
        <f>_xlfn.IFERROR(VLOOKUP($A134,'The List'!$B1:$AS665,23,FALSE)," ")</f>
        <v>858</v>
      </c>
      <c r="Q134" t="s" s="125">
        <f>_xlfn.IFERROR(VLOOKUP($A134,'The List'!$B1:$AS665,24,FALSE)," ")</f>
        <v>858</v>
      </c>
      <c r="R134" t="s" s="125">
        <f>_xlfn.IFERROR(VLOOKUP($A134,'The List'!$B1:$AS665,25,FALSE)," ")</f>
        <v>858</v>
      </c>
      <c r="S134" t="s" s="125">
        <f>_xlfn.IFERROR(VLOOKUP($A134,'The List'!$B1:$AS665,26,FALSE)," ")</f>
        <v>858</v>
      </c>
      <c r="T134" t="s" s="125">
        <f>_xlfn.IFERROR(VLOOKUP($A134,'The List'!$B1:$AS665,27,FALSE)," ")</f>
        <v>858</v>
      </c>
      <c r="U134" t="s" s="125">
        <f>_xlfn.IFERROR(VLOOKUP($A134,'The List'!$B1:$AS665,28,FALSE)," ")</f>
        <v>858</v>
      </c>
      <c r="V134" t="s" s="125">
        <f>_xlfn.IFERROR(VLOOKUP($A134,'The List'!$B1:$AS665,29,FALSE)," ")</f>
        <v>858</v>
      </c>
      <c r="W134" t="s" s="125">
        <f>_xlfn.IFERROR(VLOOKUP($A134,'The List'!$B1:$AS665,30,FALSE)," ")</f>
        <v>858</v>
      </c>
      <c r="X134" t="s" s="125">
        <f>_xlfn.IFERROR(VLOOKUP($A134,'The List'!$B1:$AS665,31,FALSE)," ")</f>
        <v>858</v>
      </c>
      <c r="Y134" t="s" s="125">
        <f>_xlfn.IFERROR(VLOOKUP($A134,'The List'!$B1:$AS665,32,FALSE)," ")</f>
        <v>858</v>
      </c>
      <c r="Z134" t="s" s="125">
        <f>_xlfn.IFERROR(VLOOKUP($A134,'The List'!$B1:$AS665,33,FALSE)," ")</f>
        <v>858</v>
      </c>
      <c r="AA134" s="120"/>
      <c r="AB134" s="121"/>
      <c r="AC134" s="121"/>
      <c r="AD134" s="121"/>
      <c r="AE134" s="121"/>
      <c r="AF134" s="144"/>
    </row>
    <row r="135" ht="21.25" customHeight="1">
      <c r="A135" s="50"/>
      <c r="B135" t="s" s="132">
        <f>_xlfn.IFERROR(VLOOKUP($A135,'The List'!$B1:$AS665,3,FALSE)," ")</f>
        <v>858</v>
      </c>
      <c r="C135" t="s" s="134">
        <f>_xlfn.IFERROR(VLOOKUP($A135,'The List'!$B1:$AS665,4,FALSE)," ")</f>
        <v>858</v>
      </c>
      <c r="D135" t="s" s="86">
        <f>_xlfn.IFERROR(VLOOKUP($A135,'The List'!$B1:$AS665,5,FALSE)," ")</f>
        <v>858</v>
      </c>
      <c r="E135" t="s" s="86">
        <f>_xlfn.IFERROR(VLOOKUP($A135,'The List'!$B1:$AS665,6,FALSE)," ")</f>
        <v>858</v>
      </c>
      <c r="F135" t="s" s="124">
        <f>_xlfn.IFERROR(VLOOKUP($A135,'The List'!$B1:$AS665,8,FALSE)," ")</f>
        <v>858</v>
      </c>
      <c r="G135" t="s" s="124">
        <f>_xlfn.IFERROR(VLOOKUP($A135,'The List'!$B1:$AS665,10,FALSE)," ")</f>
        <v>858</v>
      </c>
      <c r="H135" s="77"/>
      <c r="I135" t="s" s="125">
        <f>_xlfn.IFERROR(VLOOKUP($A135,'The List'!$B1:$AS665,16,FALSE)," ")</f>
        <v>858</v>
      </c>
      <c r="J135" t="s" s="125">
        <f>_xlfn.IFERROR(VLOOKUP($A135,'The List'!$B1:$AS665,17,FALSE)," ")</f>
        <v>858</v>
      </c>
      <c r="K135" t="s" s="125">
        <f>_xlfn.IFERROR(VLOOKUP($A135,'The List'!$B1:$AS665,18,FALSE)," ")</f>
        <v>858</v>
      </c>
      <c r="L135" t="s" s="125">
        <f>_xlfn.IFERROR(VLOOKUP($A135,'The List'!$B1:$AS665,19,FALSE)," ")</f>
        <v>858</v>
      </c>
      <c r="M135" t="s" s="125">
        <f>_xlfn.IFERROR(VLOOKUP($A135,'The List'!$B1:$AS665,20,FALSE)," ")</f>
        <v>858</v>
      </c>
      <c r="N135" t="s" s="125">
        <f>_xlfn.IFERROR(VLOOKUP($A135,'The List'!$B1:$AS665,21,FALSE)," ")</f>
        <v>858</v>
      </c>
      <c r="O135" t="s" s="125">
        <f>_xlfn.IFERROR(VLOOKUP($A135,'The List'!$B1:$AS665,22,FALSE)," ")</f>
        <v>858</v>
      </c>
      <c r="P135" t="s" s="125">
        <f>_xlfn.IFERROR(VLOOKUP($A135,'The List'!$B1:$AS665,23,FALSE)," ")</f>
        <v>858</v>
      </c>
      <c r="Q135" t="s" s="125">
        <f>_xlfn.IFERROR(VLOOKUP($A135,'The List'!$B1:$AS665,24,FALSE)," ")</f>
        <v>858</v>
      </c>
      <c r="R135" t="s" s="125">
        <f>_xlfn.IFERROR(VLOOKUP($A135,'The List'!$B1:$AS665,25,FALSE)," ")</f>
        <v>858</v>
      </c>
      <c r="S135" t="s" s="125">
        <f>_xlfn.IFERROR(VLOOKUP($A135,'The List'!$B1:$AS665,26,FALSE)," ")</f>
        <v>858</v>
      </c>
      <c r="T135" t="s" s="125">
        <f>_xlfn.IFERROR(VLOOKUP($A135,'The List'!$B1:$AS665,27,FALSE)," ")</f>
        <v>858</v>
      </c>
      <c r="U135" t="s" s="125">
        <f>_xlfn.IFERROR(VLOOKUP($A135,'The List'!$B1:$AS665,28,FALSE)," ")</f>
        <v>858</v>
      </c>
      <c r="V135" t="s" s="125">
        <f>_xlfn.IFERROR(VLOOKUP($A135,'The List'!$B1:$AS665,29,FALSE)," ")</f>
        <v>858</v>
      </c>
      <c r="W135" t="s" s="125">
        <f>_xlfn.IFERROR(VLOOKUP($A135,'The List'!$B1:$AS665,30,FALSE)," ")</f>
        <v>858</v>
      </c>
      <c r="X135" t="s" s="125">
        <f>_xlfn.IFERROR(VLOOKUP($A135,'The List'!$B1:$AS665,31,FALSE)," ")</f>
        <v>858</v>
      </c>
      <c r="Y135" t="s" s="125">
        <f>_xlfn.IFERROR(VLOOKUP($A135,'The List'!$B1:$AS665,32,FALSE)," ")</f>
        <v>858</v>
      </c>
      <c r="Z135" t="s" s="125">
        <f>_xlfn.IFERROR(VLOOKUP($A135,'The List'!$B1:$AS665,33,FALSE)," ")</f>
        <v>858</v>
      </c>
      <c r="AA135" s="120"/>
      <c r="AB135" s="121"/>
      <c r="AC135" s="121"/>
      <c r="AD135" s="121"/>
      <c r="AE135" s="121"/>
      <c r="AF135" s="144"/>
    </row>
    <row r="136" ht="21.25" customHeight="1">
      <c r="A136" s="50"/>
      <c r="B136" t="s" s="132">
        <f>_xlfn.IFERROR(VLOOKUP($A136,'The List'!$B1:$AS665,3,FALSE)," ")</f>
        <v>858</v>
      </c>
      <c r="C136" t="s" s="134">
        <f>_xlfn.IFERROR(VLOOKUP($A136,'The List'!$B1:$AS665,4,FALSE)," ")</f>
        <v>858</v>
      </c>
      <c r="D136" t="s" s="86">
        <f>_xlfn.IFERROR(VLOOKUP($A136,'The List'!$B1:$AS665,5,FALSE)," ")</f>
        <v>858</v>
      </c>
      <c r="E136" t="s" s="86">
        <f>_xlfn.IFERROR(VLOOKUP($A136,'The List'!$B1:$AS665,6,FALSE)," ")</f>
        <v>858</v>
      </c>
      <c r="F136" t="s" s="124">
        <f>_xlfn.IFERROR(VLOOKUP($A136,'The List'!$B1:$AS665,8,FALSE)," ")</f>
        <v>858</v>
      </c>
      <c r="G136" t="s" s="124">
        <f>_xlfn.IFERROR(VLOOKUP($A136,'The List'!$B1:$AS665,10,FALSE)," ")</f>
        <v>858</v>
      </c>
      <c r="H136" s="77"/>
      <c r="I136" t="s" s="125">
        <f>_xlfn.IFERROR(VLOOKUP($A136,'The List'!$B1:$AS665,16,FALSE)," ")</f>
        <v>858</v>
      </c>
      <c r="J136" t="s" s="125">
        <f>_xlfn.IFERROR(VLOOKUP($A136,'The List'!$B1:$AS665,17,FALSE)," ")</f>
        <v>858</v>
      </c>
      <c r="K136" t="s" s="125">
        <f>_xlfn.IFERROR(VLOOKUP($A136,'The List'!$B1:$AS665,18,FALSE)," ")</f>
        <v>858</v>
      </c>
      <c r="L136" t="s" s="125">
        <f>_xlfn.IFERROR(VLOOKUP($A136,'The List'!$B1:$AS665,19,FALSE)," ")</f>
        <v>858</v>
      </c>
      <c r="M136" t="s" s="125">
        <f>_xlfn.IFERROR(VLOOKUP($A136,'The List'!$B1:$AS665,20,FALSE)," ")</f>
        <v>858</v>
      </c>
      <c r="N136" t="s" s="125">
        <f>_xlfn.IFERROR(VLOOKUP($A136,'The List'!$B1:$AS665,21,FALSE)," ")</f>
        <v>858</v>
      </c>
      <c r="O136" t="s" s="125">
        <f>_xlfn.IFERROR(VLOOKUP($A136,'The List'!$B1:$AS665,22,FALSE)," ")</f>
        <v>858</v>
      </c>
      <c r="P136" t="s" s="125">
        <f>_xlfn.IFERROR(VLOOKUP($A136,'The List'!$B1:$AS665,23,FALSE)," ")</f>
        <v>858</v>
      </c>
      <c r="Q136" t="s" s="125">
        <f>_xlfn.IFERROR(VLOOKUP($A136,'The List'!$B1:$AS665,24,FALSE)," ")</f>
        <v>858</v>
      </c>
      <c r="R136" t="s" s="125">
        <f>_xlfn.IFERROR(VLOOKUP($A136,'The List'!$B1:$AS665,25,FALSE)," ")</f>
        <v>858</v>
      </c>
      <c r="S136" t="s" s="125">
        <f>_xlfn.IFERROR(VLOOKUP($A136,'The List'!$B1:$AS665,26,FALSE)," ")</f>
        <v>858</v>
      </c>
      <c r="T136" t="s" s="125">
        <f>_xlfn.IFERROR(VLOOKUP($A136,'The List'!$B1:$AS665,27,FALSE)," ")</f>
        <v>858</v>
      </c>
      <c r="U136" t="s" s="125">
        <f>_xlfn.IFERROR(VLOOKUP($A136,'The List'!$B1:$AS665,28,FALSE)," ")</f>
        <v>858</v>
      </c>
      <c r="V136" t="s" s="125">
        <f>_xlfn.IFERROR(VLOOKUP($A136,'The List'!$B1:$AS665,29,FALSE)," ")</f>
        <v>858</v>
      </c>
      <c r="W136" t="s" s="125">
        <f>_xlfn.IFERROR(VLOOKUP($A136,'The List'!$B1:$AS665,30,FALSE)," ")</f>
        <v>858</v>
      </c>
      <c r="X136" t="s" s="125">
        <f>_xlfn.IFERROR(VLOOKUP($A136,'The List'!$B1:$AS665,31,FALSE)," ")</f>
        <v>858</v>
      </c>
      <c r="Y136" t="s" s="125">
        <f>_xlfn.IFERROR(VLOOKUP($A136,'The List'!$B1:$AS665,32,FALSE)," ")</f>
        <v>858</v>
      </c>
      <c r="Z136" t="s" s="125">
        <f>_xlfn.IFERROR(VLOOKUP($A136,'The List'!$B1:$AS665,33,FALSE)," ")</f>
        <v>858</v>
      </c>
      <c r="AA136" s="120"/>
      <c r="AB136" s="121"/>
      <c r="AC136" s="121"/>
      <c r="AD136" s="121"/>
      <c r="AE136" s="121"/>
      <c r="AF136" s="144"/>
    </row>
    <row r="137" ht="21.25" customHeight="1">
      <c r="A137" s="137"/>
      <c r="B137" t="s" s="138">
        <f>_xlfn.IFERROR(VLOOKUP($A137,'The List'!$B1:$AS665,3,FALSE)," ")</f>
        <v>858</v>
      </c>
      <c r="C137" t="s" s="139">
        <f>_xlfn.IFERROR(VLOOKUP($A137,'The List'!$B1:$AS665,4,FALSE)," ")</f>
        <v>858</v>
      </c>
      <c r="D137" t="s" s="140">
        <f>_xlfn.IFERROR(VLOOKUP($A137,'The List'!$B1:$AS665,5,FALSE)," ")</f>
        <v>858</v>
      </c>
      <c r="E137" t="s" s="140">
        <f>_xlfn.IFERROR(VLOOKUP($A137,'The List'!$B1:$AS665,6,FALSE)," ")</f>
        <v>858</v>
      </c>
      <c r="F137" t="s" s="141">
        <f>_xlfn.IFERROR(VLOOKUP($A137,'The List'!$B1:$AS665,8,FALSE)," ")</f>
        <v>858</v>
      </c>
      <c r="G137" t="s" s="141">
        <f>_xlfn.IFERROR(VLOOKUP($A137,'The List'!$B1:$AS665,10,FALSE)," ")</f>
        <v>858</v>
      </c>
      <c r="H137" s="142"/>
      <c r="I137" t="s" s="143">
        <f>_xlfn.IFERROR(VLOOKUP($A137,'The List'!$B1:$AS665,16,FALSE)," ")</f>
        <v>858</v>
      </c>
      <c r="J137" t="s" s="143">
        <f>_xlfn.IFERROR(VLOOKUP($A137,'The List'!$B1:$AS665,17,FALSE)," ")</f>
        <v>858</v>
      </c>
      <c r="K137" t="s" s="143">
        <f>_xlfn.IFERROR(VLOOKUP($A137,'The List'!$B1:$AS665,18,FALSE)," ")</f>
        <v>858</v>
      </c>
      <c r="L137" t="s" s="143">
        <f>_xlfn.IFERROR(VLOOKUP($A137,'The List'!$B1:$AS665,19,FALSE)," ")</f>
        <v>858</v>
      </c>
      <c r="M137" t="s" s="143">
        <f>_xlfn.IFERROR(VLOOKUP($A137,'The List'!$B1:$AS665,20,FALSE)," ")</f>
        <v>858</v>
      </c>
      <c r="N137" t="s" s="143">
        <f>_xlfn.IFERROR(VLOOKUP($A137,'The List'!$B1:$AS665,21,FALSE)," ")</f>
        <v>858</v>
      </c>
      <c r="O137" t="s" s="143">
        <f>_xlfn.IFERROR(VLOOKUP($A137,'The List'!$B1:$AS665,22,FALSE)," ")</f>
        <v>858</v>
      </c>
      <c r="P137" t="s" s="143">
        <f>_xlfn.IFERROR(VLOOKUP($A137,'The List'!$B1:$AS665,23,FALSE)," ")</f>
        <v>858</v>
      </c>
      <c r="Q137" t="s" s="143">
        <f>_xlfn.IFERROR(VLOOKUP($A137,'The List'!$B1:$AS665,24,FALSE)," ")</f>
        <v>858</v>
      </c>
      <c r="R137" t="s" s="143">
        <f>_xlfn.IFERROR(VLOOKUP($A137,'The List'!$B1:$AS665,25,FALSE)," ")</f>
        <v>858</v>
      </c>
      <c r="S137" t="s" s="143">
        <f>_xlfn.IFERROR(VLOOKUP($A137,'The List'!$B1:$AS665,26,FALSE)," ")</f>
        <v>858</v>
      </c>
      <c r="T137" t="s" s="143">
        <f>_xlfn.IFERROR(VLOOKUP($A137,'The List'!$B1:$AS665,27,FALSE)," ")</f>
        <v>858</v>
      </c>
      <c r="U137" t="s" s="143">
        <f>_xlfn.IFERROR(VLOOKUP($A137,'The List'!$B1:$AS665,28,FALSE)," ")</f>
        <v>858</v>
      </c>
      <c r="V137" t="s" s="143">
        <f>_xlfn.IFERROR(VLOOKUP($A137,'The List'!$B1:$AS665,29,FALSE)," ")</f>
        <v>858</v>
      </c>
      <c r="W137" t="s" s="143">
        <f>_xlfn.IFERROR(VLOOKUP($A137,'The List'!$B1:$AS665,30,FALSE)," ")</f>
        <v>858</v>
      </c>
      <c r="X137" t="s" s="143">
        <f>_xlfn.IFERROR(VLOOKUP($A137,'The List'!$B1:$AS665,31,FALSE)," ")</f>
        <v>858</v>
      </c>
      <c r="Y137" t="s" s="143">
        <f>_xlfn.IFERROR(VLOOKUP($A137,'The List'!$B1:$AS665,32,FALSE)," ")</f>
        <v>858</v>
      </c>
      <c r="Z137" t="s" s="143">
        <f>_xlfn.IFERROR(VLOOKUP($A137,'The List'!$B1:$AS665,33,FALSE)," ")</f>
        <v>858</v>
      </c>
      <c r="AA137" s="120"/>
      <c r="AB137" s="121"/>
      <c r="AC137" s="121"/>
      <c r="AD137" s="121"/>
      <c r="AE137" s="121"/>
      <c r="AF137" s="144"/>
    </row>
    <row r="138" ht="21.25" customHeight="1">
      <c r="A138" s="145"/>
      <c r="B138" s="146"/>
      <c r="C138" s="147"/>
      <c r="D138" s="148"/>
      <c r="E138" t="s" s="193">
        <f>_xlfn.IFERROR(AVERAGE(E118:E137)," ")</f>
        <v>858</v>
      </c>
      <c r="F138" s="150">
        <f>SUM(F118:F137)</f>
        <v>0</v>
      </c>
      <c r="G138" s="150">
        <f>SUM(G118:G137)</f>
        <v>0</v>
      </c>
      <c r="H138" s="151"/>
      <c r="I138" s="152">
        <f>SUM(I118:I137)</f>
        <v>0</v>
      </c>
      <c r="J138" s="151">
        <f>AVERAGE(J118:J137)</f>
      </c>
      <c r="K138" s="152">
        <f>SUM(K118:K137)</f>
        <v>0</v>
      </c>
      <c r="L138" s="152">
        <f>SUM(L118:L137)</f>
        <v>0</v>
      </c>
      <c r="M138" s="152">
        <f>SUM(M118:M137)</f>
        <v>0</v>
      </c>
      <c r="N138" s="152">
        <f>SUM(N118:N137)</f>
        <v>0</v>
      </c>
      <c r="O138" s="152">
        <f>SUM(O118:O137)</f>
        <v>0</v>
      </c>
      <c r="P138" s="152">
        <f>SUM(P118:P137)</f>
        <v>0</v>
      </c>
      <c r="Q138" s="152">
        <f>SUM(Q118:Q137)</f>
        <v>0</v>
      </c>
      <c r="R138" s="152">
        <f>SUM(R118:R137)</f>
        <v>0</v>
      </c>
      <c r="S138" s="152">
        <f>SUM(S118:S137)</f>
        <v>0</v>
      </c>
      <c r="T138" s="152">
        <f>SUM(T118:T137)</f>
        <v>0</v>
      </c>
      <c r="U138" s="152">
        <f>SUM(U118:U137)</f>
        <v>0</v>
      </c>
      <c r="V138" s="152">
        <f>SUM(V118:V137)</f>
        <v>0</v>
      </c>
      <c r="W138" s="152">
        <f>SUM(W118:W137)</f>
        <v>0</v>
      </c>
      <c r="X138" s="152">
        <f>SUM(X118:X137)</f>
        <v>0</v>
      </c>
      <c r="Y138" s="152">
        <f>SUM(Y118:Y137)</f>
        <v>0</v>
      </c>
      <c r="Z138" s="153">
        <f>_xlfn.IFERROR(X138/(X138+Y138),0)</f>
        <v>0</v>
      </c>
      <c r="AA138" s="120"/>
      <c r="AB138" s="154"/>
      <c r="AC138" s="154"/>
      <c r="AD138" s="154"/>
      <c r="AE138" s="154"/>
      <c r="AF138" s="155"/>
    </row>
    <row r="139" ht="21.25" customHeight="1">
      <c r="A139" s="156"/>
      <c r="B139" s="157"/>
      <c r="C139" s="158"/>
      <c r="D139" s="13"/>
      <c r="E139" s="13"/>
      <c r="F139" s="159"/>
      <c r="G139" s="160"/>
      <c r="H139" s="161"/>
      <c r="I139" s="162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  <c r="AB139" s="121"/>
      <c r="AC139" s="121"/>
      <c r="AD139" s="121"/>
      <c r="AE139" s="121"/>
      <c r="AF139" s="144"/>
    </row>
    <row r="140" ht="21.25" customHeight="1">
      <c r="A140" t="s" s="163">
        <v>89</v>
      </c>
      <c r="B140" t="s" s="164">
        <v>91</v>
      </c>
      <c r="C140" s="31"/>
      <c r="D140" t="s" s="164">
        <v>92</v>
      </c>
      <c r="E140" t="s" s="164">
        <v>93</v>
      </c>
      <c r="F140" t="s" s="165">
        <v>95</v>
      </c>
      <c r="G140" t="s" s="165">
        <v>97</v>
      </c>
      <c r="H140" s="166"/>
      <c r="I140" t="s" s="167">
        <v>102</v>
      </c>
      <c r="J140" t="s" s="167">
        <v>118</v>
      </c>
      <c r="K140" t="s" s="167">
        <v>119</v>
      </c>
      <c r="L140" t="s" s="167">
        <v>120</v>
      </c>
      <c r="M140" t="s" s="167">
        <v>121</v>
      </c>
      <c r="N140" t="s" s="167">
        <v>122</v>
      </c>
      <c r="O140" t="s" s="167">
        <v>123</v>
      </c>
      <c r="P140" t="s" s="167">
        <v>124</v>
      </c>
      <c r="Q140" t="s" s="167">
        <v>125</v>
      </c>
      <c r="R140" s="120"/>
      <c r="S140" s="120"/>
      <c r="T140" s="120"/>
      <c r="U140" t="s" s="164">
        <v>876</v>
      </c>
      <c r="V140" s="166"/>
      <c r="W140" s="166"/>
      <c r="X140" t="s" s="164">
        <v>877</v>
      </c>
      <c r="Y140" s="166"/>
      <c r="Z140" s="166"/>
      <c r="AA140" s="120"/>
      <c r="AB140" s="120"/>
      <c r="AC140" s="120"/>
      <c r="AD140" s="120"/>
      <c r="AE140" s="120"/>
      <c r="AF140" s="168"/>
    </row>
    <row r="141" ht="21.25" customHeight="1">
      <c r="A141" s="194"/>
      <c r="B141" t="s" s="170">
        <f>_xlfn.IFERROR(VLOOKUP($A141,'The List'!$B1:$AS665,3,FALSE)," ")</f>
        <v>858</v>
      </c>
      <c r="C141" t="s" s="195">
        <f>_xlfn.IFERROR(VLOOKUP($A141,'The List'!$B1:$AS665,4,FALSE)," ")</f>
        <v>858</v>
      </c>
      <c r="D141" t="s" s="72">
        <f>_xlfn.IFERROR(VLOOKUP($A141,'The List'!$B1:$AS665,5,FALSE)," ")</f>
        <v>858</v>
      </c>
      <c r="E141" t="s" s="72">
        <f>_xlfn.IFERROR(VLOOKUP($A141,'The List'!$B1:$AS665,6,FALSE)," ")</f>
        <v>858</v>
      </c>
      <c r="F141" t="s" s="196">
        <f>_xlfn.IFERROR(VLOOKUP($A141,'The List'!$B1:$AS665,8,FALSE)," ")</f>
        <v>858</v>
      </c>
      <c r="G141" t="s" s="196">
        <f>_xlfn.IFERROR(VLOOKUP($A141,'The List'!$B1:$AS665,10,FALSE)," ")</f>
        <v>858</v>
      </c>
      <c r="H141" s="174"/>
      <c r="I141" t="s" s="197">
        <f>_xlfn.IFERROR(VLOOKUP($A141,'The List'!$B1:$AS665,35,FALSE)," ")</f>
        <v>858</v>
      </c>
      <c r="J141" t="s" s="197">
        <f>_xlfn.IFERROR(VLOOKUP($A141,'The List'!$B1:$AS665,36,FALSE)," ")</f>
        <v>858</v>
      </c>
      <c r="K141" t="s" s="197">
        <f>_xlfn.IFERROR(VLOOKUP($A141,'The List'!$B1:$AS665,37,FALSE)," ")</f>
        <v>858</v>
      </c>
      <c r="L141" t="s" s="197">
        <f>_xlfn.IFERROR(VLOOKUP($A141,'The List'!$B1:$AS665,38,FALSE)," ")</f>
        <v>858</v>
      </c>
      <c r="M141" t="s" s="197">
        <f>_xlfn.IFERROR(VLOOKUP($A141,'The List'!$B1:$AS665,39,FALSE)," ")</f>
        <v>858</v>
      </c>
      <c r="N141" t="s" s="197">
        <f>_xlfn.IFERROR(VLOOKUP($A141,'The List'!$B1:$AS665,40,FALSE)," ")</f>
        <v>858</v>
      </c>
      <c r="O141" t="s" s="197">
        <f>_xlfn.IFERROR(VLOOKUP($A141,'The List'!$B1:$AS665,41,FALSE)," ")</f>
        <v>858</v>
      </c>
      <c r="P141" t="s" s="197">
        <f>_xlfn.IFERROR(VLOOKUP($A141,'The List'!$B1:$AS665,42,FALSE)," ")</f>
        <v>858</v>
      </c>
      <c r="Q141" t="s" s="197">
        <f>_xlfn.IFERROR(VLOOKUP($A141,'The List'!$B1:$AS665,43,FALSE)," ")</f>
        <v>858</v>
      </c>
      <c r="R141" s="120"/>
      <c r="S141" s="120"/>
      <c r="T141" t="s" s="178">
        <f>A117</f>
        <v>883</v>
      </c>
      <c r="U141" s="179">
        <f>F138+F144</f>
        <v>0</v>
      </c>
      <c r="V141" s="31"/>
      <c r="W141" s="31"/>
      <c r="X141" s="179">
        <f>G144+G138</f>
        <v>0</v>
      </c>
      <c r="Y141" s="31"/>
      <c r="Z141" s="31"/>
      <c r="AA141" s="120"/>
      <c r="AB141" s="120"/>
      <c r="AC141" s="120"/>
      <c r="AD141" s="120"/>
      <c r="AE141" s="120"/>
      <c r="AF141" s="168"/>
    </row>
    <row r="142" ht="21.25" customHeight="1">
      <c r="A142" s="50"/>
      <c r="B142" t="s" s="180">
        <f>_xlfn.IFERROR(VLOOKUP($A142,'The List'!$B1:$AS665,3,FALSE)," ")</f>
        <v>858</v>
      </c>
      <c r="C142" t="s" s="181">
        <f>_xlfn.IFERROR(VLOOKUP($A142,'The List'!$B1:$AS665,4,FALSE)," ")</f>
        <v>858</v>
      </c>
      <c r="D142" t="s" s="86">
        <f>_xlfn.IFERROR(VLOOKUP($A142,'The List'!$B1:$AS665,5,FALSE)," ")</f>
        <v>858</v>
      </c>
      <c r="E142" t="s" s="86">
        <f>_xlfn.IFERROR(VLOOKUP($A142,'The List'!$B1:$AS665,6,FALSE)," ")</f>
        <v>858</v>
      </c>
      <c r="F142" t="s" s="124">
        <f>_xlfn.IFERROR(VLOOKUP($A142,'The List'!$B1:$AS665,8,FALSE)," ")</f>
        <v>858</v>
      </c>
      <c r="G142" t="s" s="124">
        <f>_xlfn.IFERROR(VLOOKUP($A142,'The List'!$B1:$AS665,10,FALSE)," ")</f>
        <v>858</v>
      </c>
      <c r="H142" s="77"/>
      <c r="I142" t="s" s="125">
        <f>_xlfn.IFERROR(VLOOKUP($A142,'The List'!$B1:$AS665,35,FALSE)," ")</f>
        <v>858</v>
      </c>
      <c r="J142" t="s" s="125">
        <f>_xlfn.IFERROR(VLOOKUP($A142,'The List'!$B1:$AS665,36,FALSE)," ")</f>
        <v>858</v>
      </c>
      <c r="K142" t="s" s="125">
        <f>_xlfn.IFERROR(VLOOKUP($A142,'The List'!$B1:$AS665,37,FALSE)," ")</f>
        <v>858</v>
      </c>
      <c r="L142" t="s" s="125">
        <f>_xlfn.IFERROR(VLOOKUP($A142,'The List'!$B1:$AS665,38,FALSE)," ")</f>
        <v>858</v>
      </c>
      <c r="M142" t="s" s="125">
        <f>_xlfn.IFERROR(VLOOKUP($A142,'The List'!$B1:$AS665,39,FALSE)," ")</f>
        <v>858</v>
      </c>
      <c r="N142" t="s" s="125">
        <f>_xlfn.IFERROR(VLOOKUP($A142,'The List'!$B1:$AS665,40,FALSE)," ")</f>
        <v>858</v>
      </c>
      <c r="O142" t="s" s="125">
        <f>_xlfn.IFERROR(VLOOKUP($A142,'The List'!$B1:$AS665,41,FALSE)," ")</f>
        <v>858</v>
      </c>
      <c r="P142" t="s" s="125">
        <f>_xlfn.IFERROR(VLOOKUP($A142,'The List'!$B1:$AS665,42,FALSE)," ")</f>
        <v>858</v>
      </c>
      <c r="Q142" t="s" s="125">
        <f>_xlfn.IFERROR(VLOOKUP($A142,'The List'!$B1:$AS665,43,FALSE)," ")</f>
        <v>858</v>
      </c>
      <c r="R142" s="120"/>
      <c r="S142" s="120"/>
      <c r="T142" s="120"/>
      <c r="U142" s="31"/>
      <c r="V142" s="31"/>
      <c r="W142" s="31"/>
      <c r="X142" s="31"/>
      <c r="Y142" s="31"/>
      <c r="Z142" s="31"/>
      <c r="AA142" s="120"/>
      <c r="AB142" s="120"/>
      <c r="AC142" s="120"/>
      <c r="AD142" s="120"/>
      <c r="AE142" s="120"/>
      <c r="AF142" s="168"/>
    </row>
    <row r="143" ht="21.25" customHeight="1">
      <c r="A143" s="137"/>
      <c r="B143" t="s" s="182">
        <f>_xlfn.IFERROR(VLOOKUP($A143,'The List'!$B1:$AS665,3,FALSE)," ")</f>
        <v>858</v>
      </c>
      <c r="C143" t="s" s="183">
        <f>_xlfn.IFERROR(VLOOKUP($A143,'The List'!$B1:$AS665,4,FALSE)," ")</f>
        <v>858</v>
      </c>
      <c r="D143" t="s" s="140">
        <f>_xlfn.IFERROR(VLOOKUP($A143,'The List'!$B1:$AS665,5,FALSE)," ")</f>
        <v>858</v>
      </c>
      <c r="E143" t="s" s="140">
        <f>_xlfn.IFERROR(VLOOKUP($A143,'The List'!$B1:$AS665,6,FALSE)," ")</f>
        <v>858</v>
      </c>
      <c r="F143" t="s" s="141">
        <f>_xlfn.IFERROR(VLOOKUP($A143,'The List'!$B1:$AS665,8,FALSE)," ")</f>
        <v>858</v>
      </c>
      <c r="G143" t="s" s="141">
        <f>_xlfn.IFERROR(VLOOKUP($A143,'The List'!$B1:$AS665,10,FALSE)," ")</f>
        <v>858</v>
      </c>
      <c r="H143" s="142"/>
      <c r="I143" t="s" s="143">
        <f>_xlfn.IFERROR(VLOOKUP($A143,'The List'!$B1:$AS665,35,FALSE)," ")</f>
        <v>858</v>
      </c>
      <c r="J143" t="s" s="143">
        <f>_xlfn.IFERROR(VLOOKUP($A143,'The List'!$B1:$AS665,36,FALSE)," ")</f>
        <v>858</v>
      </c>
      <c r="K143" t="s" s="143">
        <f>_xlfn.IFERROR(VLOOKUP($A143,'The List'!$B1:$AS665,37,FALSE)," ")</f>
        <v>858</v>
      </c>
      <c r="L143" t="s" s="143">
        <f>_xlfn.IFERROR(VLOOKUP($A143,'The List'!$B1:$AS665,38,FALSE)," ")</f>
        <v>858</v>
      </c>
      <c r="M143" t="s" s="143">
        <f>_xlfn.IFERROR(VLOOKUP($A143,'The List'!$B1:$AS665,39,FALSE)," ")</f>
        <v>858</v>
      </c>
      <c r="N143" t="s" s="143">
        <f>_xlfn.IFERROR(VLOOKUP($A143,'The List'!$B1:$AS665,40,FALSE)," ")</f>
        <v>858</v>
      </c>
      <c r="O143" t="s" s="143">
        <f>_xlfn.IFERROR(VLOOKUP($A143,'The List'!$B1:$AS665,41,FALSE)," ")</f>
        <v>858</v>
      </c>
      <c r="P143" t="s" s="143">
        <f>_xlfn.IFERROR(VLOOKUP($A143,'The List'!$B1:$AS665,42,FALSE)," ")</f>
        <v>858</v>
      </c>
      <c r="Q143" t="s" s="143">
        <f>_xlfn.IFERROR(VLOOKUP($A143,'The List'!$B1:$AS665,43,FALSE)," ")</f>
        <v>858</v>
      </c>
      <c r="R143" s="120"/>
      <c r="S143" s="120"/>
      <c r="T143" s="120"/>
      <c r="U143" s="31"/>
      <c r="V143" s="31"/>
      <c r="W143" s="31"/>
      <c r="X143" s="31"/>
      <c r="Y143" s="31"/>
      <c r="Z143" s="31"/>
      <c r="AA143" s="120"/>
      <c r="AB143" s="120"/>
      <c r="AC143" s="120"/>
      <c r="AD143" s="120"/>
      <c r="AE143" s="120"/>
      <c r="AF143" s="168"/>
    </row>
    <row r="144" ht="21.25" customHeight="1">
      <c r="A144" s="145"/>
      <c r="B144" s="146"/>
      <c r="C144" s="147"/>
      <c r="D144" s="148"/>
      <c r="E144" t="s" s="193">
        <f>_xlfn.IFERROR(AVERAGE(E141:E143)," ")</f>
        <v>858</v>
      </c>
      <c r="F144" s="150">
        <f>SUM(F141:F143)</f>
        <v>0</v>
      </c>
      <c r="G144" s="150">
        <f>SUM(G141:G143)</f>
        <v>0</v>
      </c>
      <c r="H144" s="151"/>
      <c r="I144" s="152">
        <f>SUM(I141:I143)</f>
        <v>0</v>
      </c>
      <c r="J144" s="151">
        <f>SUM(J141:J143)</f>
        <v>0</v>
      </c>
      <c r="K144" s="152">
        <f>SUM(K141:K143)</f>
        <v>0</v>
      </c>
      <c r="L144" s="152">
        <f>SUM(L141:L143)</f>
        <v>0</v>
      </c>
      <c r="M144" s="152">
        <f>SUM(M141:M143)</f>
        <v>0</v>
      </c>
      <c r="N144" s="152">
        <f>SUM(N141:N143)</f>
        <v>0</v>
      </c>
      <c r="O144" s="152">
        <f>SUM(O141:O143)</f>
        <v>0</v>
      </c>
      <c r="P144" s="184">
        <f>1-(O144/(N144+O144))</f>
      </c>
      <c r="Q144" s="185">
        <f>O144/I144</f>
      </c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  <c r="AB144" s="120"/>
      <c r="AC144" s="120"/>
      <c r="AD144" s="120"/>
      <c r="AE144" s="120"/>
      <c r="AF144" s="168"/>
    </row>
    <row r="145" ht="70.75" customHeight="1">
      <c r="A145" s="156"/>
      <c r="B145" s="157"/>
      <c r="C145" s="158"/>
      <c r="D145" s="13"/>
      <c r="E145" s="13"/>
      <c r="F145" s="159"/>
      <c r="G145" s="160"/>
      <c r="H145" s="161"/>
      <c r="I145" s="162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1"/>
      <c r="AB145" s="121"/>
      <c r="AC145" s="121"/>
      <c r="AD145" s="121"/>
      <c r="AE145" s="121"/>
      <c r="AF145" s="144"/>
    </row>
    <row r="146" ht="21.25" customHeight="1">
      <c r="A146" t="s" s="186">
        <v>863</v>
      </c>
      <c r="B146" t="s" s="187">
        <v>91</v>
      </c>
      <c r="C146" s="45"/>
      <c r="D146" t="s" s="187">
        <v>92</v>
      </c>
      <c r="E146" t="s" s="187">
        <v>93</v>
      </c>
      <c r="F146" t="s" s="188">
        <v>95</v>
      </c>
      <c r="G146" t="s" s="188">
        <v>97</v>
      </c>
      <c r="H146" s="189"/>
      <c r="I146" t="s" s="190">
        <v>102</v>
      </c>
      <c r="J146" t="s" s="190">
        <v>55</v>
      </c>
      <c r="K146" t="s" s="190">
        <v>103</v>
      </c>
      <c r="L146" t="s" s="190">
        <v>104</v>
      </c>
      <c r="M146" t="s" s="190">
        <v>105</v>
      </c>
      <c r="N146" t="s" s="190">
        <v>106</v>
      </c>
      <c r="O146" t="s" s="190">
        <v>107</v>
      </c>
      <c r="P146" t="s" s="190">
        <v>63</v>
      </c>
      <c r="Q146" t="s" s="190">
        <v>108</v>
      </c>
      <c r="R146" t="s" s="190">
        <v>109</v>
      </c>
      <c r="S146" t="s" s="190">
        <v>110</v>
      </c>
      <c r="T146" t="s" s="190">
        <v>111</v>
      </c>
      <c r="U146" t="s" s="190">
        <v>112</v>
      </c>
      <c r="V146" t="s" s="190">
        <v>113</v>
      </c>
      <c r="W146" t="s" s="190">
        <v>114</v>
      </c>
      <c r="X146" t="s" s="190">
        <v>115</v>
      </c>
      <c r="Y146" t="s" s="190">
        <v>116</v>
      </c>
      <c r="Z146" t="s" s="190">
        <v>117</v>
      </c>
      <c r="AA146" s="120"/>
      <c r="AB146" s="191"/>
      <c r="AC146" s="191"/>
      <c r="AD146" s="191"/>
      <c r="AE146" s="191"/>
      <c r="AF146" s="192"/>
    </row>
    <row r="147" ht="21.25" customHeight="1">
      <c r="A147" s="50"/>
      <c r="B147" t="s" s="117">
        <f>_xlfn.IFERROR(VLOOKUP($A147,'The List'!$B1:$AS665,3,FALSE)," ")</f>
        <v>858</v>
      </c>
      <c r="C147" t="s" s="123">
        <f>_xlfn.IFERROR(VLOOKUP($A147,'The List'!$B1:$AS665,4,FALSE)," ")</f>
        <v>858</v>
      </c>
      <c r="D147" t="s" s="86">
        <f>_xlfn.IFERROR(VLOOKUP($A147,'The List'!$B1:$AS665,5,FALSE)," ")</f>
        <v>858</v>
      </c>
      <c r="E147" t="s" s="86">
        <f>_xlfn.IFERROR(VLOOKUP($A147,'The List'!$B1:$AS665,6,FALSE)," ")</f>
        <v>858</v>
      </c>
      <c r="F147" t="s" s="124">
        <f>_xlfn.IFERROR(VLOOKUP($A147,'The List'!$B1:$AS665,8,FALSE)," ")</f>
        <v>858</v>
      </c>
      <c r="G147" t="s" s="124">
        <f>_xlfn.IFERROR(VLOOKUP($A147,'The List'!$B1:$AS665,10,FALSE)," ")</f>
        <v>858</v>
      </c>
      <c r="H147" s="77"/>
      <c r="I147" t="s" s="125">
        <f>_xlfn.IFERROR(VLOOKUP($A147,'The List'!$B1:$AS665,16,FALSE)," ")</f>
        <v>858</v>
      </c>
      <c r="J147" t="s" s="125">
        <f>_xlfn.IFERROR(VLOOKUP($A147,'The List'!$B1:$AS665,17,FALSE)," ")</f>
        <v>858</v>
      </c>
      <c r="K147" t="s" s="125">
        <f>_xlfn.IFERROR(VLOOKUP($A147,'The List'!$B1:$AS665,18,FALSE)," ")</f>
        <v>858</v>
      </c>
      <c r="L147" t="s" s="125">
        <f>_xlfn.IFERROR(VLOOKUP($A147,'The List'!$B1:$AS665,19,FALSE)," ")</f>
        <v>858</v>
      </c>
      <c r="M147" t="s" s="125">
        <f>_xlfn.IFERROR(VLOOKUP($A147,'The List'!$B1:$AS665,20,FALSE)," ")</f>
        <v>858</v>
      </c>
      <c r="N147" t="s" s="125">
        <f>_xlfn.IFERROR(VLOOKUP($A147,'The List'!$B1:$AS665,21,FALSE)," ")</f>
        <v>858</v>
      </c>
      <c r="O147" t="s" s="125">
        <f>_xlfn.IFERROR(VLOOKUP($A147,'The List'!$B1:$AS665,22,FALSE)," ")</f>
        <v>858</v>
      </c>
      <c r="P147" t="s" s="125">
        <f>_xlfn.IFERROR(VLOOKUP($A147,'The List'!$B1:$AS665,23,FALSE)," ")</f>
        <v>858</v>
      </c>
      <c r="Q147" t="s" s="125">
        <f>_xlfn.IFERROR(VLOOKUP($A147,'The List'!$B1:$AS665,24,FALSE)," ")</f>
        <v>858</v>
      </c>
      <c r="R147" t="s" s="125">
        <f>_xlfn.IFERROR(VLOOKUP($A147,'The List'!$B1:$AS665,25,FALSE)," ")</f>
        <v>858</v>
      </c>
      <c r="S147" t="s" s="125">
        <f>_xlfn.IFERROR(VLOOKUP($A147,'The List'!$B1:$AS665,26,FALSE)," ")</f>
        <v>858</v>
      </c>
      <c r="T147" t="s" s="125">
        <f>_xlfn.IFERROR(VLOOKUP($A147,'The List'!$B1:$AS665,27,FALSE)," ")</f>
        <v>858</v>
      </c>
      <c r="U147" t="s" s="125">
        <f>_xlfn.IFERROR(VLOOKUP($A147,'The List'!$B1:$AS665,28,FALSE)," ")</f>
        <v>858</v>
      </c>
      <c r="V147" t="s" s="125">
        <f>_xlfn.IFERROR(VLOOKUP($A147,'The List'!$B1:$AS665,29,FALSE)," ")</f>
        <v>858</v>
      </c>
      <c r="W147" t="s" s="125">
        <f>_xlfn.IFERROR(VLOOKUP($A147,'The List'!$B1:$AS665,30,FALSE)," ")</f>
        <v>858</v>
      </c>
      <c r="X147" t="s" s="125">
        <f>_xlfn.IFERROR(VLOOKUP($A147,'The List'!$B1:$AS665,31,FALSE)," ")</f>
        <v>858</v>
      </c>
      <c r="Y147" t="s" s="125">
        <f>_xlfn.IFERROR(VLOOKUP($A147,'The List'!$B1:$AS665,32,FALSE)," ")</f>
        <v>858</v>
      </c>
      <c r="Z147" t="s" s="125">
        <f>_xlfn.IFERROR(VLOOKUP($A147,'The List'!$B1:$AS665,33,FALSE)," ")</f>
        <v>858</v>
      </c>
      <c r="AA147" s="120"/>
      <c r="AB147" s="121"/>
      <c r="AC147" s="121"/>
      <c r="AD147" s="121"/>
      <c r="AE147" s="121"/>
      <c r="AF147" s="144"/>
    </row>
    <row r="148" ht="21.25" customHeight="1">
      <c r="A148" s="50"/>
      <c r="B148" t="s" s="117">
        <f>_xlfn.IFERROR(VLOOKUP($A148,'The List'!$B1:$AS665,3,FALSE)," ")</f>
        <v>858</v>
      </c>
      <c r="C148" t="s" s="123">
        <f>_xlfn.IFERROR(VLOOKUP($A148,'The List'!$B1:$AS665,4,FALSE)," ")</f>
        <v>858</v>
      </c>
      <c r="D148" t="s" s="86">
        <f>_xlfn.IFERROR(VLOOKUP($A148,'The List'!$B1:$AS665,5,FALSE)," ")</f>
        <v>858</v>
      </c>
      <c r="E148" t="s" s="86">
        <f>_xlfn.IFERROR(VLOOKUP($A148,'The List'!$B1:$AS665,6,FALSE)," ")</f>
        <v>858</v>
      </c>
      <c r="F148" t="s" s="124">
        <f>_xlfn.IFERROR(VLOOKUP($A148,'The List'!$B1:$AS665,8,FALSE)," ")</f>
        <v>858</v>
      </c>
      <c r="G148" t="s" s="124">
        <f>_xlfn.IFERROR(VLOOKUP($A148,'The List'!$B1:$AS665,10,FALSE)," ")</f>
        <v>858</v>
      </c>
      <c r="H148" s="77"/>
      <c r="I148" t="s" s="125">
        <f>_xlfn.IFERROR(VLOOKUP($A148,'The List'!$B1:$AS665,16,FALSE)," ")</f>
        <v>858</v>
      </c>
      <c r="J148" t="s" s="125">
        <f>_xlfn.IFERROR(VLOOKUP($A148,'The List'!$B1:$AS665,17,FALSE)," ")</f>
        <v>858</v>
      </c>
      <c r="K148" t="s" s="125">
        <f>_xlfn.IFERROR(VLOOKUP($A148,'The List'!$B1:$AS665,18,FALSE)," ")</f>
        <v>858</v>
      </c>
      <c r="L148" t="s" s="125">
        <f>_xlfn.IFERROR(VLOOKUP($A148,'The List'!$B1:$AS665,19,FALSE)," ")</f>
        <v>858</v>
      </c>
      <c r="M148" t="s" s="125">
        <f>_xlfn.IFERROR(VLOOKUP($A148,'The List'!$B1:$AS665,20,FALSE)," ")</f>
        <v>858</v>
      </c>
      <c r="N148" t="s" s="125">
        <f>_xlfn.IFERROR(VLOOKUP($A148,'The List'!$B1:$AS665,21,FALSE)," ")</f>
        <v>858</v>
      </c>
      <c r="O148" t="s" s="125">
        <f>_xlfn.IFERROR(VLOOKUP($A148,'The List'!$B1:$AS665,22,FALSE)," ")</f>
        <v>858</v>
      </c>
      <c r="P148" t="s" s="125">
        <f>_xlfn.IFERROR(VLOOKUP($A148,'The List'!$B1:$AS665,23,FALSE)," ")</f>
        <v>858</v>
      </c>
      <c r="Q148" t="s" s="125">
        <f>_xlfn.IFERROR(VLOOKUP($A148,'The List'!$B1:$AS665,24,FALSE)," ")</f>
        <v>858</v>
      </c>
      <c r="R148" t="s" s="125">
        <f>_xlfn.IFERROR(VLOOKUP($A148,'The List'!$B1:$AS665,25,FALSE)," ")</f>
        <v>858</v>
      </c>
      <c r="S148" t="s" s="125">
        <f>_xlfn.IFERROR(VLOOKUP($A148,'The List'!$B1:$AS665,26,FALSE)," ")</f>
        <v>858</v>
      </c>
      <c r="T148" t="s" s="125">
        <f>_xlfn.IFERROR(VLOOKUP($A148,'The List'!$B1:$AS665,27,FALSE)," ")</f>
        <v>858</v>
      </c>
      <c r="U148" t="s" s="125">
        <f>_xlfn.IFERROR(VLOOKUP($A148,'The List'!$B1:$AS665,28,FALSE)," ")</f>
        <v>858</v>
      </c>
      <c r="V148" t="s" s="125">
        <f>_xlfn.IFERROR(VLOOKUP($A148,'The List'!$B1:$AS665,29,FALSE)," ")</f>
        <v>858</v>
      </c>
      <c r="W148" t="s" s="125">
        <f>_xlfn.IFERROR(VLOOKUP($A148,'The List'!$B1:$AS665,30,FALSE)," ")</f>
        <v>858</v>
      </c>
      <c r="X148" t="s" s="125">
        <f>_xlfn.IFERROR(VLOOKUP($A148,'The List'!$B1:$AS665,31,FALSE)," ")</f>
        <v>858</v>
      </c>
      <c r="Y148" t="s" s="125">
        <f>_xlfn.IFERROR(VLOOKUP($A148,'The List'!$B1:$AS665,32,FALSE)," ")</f>
        <v>858</v>
      </c>
      <c r="Z148" t="s" s="125">
        <f>_xlfn.IFERROR(VLOOKUP($A148,'The List'!$B1:$AS665,33,FALSE)," ")</f>
        <v>858</v>
      </c>
      <c r="AA148" s="120"/>
      <c r="AB148" s="121"/>
      <c r="AC148" s="121"/>
      <c r="AD148" s="121"/>
      <c r="AE148" s="121"/>
      <c r="AF148" s="144"/>
    </row>
    <row r="149" ht="21.25" customHeight="1">
      <c r="A149" s="50"/>
      <c r="B149" t="s" s="117">
        <f>_xlfn.IFERROR(VLOOKUP($A149,'The List'!$B1:$AS665,3,FALSE)," ")</f>
        <v>858</v>
      </c>
      <c r="C149" t="s" s="123">
        <f>_xlfn.IFERROR(VLOOKUP($A149,'The List'!$B1:$AS665,4,FALSE)," ")</f>
        <v>858</v>
      </c>
      <c r="D149" t="s" s="86">
        <f>_xlfn.IFERROR(VLOOKUP($A149,'The List'!$B1:$AS665,5,FALSE)," ")</f>
        <v>858</v>
      </c>
      <c r="E149" t="s" s="86">
        <f>_xlfn.IFERROR(VLOOKUP($A149,'The List'!$B1:$AS665,6,FALSE)," ")</f>
        <v>858</v>
      </c>
      <c r="F149" t="s" s="124">
        <f>_xlfn.IFERROR(VLOOKUP($A149,'The List'!$B1:$AS665,8,FALSE)," ")</f>
        <v>858</v>
      </c>
      <c r="G149" t="s" s="124">
        <f>_xlfn.IFERROR(VLOOKUP($A149,'The List'!$B1:$AS665,10,FALSE)," ")</f>
        <v>858</v>
      </c>
      <c r="H149" s="77"/>
      <c r="I149" t="s" s="125">
        <f>_xlfn.IFERROR(VLOOKUP($A149,'The List'!$B1:$AS665,16,FALSE)," ")</f>
        <v>858</v>
      </c>
      <c r="J149" t="s" s="125">
        <f>_xlfn.IFERROR(VLOOKUP($A149,'The List'!$B1:$AS665,17,FALSE)," ")</f>
        <v>858</v>
      </c>
      <c r="K149" t="s" s="125">
        <f>_xlfn.IFERROR(VLOOKUP($A149,'The List'!$B1:$AS665,18,FALSE)," ")</f>
        <v>858</v>
      </c>
      <c r="L149" t="s" s="125">
        <f>_xlfn.IFERROR(VLOOKUP($A149,'The List'!$B1:$AS665,19,FALSE)," ")</f>
        <v>858</v>
      </c>
      <c r="M149" t="s" s="125">
        <f>_xlfn.IFERROR(VLOOKUP($A149,'The List'!$B1:$AS665,20,FALSE)," ")</f>
        <v>858</v>
      </c>
      <c r="N149" t="s" s="125">
        <f>_xlfn.IFERROR(VLOOKUP($A149,'The List'!$B1:$AS665,21,FALSE)," ")</f>
        <v>858</v>
      </c>
      <c r="O149" t="s" s="125">
        <f>_xlfn.IFERROR(VLOOKUP($A149,'The List'!$B1:$AS665,22,FALSE)," ")</f>
        <v>858</v>
      </c>
      <c r="P149" t="s" s="125">
        <f>_xlfn.IFERROR(VLOOKUP($A149,'The List'!$B1:$AS665,23,FALSE)," ")</f>
        <v>858</v>
      </c>
      <c r="Q149" t="s" s="125">
        <f>_xlfn.IFERROR(VLOOKUP($A149,'The List'!$B1:$AS665,24,FALSE)," ")</f>
        <v>858</v>
      </c>
      <c r="R149" t="s" s="125">
        <f>_xlfn.IFERROR(VLOOKUP($A149,'The List'!$B1:$AS665,25,FALSE)," ")</f>
        <v>858</v>
      </c>
      <c r="S149" t="s" s="125">
        <f>_xlfn.IFERROR(VLOOKUP($A149,'The List'!$B1:$AS665,26,FALSE)," ")</f>
        <v>858</v>
      </c>
      <c r="T149" t="s" s="125">
        <f>_xlfn.IFERROR(VLOOKUP($A149,'The List'!$B1:$AS665,27,FALSE)," ")</f>
        <v>858</v>
      </c>
      <c r="U149" t="s" s="125">
        <f>_xlfn.IFERROR(VLOOKUP($A149,'The List'!$B1:$AS665,28,FALSE)," ")</f>
        <v>858</v>
      </c>
      <c r="V149" t="s" s="125">
        <f>_xlfn.IFERROR(VLOOKUP($A149,'The List'!$B1:$AS665,29,FALSE)," ")</f>
        <v>858</v>
      </c>
      <c r="W149" t="s" s="125">
        <f>_xlfn.IFERROR(VLOOKUP($A149,'The List'!$B1:$AS665,30,FALSE)," ")</f>
        <v>858</v>
      </c>
      <c r="X149" t="s" s="125">
        <f>_xlfn.IFERROR(VLOOKUP($A149,'The List'!$B1:$AS665,31,FALSE)," ")</f>
        <v>858</v>
      </c>
      <c r="Y149" t="s" s="125">
        <f>_xlfn.IFERROR(VLOOKUP($A149,'The List'!$B1:$AS665,32,FALSE)," ")</f>
        <v>858</v>
      </c>
      <c r="Z149" t="s" s="125">
        <f>_xlfn.IFERROR(VLOOKUP($A149,'The List'!$B1:$AS665,33,FALSE)," ")</f>
        <v>858</v>
      </c>
      <c r="AA149" s="120"/>
      <c r="AB149" s="121"/>
      <c r="AC149" s="121"/>
      <c r="AD149" s="121"/>
      <c r="AE149" s="121"/>
      <c r="AF149" s="144"/>
    </row>
    <row r="150" ht="21.25" customHeight="1">
      <c r="A150" s="50"/>
      <c r="B150" t="s" s="117">
        <f>_xlfn.IFERROR(VLOOKUP($A150,'The List'!$B1:$AS665,3,FALSE)," ")</f>
        <v>858</v>
      </c>
      <c r="C150" t="s" s="123">
        <f>_xlfn.IFERROR(VLOOKUP($A150,'The List'!$B1:$AS665,4,FALSE)," ")</f>
        <v>858</v>
      </c>
      <c r="D150" t="s" s="86">
        <f>_xlfn.IFERROR(VLOOKUP($A150,'The List'!$B1:$AS665,5,FALSE)," ")</f>
        <v>858</v>
      </c>
      <c r="E150" t="s" s="86">
        <f>_xlfn.IFERROR(VLOOKUP($A150,'The List'!$B1:$AS665,6,FALSE)," ")</f>
        <v>858</v>
      </c>
      <c r="F150" t="s" s="124">
        <f>_xlfn.IFERROR(VLOOKUP($A150,'The List'!$B1:$AS665,8,FALSE)," ")</f>
        <v>858</v>
      </c>
      <c r="G150" t="s" s="124">
        <f>_xlfn.IFERROR(VLOOKUP($A150,'The List'!$B1:$AS665,10,FALSE)," ")</f>
        <v>858</v>
      </c>
      <c r="H150" s="77"/>
      <c r="I150" t="s" s="125">
        <f>_xlfn.IFERROR(VLOOKUP($A150,'The List'!$B1:$AS665,16,FALSE)," ")</f>
        <v>858</v>
      </c>
      <c r="J150" t="s" s="125">
        <f>_xlfn.IFERROR(VLOOKUP($A150,'The List'!$B1:$AS665,17,FALSE)," ")</f>
        <v>858</v>
      </c>
      <c r="K150" t="s" s="125">
        <f>_xlfn.IFERROR(VLOOKUP($A150,'The List'!$B1:$AS665,18,FALSE)," ")</f>
        <v>858</v>
      </c>
      <c r="L150" t="s" s="125">
        <f>_xlfn.IFERROR(VLOOKUP($A150,'The List'!$B1:$AS665,19,FALSE)," ")</f>
        <v>858</v>
      </c>
      <c r="M150" t="s" s="125">
        <f>_xlfn.IFERROR(VLOOKUP($A150,'The List'!$B1:$AS665,20,FALSE)," ")</f>
        <v>858</v>
      </c>
      <c r="N150" t="s" s="125">
        <f>_xlfn.IFERROR(VLOOKUP($A150,'The List'!$B1:$AS665,21,FALSE)," ")</f>
        <v>858</v>
      </c>
      <c r="O150" t="s" s="125">
        <f>_xlfn.IFERROR(VLOOKUP($A150,'The List'!$B1:$AS665,22,FALSE)," ")</f>
        <v>858</v>
      </c>
      <c r="P150" t="s" s="125">
        <f>_xlfn.IFERROR(VLOOKUP($A150,'The List'!$B1:$AS665,23,FALSE)," ")</f>
        <v>858</v>
      </c>
      <c r="Q150" t="s" s="125">
        <f>_xlfn.IFERROR(VLOOKUP($A150,'The List'!$B1:$AS665,24,FALSE)," ")</f>
        <v>858</v>
      </c>
      <c r="R150" t="s" s="125">
        <f>_xlfn.IFERROR(VLOOKUP($A150,'The List'!$B1:$AS665,25,FALSE)," ")</f>
        <v>858</v>
      </c>
      <c r="S150" t="s" s="125">
        <f>_xlfn.IFERROR(VLOOKUP($A150,'The List'!$B1:$AS665,26,FALSE)," ")</f>
        <v>858</v>
      </c>
      <c r="T150" t="s" s="125">
        <f>_xlfn.IFERROR(VLOOKUP($A150,'The List'!$B1:$AS665,27,FALSE)," ")</f>
        <v>858</v>
      </c>
      <c r="U150" t="s" s="125">
        <f>_xlfn.IFERROR(VLOOKUP($A150,'The List'!$B1:$AS665,28,FALSE)," ")</f>
        <v>858</v>
      </c>
      <c r="V150" t="s" s="125">
        <f>_xlfn.IFERROR(VLOOKUP($A150,'The List'!$B1:$AS665,29,FALSE)," ")</f>
        <v>858</v>
      </c>
      <c r="W150" t="s" s="125">
        <f>_xlfn.IFERROR(VLOOKUP($A150,'The List'!$B1:$AS665,30,FALSE)," ")</f>
        <v>858</v>
      </c>
      <c r="X150" t="s" s="125">
        <f>_xlfn.IFERROR(VLOOKUP($A150,'The List'!$B1:$AS665,31,FALSE)," ")</f>
        <v>858</v>
      </c>
      <c r="Y150" t="s" s="125">
        <f>_xlfn.IFERROR(VLOOKUP($A150,'The List'!$B1:$AS665,32,FALSE)," ")</f>
        <v>858</v>
      </c>
      <c r="Z150" t="s" s="125">
        <f>_xlfn.IFERROR(VLOOKUP($A150,'The List'!$B1:$AS665,33,FALSE)," ")</f>
        <v>858</v>
      </c>
      <c r="AA150" s="120"/>
      <c r="AB150" s="121"/>
      <c r="AC150" s="121"/>
      <c r="AD150" s="121"/>
      <c r="AE150" s="121"/>
      <c r="AF150" s="144"/>
    </row>
    <row r="151" ht="21.25" customHeight="1">
      <c r="A151" s="50"/>
      <c r="B151" t="s" s="126">
        <f>_xlfn.IFERROR(VLOOKUP($A151,'The List'!$B1:$AS665,3,FALSE)," ")</f>
        <v>858</v>
      </c>
      <c r="C151" t="s" s="128">
        <f>_xlfn.IFERROR(VLOOKUP($A151,'The List'!$B1:$AS665,4,FALSE)," ")</f>
        <v>858</v>
      </c>
      <c r="D151" t="s" s="86">
        <f>_xlfn.IFERROR(VLOOKUP($A151,'The List'!$B1:$AS665,5,FALSE)," ")</f>
        <v>858</v>
      </c>
      <c r="E151" t="s" s="86">
        <f>_xlfn.IFERROR(VLOOKUP($A151,'The List'!$B1:$AS665,6,FALSE)," ")</f>
        <v>858</v>
      </c>
      <c r="F151" t="s" s="124">
        <f>_xlfn.IFERROR(VLOOKUP($A151,'The List'!$B1:$AS665,8,FALSE)," ")</f>
        <v>858</v>
      </c>
      <c r="G151" t="s" s="124">
        <f>_xlfn.IFERROR(VLOOKUP($A151,'The List'!$B1:$AS665,10,FALSE)," ")</f>
        <v>858</v>
      </c>
      <c r="H151" s="77"/>
      <c r="I151" t="s" s="125">
        <f>_xlfn.IFERROR(VLOOKUP($A151,'The List'!$B1:$AS665,16,FALSE)," ")</f>
        <v>858</v>
      </c>
      <c r="J151" t="s" s="125">
        <f>_xlfn.IFERROR(VLOOKUP($A151,'The List'!$B1:$AS665,17,FALSE)," ")</f>
        <v>858</v>
      </c>
      <c r="K151" t="s" s="125">
        <f>_xlfn.IFERROR(VLOOKUP($A151,'The List'!$B1:$AS665,18,FALSE)," ")</f>
        <v>858</v>
      </c>
      <c r="L151" t="s" s="125">
        <f>_xlfn.IFERROR(VLOOKUP($A151,'The List'!$B1:$AS665,19,FALSE)," ")</f>
        <v>858</v>
      </c>
      <c r="M151" t="s" s="125">
        <f>_xlfn.IFERROR(VLOOKUP($A151,'The List'!$B1:$AS665,20,FALSE)," ")</f>
        <v>858</v>
      </c>
      <c r="N151" t="s" s="125">
        <f>_xlfn.IFERROR(VLOOKUP($A151,'The List'!$B1:$AS665,21,FALSE)," ")</f>
        <v>858</v>
      </c>
      <c r="O151" t="s" s="125">
        <f>_xlfn.IFERROR(VLOOKUP($A151,'The List'!$B1:$AS665,22,FALSE)," ")</f>
        <v>858</v>
      </c>
      <c r="P151" t="s" s="125">
        <f>_xlfn.IFERROR(VLOOKUP($A151,'The List'!$B1:$AS665,23,FALSE)," ")</f>
        <v>858</v>
      </c>
      <c r="Q151" t="s" s="125">
        <f>_xlfn.IFERROR(VLOOKUP($A151,'The List'!$B1:$AS665,24,FALSE)," ")</f>
        <v>858</v>
      </c>
      <c r="R151" t="s" s="125">
        <f>_xlfn.IFERROR(VLOOKUP($A151,'The List'!$B1:$AS665,25,FALSE)," ")</f>
        <v>858</v>
      </c>
      <c r="S151" t="s" s="125">
        <f>_xlfn.IFERROR(VLOOKUP($A151,'The List'!$B1:$AS665,26,FALSE)," ")</f>
        <v>858</v>
      </c>
      <c r="T151" t="s" s="125">
        <f>_xlfn.IFERROR(VLOOKUP($A151,'The List'!$B1:$AS665,27,FALSE)," ")</f>
        <v>858</v>
      </c>
      <c r="U151" t="s" s="125">
        <f>_xlfn.IFERROR(VLOOKUP($A151,'The List'!$B1:$AS665,28,FALSE)," ")</f>
        <v>858</v>
      </c>
      <c r="V151" t="s" s="125">
        <f>_xlfn.IFERROR(VLOOKUP($A151,'The List'!$B1:$AS665,29,FALSE)," ")</f>
        <v>858</v>
      </c>
      <c r="W151" t="s" s="125">
        <f>_xlfn.IFERROR(VLOOKUP($A151,'The List'!$B1:$AS665,30,FALSE)," ")</f>
        <v>858</v>
      </c>
      <c r="X151" t="s" s="125">
        <f>_xlfn.IFERROR(VLOOKUP($A151,'The List'!$B1:$AS665,31,FALSE)," ")</f>
        <v>858</v>
      </c>
      <c r="Y151" t="s" s="125">
        <f>_xlfn.IFERROR(VLOOKUP($A151,'The List'!$B1:$AS665,32,FALSE)," ")</f>
        <v>858</v>
      </c>
      <c r="Z151" t="s" s="125">
        <f>_xlfn.IFERROR(VLOOKUP($A151,'The List'!$B1:$AS665,33,FALSE)," ")</f>
        <v>858</v>
      </c>
      <c r="AA151" s="120"/>
      <c r="AB151" s="121"/>
      <c r="AC151" s="121"/>
      <c r="AD151" s="121"/>
      <c r="AE151" s="121"/>
      <c r="AF151" s="144"/>
    </row>
    <row r="152" ht="21.25" customHeight="1">
      <c r="A152" s="50"/>
      <c r="B152" t="s" s="126">
        <f>_xlfn.IFERROR(VLOOKUP($A152,'The List'!$B1:$AS665,3,FALSE)," ")</f>
        <v>858</v>
      </c>
      <c r="C152" t="s" s="128">
        <f>_xlfn.IFERROR(VLOOKUP($A152,'The List'!$B1:$AS665,4,FALSE)," ")</f>
        <v>858</v>
      </c>
      <c r="D152" t="s" s="86">
        <f>_xlfn.IFERROR(VLOOKUP($A152,'The List'!$B1:$AS665,5,FALSE)," ")</f>
        <v>858</v>
      </c>
      <c r="E152" t="s" s="86">
        <f>_xlfn.IFERROR(VLOOKUP($A152,'The List'!$B1:$AS665,6,FALSE)," ")</f>
        <v>858</v>
      </c>
      <c r="F152" t="s" s="124">
        <f>_xlfn.IFERROR(VLOOKUP($A152,'The List'!$B1:$AS665,8,FALSE)," ")</f>
        <v>858</v>
      </c>
      <c r="G152" t="s" s="124">
        <f>_xlfn.IFERROR(VLOOKUP($A152,'The List'!$B1:$AS665,10,FALSE)," ")</f>
        <v>858</v>
      </c>
      <c r="H152" s="77"/>
      <c r="I152" t="s" s="125">
        <f>_xlfn.IFERROR(VLOOKUP($A152,'The List'!$B1:$AS665,16,FALSE)," ")</f>
        <v>858</v>
      </c>
      <c r="J152" t="s" s="125">
        <f>_xlfn.IFERROR(VLOOKUP($A152,'The List'!$B1:$AS665,17,FALSE)," ")</f>
        <v>858</v>
      </c>
      <c r="K152" t="s" s="125">
        <f>_xlfn.IFERROR(VLOOKUP($A152,'The List'!$B1:$AS665,18,FALSE)," ")</f>
        <v>858</v>
      </c>
      <c r="L152" t="s" s="125">
        <f>_xlfn.IFERROR(VLOOKUP($A152,'The List'!$B1:$AS665,19,FALSE)," ")</f>
        <v>858</v>
      </c>
      <c r="M152" t="s" s="125">
        <f>_xlfn.IFERROR(VLOOKUP($A152,'The List'!$B1:$AS665,20,FALSE)," ")</f>
        <v>858</v>
      </c>
      <c r="N152" t="s" s="125">
        <f>_xlfn.IFERROR(VLOOKUP($A152,'The List'!$B1:$AS665,21,FALSE)," ")</f>
        <v>858</v>
      </c>
      <c r="O152" t="s" s="125">
        <f>_xlfn.IFERROR(VLOOKUP($A152,'The List'!$B1:$AS665,22,FALSE)," ")</f>
        <v>858</v>
      </c>
      <c r="P152" t="s" s="125">
        <f>_xlfn.IFERROR(VLOOKUP($A152,'The List'!$B1:$AS665,23,FALSE)," ")</f>
        <v>858</v>
      </c>
      <c r="Q152" t="s" s="125">
        <f>_xlfn.IFERROR(VLOOKUP($A152,'The List'!$B1:$AS665,24,FALSE)," ")</f>
        <v>858</v>
      </c>
      <c r="R152" t="s" s="125">
        <f>_xlfn.IFERROR(VLOOKUP($A152,'The List'!$B1:$AS665,25,FALSE)," ")</f>
        <v>858</v>
      </c>
      <c r="S152" t="s" s="125">
        <f>_xlfn.IFERROR(VLOOKUP($A152,'The List'!$B1:$AS665,26,FALSE)," ")</f>
        <v>858</v>
      </c>
      <c r="T152" t="s" s="125">
        <f>_xlfn.IFERROR(VLOOKUP($A152,'The List'!$B1:$AS665,27,FALSE)," ")</f>
        <v>858</v>
      </c>
      <c r="U152" t="s" s="125">
        <f>_xlfn.IFERROR(VLOOKUP($A152,'The List'!$B1:$AS665,28,FALSE)," ")</f>
        <v>858</v>
      </c>
      <c r="V152" t="s" s="125">
        <f>_xlfn.IFERROR(VLOOKUP($A152,'The List'!$B1:$AS665,29,FALSE)," ")</f>
        <v>858</v>
      </c>
      <c r="W152" t="s" s="125">
        <f>_xlfn.IFERROR(VLOOKUP($A152,'The List'!$B1:$AS665,30,FALSE)," ")</f>
        <v>858</v>
      </c>
      <c r="X152" t="s" s="125">
        <f>_xlfn.IFERROR(VLOOKUP($A152,'The List'!$B1:$AS665,31,FALSE)," ")</f>
        <v>858</v>
      </c>
      <c r="Y152" t="s" s="125">
        <f>_xlfn.IFERROR(VLOOKUP($A152,'The List'!$B1:$AS665,32,FALSE)," ")</f>
        <v>858</v>
      </c>
      <c r="Z152" t="s" s="125">
        <f>_xlfn.IFERROR(VLOOKUP($A152,'The List'!$B1:$AS665,33,FALSE)," ")</f>
        <v>858</v>
      </c>
      <c r="AA152" s="120"/>
      <c r="AB152" s="121"/>
      <c r="AC152" s="121"/>
      <c r="AD152" s="121"/>
      <c r="AE152" s="121"/>
      <c r="AF152" s="144"/>
    </row>
    <row r="153" ht="21.25" customHeight="1">
      <c r="A153" s="50"/>
      <c r="B153" t="s" s="126">
        <f>_xlfn.IFERROR(VLOOKUP($A153,'The List'!$B1:$AS665,3,FALSE)," ")</f>
        <v>858</v>
      </c>
      <c r="C153" t="s" s="128">
        <f>_xlfn.IFERROR(VLOOKUP($A153,'The List'!$B1:$AS665,4,FALSE)," ")</f>
        <v>858</v>
      </c>
      <c r="D153" t="s" s="86">
        <f>_xlfn.IFERROR(VLOOKUP($A153,'The List'!$B1:$AS665,5,FALSE)," ")</f>
        <v>858</v>
      </c>
      <c r="E153" t="s" s="86">
        <f>_xlfn.IFERROR(VLOOKUP($A153,'The List'!$B1:$AS665,6,FALSE)," ")</f>
        <v>858</v>
      </c>
      <c r="F153" t="s" s="124">
        <f>_xlfn.IFERROR(VLOOKUP($A153,'The List'!$B1:$AS665,8,FALSE)," ")</f>
        <v>858</v>
      </c>
      <c r="G153" t="s" s="124">
        <f>_xlfn.IFERROR(VLOOKUP($A153,'The List'!$B1:$AS665,10,FALSE)," ")</f>
        <v>858</v>
      </c>
      <c r="H153" s="77"/>
      <c r="I153" t="s" s="125">
        <f>_xlfn.IFERROR(VLOOKUP($A153,'The List'!$B1:$AS665,16,FALSE)," ")</f>
        <v>858</v>
      </c>
      <c r="J153" t="s" s="125">
        <f>_xlfn.IFERROR(VLOOKUP($A153,'The List'!$B1:$AS665,17,FALSE)," ")</f>
        <v>858</v>
      </c>
      <c r="K153" t="s" s="125">
        <f>_xlfn.IFERROR(VLOOKUP($A153,'The List'!$B1:$AS665,18,FALSE)," ")</f>
        <v>858</v>
      </c>
      <c r="L153" t="s" s="125">
        <f>_xlfn.IFERROR(VLOOKUP($A153,'The List'!$B1:$AS665,19,FALSE)," ")</f>
        <v>858</v>
      </c>
      <c r="M153" t="s" s="125">
        <f>_xlfn.IFERROR(VLOOKUP($A153,'The List'!$B1:$AS665,20,FALSE)," ")</f>
        <v>858</v>
      </c>
      <c r="N153" t="s" s="125">
        <f>_xlfn.IFERROR(VLOOKUP($A153,'The List'!$B1:$AS665,21,FALSE)," ")</f>
        <v>858</v>
      </c>
      <c r="O153" t="s" s="125">
        <f>_xlfn.IFERROR(VLOOKUP($A153,'The List'!$B1:$AS665,22,FALSE)," ")</f>
        <v>858</v>
      </c>
      <c r="P153" t="s" s="125">
        <f>_xlfn.IFERROR(VLOOKUP($A153,'The List'!$B1:$AS665,23,FALSE)," ")</f>
        <v>858</v>
      </c>
      <c r="Q153" t="s" s="125">
        <f>_xlfn.IFERROR(VLOOKUP($A153,'The List'!$B1:$AS665,24,FALSE)," ")</f>
        <v>858</v>
      </c>
      <c r="R153" t="s" s="125">
        <f>_xlfn.IFERROR(VLOOKUP($A153,'The List'!$B1:$AS665,25,FALSE)," ")</f>
        <v>858</v>
      </c>
      <c r="S153" t="s" s="125">
        <f>_xlfn.IFERROR(VLOOKUP($A153,'The List'!$B1:$AS665,26,FALSE)," ")</f>
        <v>858</v>
      </c>
      <c r="T153" t="s" s="125">
        <f>_xlfn.IFERROR(VLOOKUP($A153,'The List'!$B1:$AS665,27,FALSE)," ")</f>
        <v>858</v>
      </c>
      <c r="U153" t="s" s="125">
        <f>_xlfn.IFERROR(VLOOKUP($A153,'The List'!$B1:$AS665,28,FALSE)," ")</f>
        <v>858</v>
      </c>
      <c r="V153" t="s" s="125">
        <f>_xlfn.IFERROR(VLOOKUP($A153,'The List'!$B1:$AS665,29,FALSE)," ")</f>
        <v>858</v>
      </c>
      <c r="W153" t="s" s="125">
        <f>_xlfn.IFERROR(VLOOKUP($A153,'The List'!$B1:$AS665,30,FALSE)," ")</f>
        <v>858</v>
      </c>
      <c r="X153" t="s" s="125">
        <f>_xlfn.IFERROR(VLOOKUP($A153,'The List'!$B1:$AS665,31,FALSE)," ")</f>
        <v>858</v>
      </c>
      <c r="Y153" t="s" s="125">
        <f>_xlfn.IFERROR(VLOOKUP($A153,'The List'!$B1:$AS665,32,FALSE)," ")</f>
        <v>858</v>
      </c>
      <c r="Z153" t="s" s="125">
        <f>_xlfn.IFERROR(VLOOKUP($A153,'The List'!$B1:$AS665,33,FALSE)," ")</f>
        <v>858</v>
      </c>
      <c r="AA153" s="120"/>
      <c r="AB153" s="121"/>
      <c r="AC153" s="121"/>
      <c r="AD153" s="121"/>
      <c r="AE153" s="121"/>
      <c r="AF153" s="144"/>
    </row>
    <row r="154" ht="21.25" customHeight="1">
      <c r="A154" s="50"/>
      <c r="B154" t="s" s="126">
        <f>_xlfn.IFERROR(VLOOKUP($A154,'The List'!$B1:$AS665,3,FALSE)," ")</f>
        <v>858</v>
      </c>
      <c r="C154" t="s" s="128">
        <f>_xlfn.IFERROR(VLOOKUP($A154,'The List'!$B1:$AS665,4,FALSE)," ")</f>
        <v>858</v>
      </c>
      <c r="D154" t="s" s="86">
        <f>_xlfn.IFERROR(VLOOKUP($A154,'The List'!$B1:$AS665,5,FALSE)," ")</f>
        <v>858</v>
      </c>
      <c r="E154" t="s" s="86">
        <f>_xlfn.IFERROR(VLOOKUP($A154,'The List'!$B1:$AS665,6,FALSE)," ")</f>
        <v>858</v>
      </c>
      <c r="F154" t="s" s="124">
        <f>_xlfn.IFERROR(VLOOKUP($A154,'The List'!$B1:$AS665,8,FALSE)," ")</f>
        <v>858</v>
      </c>
      <c r="G154" t="s" s="124">
        <f>_xlfn.IFERROR(VLOOKUP($A154,'The List'!$B1:$AS665,10,FALSE)," ")</f>
        <v>858</v>
      </c>
      <c r="H154" s="77"/>
      <c r="I154" t="s" s="125">
        <f>_xlfn.IFERROR(VLOOKUP($A154,'The List'!$B1:$AS665,16,FALSE)," ")</f>
        <v>858</v>
      </c>
      <c r="J154" t="s" s="125">
        <f>_xlfn.IFERROR(VLOOKUP($A154,'The List'!$B1:$AS665,17,FALSE)," ")</f>
        <v>858</v>
      </c>
      <c r="K154" t="s" s="125">
        <f>_xlfn.IFERROR(VLOOKUP($A154,'The List'!$B1:$AS665,18,FALSE)," ")</f>
        <v>858</v>
      </c>
      <c r="L154" t="s" s="125">
        <f>_xlfn.IFERROR(VLOOKUP($A154,'The List'!$B1:$AS665,19,FALSE)," ")</f>
        <v>858</v>
      </c>
      <c r="M154" t="s" s="125">
        <f>_xlfn.IFERROR(VLOOKUP($A154,'The List'!$B1:$AS665,20,FALSE)," ")</f>
        <v>858</v>
      </c>
      <c r="N154" t="s" s="125">
        <f>_xlfn.IFERROR(VLOOKUP($A154,'The List'!$B1:$AS665,21,FALSE)," ")</f>
        <v>858</v>
      </c>
      <c r="O154" t="s" s="125">
        <f>_xlfn.IFERROR(VLOOKUP($A154,'The List'!$B1:$AS665,22,FALSE)," ")</f>
        <v>858</v>
      </c>
      <c r="P154" t="s" s="125">
        <f>_xlfn.IFERROR(VLOOKUP($A154,'The List'!$B1:$AS665,23,FALSE)," ")</f>
        <v>858</v>
      </c>
      <c r="Q154" t="s" s="125">
        <f>_xlfn.IFERROR(VLOOKUP($A154,'The List'!$B1:$AS665,24,FALSE)," ")</f>
        <v>858</v>
      </c>
      <c r="R154" t="s" s="125">
        <f>_xlfn.IFERROR(VLOOKUP($A154,'The List'!$B1:$AS665,25,FALSE)," ")</f>
        <v>858</v>
      </c>
      <c r="S154" t="s" s="125">
        <f>_xlfn.IFERROR(VLOOKUP($A154,'The List'!$B1:$AS665,26,FALSE)," ")</f>
        <v>858</v>
      </c>
      <c r="T154" t="s" s="125">
        <f>_xlfn.IFERROR(VLOOKUP($A154,'The List'!$B1:$AS665,27,FALSE)," ")</f>
        <v>858</v>
      </c>
      <c r="U154" t="s" s="125">
        <f>_xlfn.IFERROR(VLOOKUP($A154,'The List'!$B1:$AS665,28,FALSE)," ")</f>
        <v>858</v>
      </c>
      <c r="V154" t="s" s="125">
        <f>_xlfn.IFERROR(VLOOKUP($A154,'The List'!$B1:$AS665,29,FALSE)," ")</f>
        <v>858</v>
      </c>
      <c r="W154" t="s" s="125">
        <f>_xlfn.IFERROR(VLOOKUP($A154,'The List'!$B1:$AS665,30,FALSE)," ")</f>
        <v>858</v>
      </c>
      <c r="X154" t="s" s="125">
        <f>_xlfn.IFERROR(VLOOKUP($A154,'The List'!$B1:$AS665,31,FALSE)," ")</f>
        <v>858</v>
      </c>
      <c r="Y154" t="s" s="125">
        <f>_xlfn.IFERROR(VLOOKUP($A154,'The List'!$B1:$AS665,32,FALSE)," ")</f>
        <v>858</v>
      </c>
      <c r="Z154" t="s" s="125">
        <f>_xlfn.IFERROR(VLOOKUP($A154,'The List'!$B1:$AS665,33,FALSE)," ")</f>
        <v>858</v>
      </c>
      <c r="AA154" s="120"/>
      <c r="AB154" s="121"/>
      <c r="AC154" s="121"/>
      <c r="AD154" s="121"/>
      <c r="AE154" s="121"/>
      <c r="AF154" s="144"/>
    </row>
    <row r="155" ht="21.25" customHeight="1">
      <c r="A155" s="50"/>
      <c r="B155" t="s" s="129">
        <f>_xlfn.IFERROR(VLOOKUP($A155,'The List'!$B1:$AS665,3,FALSE)," ")</f>
        <v>858</v>
      </c>
      <c r="C155" t="s" s="131">
        <f>_xlfn.IFERROR(VLOOKUP($A155,'The List'!$B1:$AS665,4,FALSE)," ")</f>
        <v>858</v>
      </c>
      <c r="D155" t="s" s="86">
        <f>_xlfn.IFERROR(VLOOKUP($A155,'The List'!$B1:$AS665,5,FALSE)," ")</f>
        <v>858</v>
      </c>
      <c r="E155" t="s" s="86">
        <f>_xlfn.IFERROR(VLOOKUP($A155,'The List'!$B1:$AS665,6,FALSE)," ")</f>
        <v>858</v>
      </c>
      <c r="F155" t="s" s="124">
        <f>_xlfn.IFERROR(VLOOKUP($A155,'The List'!$B1:$AS665,8,FALSE)," ")</f>
        <v>858</v>
      </c>
      <c r="G155" t="s" s="124">
        <f>_xlfn.IFERROR(VLOOKUP($A155,'The List'!$B1:$AS665,10,FALSE)," ")</f>
        <v>858</v>
      </c>
      <c r="H155" s="77"/>
      <c r="I155" t="s" s="125">
        <f>_xlfn.IFERROR(VLOOKUP($A155,'The List'!$B1:$AS665,16,FALSE)," ")</f>
        <v>858</v>
      </c>
      <c r="J155" t="s" s="125">
        <f>_xlfn.IFERROR(VLOOKUP($A155,'The List'!$B1:$AS665,17,FALSE)," ")</f>
        <v>858</v>
      </c>
      <c r="K155" t="s" s="125">
        <f>_xlfn.IFERROR(VLOOKUP($A155,'The List'!$B1:$AS665,18,FALSE)," ")</f>
        <v>858</v>
      </c>
      <c r="L155" t="s" s="125">
        <f>_xlfn.IFERROR(VLOOKUP($A155,'The List'!$B1:$AS665,19,FALSE)," ")</f>
        <v>858</v>
      </c>
      <c r="M155" t="s" s="125">
        <f>_xlfn.IFERROR(VLOOKUP($A155,'The List'!$B1:$AS665,20,FALSE)," ")</f>
        <v>858</v>
      </c>
      <c r="N155" t="s" s="125">
        <f>_xlfn.IFERROR(VLOOKUP($A155,'The List'!$B1:$AS665,21,FALSE)," ")</f>
        <v>858</v>
      </c>
      <c r="O155" t="s" s="125">
        <f>_xlfn.IFERROR(VLOOKUP($A155,'The List'!$B1:$AS665,22,FALSE)," ")</f>
        <v>858</v>
      </c>
      <c r="P155" t="s" s="125">
        <f>_xlfn.IFERROR(VLOOKUP($A155,'The List'!$B1:$AS665,23,FALSE)," ")</f>
        <v>858</v>
      </c>
      <c r="Q155" t="s" s="125">
        <f>_xlfn.IFERROR(VLOOKUP($A155,'The List'!$B1:$AS665,24,FALSE)," ")</f>
        <v>858</v>
      </c>
      <c r="R155" t="s" s="125">
        <f>_xlfn.IFERROR(VLOOKUP($A155,'The List'!$B1:$AS665,25,FALSE)," ")</f>
        <v>858</v>
      </c>
      <c r="S155" t="s" s="125">
        <f>_xlfn.IFERROR(VLOOKUP($A155,'The List'!$B1:$AS665,26,FALSE)," ")</f>
        <v>858</v>
      </c>
      <c r="T155" t="s" s="125">
        <f>_xlfn.IFERROR(VLOOKUP($A155,'The List'!$B1:$AS665,27,FALSE)," ")</f>
        <v>858</v>
      </c>
      <c r="U155" t="s" s="125">
        <f>_xlfn.IFERROR(VLOOKUP($A155,'The List'!$B1:$AS665,28,FALSE)," ")</f>
        <v>858</v>
      </c>
      <c r="V155" t="s" s="125">
        <f>_xlfn.IFERROR(VLOOKUP($A155,'The List'!$B1:$AS665,29,FALSE)," ")</f>
        <v>858</v>
      </c>
      <c r="W155" t="s" s="125">
        <f>_xlfn.IFERROR(VLOOKUP($A155,'The List'!$B1:$AS665,30,FALSE)," ")</f>
        <v>858</v>
      </c>
      <c r="X155" t="s" s="125">
        <f>_xlfn.IFERROR(VLOOKUP($A155,'The List'!$B1:$AS665,31,FALSE)," ")</f>
        <v>858</v>
      </c>
      <c r="Y155" t="s" s="125">
        <f>_xlfn.IFERROR(VLOOKUP($A155,'The List'!$B1:$AS665,32,FALSE)," ")</f>
        <v>858</v>
      </c>
      <c r="Z155" t="s" s="125">
        <f>_xlfn.IFERROR(VLOOKUP($A155,'The List'!$B1:$AS665,33,FALSE)," ")</f>
        <v>858</v>
      </c>
      <c r="AA155" s="120"/>
      <c r="AB155" s="121"/>
      <c r="AC155" s="121"/>
      <c r="AD155" s="121"/>
      <c r="AE155" s="121"/>
      <c r="AF155" s="144"/>
    </row>
    <row r="156" ht="21.25" customHeight="1">
      <c r="A156" s="50"/>
      <c r="B156" t="s" s="129">
        <f>_xlfn.IFERROR(VLOOKUP($A156,'The List'!$B1:$AS665,3,FALSE)," ")</f>
        <v>858</v>
      </c>
      <c r="C156" t="s" s="131">
        <f>_xlfn.IFERROR(VLOOKUP($A156,'The List'!$B1:$AS665,4,FALSE)," ")</f>
        <v>858</v>
      </c>
      <c r="D156" t="s" s="86">
        <f>_xlfn.IFERROR(VLOOKUP($A156,'The List'!$B1:$AS665,5,FALSE)," ")</f>
        <v>858</v>
      </c>
      <c r="E156" t="s" s="86">
        <f>_xlfn.IFERROR(VLOOKUP($A156,'The List'!$B1:$AS665,6,FALSE)," ")</f>
        <v>858</v>
      </c>
      <c r="F156" t="s" s="124">
        <f>_xlfn.IFERROR(VLOOKUP($A156,'The List'!$B1:$AS665,8,FALSE)," ")</f>
        <v>858</v>
      </c>
      <c r="G156" t="s" s="124">
        <f>_xlfn.IFERROR(VLOOKUP($A156,'The List'!$B1:$AS665,10,FALSE)," ")</f>
        <v>858</v>
      </c>
      <c r="H156" s="77"/>
      <c r="I156" t="s" s="125">
        <f>_xlfn.IFERROR(VLOOKUP($A156,'The List'!$B1:$AS665,16,FALSE)," ")</f>
        <v>858</v>
      </c>
      <c r="J156" t="s" s="125">
        <f>_xlfn.IFERROR(VLOOKUP($A156,'The List'!$B1:$AS665,17,FALSE)," ")</f>
        <v>858</v>
      </c>
      <c r="K156" t="s" s="125">
        <f>_xlfn.IFERROR(VLOOKUP($A156,'The List'!$B1:$AS665,18,FALSE)," ")</f>
        <v>858</v>
      </c>
      <c r="L156" t="s" s="125">
        <f>_xlfn.IFERROR(VLOOKUP($A156,'The List'!$B1:$AS665,19,FALSE)," ")</f>
        <v>858</v>
      </c>
      <c r="M156" t="s" s="125">
        <f>_xlfn.IFERROR(VLOOKUP($A156,'The List'!$B1:$AS665,20,FALSE)," ")</f>
        <v>858</v>
      </c>
      <c r="N156" t="s" s="125">
        <f>_xlfn.IFERROR(VLOOKUP($A156,'The List'!$B1:$AS665,21,FALSE)," ")</f>
        <v>858</v>
      </c>
      <c r="O156" t="s" s="125">
        <f>_xlfn.IFERROR(VLOOKUP($A156,'The List'!$B1:$AS665,22,FALSE)," ")</f>
        <v>858</v>
      </c>
      <c r="P156" t="s" s="125">
        <f>_xlfn.IFERROR(VLOOKUP($A156,'The List'!$B1:$AS665,23,FALSE)," ")</f>
        <v>858</v>
      </c>
      <c r="Q156" t="s" s="125">
        <f>_xlfn.IFERROR(VLOOKUP($A156,'The List'!$B1:$AS665,24,FALSE)," ")</f>
        <v>858</v>
      </c>
      <c r="R156" t="s" s="125">
        <f>_xlfn.IFERROR(VLOOKUP($A156,'The List'!$B1:$AS665,25,FALSE)," ")</f>
        <v>858</v>
      </c>
      <c r="S156" t="s" s="125">
        <f>_xlfn.IFERROR(VLOOKUP($A156,'The List'!$B1:$AS665,26,FALSE)," ")</f>
        <v>858</v>
      </c>
      <c r="T156" t="s" s="125">
        <f>_xlfn.IFERROR(VLOOKUP($A156,'The List'!$B1:$AS665,27,FALSE)," ")</f>
        <v>858</v>
      </c>
      <c r="U156" t="s" s="125">
        <f>_xlfn.IFERROR(VLOOKUP($A156,'The List'!$B1:$AS665,28,FALSE)," ")</f>
        <v>858</v>
      </c>
      <c r="V156" t="s" s="125">
        <f>_xlfn.IFERROR(VLOOKUP($A156,'The List'!$B1:$AS665,29,FALSE)," ")</f>
        <v>858</v>
      </c>
      <c r="W156" t="s" s="125">
        <f>_xlfn.IFERROR(VLOOKUP($A156,'The List'!$B1:$AS665,30,FALSE)," ")</f>
        <v>858</v>
      </c>
      <c r="X156" t="s" s="125">
        <f>_xlfn.IFERROR(VLOOKUP($A156,'The List'!$B1:$AS665,31,FALSE)," ")</f>
        <v>858</v>
      </c>
      <c r="Y156" t="s" s="125">
        <f>_xlfn.IFERROR(VLOOKUP($A156,'The List'!$B1:$AS665,32,FALSE)," ")</f>
        <v>858</v>
      </c>
      <c r="Z156" t="s" s="125">
        <f>_xlfn.IFERROR(VLOOKUP($A156,'The List'!$B1:$AS665,33,FALSE)," ")</f>
        <v>858</v>
      </c>
      <c r="AA156" s="120"/>
      <c r="AB156" s="121"/>
      <c r="AC156" s="121"/>
      <c r="AD156" s="121"/>
      <c r="AE156" s="121"/>
      <c r="AF156" s="144"/>
    </row>
    <row r="157" ht="21.25" customHeight="1">
      <c r="A157" s="50"/>
      <c r="B157" t="s" s="129">
        <f>_xlfn.IFERROR(VLOOKUP($A157,'The List'!$B1:$AS665,3,FALSE)," ")</f>
        <v>858</v>
      </c>
      <c r="C157" t="s" s="131">
        <f>_xlfn.IFERROR(VLOOKUP($A157,'The List'!$B1:$AS665,4,FALSE)," ")</f>
        <v>858</v>
      </c>
      <c r="D157" t="s" s="86">
        <f>_xlfn.IFERROR(VLOOKUP($A157,'The List'!$B1:$AS665,5,FALSE)," ")</f>
        <v>858</v>
      </c>
      <c r="E157" t="s" s="86">
        <f>_xlfn.IFERROR(VLOOKUP($A157,'The List'!$B1:$AS665,6,FALSE)," ")</f>
        <v>858</v>
      </c>
      <c r="F157" t="s" s="124">
        <f>_xlfn.IFERROR(VLOOKUP($A157,'The List'!$B1:$AS665,8,FALSE)," ")</f>
        <v>858</v>
      </c>
      <c r="G157" t="s" s="124">
        <f>_xlfn.IFERROR(VLOOKUP($A157,'The List'!$B1:$AS665,10,FALSE)," ")</f>
        <v>858</v>
      </c>
      <c r="H157" s="77"/>
      <c r="I157" t="s" s="125">
        <f>_xlfn.IFERROR(VLOOKUP($A157,'The List'!$B1:$AS665,16,FALSE)," ")</f>
        <v>858</v>
      </c>
      <c r="J157" t="s" s="125">
        <f>_xlfn.IFERROR(VLOOKUP($A157,'The List'!$B1:$AS665,17,FALSE)," ")</f>
        <v>858</v>
      </c>
      <c r="K157" t="s" s="125">
        <f>_xlfn.IFERROR(VLOOKUP($A157,'The List'!$B1:$AS665,18,FALSE)," ")</f>
        <v>858</v>
      </c>
      <c r="L157" t="s" s="125">
        <f>_xlfn.IFERROR(VLOOKUP($A157,'The List'!$B1:$AS665,19,FALSE)," ")</f>
        <v>858</v>
      </c>
      <c r="M157" t="s" s="125">
        <f>_xlfn.IFERROR(VLOOKUP($A157,'The List'!$B1:$AS665,20,FALSE)," ")</f>
        <v>858</v>
      </c>
      <c r="N157" t="s" s="125">
        <f>_xlfn.IFERROR(VLOOKUP($A157,'The List'!$B1:$AS665,21,FALSE)," ")</f>
        <v>858</v>
      </c>
      <c r="O157" t="s" s="125">
        <f>_xlfn.IFERROR(VLOOKUP($A157,'The List'!$B1:$AS665,22,FALSE)," ")</f>
        <v>858</v>
      </c>
      <c r="P157" t="s" s="125">
        <f>_xlfn.IFERROR(VLOOKUP($A157,'The List'!$B1:$AS665,23,FALSE)," ")</f>
        <v>858</v>
      </c>
      <c r="Q157" t="s" s="125">
        <f>_xlfn.IFERROR(VLOOKUP($A157,'The List'!$B1:$AS665,24,FALSE)," ")</f>
        <v>858</v>
      </c>
      <c r="R157" t="s" s="125">
        <f>_xlfn.IFERROR(VLOOKUP($A157,'The List'!$B1:$AS665,25,FALSE)," ")</f>
        <v>858</v>
      </c>
      <c r="S157" t="s" s="125">
        <f>_xlfn.IFERROR(VLOOKUP($A157,'The List'!$B1:$AS665,26,FALSE)," ")</f>
        <v>858</v>
      </c>
      <c r="T157" t="s" s="125">
        <f>_xlfn.IFERROR(VLOOKUP($A157,'The List'!$B1:$AS665,27,FALSE)," ")</f>
        <v>858</v>
      </c>
      <c r="U157" t="s" s="125">
        <f>_xlfn.IFERROR(VLOOKUP($A157,'The List'!$B1:$AS665,28,FALSE)," ")</f>
        <v>858</v>
      </c>
      <c r="V157" t="s" s="125">
        <f>_xlfn.IFERROR(VLOOKUP($A157,'The List'!$B1:$AS665,29,FALSE)," ")</f>
        <v>858</v>
      </c>
      <c r="W157" t="s" s="125">
        <f>_xlfn.IFERROR(VLOOKUP($A157,'The List'!$B1:$AS665,30,FALSE)," ")</f>
        <v>858</v>
      </c>
      <c r="X157" t="s" s="125">
        <f>_xlfn.IFERROR(VLOOKUP($A157,'The List'!$B1:$AS665,31,FALSE)," ")</f>
        <v>858</v>
      </c>
      <c r="Y157" t="s" s="125">
        <f>_xlfn.IFERROR(VLOOKUP($A157,'The List'!$B1:$AS665,32,FALSE)," ")</f>
        <v>858</v>
      </c>
      <c r="Z157" t="s" s="125">
        <f>_xlfn.IFERROR(VLOOKUP($A157,'The List'!$B1:$AS665,33,FALSE)," ")</f>
        <v>858</v>
      </c>
      <c r="AA157" s="120"/>
      <c r="AB157" s="121"/>
      <c r="AC157" s="121"/>
      <c r="AD157" s="121"/>
      <c r="AE157" s="121"/>
      <c r="AF157" s="144"/>
    </row>
    <row r="158" ht="21.25" customHeight="1">
      <c r="A158" s="50"/>
      <c r="B158" t="s" s="129">
        <f>_xlfn.IFERROR(VLOOKUP($A158,'The List'!$B1:$AS665,3,FALSE)," ")</f>
        <v>858</v>
      </c>
      <c r="C158" t="s" s="131">
        <f>_xlfn.IFERROR(VLOOKUP($A158,'The List'!$B1:$AS665,4,FALSE)," ")</f>
        <v>858</v>
      </c>
      <c r="D158" t="s" s="86">
        <f>_xlfn.IFERROR(VLOOKUP($A158,'The List'!$B1:$AS665,5,FALSE)," ")</f>
        <v>858</v>
      </c>
      <c r="E158" t="s" s="86">
        <f>_xlfn.IFERROR(VLOOKUP($A158,'The List'!$B1:$AS665,6,FALSE)," ")</f>
        <v>858</v>
      </c>
      <c r="F158" t="s" s="124">
        <f>_xlfn.IFERROR(VLOOKUP($A158,'The List'!$B1:$AS665,8,FALSE)," ")</f>
        <v>858</v>
      </c>
      <c r="G158" t="s" s="124">
        <f>_xlfn.IFERROR(VLOOKUP($A158,'The List'!$B1:$AS665,10,FALSE)," ")</f>
        <v>858</v>
      </c>
      <c r="H158" s="77"/>
      <c r="I158" t="s" s="125">
        <f>_xlfn.IFERROR(VLOOKUP($A158,'The List'!$B1:$AS665,16,FALSE)," ")</f>
        <v>858</v>
      </c>
      <c r="J158" t="s" s="125">
        <f>_xlfn.IFERROR(VLOOKUP($A158,'The List'!$B1:$AS665,17,FALSE)," ")</f>
        <v>858</v>
      </c>
      <c r="K158" t="s" s="125">
        <f>_xlfn.IFERROR(VLOOKUP($A158,'The List'!$B1:$AS665,18,FALSE)," ")</f>
        <v>858</v>
      </c>
      <c r="L158" t="s" s="125">
        <f>_xlfn.IFERROR(VLOOKUP($A158,'The List'!$B1:$AS665,19,FALSE)," ")</f>
        <v>858</v>
      </c>
      <c r="M158" t="s" s="125">
        <f>_xlfn.IFERROR(VLOOKUP($A158,'The List'!$B1:$AS665,20,FALSE)," ")</f>
        <v>858</v>
      </c>
      <c r="N158" t="s" s="125">
        <f>_xlfn.IFERROR(VLOOKUP($A158,'The List'!$B1:$AS665,21,FALSE)," ")</f>
        <v>858</v>
      </c>
      <c r="O158" t="s" s="125">
        <f>_xlfn.IFERROR(VLOOKUP($A158,'The List'!$B1:$AS665,22,FALSE)," ")</f>
        <v>858</v>
      </c>
      <c r="P158" t="s" s="125">
        <f>_xlfn.IFERROR(VLOOKUP($A158,'The List'!$B1:$AS665,23,FALSE)," ")</f>
        <v>858</v>
      </c>
      <c r="Q158" t="s" s="125">
        <f>_xlfn.IFERROR(VLOOKUP($A158,'The List'!$B1:$AS665,24,FALSE)," ")</f>
        <v>858</v>
      </c>
      <c r="R158" t="s" s="125">
        <f>_xlfn.IFERROR(VLOOKUP($A158,'The List'!$B1:$AS665,25,FALSE)," ")</f>
        <v>858</v>
      </c>
      <c r="S158" t="s" s="125">
        <f>_xlfn.IFERROR(VLOOKUP($A158,'The List'!$B1:$AS665,26,FALSE)," ")</f>
        <v>858</v>
      </c>
      <c r="T158" t="s" s="125">
        <f>_xlfn.IFERROR(VLOOKUP($A158,'The List'!$B1:$AS665,27,FALSE)," ")</f>
        <v>858</v>
      </c>
      <c r="U158" t="s" s="125">
        <f>_xlfn.IFERROR(VLOOKUP($A158,'The List'!$B1:$AS665,28,FALSE)," ")</f>
        <v>858</v>
      </c>
      <c r="V158" t="s" s="125">
        <f>_xlfn.IFERROR(VLOOKUP($A158,'The List'!$B1:$AS665,29,FALSE)," ")</f>
        <v>858</v>
      </c>
      <c r="W158" t="s" s="125">
        <f>_xlfn.IFERROR(VLOOKUP($A158,'The List'!$B1:$AS665,30,FALSE)," ")</f>
        <v>858</v>
      </c>
      <c r="X158" t="s" s="125">
        <f>_xlfn.IFERROR(VLOOKUP($A158,'The List'!$B1:$AS665,31,FALSE)," ")</f>
        <v>858</v>
      </c>
      <c r="Y158" t="s" s="125">
        <f>_xlfn.IFERROR(VLOOKUP($A158,'The List'!$B1:$AS665,32,FALSE)," ")</f>
        <v>858</v>
      </c>
      <c r="Z158" t="s" s="125">
        <f>_xlfn.IFERROR(VLOOKUP($A158,'The List'!$B1:$AS665,33,FALSE)," ")</f>
        <v>858</v>
      </c>
      <c r="AA158" s="120"/>
      <c r="AB158" s="121"/>
      <c r="AC158" s="121"/>
      <c r="AD158" s="121"/>
      <c r="AE158" s="121"/>
      <c r="AF158" s="144"/>
    </row>
    <row r="159" ht="21.25" customHeight="1">
      <c r="A159" s="50"/>
      <c r="B159" t="s" s="132">
        <f>_xlfn.IFERROR(VLOOKUP($A159,'The List'!$B1:$AS665,3,FALSE)," ")</f>
        <v>858</v>
      </c>
      <c r="C159" t="s" s="134">
        <f>_xlfn.IFERROR(VLOOKUP($A159,'The List'!$B1:$AS665,4,FALSE)," ")</f>
        <v>858</v>
      </c>
      <c r="D159" t="s" s="86">
        <f>_xlfn.IFERROR(VLOOKUP($A159,'The List'!$B1:$AS665,5,FALSE)," ")</f>
        <v>858</v>
      </c>
      <c r="E159" t="s" s="86">
        <f>_xlfn.IFERROR(VLOOKUP($A159,'The List'!$B1:$AS665,6,FALSE)," ")</f>
        <v>858</v>
      </c>
      <c r="F159" t="s" s="124">
        <f>_xlfn.IFERROR(VLOOKUP($A159,'The List'!$B1:$AS665,8,FALSE)," ")</f>
        <v>858</v>
      </c>
      <c r="G159" t="s" s="124">
        <f>_xlfn.IFERROR(VLOOKUP($A159,'The List'!$B1:$AS665,10,FALSE)," ")</f>
        <v>858</v>
      </c>
      <c r="H159" s="77"/>
      <c r="I159" t="s" s="125">
        <f>_xlfn.IFERROR(VLOOKUP($A159,'The List'!$B1:$AS665,16,FALSE)," ")</f>
        <v>858</v>
      </c>
      <c r="J159" t="s" s="125">
        <f>_xlfn.IFERROR(VLOOKUP($A159,'The List'!$B1:$AS665,17,FALSE)," ")</f>
        <v>858</v>
      </c>
      <c r="K159" t="s" s="125">
        <f>_xlfn.IFERROR(VLOOKUP($A159,'The List'!$B1:$AS665,18,FALSE)," ")</f>
        <v>858</v>
      </c>
      <c r="L159" t="s" s="125">
        <f>_xlfn.IFERROR(VLOOKUP($A159,'The List'!$B1:$AS665,19,FALSE)," ")</f>
        <v>858</v>
      </c>
      <c r="M159" t="s" s="125">
        <f>_xlfn.IFERROR(VLOOKUP($A159,'The List'!$B1:$AS665,20,FALSE)," ")</f>
        <v>858</v>
      </c>
      <c r="N159" t="s" s="125">
        <f>_xlfn.IFERROR(VLOOKUP($A159,'The List'!$B1:$AS665,21,FALSE)," ")</f>
        <v>858</v>
      </c>
      <c r="O159" t="s" s="125">
        <f>_xlfn.IFERROR(VLOOKUP($A159,'The List'!$B1:$AS665,22,FALSE)," ")</f>
        <v>858</v>
      </c>
      <c r="P159" t="s" s="125">
        <f>_xlfn.IFERROR(VLOOKUP($A159,'The List'!$B1:$AS665,23,FALSE)," ")</f>
        <v>858</v>
      </c>
      <c r="Q159" t="s" s="125">
        <f>_xlfn.IFERROR(VLOOKUP($A159,'The List'!$B1:$AS665,24,FALSE)," ")</f>
        <v>858</v>
      </c>
      <c r="R159" t="s" s="125">
        <f>_xlfn.IFERROR(VLOOKUP($A159,'The List'!$B1:$AS665,25,FALSE)," ")</f>
        <v>858</v>
      </c>
      <c r="S159" t="s" s="125">
        <f>_xlfn.IFERROR(VLOOKUP($A159,'The List'!$B1:$AS665,26,FALSE)," ")</f>
        <v>858</v>
      </c>
      <c r="T159" t="s" s="125">
        <f>_xlfn.IFERROR(VLOOKUP($A159,'The List'!$B1:$AS665,27,FALSE)," ")</f>
        <v>858</v>
      </c>
      <c r="U159" t="s" s="125">
        <f>_xlfn.IFERROR(VLOOKUP($A159,'The List'!$B1:$AS665,28,FALSE)," ")</f>
        <v>858</v>
      </c>
      <c r="V159" t="s" s="125">
        <f>_xlfn.IFERROR(VLOOKUP($A159,'The List'!$B1:$AS665,29,FALSE)," ")</f>
        <v>858</v>
      </c>
      <c r="W159" t="s" s="125">
        <f>_xlfn.IFERROR(VLOOKUP($A159,'The List'!$B1:$AS665,30,FALSE)," ")</f>
        <v>858</v>
      </c>
      <c r="X159" t="s" s="125">
        <f>_xlfn.IFERROR(VLOOKUP($A159,'The List'!$B1:$AS665,31,FALSE)," ")</f>
        <v>858</v>
      </c>
      <c r="Y159" t="s" s="125">
        <f>_xlfn.IFERROR(VLOOKUP($A159,'The List'!$B1:$AS665,32,FALSE)," ")</f>
        <v>858</v>
      </c>
      <c r="Z159" t="s" s="125">
        <f>_xlfn.IFERROR(VLOOKUP($A159,'The List'!$B1:$AS665,33,FALSE)," ")</f>
        <v>858</v>
      </c>
      <c r="AA159" s="120"/>
      <c r="AB159" s="121"/>
      <c r="AC159" s="121"/>
      <c r="AD159" s="121"/>
      <c r="AE159" s="121"/>
      <c r="AF159" s="144"/>
    </row>
    <row r="160" ht="21.25" customHeight="1">
      <c r="A160" s="50"/>
      <c r="B160" t="s" s="132">
        <f>_xlfn.IFERROR(VLOOKUP($A160,'The List'!$B1:$AS665,3,FALSE)," ")</f>
        <v>858</v>
      </c>
      <c r="C160" t="s" s="134">
        <f>_xlfn.IFERROR(VLOOKUP($A160,'The List'!$B1:$AS665,4,FALSE)," ")</f>
        <v>858</v>
      </c>
      <c r="D160" t="s" s="86">
        <f>_xlfn.IFERROR(VLOOKUP($A160,'The List'!$B1:$AS665,5,FALSE)," ")</f>
        <v>858</v>
      </c>
      <c r="E160" t="s" s="86">
        <f>_xlfn.IFERROR(VLOOKUP($A160,'The List'!$B1:$AS665,6,FALSE)," ")</f>
        <v>858</v>
      </c>
      <c r="F160" t="s" s="124">
        <f>_xlfn.IFERROR(VLOOKUP($A160,'The List'!$B1:$AS665,8,FALSE)," ")</f>
        <v>858</v>
      </c>
      <c r="G160" t="s" s="124">
        <f>_xlfn.IFERROR(VLOOKUP($A160,'The List'!$B1:$AS665,10,FALSE)," ")</f>
        <v>858</v>
      </c>
      <c r="H160" s="77"/>
      <c r="I160" t="s" s="125">
        <f>_xlfn.IFERROR(VLOOKUP($A160,'The List'!$B1:$AS665,16,FALSE)," ")</f>
        <v>858</v>
      </c>
      <c r="J160" t="s" s="125">
        <f>_xlfn.IFERROR(VLOOKUP($A160,'The List'!$B1:$AS665,17,FALSE)," ")</f>
        <v>858</v>
      </c>
      <c r="K160" t="s" s="125">
        <f>_xlfn.IFERROR(VLOOKUP($A160,'The List'!$B1:$AS665,18,FALSE)," ")</f>
        <v>858</v>
      </c>
      <c r="L160" t="s" s="125">
        <f>_xlfn.IFERROR(VLOOKUP($A160,'The List'!$B1:$AS665,19,FALSE)," ")</f>
        <v>858</v>
      </c>
      <c r="M160" t="s" s="125">
        <f>_xlfn.IFERROR(VLOOKUP($A160,'The List'!$B1:$AS665,20,FALSE)," ")</f>
        <v>858</v>
      </c>
      <c r="N160" t="s" s="125">
        <f>_xlfn.IFERROR(VLOOKUP($A160,'The List'!$B1:$AS665,21,FALSE)," ")</f>
        <v>858</v>
      </c>
      <c r="O160" t="s" s="125">
        <f>_xlfn.IFERROR(VLOOKUP($A160,'The List'!$B1:$AS665,22,FALSE)," ")</f>
        <v>858</v>
      </c>
      <c r="P160" t="s" s="125">
        <f>_xlfn.IFERROR(VLOOKUP($A160,'The List'!$B1:$AS665,23,FALSE)," ")</f>
        <v>858</v>
      </c>
      <c r="Q160" t="s" s="125">
        <f>_xlfn.IFERROR(VLOOKUP($A160,'The List'!$B1:$AS665,24,FALSE)," ")</f>
        <v>858</v>
      </c>
      <c r="R160" t="s" s="125">
        <f>_xlfn.IFERROR(VLOOKUP($A160,'The List'!$B1:$AS665,25,FALSE)," ")</f>
        <v>858</v>
      </c>
      <c r="S160" t="s" s="125">
        <f>_xlfn.IFERROR(VLOOKUP($A160,'The List'!$B1:$AS665,26,FALSE)," ")</f>
        <v>858</v>
      </c>
      <c r="T160" t="s" s="125">
        <f>_xlfn.IFERROR(VLOOKUP($A160,'The List'!$B1:$AS665,27,FALSE)," ")</f>
        <v>858</v>
      </c>
      <c r="U160" t="s" s="125">
        <f>_xlfn.IFERROR(VLOOKUP($A160,'The List'!$B1:$AS665,28,FALSE)," ")</f>
        <v>858</v>
      </c>
      <c r="V160" t="s" s="125">
        <f>_xlfn.IFERROR(VLOOKUP($A160,'The List'!$B1:$AS665,29,FALSE)," ")</f>
        <v>858</v>
      </c>
      <c r="W160" t="s" s="125">
        <f>_xlfn.IFERROR(VLOOKUP($A160,'The List'!$B1:$AS665,30,FALSE)," ")</f>
        <v>858</v>
      </c>
      <c r="X160" t="s" s="125">
        <f>_xlfn.IFERROR(VLOOKUP($A160,'The List'!$B1:$AS665,31,FALSE)," ")</f>
        <v>858</v>
      </c>
      <c r="Y160" t="s" s="125">
        <f>_xlfn.IFERROR(VLOOKUP($A160,'The List'!$B1:$AS665,32,FALSE)," ")</f>
        <v>858</v>
      </c>
      <c r="Z160" t="s" s="125">
        <f>_xlfn.IFERROR(VLOOKUP($A160,'The List'!$B1:$AS665,33,FALSE)," ")</f>
        <v>858</v>
      </c>
      <c r="AA160" s="120"/>
      <c r="AB160" s="121"/>
      <c r="AC160" s="121"/>
      <c r="AD160" s="121"/>
      <c r="AE160" s="121"/>
      <c r="AF160" s="144"/>
    </row>
    <row r="161" ht="21.25" customHeight="1">
      <c r="A161" s="50"/>
      <c r="B161" t="s" s="132">
        <f>_xlfn.IFERROR(VLOOKUP($A161,'The List'!$B1:$AS665,3,FALSE)," ")</f>
        <v>858</v>
      </c>
      <c r="C161" t="s" s="134">
        <f>_xlfn.IFERROR(VLOOKUP($A161,'The List'!$B1:$AS665,4,FALSE)," ")</f>
        <v>858</v>
      </c>
      <c r="D161" t="s" s="86">
        <f>_xlfn.IFERROR(VLOOKUP($A161,'The List'!$B1:$AS665,5,FALSE)," ")</f>
        <v>858</v>
      </c>
      <c r="E161" t="s" s="86">
        <f>_xlfn.IFERROR(VLOOKUP($A161,'The List'!$B1:$AS665,6,FALSE)," ")</f>
        <v>858</v>
      </c>
      <c r="F161" t="s" s="124">
        <f>_xlfn.IFERROR(VLOOKUP($A161,'The List'!$B1:$AS665,8,FALSE)," ")</f>
        <v>858</v>
      </c>
      <c r="G161" t="s" s="124">
        <f>_xlfn.IFERROR(VLOOKUP($A161,'The List'!$B1:$AS665,10,FALSE)," ")</f>
        <v>858</v>
      </c>
      <c r="H161" s="77"/>
      <c r="I161" t="s" s="125">
        <f>_xlfn.IFERROR(VLOOKUP($A161,'The List'!$B1:$AS665,16,FALSE)," ")</f>
        <v>858</v>
      </c>
      <c r="J161" t="s" s="125">
        <f>_xlfn.IFERROR(VLOOKUP($A161,'The List'!$B1:$AS665,17,FALSE)," ")</f>
        <v>858</v>
      </c>
      <c r="K161" t="s" s="125">
        <f>_xlfn.IFERROR(VLOOKUP($A161,'The List'!$B1:$AS665,18,FALSE)," ")</f>
        <v>858</v>
      </c>
      <c r="L161" t="s" s="125">
        <f>_xlfn.IFERROR(VLOOKUP($A161,'The List'!$B1:$AS665,19,FALSE)," ")</f>
        <v>858</v>
      </c>
      <c r="M161" t="s" s="125">
        <f>_xlfn.IFERROR(VLOOKUP($A161,'The List'!$B1:$AS665,20,FALSE)," ")</f>
        <v>858</v>
      </c>
      <c r="N161" t="s" s="125">
        <f>_xlfn.IFERROR(VLOOKUP($A161,'The List'!$B1:$AS665,21,FALSE)," ")</f>
        <v>858</v>
      </c>
      <c r="O161" t="s" s="125">
        <f>_xlfn.IFERROR(VLOOKUP($A161,'The List'!$B1:$AS665,22,FALSE)," ")</f>
        <v>858</v>
      </c>
      <c r="P161" t="s" s="125">
        <f>_xlfn.IFERROR(VLOOKUP($A161,'The List'!$B1:$AS665,23,FALSE)," ")</f>
        <v>858</v>
      </c>
      <c r="Q161" t="s" s="125">
        <f>_xlfn.IFERROR(VLOOKUP($A161,'The List'!$B1:$AS665,24,FALSE)," ")</f>
        <v>858</v>
      </c>
      <c r="R161" t="s" s="125">
        <f>_xlfn.IFERROR(VLOOKUP($A161,'The List'!$B1:$AS665,25,FALSE)," ")</f>
        <v>858</v>
      </c>
      <c r="S161" t="s" s="125">
        <f>_xlfn.IFERROR(VLOOKUP($A161,'The List'!$B1:$AS665,26,FALSE)," ")</f>
        <v>858</v>
      </c>
      <c r="T161" t="s" s="125">
        <f>_xlfn.IFERROR(VLOOKUP($A161,'The List'!$B1:$AS665,27,FALSE)," ")</f>
        <v>858</v>
      </c>
      <c r="U161" t="s" s="125">
        <f>_xlfn.IFERROR(VLOOKUP($A161,'The List'!$B1:$AS665,28,FALSE)," ")</f>
        <v>858</v>
      </c>
      <c r="V161" t="s" s="125">
        <f>_xlfn.IFERROR(VLOOKUP($A161,'The List'!$B1:$AS665,29,FALSE)," ")</f>
        <v>858</v>
      </c>
      <c r="W161" t="s" s="125">
        <f>_xlfn.IFERROR(VLOOKUP($A161,'The List'!$B1:$AS665,30,FALSE)," ")</f>
        <v>858</v>
      </c>
      <c r="X161" t="s" s="125">
        <f>_xlfn.IFERROR(VLOOKUP($A161,'The List'!$B1:$AS665,31,FALSE)," ")</f>
        <v>858</v>
      </c>
      <c r="Y161" t="s" s="125">
        <f>_xlfn.IFERROR(VLOOKUP($A161,'The List'!$B1:$AS665,32,FALSE)," ")</f>
        <v>858</v>
      </c>
      <c r="Z161" t="s" s="125">
        <f>_xlfn.IFERROR(VLOOKUP($A161,'The List'!$B1:$AS665,33,FALSE)," ")</f>
        <v>858</v>
      </c>
      <c r="AA161" s="120"/>
      <c r="AB161" s="121"/>
      <c r="AC161" s="121"/>
      <c r="AD161" s="121"/>
      <c r="AE161" s="121"/>
      <c r="AF161" s="144"/>
    </row>
    <row r="162" ht="21.25" customHeight="1">
      <c r="A162" s="50"/>
      <c r="B162" t="s" s="132">
        <f>_xlfn.IFERROR(VLOOKUP($A162,'The List'!$B1:$AS665,3,FALSE)," ")</f>
        <v>858</v>
      </c>
      <c r="C162" t="s" s="134">
        <f>_xlfn.IFERROR(VLOOKUP($A162,'The List'!$B1:$AS665,4,FALSE)," ")</f>
        <v>858</v>
      </c>
      <c r="D162" t="s" s="86">
        <f>_xlfn.IFERROR(VLOOKUP($A162,'The List'!$B1:$AS665,5,FALSE)," ")</f>
        <v>858</v>
      </c>
      <c r="E162" t="s" s="86">
        <f>_xlfn.IFERROR(VLOOKUP($A162,'The List'!$B1:$AS665,6,FALSE)," ")</f>
        <v>858</v>
      </c>
      <c r="F162" t="s" s="124">
        <f>_xlfn.IFERROR(VLOOKUP($A162,'The List'!$B1:$AS665,8,FALSE)," ")</f>
        <v>858</v>
      </c>
      <c r="G162" t="s" s="124">
        <f>_xlfn.IFERROR(VLOOKUP($A162,'The List'!$B1:$AS665,10,FALSE)," ")</f>
        <v>858</v>
      </c>
      <c r="H162" s="77"/>
      <c r="I162" t="s" s="125">
        <f>_xlfn.IFERROR(VLOOKUP($A162,'The List'!$B1:$AS665,16,FALSE)," ")</f>
        <v>858</v>
      </c>
      <c r="J162" t="s" s="125">
        <f>_xlfn.IFERROR(VLOOKUP($A162,'The List'!$B1:$AS665,17,FALSE)," ")</f>
        <v>858</v>
      </c>
      <c r="K162" t="s" s="125">
        <f>_xlfn.IFERROR(VLOOKUP($A162,'The List'!$B1:$AS665,18,FALSE)," ")</f>
        <v>858</v>
      </c>
      <c r="L162" t="s" s="125">
        <f>_xlfn.IFERROR(VLOOKUP($A162,'The List'!$B1:$AS665,19,FALSE)," ")</f>
        <v>858</v>
      </c>
      <c r="M162" t="s" s="125">
        <f>_xlfn.IFERROR(VLOOKUP($A162,'The List'!$B1:$AS665,20,FALSE)," ")</f>
        <v>858</v>
      </c>
      <c r="N162" t="s" s="125">
        <f>_xlfn.IFERROR(VLOOKUP($A162,'The List'!$B1:$AS665,21,FALSE)," ")</f>
        <v>858</v>
      </c>
      <c r="O162" t="s" s="125">
        <f>_xlfn.IFERROR(VLOOKUP($A162,'The List'!$B1:$AS665,22,FALSE)," ")</f>
        <v>858</v>
      </c>
      <c r="P162" t="s" s="125">
        <f>_xlfn.IFERROR(VLOOKUP($A162,'The List'!$B1:$AS665,23,FALSE)," ")</f>
        <v>858</v>
      </c>
      <c r="Q162" t="s" s="125">
        <f>_xlfn.IFERROR(VLOOKUP($A162,'The List'!$B1:$AS665,24,FALSE)," ")</f>
        <v>858</v>
      </c>
      <c r="R162" t="s" s="125">
        <f>_xlfn.IFERROR(VLOOKUP($A162,'The List'!$B1:$AS665,25,FALSE)," ")</f>
        <v>858</v>
      </c>
      <c r="S162" t="s" s="125">
        <f>_xlfn.IFERROR(VLOOKUP($A162,'The List'!$B1:$AS665,26,FALSE)," ")</f>
        <v>858</v>
      </c>
      <c r="T162" t="s" s="125">
        <f>_xlfn.IFERROR(VLOOKUP($A162,'The List'!$B1:$AS665,27,FALSE)," ")</f>
        <v>858</v>
      </c>
      <c r="U162" t="s" s="125">
        <f>_xlfn.IFERROR(VLOOKUP($A162,'The List'!$B1:$AS665,28,FALSE)," ")</f>
        <v>858</v>
      </c>
      <c r="V162" t="s" s="125">
        <f>_xlfn.IFERROR(VLOOKUP($A162,'The List'!$B1:$AS665,29,FALSE)," ")</f>
        <v>858</v>
      </c>
      <c r="W162" t="s" s="125">
        <f>_xlfn.IFERROR(VLOOKUP($A162,'The List'!$B1:$AS665,30,FALSE)," ")</f>
        <v>858</v>
      </c>
      <c r="X162" t="s" s="125">
        <f>_xlfn.IFERROR(VLOOKUP($A162,'The List'!$B1:$AS665,31,FALSE)," ")</f>
        <v>858</v>
      </c>
      <c r="Y162" t="s" s="125">
        <f>_xlfn.IFERROR(VLOOKUP($A162,'The List'!$B1:$AS665,32,FALSE)," ")</f>
        <v>858</v>
      </c>
      <c r="Z162" t="s" s="125">
        <f>_xlfn.IFERROR(VLOOKUP($A162,'The List'!$B1:$AS665,33,FALSE)," ")</f>
        <v>858</v>
      </c>
      <c r="AA162" s="120"/>
      <c r="AB162" s="121"/>
      <c r="AC162" s="121"/>
      <c r="AD162" s="121"/>
      <c r="AE162" s="121"/>
      <c r="AF162" s="144"/>
    </row>
    <row r="163" ht="21.25" customHeight="1">
      <c r="A163" s="50"/>
      <c r="B163" t="s" s="132">
        <f>_xlfn.IFERROR(VLOOKUP($A163,'The List'!$B1:$AS665,3,FALSE)," ")</f>
        <v>858</v>
      </c>
      <c r="C163" t="s" s="134">
        <f>_xlfn.IFERROR(VLOOKUP($A163,'The List'!$B1:$AS665,4,FALSE)," ")</f>
        <v>858</v>
      </c>
      <c r="D163" t="s" s="86">
        <f>_xlfn.IFERROR(VLOOKUP($A163,'The List'!$B1:$AS665,5,FALSE)," ")</f>
        <v>858</v>
      </c>
      <c r="E163" t="s" s="86">
        <f>_xlfn.IFERROR(VLOOKUP($A163,'The List'!$B1:$AS665,6,FALSE)," ")</f>
        <v>858</v>
      </c>
      <c r="F163" t="s" s="124">
        <f>_xlfn.IFERROR(VLOOKUP($A163,'The List'!$B1:$AS665,8,FALSE)," ")</f>
        <v>858</v>
      </c>
      <c r="G163" t="s" s="124">
        <f>_xlfn.IFERROR(VLOOKUP($A163,'The List'!$B1:$AS665,10,FALSE)," ")</f>
        <v>858</v>
      </c>
      <c r="H163" s="77"/>
      <c r="I163" t="s" s="125">
        <f>_xlfn.IFERROR(VLOOKUP($A163,'The List'!$B1:$AS665,16,FALSE)," ")</f>
        <v>858</v>
      </c>
      <c r="J163" t="s" s="125">
        <f>_xlfn.IFERROR(VLOOKUP($A163,'The List'!$B1:$AS665,17,FALSE)," ")</f>
        <v>858</v>
      </c>
      <c r="K163" t="s" s="125">
        <f>_xlfn.IFERROR(VLOOKUP($A163,'The List'!$B1:$AS665,18,FALSE)," ")</f>
        <v>858</v>
      </c>
      <c r="L163" t="s" s="125">
        <f>_xlfn.IFERROR(VLOOKUP($A163,'The List'!$B1:$AS665,19,FALSE)," ")</f>
        <v>858</v>
      </c>
      <c r="M163" t="s" s="125">
        <f>_xlfn.IFERROR(VLOOKUP($A163,'The List'!$B1:$AS665,20,FALSE)," ")</f>
        <v>858</v>
      </c>
      <c r="N163" t="s" s="125">
        <f>_xlfn.IFERROR(VLOOKUP($A163,'The List'!$B1:$AS665,21,FALSE)," ")</f>
        <v>858</v>
      </c>
      <c r="O163" t="s" s="125">
        <f>_xlfn.IFERROR(VLOOKUP($A163,'The List'!$B1:$AS665,22,FALSE)," ")</f>
        <v>858</v>
      </c>
      <c r="P163" t="s" s="125">
        <f>_xlfn.IFERROR(VLOOKUP($A163,'The List'!$B1:$AS665,23,FALSE)," ")</f>
        <v>858</v>
      </c>
      <c r="Q163" t="s" s="125">
        <f>_xlfn.IFERROR(VLOOKUP($A163,'The List'!$B1:$AS665,24,FALSE)," ")</f>
        <v>858</v>
      </c>
      <c r="R163" t="s" s="125">
        <f>_xlfn.IFERROR(VLOOKUP($A163,'The List'!$B1:$AS665,25,FALSE)," ")</f>
        <v>858</v>
      </c>
      <c r="S163" t="s" s="125">
        <f>_xlfn.IFERROR(VLOOKUP($A163,'The List'!$B1:$AS665,26,FALSE)," ")</f>
        <v>858</v>
      </c>
      <c r="T163" t="s" s="125">
        <f>_xlfn.IFERROR(VLOOKUP($A163,'The List'!$B1:$AS665,27,FALSE)," ")</f>
        <v>858</v>
      </c>
      <c r="U163" t="s" s="125">
        <f>_xlfn.IFERROR(VLOOKUP($A163,'The List'!$B1:$AS665,28,FALSE)," ")</f>
        <v>858</v>
      </c>
      <c r="V163" t="s" s="125">
        <f>_xlfn.IFERROR(VLOOKUP($A163,'The List'!$B1:$AS665,29,FALSE)," ")</f>
        <v>858</v>
      </c>
      <c r="W163" t="s" s="125">
        <f>_xlfn.IFERROR(VLOOKUP($A163,'The List'!$B1:$AS665,30,FALSE)," ")</f>
        <v>858</v>
      </c>
      <c r="X163" t="s" s="125">
        <f>_xlfn.IFERROR(VLOOKUP($A163,'The List'!$B1:$AS665,31,FALSE)," ")</f>
        <v>858</v>
      </c>
      <c r="Y163" t="s" s="125">
        <f>_xlfn.IFERROR(VLOOKUP($A163,'The List'!$B1:$AS665,32,FALSE)," ")</f>
        <v>858</v>
      </c>
      <c r="Z163" t="s" s="125">
        <f>_xlfn.IFERROR(VLOOKUP($A163,'The List'!$B1:$AS665,33,FALSE)," ")</f>
        <v>858</v>
      </c>
      <c r="AA163" s="120"/>
      <c r="AB163" s="121"/>
      <c r="AC163" s="121"/>
      <c r="AD163" s="121"/>
      <c r="AE163" s="121"/>
      <c r="AF163" s="144"/>
    </row>
    <row r="164" ht="21.25" customHeight="1">
      <c r="A164" s="50"/>
      <c r="B164" t="s" s="132">
        <f>_xlfn.IFERROR(VLOOKUP($A164,'The List'!$B1:$AS665,3,FALSE)," ")</f>
        <v>858</v>
      </c>
      <c r="C164" t="s" s="134">
        <f>_xlfn.IFERROR(VLOOKUP($A164,'The List'!$B1:$AS665,4,FALSE)," ")</f>
        <v>858</v>
      </c>
      <c r="D164" t="s" s="86">
        <f>_xlfn.IFERROR(VLOOKUP($A164,'The List'!$B1:$AS665,5,FALSE)," ")</f>
        <v>858</v>
      </c>
      <c r="E164" t="s" s="86">
        <f>_xlfn.IFERROR(VLOOKUP($A164,'The List'!$B1:$AS665,6,FALSE)," ")</f>
        <v>858</v>
      </c>
      <c r="F164" t="s" s="124">
        <f>_xlfn.IFERROR(VLOOKUP($A164,'The List'!$B1:$AS665,8,FALSE)," ")</f>
        <v>858</v>
      </c>
      <c r="G164" t="s" s="124">
        <f>_xlfn.IFERROR(VLOOKUP($A164,'The List'!$B1:$AS665,10,FALSE)," ")</f>
        <v>858</v>
      </c>
      <c r="H164" s="77"/>
      <c r="I164" t="s" s="125">
        <f>_xlfn.IFERROR(VLOOKUP($A164,'The List'!$B1:$AS665,16,FALSE)," ")</f>
        <v>858</v>
      </c>
      <c r="J164" t="s" s="125">
        <f>_xlfn.IFERROR(VLOOKUP($A164,'The List'!$B1:$AS665,17,FALSE)," ")</f>
        <v>858</v>
      </c>
      <c r="K164" t="s" s="125">
        <f>_xlfn.IFERROR(VLOOKUP($A164,'The List'!$B1:$AS665,18,FALSE)," ")</f>
        <v>858</v>
      </c>
      <c r="L164" t="s" s="125">
        <f>_xlfn.IFERROR(VLOOKUP($A164,'The List'!$B1:$AS665,19,FALSE)," ")</f>
        <v>858</v>
      </c>
      <c r="M164" t="s" s="125">
        <f>_xlfn.IFERROR(VLOOKUP($A164,'The List'!$B1:$AS665,20,FALSE)," ")</f>
        <v>858</v>
      </c>
      <c r="N164" t="s" s="125">
        <f>_xlfn.IFERROR(VLOOKUP($A164,'The List'!$B1:$AS665,21,FALSE)," ")</f>
        <v>858</v>
      </c>
      <c r="O164" t="s" s="125">
        <f>_xlfn.IFERROR(VLOOKUP($A164,'The List'!$B1:$AS665,22,FALSE)," ")</f>
        <v>858</v>
      </c>
      <c r="P164" t="s" s="125">
        <f>_xlfn.IFERROR(VLOOKUP($A164,'The List'!$B1:$AS665,23,FALSE)," ")</f>
        <v>858</v>
      </c>
      <c r="Q164" t="s" s="125">
        <f>_xlfn.IFERROR(VLOOKUP($A164,'The List'!$B1:$AS665,24,FALSE)," ")</f>
        <v>858</v>
      </c>
      <c r="R164" t="s" s="125">
        <f>_xlfn.IFERROR(VLOOKUP($A164,'The List'!$B1:$AS665,25,FALSE)," ")</f>
        <v>858</v>
      </c>
      <c r="S164" t="s" s="125">
        <f>_xlfn.IFERROR(VLOOKUP($A164,'The List'!$B1:$AS665,26,FALSE)," ")</f>
        <v>858</v>
      </c>
      <c r="T164" t="s" s="125">
        <f>_xlfn.IFERROR(VLOOKUP($A164,'The List'!$B1:$AS665,27,FALSE)," ")</f>
        <v>858</v>
      </c>
      <c r="U164" t="s" s="125">
        <f>_xlfn.IFERROR(VLOOKUP($A164,'The List'!$B1:$AS665,28,FALSE)," ")</f>
        <v>858</v>
      </c>
      <c r="V164" t="s" s="125">
        <f>_xlfn.IFERROR(VLOOKUP($A164,'The List'!$B1:$AS665,29,FALSE)," ")</f>
        <v>858</v>
      </c>
      <c r="W164" t="s" s="125">
        <f>_xlfn.IFERROR(VLOOKUP($A164,'The List'!$B1:$AS665,30,FALSE)," ")</f>
        <v>858</v>
      </c>
      <c r="X164" t="s" s="125">
        <f>_xlfn.IFERROR(VLOOKUP($A164,'The List'!$B1:$AS665,31,FALSE)," ")</f>
        <v>858</v>
      </c>
      <c r="Y164" t="s" s="125">
        <f>_xlfn.IFERROR(VLOOKUP($A164,'The List'!$B1:$AS665,32,FALSE)," ")</f>
        <v>858</v>
      </c>
      <c r="Z164" t="s" s="125">
        <f>_xlfn.IFERROR(VLOOKUP($A164,'The List'!$B1:$AS665,33,FALSE)," ")</f>
        <v>858</v>
      </c>
      <c r="AA164" s="120"/>
      <c r="AB164" s="121"/>
      <c r="AC164" s="121"/>
      <c r="AD164" s="121"/>
      <c r="AE164" s="121"/>
      <c r="AF164" s="144"/>
    </row>
    <row r="165" ht="21.25" customHeight="1">
      <c r="A165" s="50"/>
      <c r="B165" t="s" s="132">
        <f>_xlfn.IFERROR(VLOOKUP($A165,'The List'!$B1:$AS665,3,FALSE)," ")</f>
        <v>858</v>
      </c>
      <c r="C165" t="s" s="134">
        <f>_xlfn.IFERROR(VLOOKUP($A165,'The List'!$B1:$AS665,4,FALSE)," ")</f>
        <v>858</v>
      </c>
      <c r="D165" t="s" s="86">
        <f>_xlfn.IFERROR(VLOOKUP($A165,'The List'!$B1:$AS665,5,FALSE)," ")</f>
        <v>858</v>
      </c>
      <c r="E165" t="s" s="86">
        <f>_xlfn.IFERROR(VLOOKUP($A165,'The List'!$B1:$AS665,6,FALSE)," ")</f>
        <v>858</v>
      </c>
      <c r="F165" t="s" s="124">
        <f>_xlfn.IFERROR(VLOOKUP($A165,'The List'!$B1:$AS665,8,FALSE)," ")</f>
        <v>858</v>
      </c>
      <c r="G165" t="s" s="124">
        <f>_xlfn.IFERROR(VLOOKUP($A165,'The List'!$B1:$AS665,10,FALSE)," ")</f>
        <v>858</v>
      </c>
      <c r="H165" s="77"/>
      <c r="I165" t="s" s="125">
        <f>_xlfn.IFERROR(VLOOKUP($A165,'The List'!$B1:$AS665,16,FALSE)," ")</f>
        <v>858</v>
      </c>
      <c r="J165" t="s" s="125">
        <f>_xlfn.IFERROR(VLOOKUP($A165,'The List'!$B1:$AS665,17,FALSE)," ")</f>
        <v>858</v>
      </c>
      <c r="K165" t="s" s="125">
        <f>_xlfn.IFERROR(VLOOKUP($A165,'The List'!$B1:$AS665,18,FALSE)," ")</f>
        <v>858</v>
      </c>
      <c r="L165" t="s" s="125">
        <f>_xlfn.IFERROR(VLOOKUP($A165,'The List'!$B1:$AS665,19,FALSE)," ")</f>
        <v>858</v>
      </c>
      <c r="M165" t="s" s="125">
        <f>_xlfn.IFERROR(VLOOKUP($A165,'The List'!$B1:$AS665,20,FALSE)," ")</f>
        <v>858</v>
      </c>
      <c r="N165" t="s" s="125">
        <f>_xlfn.IFERROR(VLOOKUP($A165,'The List'!$B1:$AS665,21,FALSE)," ")</f>
        <v>858</v>
      </c>
      <c r="O165" t="s" s="125">
        <f>_xlfn.IFERROR(VLOOKUP($A165,'The List'!$B1:$AS665,22,FALSE)," ")</f>
        <v>858</v>
      </c>
      <c r="P165" t="s" s="125">
        <f>_xlfn.IFERROR(VLOOKUP($A165,'The List'!$B1:$AS665,23,FALSE)," ")</f>
        <v>858</v>
      </c>
      <c r="Q165" t="s" s="125">
        <f>_xlfn.IFERROR(VLOOKUP($A165,'The List'!$B1:$AS665,24,FALSE)," ")</f>
        <v>858</v>
      </c>
      <c r="R165" t="s" s="125">
        <f>_xlfn.IFERROR(VLOOKUP($A165,'The List'!$B1:$AS665,25,FALSE)," ")</f>
        <v>858</v>
      </c>
      <c r="S165" t="s" s="125">
        <f>_xlfn.IFERROR(VLOOKUP($A165,'The List'!$B1:$AS665,26,FALSE)," ")</f>
        <v>858</v>
      </c>
      <c r="T165" t="s" s="125">
        <f>_xlfn.IFERROR(VLOOKUP($A165,'The List'!$B1:$AS665,27,FALSE)," ")</f>
        <v>858</v>
      </c>
      <c r="U165" t="s" s="125">
        <f>_xlfn.IFERROR(VLOOKUP($A165,'The List'!$B1:$AS665,28,FALSE)," ")</f>
        <v>858</v>
      </c>
      <c r="V165" t="s" s="125">
        <f>_xlfn.IFERROR(VLOOKUP($A165,'The List'!$B1:$AS665,29,FALSE)," ")</f>
        <v>858</v>
      </c>
      <c r="W165" t="s" s="125">
        <f>_xlfn.IFERROR(VLOOKUP($A165,'The List'!$B1:$AS665,30,FALSE)," ")</f>
        <v>858</v>
      </c>
      <c r="X165" t="s" s="125">
        <f>_xlfn.IFERROR(VLOOKUP($A165,'The List'!$B1:$AS665,31,FALSE)," ")</f>
        <v>858</v>
      </c>
      <c r="Y165" t="s" s="125">
        <f>_xlfn.IFERROR(VLOOKUP($A165,'The List'!$B1:$AS665,32,FALSE)," ")</f>
        <v>858</v>
      </c>
      <c r="Z165" t="s" s="125">
        <f>_xlfn.IFERROR(VLOOKUP($A165,'The List'!$B1:$AS665,33,FALSE)," ")</f>
        <v>858</v>
      </c>
      <c r="AA165" s="120"/>
      <c r="AB165" s="121"/>
      <c r="AC165" s="121"/>
      <c r="AD165" s="121"/>
      <c r="AE165" s="121"/>
      <c r="AF165" s="144"/>
    </row>
    <row r="166" ht="21.25" customHeight="1">
      <c r="A166" s="137"/>
      <c r="B166" t="s" s="138">
        <f>_xlfn.IFERROR(VLOOKUP($A166,'The List'!$B1:$AS665,3,FALSE)," ")</f>
        <v>858</v>
      </c>
      <c r="C166" t="s" s="139">
        <f>_xlfn.IFERROR(VLOOKUP($A166,'The List'!$B1:$AS665,4,FALSE)," ")</f>
        <v>858</v>
      </c>
      <c r="D166" t="s" s="140">
        <f>_xlfn.IFERROR(VLOOKUP($A166,'The List'!$B1:$AS665,5,FALSE)," ")</f>
        <v>858</v>
      </c>
      <c r="E166" t="s" s="140">
        <f>_xlfn.IFERROR(VLOOKUP($A166,'The List'!$B1:$AS665,6,FALSE)," ")</f>
        <v>858</v>
      </c>
      <c r="F166" t="s" s="141">
        <f>_xlfn.IFERROR(VLOOKUP($A166,'The List'!$B1:$AS665,8,FALSE)," ")</f>
        <v>858</v>
      </c>
      <c r="G166" t="s" s="141">
        <f>_xlfn.IFERROR(VLOOKUP($A166,'The List'!$B1:$AS665,10,FALSE)," ")</f>
        <v>858</v>
      </c>
      <c r="H166" s="142"/>
      <c r="I166" t="s" s="143">
        <f>_xlfn.IFERROR(VLOOKUP($A166,'The List'!$B1:$AS665,16,FALSE)," ")</f>
        <v>858</v>
      </c>
      <c r="J166" t="s" s="143">
        <f>_xlfn.IFERROR(VLOOKUP($A166,'The List'!$B1:$AS665,17,FALSE)," ")</f>
        <v>858</v>
      </c>
      <c r="K166" t="s" s="143">
        <f>_xlfn.IFERROR(VLOOKUP($A166,'The List'!$B1:$AS665,18,FALSE)," ")</f>
        <v>858</v>
      </c>
      <c r="L166" t="s" s="143">
        <f>_xlfn.IFERROR(VLOOKUP($A166,'The List'!$B1:$AS665,19,FALSE)," ")</f>
        <v>858</v>
      </c>
      <c r="M166" t="s" s="143">
        <f>_xlfn.IFERROR(VLOOKUP($A166,'The List'!$B1:$AS665,20,FALSE)," ")</f>
        <v>858</v>
      </c>
      <c r="N166" t="s" s="143">
        <f>_xlfn.IFERROR(VLOOKUP($A166,'The List'!$B1:$AS665,21,FALSE)," ")</f>
        <v>858</v>
      </c>
      <c r="O166" t="s" s="143">
        <f>_xlfn.IFERROR(VLOOKUP($A166,'The List'!$B1:$AS665,22,FALSE)," ")</f>
        <v>858</v>
      </c>
      <c r="P166" t="s" s="143">
        <f>_xlfn.IFERROR(VLOOKUP($A166,'The List'!$B1:$AS665,23,FALSE)," ")</f>
        <v>858</v>
      </c>
      <c r="Q166" t="s" s="143">
        <f>_xlfn.IFERROR(VLOOKUP($A166,'The List'!$B1:$AS665,24,FALSE)," ")</f>
        <v>858</v>
      </c>
      <c r="R166" t="s" s="143">
        <f>_xlfn.IFERROR(VLOOKUP($A166,'The List'!$B1:$AS665,25,FALSE)," ")</f>
        <v>858</v>
      </c>
      <c r="S166" t="s" s="143">
        <f>_xlfn.IFERROR(VLOOKUP($A166,'The List'!$B1:$AS665,26,FALSE)," ")</f>
        <v>858</v>
      </c>
      <c r="T166" t="s" s="143">
        <f>_xlfn.IFERROR(VLOOKUP($A166,'The List'!$B1:$AS665,27,FALSE)," ")</f>
        <v>858</v>
      </c>
      <c r="U166" t="s" s="143">
        <f>_xlfn.IFERROR(VLOOKUP($A166,'The List'!$B1:$AS665,28,FALSE)," ")</f>
        <v>858</v>
      </c>
      <c r="V166" t="s" s="143">
        <f>_xlfn.IFERROR(VLOOKUP($A166,'The List'!$B1:$AS665,29,FALSE)," ")</f>
        <v>858</v>
      </c>
      <c r="W166" t="s" s="143">
        <f>_xlfn.IFERROR(VLOOKUP($A166,'The List'!$B1:$AS665,30,FALSE)," ")</f>
        <v>858</v>
      </c>
      <c r="X166" t="s" s="143">
        <f>_xlfn.IFERROR(VLOOKUP($A166,'The List'!$B1:$AS665,31,FALSE)," ")</f>
        <v>858</v>
      </c>
      <c r="Y166" t="s" s="143">
        <f>_xlfn.IFERROR(VLOOKUP($A166,'The List'!$B1:$AS665,32,FALSE)," ")</f>
        <v>858</v>
      </c>
      <c r="Z166" t="s" s="143">
        <f>_xlfn.IFERROR(VLOOKUP($A166,'The List'!$B1:$AS665,33,FALSE)," ")</f>
        <v>858</v>
      </c>
      <c r="AA166" s="120"/>
      <c r="AB166" s="121"/>
      <c r="AC166" s="121"/>
      <c r="AD166" s="121"/>
      <c r="AE166" s="121"/>
      <c r="AF166" s="144"/>
    </row>
    <row r="167" ht="21.25" customHeight="1">
      <c r="A167" s="145"/>
      <c r="B167" s="146"/>
      <c r="C167" s="147"/>
      <c r="D167" s="148"/>
      <c r="E167" t="s" s="193">
        <f>_xlfn.IFERROR(AVERAGE(E147:E166)," ")</f>
        <v>858</v>
      </c>
      <c r="F167" s="150">
        <f>SUM(F147:F166)</f>
        <v>0</v>
      </c>
      <c r="G167" s="150">
        <f>SUM(G147:G166)</f>
        <v>0</v>
      </c>
      <c r="H167" s="151"/>
      <c r="I167" s="152">
        <f>SUM(I147:I166)</f>
        <v>0</v>
      </c>
      <c r="J167" s="151">
        <f>AVERAGE(J147:J166)</f>
      </c>
      <c r="K167" s="152">
        <f>SUM(K147:K166)</f>
        <v>0</v>
      </c>
      <c r="L167" s="152">
        <f>SUM(L147:L166)</f>
        <v>0</v>
      </c>
      <c r="M167" s="152">
        <f>SUM(M147:M166)</f>
        <v>0</v>
      </c>
      <c r="N167" s="152">
        <f>SUM(N147:N166)</f>
        <v>0</v>
      </c>
      <c r="O167" s="152">
        <f>SUM(O147:O166)</f>
        <v>0</v>
      </c>
      <c r="P167" s="152">
        <f>SUM(P147:P166)</f>
        <v>0</v>
      </c>
      <c r="Q167" s="152">
        <f>SUM(Q147:Q166)</f>
        <v>0</v>
      </c>
      <c r="R167" s="152">
        <f>SUM(R147:R166)</f>
        <v>0</v>
      </c>
      <c r="S167" s="152">
        <f>SUM(S147:S166)</f>
        <v>0</v>
      </c>
      <c r="T167" s="152">
        <f>SUM(T147:T166)</f>
        <v>0</v>
      </c>
      <c r="U167" s="152">
        <f>SUM(U147:U166)</f>
        <v>0</v>
      </c>
      <c r="V167" s="152">
        <f>SUM(V147:V166)</f>
        <v>0</v>
      </c>
      <c r="W167" s="152">
        <f>SUM(W147:W166)</f>
        <v>0</v>
      </c>
      <c r="X167" s="152">
        <f>SUM(X147:X166)</f>
        <v>0</v>
      </c>
      <c r="Y167" s="152">
        <f>SUM(Y147:Y166)</f>
        <v>0</v>
      </c>
      <c r="Z167" s="153">
        <f>_xlfn.IFERROR(X167/(X167+Y167),0)</f>
        <v>0</v>
      </c>
      <c r="AA167" s="120"/>
      <c r="AB167" s="154"/>
      <c r="AC167" s="154"/>
      <c r="AD167" s="154"/>
      <c r="AE167" s="154"/>
      <c r="AF167" s="155"/>
    </row>
    <row r="168" ht="21.25" customHeight="1">
      <c r="A168" s="156"/>
      <c r="B168" s="157"/>
      <c r="C168" s="158"/>
      <c r="D168" s="13"/>
      <c r="E168" s="13"/>
      <c r="F168" s="159"/>
      <c r="G168" s="160"/>
      <c r="H168" s="161"/>
      <c r="I168" s="162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  <c r="AB168" s="121"/>
      <c r="AC168" s="121"/>
      <c r="AD168" s="121"/>
      <c r="AE168" s="121"/>
      <c r="AF168" s="144"/>
    </row>
    <row r="169" ht="21.25" customHeight="1">
      <c r="A169" t="s" s="163">
        <v>89</v>
      </c>
      <c r="B169" t="s" s="164">
        <v>91</v>
      </c>
      <c r="C169" s="31"/>
      <c r="D169" t="s" s="164">
        <v>92</v>
      </c>
      <c r="E169" t="s" s="164">
        <v>93</v>
      </c>
      <c r="F169" t="s" s="165">
        <v>95</v>
      </c>
      <c r="G169" t="s" s="165">
        <v>97</v>
      </c>
      <c r="H169" s="166"/>
      <c r="I169" t="s" s="167">
        <v>102</v>
      </c>
      <c r="J169" t="s" s="167">
        <v>118</v>
      </c>
      <c r="K169" t="s" s="167">
        <v>119</v>
      </c>
      <c r="L169" t="s" s="167">
        <v>120</v>
      </c>
      <c r="M169" t="s" s="167">
        <v>121</v>
      </c>
      <c r="N169" t="s" s="167">
        <v>122</v>
      </c>
      <c r="O169" t="s" s="167">
        <v>123</v>
      </c>
      <c r="P169" t="s" s="167">
        <v>124</v>
      </c>
      <c r="Q169" t="s" s="167">
        <v>125</v>
      </c>
      <c r="R169" s="120"/>
      <c r="S169" s="120"/>
      <c r="T169" s="120"/>
      <c r="U169" t="s" s="164">
        <v>876</v>
      </c>
      <c r="V169" s="166"/>
      <c r="W169" s="166"/>
      <c r="X169" t="s" s="164">
        <v>877</v>
      </c>
      <c r="Y169" s="166"/>
      <c r="Z169" s="166"/>
      <c r="AA169" s="120"/>
      <c r="AB169" s="120"/>
      <c r="AC169" s="120"/>
      <c r="AD169" s="120"/>
      <c r="AE169" s="120"/>
      <c r="AF169" s="168"/>
    </row>
    <row r="170" ht="21.25" customHeight="1">
      <c r="A170" s="194"/>
      <c r="B170" t="s" s="170">
        <f>_xlfn.IFERROR(VLOOKUP($A170,'The List'!$B1:$AS665,3,FALSE)," ")</f>
        <v>858</v>
      </c>
      <c r="C170" t="s" s="195">
        <f>_xlfn.IFERROR(VLOOKUP($A170,'The List'!$B1:$AS665,4,FALSE)," ")</f>
        <v>858</v>
      </c>
      <c r="D170" t="s" s="72">
        <f>_xlfn.IFERROR(VLOOKUP($A170,'The List'!$B1:$AS665,5,FALSE)," ")</f>
        <v>858</v>
      </c>
      <c r="E170" t="s" s="72">
        <f>_xlfn.IFERROR(VLOOKUP($A170,'The List'!$B1:$AS665,6,FALSE)," ")</f>
        <v>858</v>
      </c>
      <c r="F170" t="s" s="196">
        <f>_xlfn.IFERROR(VLOOKUP($A170,'The List'!$B1:$AS665,8,FALSE)," ")</f>
        <v>858</v>
      </c>
      <c r="G170" t="s" s="196">
        <f>_xlfn.IFERROR(VLOOKUP($A170,'The List'!$B1:$AS665,10,FALSE)," ")</f>
        <v>858</v>
      </c>
      <c r="H170" s="174"/>
      <c r="I170" t="s" s="197">
        <f>_xlfn.IFERROR(VLOOKUP($A170,'The List'!$B1:$AS665,35,FALSE)," ")</f>
        <v>858</v>
      </c>
      <c r="J170" t="s" s="197">
        <f>_xlfn.IFERROR(VLOOKUP($A170,'The List'!$B1:$AS665,36,FALSE)," ")</f>
        <v>858</v>
      </c>
      <c r="K170" t="s" s="197">
        <f>_xlfn.IFERROR(VLOOKUP($A170,'The List'!$B1:$AS665,37,FALSE)," ")</f>
        <v>858</v>
      </c>
      <c r="L170" t="s" s="197">
        <f>_xlfn.IFERROR(VLOOKUP($A170,'The List'!$B1:$AS665,38,FALSE)," ")</f>
        <v>858</v>
      </c>
      <c r="M170" t="s" s="197">
        <f>_xlfn.IFERROR(VLOOKUP($A170,'The List'!$B1:$AS665,39,FALSE)," ")</f>
        <v>858</v>
      </c>
      <c r="N170" t="s" s="197">
        <f>_xlfn.IFERROR(VLOOKUP($A170,'The List'!$B1:$AS665,40,FALSE)," ")</f>
        <v>858</v>
      </c>
      <c r="O170" t="s" s="197">
        <f>_xlfn.IFERROR(VLOOKUP($A170,'The List'!$B1:$AS665,41,FALSE)," ")</f>
        <v>858</v>
      </c>
      <c r="P170" t="s" s="197">
        <f>_xlfn.IFERROR(VLOOKUP($A170,'The List'!$B1:$AS665,42,FALSE)," ")</f>
        <v>858</v>
      </c>
      <c r="Q170" t="s" s="197">
        <f>_xlfn.IFERROR(VLOOKUP($A170,'The List'!$B1:$AS665,43,FALSE)," ")</f>
        <v>858</v>
      </c>
      <c r="R170" s="120"/>
      <c r="S170" s="120"/>
      <c r="T170" t="s" s="178">
        <f>A146</f>
        <v>884</v>
      </c>
      <c r="U170" s="179">
        <f>F167+F173</f>
        <v>0</v>
      </c>
      <c r="V170" s="31"/>
      <c r="W170" s="31"/>
      <c r="X170" s="179">
        <f>G173+G167</f>
        <v>0</v>
      </c>
      <c r="Y170" s="31"/>
      <c r="Z170" s="31"/>
      <c r="AA170" s="120"/>
      <c r="AB170" s="120"/>
      <c r="AC170" s="120"/>
      <c r="AD170" s="120"/>
      <c r="AE170" s="120"/>
      <c r="AF170" s="168"/>
    </row>
    <row r="171" ht="21.25" customHeight="1">
      <c r="A171" s="50"/>
      <c r="B171" t="s" s="180">
        <f>_xlfn.IFERROR(VLOOKUP($A171,'The List'!$B1:$AS665,3,FALSE)," ")</f>
        <v>858</v>
      </c>
      <c r="C171" t="s" s="181">
        <f>_xlfn.IFERROR(VLOOKUP($A171,'The List'!$B1:$AS665,4,FALSE)," ")</f>
        <v>858</v>
      </c>
      <c r="D171" t="s" s="86">
        <f>_xlfn.IFERROR(VLOOKUP($A171,'The List'!$B1:$AS665,5,FALSE)," ")</f>
        <v>858</v>
      </c>
      <c r="E171" t="s" s="86">
        <f>_xlfn.IFERROR(VLOOKUP($A171,'The List'!$B1:$AS665,6,FALSE)," ")</f>
        <v>858</v>
      </c>
      <c r="F171" t="s" s="124">
        <f>_xlfn.IFERROR(VLOOKUP($A171,'The List'!$B1:$AS665,8,FALSE)," ")</f>
        <v>858</v>
      </c>
      <c r="G171" t="s" s="124">
        <f>_xlfn.IFERROR(VLOOKUP($A171,'The List'!$B1:$AS665,10,FALSE)," ")</f>
        <v>858</v>
      </c>
      <c r="H171" s="77"/>
      <c r="I171" t="s" s="125">
        <f>_xlfn.IFERROR(VLOOKUP($A171,'The List'!$B1:$AS665,35,FALSE)," ")</f>
        <v>858</v>
      </c>
      <c r="J171" t="s" s="125">
        <f>_xlfn.IFERROR(VLOOKUP($A171,'The List'!$B1:$AS665,36,FALSE)," ")</f>
        <v>858</v>
      </c>
      <c r="K171" t="s" s="125">
        <f>_xlfn.IFERROR(VLOOKUP($A171,'The List'!$B1:$AS665,37,FALSE)," ")</f>
        <v>858</v>
      </c>
      <c r="L171" t="s" s="125">
        <f>_xlfn.IFERROR(VLOOKUP($A171,'The List'!$B1:$AS665,38,FALSE)," ")</f>
        <v>858</v>
      </c>
      <c r="M171" t="s" s="125">
        <f>_xlfn.IFERROR(VLOOKUP($A171,'The List'!$B1:$AS665,39,FALSE)," ")</f>
        <v>858</v>
      </c>
      <c r="N171" t="s" s="125">
        <f>_xlfn.IFERROR(VLOOKUP($A171,'The List'!$B1:$AS665,40,FALSE)," ")</f>
        <v>858</v>
      </c>
      <c r="O171" t="s" s="125">
        <f>_xlfn.IFERROR(VLOOKUP($A171,'The List'!$B1:$AS665,41,FALSE)," ")</f>
        <v>858</v>
      </c>
      <c r="P171" t="s" s="125">
        <f>_xlfn.IFERROR(VLOOKUP($A171,'The List'!$B1:$AS665,42,FALSE)," ")</f>
        <v>858</v>
      </c>
      <c r="Q171" t="s" s="125">
        <f>_xlfn.IFERROR(VLOOKUP($A171,'The List'!$B1:$AS665,43,FALSE)," ")</f>
        <v>858</v>
      </c>
      <c r="R171" s="120"/>
      <c r="S171" s="120"/>
      <c r="T171" s="120"/>
      <c r="U171" s="31"/>
      <c r="V171" s="31"/>
      <c r="W171" s="31"/>
      <c r="X171" s="31"/>
      <c r="Y171" s="31"/>
      <c r="Z171" s="31"/>
      <c r="AA171" s="120"/>
      <c r="AB171" s="120"/>
      <c r="AC171" s="120"/>
      <c r="AD171" s="120"/>
      <c r="AE171" s="120"/>
      <c r="AF171" s="168"/>
    </row>
    <row r="172" ht="21.25" customHeight="1">
      <c r="A172" s="137"/>
      <c r="B172" t="s" s="182">
        <f>_xlfn.IFERROR(VLOOKUP($A172,'The List'!$B1:$AS665,3,FALSE)," ")</f>
        <v>858</v>
      </c>
      <c r="C172" t="s" s="183">
        <f>_xlfn.IFERROR(VLOOKUP($A172,'The List'!$B1:$AS665,4,FALSE)," ")</f>
        <v>858</v>
      </c>
      <c r="D172" t="s" s="140">
        <f>_xlfn.IFERROR(VLOOKUP($A172,'The List'!$B1:$AS665,5,FALSE)," ")</f>
        <v>858</v>
      </c>
      <c r="E172" t="s" s="140">
        <f>_xlfn.IFERROR(VLOOKUP($A172,'The List'!$B1:$AS665,6,FALSE)," ")</f>
        <v>858</v>
      </c>
      <c r="F172" t="s" s="141">
        <f>_xlfn.IFERROR(VLOOKUP($A172,'The List'!$B1:$AS665,8,FALSE)," ")</f>
        <v>858</v>
      </c>
      <c r="G172" t="s" s="141">
        <f>_xlfn.IFERROR(VLOOKUP($A172,'The List'!$B1:$AS665,10,FALSE)," ")</f>
        <v>858</v>
      </c>
      <c r="H172" s="142"/>
      <c r="I172" t="s" s="143">
        <f>_xlfn.IFERROR(VLOOKUP($A172,'The List'!$B1:$AS665,35,FALSE)," ")</f>
        <v>858</v>
      </c>
      <c r="J172" t="s" s="143">
        <f>_xlfn.IFERROR(VLOOKUP($A172,'The List'!$B1:$AS665,36,FALSE)," ")</f>
        <v>858</v>
      </c>
      <c r="K172" t="s" s="143">
        <f>_xlfn.IFERROR(VLOOKUP($A172,'The List'!$B1:$AS665,37,FALSE)," ")</f>
        <v>858</v>
      </c>
      <c r="L172" t="s" s="143">
        <f>_xlfn.IFERROR(VLOOKUP($A172,'The List'!$B1:$AS665,38,FALSE)," ")</f>
        <v>858</v>
      </c>
      <c r="M172" t="s" s="143">
        <f>_xlfn.IFERROR(VLOOKUP($A172,'The List'!$B1:$AS665,39,FALSE)," ")</f>
        <v>858</v>
      </c>
      <c r="N172" t="s" s="143">
        <f>_xlfn.IFERROR(VLOOKUP($A172,'The List'!$B1:$AS665,40,FALSE)," ")</f>
        <v>858</v>
      </c>
      <c r="O172" t="s" s="143">
        <f>_xlfn.IFERROR(VLOOKUP($A172,'The List'!$B1:$AS665,41,FALSE)," ")</f>
        <v>858</v>
      </c>
      <c r="P172" t="s" s="143">
        <f>_xlfn.IFERROR(VLOOKUP($A172,'The List'!$B1:$AS665,42,FALSE)," ")</f>
        <v>858</v>
      </c>
      <c r="Q172" t="s" s="143">
        <f>_xlfn.IFERROR(VLOOKUP($A172,'The List'!$B1:$AS665,43,FALSE)," ")</f>
        <v>858</v>
      </c>
      <c r="R172" s="120"/>
      <c r="S172" s="120"/>
      <c r="T172" s="120"/>
      <c r="U172" s="31"/>
      <c r="V172" s="31"/>
      <c r="W172" s="31"/>
      <c r="X172" s="31"/>
      <c r="Y172" s="31"/>
      <c r="Z172" s="31"/>
      <c r="AA172" s="120"/>
      <c r="AB172" s="120"/>
      <c r="AC172" s="120"/>
      <c r="AD172" s="120"/>
      <c r="AE172" s="120"/>
      <c r="AF172" s="168"/>
    </row>
    <row r="173" ht="21.25" customHeight="1">
      <c r="A173" s="145"/>
      <c r="B173" s="146"/>
      <c r="C173" s="147"/>
      <c r="D173" s="148"/>
      <c r="E173" t="s" s="193">
        <f>_xlfn.IFERROR(AVERAGE(E170:E172)," ")</f>
        <v>858</v>
      </c>
      <c r="F173" s="150">
        <f>SUM(F170:F172)</f>
        <v>0</v>
      </c>
      <c r="G173" s="150">
        <f>SUM(G170:G172)</f>
        <v>0</v>
      </c>
      <c r="H173" s="151"/>
      <c r="I173" s="152">
        <f>SUM(I170:I172)</f>
        <v>0</v>
      </c>
      <c r="J173" s="151">
        <f>SUM(J170:J172)</f>
        <v>0</v>
      </c>
      <c r="K173" s="152">
        <f>SUM(K170:K172)</f>
        <v>0</v>
      </c>
      <c r="L173" s="152">
        <f>SUM(L170:L172)</f>
        <v>0</v>
      </c>
      <c r="M173" s="152">
        <f>SUM(M170:M172)</f>
        <v>0</v>
      </c>
      <c r="N173" s="152">
        <f>SUM(N170:N172)</f>
        <v>0</v>
      </c>
      <c r="O173" s="152">
        <f>SUM(O170:O172)</f>
        <v>0</v>
      </c>
      <c r="P173" s="184">
        <f>1-(O173/(N173+O173))</f>
      </c>
      <c r="Q173" s="185">
        <f>O173/I173</f>
      </c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  <c r="AB173" s="120"/>
      <c r="AC173" s="120"/>
      <c r="AD173" s="120"/>
      <c r="AE173" s="120"/>
      <c r="AF173" s="168"/>
    </row>
    <row r="174" ht="70.75" customHeight="1">
      <c r="A174" s="156"/>
      <c r="B174" s="157"/>
      <c r="C174" s="158"/>
      <c r="D174" s="13"/>
      <c r="E174" s="13"/>
      <c r="F174" s="159"/>
      <c r="G174" s="160"/>
      <c r="H174" s="161"/>
      <c r="I174" s="162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1"/>
      <c r="AB174" s="121"/>
      <c r="AC174" s="121"/>
      <c r="AD174" s="121"/>
      <c r="AE174" s="121"/>
      <c r="AF174" s="144"/>
    </row>
    <row r="175" ht="21.25" customHeight="1">
      <c r="A175" t="s" s="186">
        <v>864</v>
      </c>
      <c r="B175" t="s" s="187">
        <v>91</v>
      </c>
      <c r="C175" s="45"/>
      <c r="D175" t="s" s="187">
        <v>92</v>
      </c>
      <c r="E175" t="s" s="187">
        <v>93</v>
      </c>
      <c r="F175" t="s" s="188">
        <v>95</v>
      </c>
      <c r="G175" t="s" s="188">
        <v>97</v>
      </c>
      <c r="H175" s="189"/>
      <c r="I175" t="s" s="190">
        <v>102</v>
      </c>
      <c r="J175" t="s" s="190">
        <v>55</v>
      </c>
      <c r="K175" t="s" s="190">
        <v>103</v>
      </c>
      <c r="L175" t="s" s="190">
        <v>104</v>
      </c>
      <c r="M175" t="s" s="190">
        <v>105</v>
      </c>
      <c r="N175" t="s" s="190">
        <v>106</v>
      </c>
      <c r="O175" t="s" s="190">
        <v>107</v>
      </c>
      <c r="P175" t="s" s="190">
        <v>63</v>
      </c>
      <c r="Q175" t="s" s="190">
        <v>108</v>
      </c>
      <c r="R175" t="s" s="190">
        <v>109</v>
      </c>
      <c r="S175" t="s" s="190">
        <v>110</v>
      </c>
      <c r="T175" t="s" s="190">
        <v>111</v>
      </c>
      <c r="U175" t="s" s="190">
        <v>112</v>
      </c>
      <c r="V175" t="s" s="190">
        <v>113</v>
      </c>
      <c r="W175" t="s" s="190">
        <v>114</v>
      </c>
      <c r="X175" t="s" s="190">
        <v>115</v>
      </c>
      <c r="Y175" t="s" s="190">
        <v>116</v>
      </c>
      <c r="Z175" t="s" s="190">
        <v>117</v>
      </c>
      <c r="AA175" s="120"/>
      <c r="AB175" s="191"/>
      <c r="AC175" s="191"/>
      <c r="AD175" s="191"/>
      <c r="AE175" s="191"/>
      <c r="AF175" s="192"/>
    </row>
    <row r="176" ht="21.25" customHeight="1">
      <c r="A176" s="50"/>
      <c r="B176" t="s" s="117">
        <f>_xlfn.IFERROR(VLOOKUP($A176,'The List'!$B1:$AS665,3,FALSE)," ")</f>
        <v>858</v>
      </c>
      <c r="C176" t="s" s="123">
        <f>_xlfn.IFERROR(VLOOKUP($A176,'The List'!$B1:$AS665,4,FALSE)," ")</f>
        <v>858</v>
      </c>
      <c r="D176" t="s" s="86">
        <f>_xlfn.IFERROR(VLOOKUP($A176,'The List'!$B1:$AS665,5,FALSE)," ")</f>
        <v>858</v>
      </c>
      <c r="E176" t="s" s="86">
        <f>_xlfn.IFERROR(VLOOKUP($A176,'The List'!$B1:$AS665,6,FALSE)," ")</f>
        <v>858</v>
      </c>
      <c r="F176" t="s" s="124">
        <f>_xlfn.IFERROR(VLOOKUP($A176,'The List'!$B1:$AS665,8,FALSE)," ")</f>
        <v>858</v>
      </c>
      <c r="G176" t="s" s="124">
        <f>_xlfn.IFERROR(VLOOKUP($A176,'The List'!$B1:$AS665,10,FALSE)," ")</f>
        <v>858</v>
      </c>
      <c r="H176" s="77"/>
      <c r="I176" t="s" s="125">
        <f>_xlfn.IFERROR(VLOOKUP($A176,'The List'!$B1:$AS665,16,FALSE)," ")</f>
        <v>858</v>
      </c>
      <c r="J176" t="s" s="125">
        <f>_xlfn.IFERROR(VLOOKUP($A176,'The List'!$B1:$AS665,17,FALSE)," ")</f>
        <v>858</v>
      </c>
      <c r="K176" t="s" s="125">
        <f>_xlfn.IFERROR(VLOOKUP($A176,'The List'!$B1:$AS665,18,FALSE)," ")</f>
        <v>858</v>
      </c>
      <c r="L176" t="s" s="125">
        <f>_xlfn.IFERROR(VLOOKUP($A176,'The List'!$B1:$AS665,19,FALSE)," ")</f>
        <v>858</v>
      </c>
      <c r="M176" t="s" s="125">
        <f>_xlfn.IFERROR(VLOOKUP($A176,'The List'!$B1:$AS665,20,FALSE)," ")</f>
        <v>858</v>
      </c>
      <c r="N176" t="s" s="125">
        <f>_xlfn.IFERROR(VLOOKUP($A176,'The List'!$B1:$AS665,21,FALSE)," ")</f>
        <v>858</v>
      </c>
      <c r="O176" t="s" s="125">
        <f>_xlfn.IFERROR(VLOOKUP($A176,'The List'!$B1:$AS665,22,FALSE)," ")</f>
        <v>858</v>
      </c>
      <c r="P176" t="s" s="125">
        <f>_xlfn.IFERROR(VLOOKUP($A176,'The List'!$B1:$AS665,23,FALSE)," ")</f>
        <v>858</v>
      </c>
      <c r="Q176" t="s" s="125">
        <f>_xlfn.IFERROR(VLOOKUP($A176,'The List'!$B1:$AS665,24,FALSE)," ")</f>
        <v>858</v>
      </c>
      <c r="R176" t="s" s="125">
        <f>_xlfn.IFERROR(VLOOKUP($A176,'The List'!$B1:$AS665,25,FALSE)," ")</f>
        <v>858</v>
      </c>
      <c r="S176" t="s" s="125">
        <f>_xlfn.IFERROR(VLOOKUP($A176,'The List'!$B1:$AS665,26,FALSE)," ")</f>
        <v>858</v>
      </c>
      <c r="T176" t="s" s="125">
        <f>_xlfn.IFERROR(VLOOKUP($A176,'The List'!$B1:$AS665,27,FALSE)," ")</f>
        <v>858</v>
      </c>
      <c r="U176" t="s" s="125">
        <f>_xlfn.IFERROR(VLOOKUP($A176,'The List'!$B1:$AS665,28,FALSE)," ")</f>
        <v>858</v>
      </c>
      <c r="V176" t="s" s="125">
        <f>_xlfn.IFERROR(VLOOKUP($A176,'The List'!$B1:$AS665,29,FALSE)," ")</f>
        <v>858</v>
      </c>
      <c r="W176" t="s" s="125">
        <f>_xlfn.IFERROR(VLOOKUP($A176,'The List'!$B1:$AS665,30,FALSE)," ")</f>
        <v>858</v>
      </c>
      <c r="X176" t="s" s="125">
        <f>_xlfn.IFERROR(VLOOKUP($A176,'The List'!$B1:$AS665,31,FALSE)," ")</f>
        <v>858</v>
      </c>
      <c r="Y176" t="s" s="125">
        <f>_xlfn.IFERROR(VLOOKUP($A176,'The List'!$B1:$AS665,32,FALSE)," ")</f>
        <v>858</v>
      </c>
      <c r="Z176" t="s" s="125">
        <f>_xlfn.IFERROR(VLOOKUP($A176,'The List'!$B1:$AS665,33,FALSE)," ")</f>
        <v>858</v>
      </c>
      <c r="AA176" s="120"/>
      <c r="AB176" s="121"/>
      <c r="AC176" s="121"/>
      <c r="AD176" s="121"/>
      <c r="AE176" s="121"/>
      <c r="AF176" s="144"/>
    </row>
    <row r="177" ht="21.25" customHeight="1">
      <c r="A177" s="50"/>
      <c r="B177" t="s" s="117">
        <f>_xlfn.IFERROR(VLOOKUP($A177,'The List'!$B1:$AS665,3,FALSE)," ")</f>
        <v>858</v>
      </c>
      <c r="C177" t="s" s="123">
        <f>_xlfn.IFERROR(VLOOKUP($A177,'The List'!$B1:$AS665,4,FALSE)," ")</f>
        <v>858</v>
      </c>
      <c r="D177" t="s" s="86">
        <f>_xlfn.IFERROR(VLOOKUP($A177,'The List'!$B1:$AS665,5,FALSE)," ")</f>
        <v>858</v>
      </c>
      <c r="E177" t="s" s="86">
        <f>_xlfn.IFERROR(VLOOKUP($A177,'The List'!$B1:$AS665,6,FALSE)," ")</f>
        <v>858</v>
      </c>
      <c r="F177" t="s" s="124">
        <f>_xlfn.IFERROR(VLOOKUP($A177,'The List'!$B1:$AS665,8,FALSE)," ")</f>
        <v>858</v>
      </c>
      <c r="G177" t="s" s="124">
        <f>_xlfn.IFERROR(VLOOKUP($A177,'The List'!$B1:$AS665,10,FALSE)," ")</f>
        <v>858</v>
      </c>
      <c r="H177" s="77"/>
      <c r="I177" t="s" s="125">
        <f>_xlfn.IFERROR(VLOOKUP($A177,'The List'!$B1:$AS665,16,FALSE)," ")</f>
        <v>858</v>
      </c>
      <c r="J177" t="s" s="125">
        <f>_xlfn.IFERROR(VLOOKUP($A177,'The List'!$B1:$AS665,17,FALSE)," ")</f>
        <v>858</v>
      </c>
      <c r="K177" t="s" s="125">
        <f>_xlfn.IFERROR(VLOOKUP($A177,'The List'!$B1:$AS665,18,FALSE)," ")</f>
        <v>858</v>
      </c>
      <c r="L177" t="s" s="125">
        <f>_xlfn.IFERROR(VLOOKUP($A177,'The List'!$B1:$AS665,19,FALSE)," ")</f>
        <v>858</v>
      </c>
      <c r="M177" t="s" s="125">
        <f>_xlfn.IFERROR(VLOOKUP($A177,'The List'!$B1:$AS665,20,FALSE)," ")</f>
        <v>858</v>
      </c>
      <c r="N177" t="s" s="125">
        <f>_xlfn.IFERROR(VLOOKUP($A177,'The List'!$B1:$AS665,21,FALSE)," ")</f>
        <v>858</v>
      </c>
      <c r="O177" t="s" s="125">
        <f>_xlfn.IFERROR(VLOOKUP($A177,'The List'!$B1:$AS665,22,FALSE)," ")</f>
        <v>858</v>
      </c>
      <c r="P177" t="s" s="125">
        <f>_xlfn.IFERROR(VLOOKUP($A177,'The List'!$B1:$AS665,23,FALSE)," ")</f>
        <v>858</v>
      </c>
      <c r="Q177" t="s" s="125">
        <f>_xlfn.IFERROR(VLOOKUP($A177,'The List'!$B1:$AS665,24,FALSE)," ")</f>
        <v>858</v>
      </c>
      <c r="R177" t="s" s="125">
        <f>_xlfn.IFERROR(VLOOKUP($A177,'The List'!$B1:$AS665,25,FALSE)," ")</f>
        <v>858</v>
      </c>
      <c r="S177" t="s" s="125">
        <f>_xlfn.IFERROR(VLOOKUP($A177,'The List'!$B1:$AS665,26,FALSE)," ")</f>
        <v>858</v>
      </c>
      <c r="T177" t="s" s="125">
        <f>_xlfn.IFERROR(VLOOKUP($A177,'The List'!$B1:$AS665,27,FALSE)," ")</f>
        <v>858</v>
      </c>
      <c r="U177" t="s" s="125">
        <f>_xlfn.IFERROR(VLOOKUP($A177,'The List'!$B1:$AS665,28,FALSE)," ")</f>
        <v>858</v>
      </c>
      <c r="V177" t="s" s="125">
        <f>_xlfn.IFERROR(VLOOKUP($A177,'The List'!$B1:$AS665,29,FALSE)," ")</f>
        <v>858</v>
      </c>
      <c r="W177" t="s" s="125">
        <f>_xlfn.IFERROR(VLOOKUP($A177,'The List'!$B1:$AS665,30,FALSE)," ")</f>
        <v>858</v>
      </c>
      <c r="X177" t="s" s="125">
        <f>_xlfn.IFERROR(VLOOKUP($A177,'The List'!$B1:$AS665,31,FALSE)," ")</f>
        <v>858</v>
      </c>
      <c r="Y177" t="s" s="125">
        <f>_xlfn.IFERROR(VLOOKUP($A177,'The List'!$B1:$AS665,32,FALSE)," ")</f>
        <v>858</v>
      </c>
      <c r="Z177" t="s" s="125">
        <f>_xlfn.IFERROR(VLOOKUP($A177,'The List'!$B1:$AS665,33,FALSE)," ")</f>
        <v>858</v>
      </c>
      <c r="AA177" s="120"/>
      <c r="AB177" s="121"/>
      <c r="AC177" s="121"/>
      <c r="AD177" s="121"/>
      <c r="AE177" s="121"/>
      <c r="AF177" s="144"/>
    </row>
    <row r="178" ht="21.25" customHeight="1">
      <c r="A178" s="50"/>
      <c r="B178" t="s" s="117">
        <f>_xlfn.IFERROR(VLOOKUP($A178,'The List'!$B1:$AS665,3,FALSE)," ")</f>
        <v>858</v>
      </c>
      <c r="C178" t="s" s="123">
        <f>_xlfn.IFERROR(VLOOKUP($A178,'The List'!$B1:$AS665,4,FALSE)," ")</f>
        <v>858</v>
      </c>
      <c r="D178" t="s" s="86">
        <f>_xlfn.IFERROR(VLOOKUP($A178,'The List'!$B1:$AS665,5,FALSE)," ")</f>
        <v>858</v>
      </c>
      <c r="E178" t="s" s="86">
        <f>_xlfn.IFERROR(VLOOKUP($A178,'The List'!$B1:$AS665,6,FALSE)," ")</f>
        <v>858</v>
      </c>
      <c r="F178" t="s" s="124">
        <f>_xlfn.IFERROR(VLOOKUP($A178,'The List'!$B1:$AS665,8,FALSE)," ")</f>
        <v>858</v>
      </c>
      <c r="G178" t="s" s="124">
        <f>_xlfn.IFERROR(VLOOKUP($A178,'The List'!$B1:$AS665,10,FALSE)," ")</f>
        <v>858</v>
      </c>
      <c r="H178" s="77"/>
      <c r="I178" t="s" s="125">
        <f>_xlfn.IFERROR(VLOOKUP($A178,'The List'!$B1:$AS665,16,FALSE)," ")</f>
        <v>858</v>
      </c>
      <c r="J178" t="s" s="125">
        <f>_xlfn.IFERROR(VLOOKUP($A178,'The List'!$B1:$AS665,17,FALSE)," ")</f>
        <v>858</v>
      </c>
      <c r="K178" t="s" s="125">
        <f>_xlfn.IFERROR(VLOOKUP($A178,'The List'!$B1:$AS665,18,FALSE)," ")</f>
        <v>858</v>
      </c>
      <c r="L178" t="s" s="125">
        <f>_xlfn.IFERROR(VLOOKUP($A178,'The List'!$B1:$AS665,19,FALSE)," ")</f>
        <v>858</v>
      </c>
      <c r="M178" t="s" s="125">
        <f>_xlfn.IFERROR(VLOOKUP($A178,'The List'!$B1:$AS665,20,FALSE)," ")</f>
        <v>858</v>
      </c>
      <c r="N178" t="s" s="125">
        <f>_xlfn.IFERROR(VLOOKUP($A178,'The List'!$B1:$AS665,21,FALSE)," ")</f>
        <v>858</v>
      </c>
      <c r="O178" t="s" s="125">
        <f>_xlfn.IFERROR(VLOOKUP($A178,'The List'!$B1:$AS665,22,FALSE)," ")</f>
        <v>858</v>
      </c>
      <c r="P178" t="s" s="125">
        <f>_xlfn.IFERROR(VLOOKUP($A178,'The List'!$B1:$AS665,23,FALSE)," ")</f>
        <v>858</v>
      </c>
      <c r="Q178" t="s" s="125">
        <f>_xlfn.IFERROR(VLOOKUP($A178,'The List'!$B1:$AS665,24,FALSE)," ")</f>
        <v>858</v>
      </c>
      <c r="R178" t="s" s="125">
        <f>_xlfn.IFERROR(VLOOKUP($A178,'The List'!$B1:$AS665,25,FALSE)," ")</f>
        <v>858</v>
      </c>
      <c r="S178" t="s" s="125">
        <f>_xlfn.IFERROR(VLOOKUP($A178,'The List'!$B1:$AS665,26,FALSE)," ")</f>
        <v>858</v>
      </c>
      <c r="T178" t="s" s="125">
        <f>_xlfn.IFERROR(VLOOKUP($A178,'The List'!$B1:$AS665,27,FALSE)," ")</f>
        <v>858</v>
      </c>
      <c r="U178" t="s" s="125">
        <f>_xlfn.IFERROR(VLOOKUP($A178,'The List'!$B1:$AS665,28,FALSE)," ")</f>
        <v>858</v>
      </c>
      <c r="V178" t="s" s="125">
        <f>_xlfn.IFERROR(VLOOKUP($A178,'The List'!$B1:$AS665,29,FALSE)," ")</f>
        <v>858</v>
      </c>
      <c r="W178" t="s" s="125">
        <f>_xlfn.IFERROR(VLOOKUP($A178,'The List'!$B1:$AS665,30,FALSE)," ")</f>
        <v>858</v>
      </c>
      <c r="X178" t="s" s="125">
        <f>_xlfn.IFERROR(VLOOKUP($A178,'The List'!$B1:$AS665,31,FALSE)," ")</f>
        <v>858</v>
      </c>
      <c r="Y178" t="s" s="125">
        <f>_xlfn.IFERROR(VLOOKUP($A178,'The List'!$B1:$AS665,32,FALSE)," ")</f>
        <v>858</v>
      </c>
      <c r="Z178" t="s" s="125">
        <f>_xlfn.IFERROR(VLOOKUP($A178,'The List'!$B1:$AS665,33,FALSE)," ")</f>
        <v>858</v>
      </c>
      <c r="AA178" s="120"/>
      <c r="AB178" s="121"/>
      <c r="AC178" s="121"/>
      <c r="AD178" s="121"/>
      <c r="AE178" s="121"/>
      <c r="AF178" s="144"/>
    </row>
    <row r="179" ht="21.25" customHeight="1">
      <c r="A179" s="50"/>
      <c r="B179" t="s" s="117">
        <f>_xlfn.IFERROR(VLOOKUP($A179,'The List'!$B1:$AS665,3,FALSE)," ")</f>
        <v>858</v>
      </c>
      <c r="C179" t="s" s="123">
        <f>_xlfn.IFERROR(VLOOKUP($A179,'The List'!$B1:$AS665,4,FALSE)," ")</f>
        <v>858</v>
      </c>
      <c r="D179" t="s" s="86">
        <f>_xlfn.IFERROR(VLOOKUP($A179,'The List'!$B1:$AS665,5,FALSE)," ")</f>
        <v>858</v>
      </c>
      <c r="E179" t="s" s="86">
        <f>_xlfn.IFERROR(VLOOKUP($A179,'The List'!$B1:$AS665,6,FALSE)," ")</f>
        <v>858</v>
      </c>
      <c r="F179" t="s" s="124">
        <f>_xlfn.IFERROR(VLOOKUP($A179,'The List'!$B1:$AS665,8,FALSE)," ")</f>
        <v>858</v>
      </c>
      <c r="G179" t="s" s="124">
        <f>_xlfn.IFERROR(VLOOKUP($A179,'The List'!$B1:$AS665,10,FALSE)," ")</f>
        <v>858</v>
      </c>
      <c r="H179" s="77"/>
      <c r="I179" t="s" s="125">
        <f>_xlfn.IFERROR(VLOOKUP($A179,'The List'!$B1:$AS665,16,FALSE)," ")</f>
        <v>858</v>
      </c>
      <c r="J179" t="s" s="125">
        <f>_xlfn.IFERROR(VLOOKUP($A179,'The List'!$B1:$AS665,17,FALSE)," ")</f>
        <v>858</v>
      </c>
      <c r="K179" t="s" s="125">
        <f>_xlfn.IFERROR(VLOOKUP($A179,'The List'!$B1:$AS665,18,FALSE)," ")</f>
        <v>858</v>
      </c>
      <c r="L179" t="s" s="125">
        <f>_xlfn.IFERROR(VLOOKUP($A179,'The List'!$B1:$AS665,19,FALSE)," ")</f>
        <v>858</v>
      </c>
      <c r="M179" t="s" s="125">
        <f>_xlfn.IFERROR(VLOOKUP($A179,'The List'!$B1:$AS665,20,FALSE)," ")</f>
        <v>858</v>
      </c>
      <c r="N179" t="s" s="125">
        <f>_xlfn.IFERROR(VLOOKUP($A179,'The List'!$B1:$AS665,21,FALSE)," ")</f>
        <v>858</v>
      </c>
      <c r="O179" t="s" s="125">
        <f>_xlfn.IFERROR(VLOOKUP($A179,'The List'!$B1:$AS665,22,FALSE)," ")</f>
        <v>858</v>
      </c>
      <c r="P179" t="s" s="125">
        <f>_xlfn.IFERROR(VLOOKUP($A179,'The List'!$B1:$AS665,23,FALSE)," ")</f>
        <v>858</v>
      </c>
      <c r="Q179" t="s" s="125">
        <f>_xlfn.IFERROR(VLOOKUP($A179,'The List'!$B1:$AS665,24,FALSE)," ")</f>
        <v>858</v>
      </c>
      <c r="R179" t="s" s="125">
        <f>_xlfn.IFERROR(VLOOKUP($A179,'The List'!$B1:$AS665,25,FALSE)," ")</f>
        <v>858</v>
      </c>
      <c r="S179" t="s" s="125">
        <f>_xlfn.IFERROR(VLOOKUP($A179,'The List'!$B1:$AS665,26,FALSE)," ")</f>
        <v>858</v>
      </c>
      <c r="T179" t="s" s="125">
        <f>_xlfn.IFERROR(VLOOKUP($A179,'The List'!$B1:$AS665,27,FALSE)," ")</f>
        <v>858</v>
      </c>
      <c r="U179" t="s" s="125">
        <f>_xlfn.IFERROR(VLOOKUP($A179,'The List'!$B1:$AS665,28,FALSE)," ")</f>
        <v>858</v>
      </c>
      <c r="V179" t="s" s="125">
        <f>_xlfn.IFERROR(VLOOKUP($A179,'The List'!$B1:$AS665,29,FALSE)," ")</f>
        <v>858</v>
      </c>
      <c r="W179" t="s" s="125">
        <f>_xlfn.IFERROR(VLOOKUP($A179,'The List'!$B1:$AS665,30,FALSE)," ")</f>
        <v>858</v>
      </c>
      <c r="X179" t="s" s="125">
        <f>_xlfn.IFERROR(VLOOKUP($A179,'The List'!$B1:$AS665,31,FALSE)," ")</f>
        <v>858</v>
      </c>
      <c r="Y179" t="s" s="125">
        <f>_xlfn.IFERROR(VLOOKUP($A179,'The List'!$B1:$AS665,32,FALSE)," ")</f>
        <v>858</v>
      </c>
      <c r="Z179" t="s" s="125">
        <f>_xlfn.IFERROR(VLOOKUP($A179,'The List'!$B1:$AS665,33,FALSE)," ")</f>
        <v>858</v>
      </c>
      <c r="AA179" s="120"/>
      <c r="AB179" s="121"/>
      <c r="AC179" s="121"/>
      <c r="AD179" s="121"/>
      <c r="AE179" s="121"/>
      <c r="AF179" s="144"/>
    </row>
    <row r="180" ht="21.25" customHeight="1">
      <c r="A180" s="50"/>
      <c r="B180" t="s" s="126">
        <f>_xlfn.IFERROR(VLOOKUP($A180,'The List'!$B1:$AS665,3,FALSE)," ")</f>
        <v>858</v>
      </c>
      <c r="C180" t="s" s="128">
        <f>_xlfn.IFERROR(VLOOKUP($A180,'The List'!$B1:$AS665,4,FALSE)," ")</f>
        <v>858</v>
      </c>
      <c r="D180" t="s" s="86">
        <f>_xlfn.IFERROR(VLOOKUP($A180,'The List'!$B1:$AS665,5,FALSE)," ")</f>
        <v>858</v>
      </c>
      <c r="E180" t="s" s="86">
        <f>_xlfn.IFERROR(VLOOKUP($A180,'The List'!$B1:$AS665,6,FALSE)," ")</f>
        <v>858</v>
      </c>
      <c r="F180" t="s" s="124">
        <f>_xlfn.IFERROR(VLOOKUP($A180,'The List'!$B1:$AS665,8,FALSE)," ")</f>
        <v>858</v>
      </c>
      <c r="G180" t="s" s="124">
        <f>_xlfn.IFERROR(VLOOKUP($A180,'The List'!$B1:$AS665,10,FALSE)," ")</f>
        <v>858</v>
      </c>
      <c r="H180" s="77"/>
      <c r="I180" t="s" s="125">
        <f>_xlfn.IFERROR(VLOOKUP($A180,'The List'!$B1:$AS665,16,FALSE)," ")</f>
        <v>858</v>
      </c>
      <c r="J180" t="s" s="125">
        <f>_xlfn.IFERROR(VLOOKUP($A180,'The List'!$B1:$AS665,17,FALSE)," ")</f>
        <v>858</v>
      </c>
      <c r="K180" t="s" s="125">
        <f>_xlfn.IFERROR(VLOOKUP($A180,'The List'!$B1:$AS665,18,FALSE)," ")</f>
        <v>858</v>
      </c>
      <c r="L180" t="s" s="125">
        <f>_xlfn.IFERROR(VLOOKUP($A180,'The List'!$B1:$AS665,19,FALSE)," ")</f>
        <v>858</v>
      </c>
      <c r="M180" t="s" s="125">
        <f>_xlfn.IFERROR(VLOOKUP($A180,'The List'!$B1:$AS665,20,FALSE)," ")</f>
        <v>858</v>
      </c>
      <c r="N180" t="s" s="125">
        <f>_xlfn.IFERROR(VLOOKUP($A180,'The List'!$B1:$AS665,21,FALSE)," ")</f>
        <v>858</v>
      </c>
      <c r="O180" t="s" s="125">
        <f>_xlfn.IFERROR(VLOOKUP($A180,'The List'!$B1:$AS665,22,FALSE)," ")</f>
        <v>858</v>
      </c>
      <c r="P180" t="s" s="125">
        <f>_xlfn.IFERROR(VLOOKUP($A180,'The List'!$B1:$AS665,23,FALSE)," ")</f>
        <v>858</v>
      </c>
      <c r="Q180" t="s" s="125">
        <f>_xlfn.IFERROR(VLOOKUP($A180,'The List'!$B1:$AS665,24,FALSE)," ")</f>
        <v>858</v>
      </c>
      <c r="R180" t="s" s="125">
        <f>_xlfn.IFERROR(VLOOKUP($A180,'The List'!$B1:$AS665,25,FALSE)," ")</f>
        <v>858</v>
      </c>
      <c r="S180" t="s" s="125">
        <f>_xlfn.IFERROR(VLOOKUP($A180,'The List'!$B1:$AS665,26,FALSE)," ")</f>
        <v>858</v>
      </c>
      <c r="T180" t="s" s="125">
        <f>_xlfn.IFERROR(VLOOKUP($A180,'The List'!$B1:$AS665,27,FALSE)," ")</f>
        <v>858</v>
      </c>
      <c r="U180" t="s" s="125">
        <f>_xlfn.IFERROR(VLOOKUP($A180,'The List'!$B1:$AS665,28,FALSE)," ")</f>
        <v>858</v>
      </c>
      <c r="V180" t="s" s="125">
        <f>_xlfn.IFERROR(VLOOKUP($A180,'The List'!$B1:$AS665,29,FALSE)," ")</f>
        <v>858</v>
      </c>
      <c r="W180" t="s" s="125">
        <f>_xlfn.IFERROR(VLOOKUP($A180,'The List'!$B1:$AS665,30,FALSE)," ")</f>
        <v>858</v>
      </c>
      <c r="X180" t="s" s="125">
        <f>_xlfn.IFERROR(VLOOKUP($A180,'The List'!$B1:$AS665,31,FALSE)," ")</f>
        <v>858</v>
      </c>
      <c r="Y180" t="s" s="125">
        <f>_xlfn.IFERROR(VLOOKUP($A180,'The List'!$B1:$AS665,32,FALSE)," ")</f>
        <v>858</v>
      </c>
      <c r="Z180" t="s" s="125">
        <f>_xlfn.IFERROR(VLOOKUP($A180,'The List'!$B1:$AS665,33,FALSE)," ")</f>
        <v>858</v>
      </c>
      <c r="AA180" s="120"/>
      <c r="AB180" s="121"/>
      <c r="AC180" s="121"/>
      <c r="AD180" s="121"/>
      <c r="AE180" s="121"/>
      <c r="AF180" s="144"/>
    </row>
    <row r="181" ht="21.25" customHeight="1">
      <c r="A181" s="50"/>
      <c r="B181" t="s" s="126">
        <f>_xlfn.IFERROR(VLOOKUP($A181,'The List'!$B1:$AS665,3,FALSE)," ")</f>
        <v>858</v>
      </c>
      <c r="C181" t="s" s="128">
        <f>_xlfn.IFERROR(VLOOKUP($A181,'The List'!$B1:$AS665,4,FALSE)," ")</f>
        <v>858</v>
      </c>
      <c r="D181" t="s" s="86">
        <f>_xlfn.IFERROR(VLOOKUP($A181,'The List'!$B1:$AS665,5,FALSE)," ")</f>
        <v>858</v>
      </c>
      <c r="E181" t="s" s="86">
        <f>_xlfn.IFERROR(VLOOKUP($A181,'The List'!$B1:$AS665,6,FALSE)," ")</f>
        <v>858</v>
      </c>
      <c r="F181" t="s" s="124">
        <f>_xlfn.IFERROR(VLOOKUP($A181,'The List'!$B1:$AS665,8,FALSE)," ")</f>
        <v>858</v>
      </c>
      <c r="G181" t="s" s="124">
        <f>_xlfn.IFERROR(VLOOKUP($A181,'The List'!$B1:$AS665,10,FALSE)," ")</f>
        <v>858</v>
      </c>
      <c r="H181" s="77"/>
      <c r="I181" t="s" s="125">
        <f>_xlfn.IFERROR(VLOOKUP($A181,'The List'!$B1:$AS665,16,FALSE)," ")</f>
        <v>858</v>
      </c>
      <c r="J181" t="s" s="125">
        <f>_xlfn.IFERROR(VLOOKUP($A181,'The List'!$B1:$AS665,17,FALSE)," ")</f>
        <v>858</v>
      </c>
      <c r="K181" t="s" s="125">
        <f>_xlfn.IFERROR(VLOOKUP($A181,'The List'!$B1:$AS665,18,FALSE)," ")</f>
        <v>858</v>
      </c>
      <c r="L181" t="s" s="125">
        <f>_xlfn.IFERROR(VLOOKUP($A181,'The List'!$B1:$AS665,19,FALSE)," ")</f>
        <v>858</v>
      </c>
      <c r="M181" t="s" s="125">
        <f>_xlfn.IFERROR(VLOOKUP($A181,'The List'!$B1:$AS665,20,FALSE)," ")</f>
        <v>858</v>
      </c>
      <c r="N181" t="s" s="125">
        <f>_xlfn.IFERROR(VLOOKUP($A181,'The List'!$B1:$AS665,21,FALSE)," ")</f>
        <v>858</v>
      </c>
      <c r="O181" t="s" s="125">
        <f>_xlfn.IFERROR(VLOOKUP($A181,'The List'!$B1:$AS665,22,FALSE)," ")</f>
        <v>858</v>
      </c>
      <c r="P181" t="s" s="125">
        <f>_xlfn.IFERROR(VLOOKUP($A181,'The List'!$B1:$AS665,23,FALSE)," ")</f>
        <v>858</v>
      </c>
      <c r="Q181" t="s" s="125">
        <f>_xlfn.IFERROR(VLOOKUP($A181,'The List'!$B1:$AS665,24,FALSE)," ")</f>
        <v>858</v>
      </c>
      <c r="R181" t="s" s="125">
        <f>_xlfn.IFERROR(VLOOKUP($A181,'The List'!$B1:$AS665,25,FALSE)," ")</f>
        <v>858</v>
      </c>
      <c r="S181" t="s" s="125">
        <f>_xlfn.IFERROR(VLOOKUP($A181,'The List'!$B1:$AS665,26,FALSE)," ")</f>
        <v>858</v>
      </c>
      <c r="T181" t="s" s="125">
        <f>_xlfn.IFERROR(VLOOKUP($A181,'The List'!$B1:$AS665,27,FALSE)," ")</f>
        <v>858</v>
      </c>
      <c r="U181" t="s" s="125">
        <f>_xlfn.IFERROR(VLOOKUP($A181,'The List'!$B1:$AS665,28,FALSE)," ")</f>
        <v>858</v>
      </c>
      <c r="V181" t="s" s="125">
        <f>_xlfn.IFERROR(VLOOKUP($A181,'The List'!$B1:$AS665,29,FALSE)," ")</f>
        <v>858</v>
      </c>
      <c r="W181" t="s" s="125">
        <f>_xlfn.IFERROR(VLOOKUP($A181,'The List'!$B1:$AS665,30,FALSE)," ")</f>
        <v>858</v>
      </c>
      <c r="X181" t="s" s="125">
        <f>_xlfn.IFERROR(VLOOKUP($A181,'The List'!$B1:$AS665,31,FALSE)," ")</f>
        <v>858</v>
      </c>
      <c r="Y181" t="s" s="125">
        <f>_xlfn.IFERROR(VLOOKUP($A181,'The List'!$B1:$AS665,32,FALSE)," ")</f>
        <v>858</v>
      </c>
      <c r="Z181" t="s" s="125">
        <f>_xlfn.IFERROR(VLOOKUP($A181,'The List'!$B1:$AS665,33,FALSE)," ")</f>
        <v>858</v>
      </c>
      <c r="AA181" s="120"/>
      <c r="AB181" s="121"/>
      <c r="AC181" s="121"/>
      <c r="AD181" s="121"/>
      <c r="AE181" s="121"/>
      <c r="AF181" s="144"/>
    </row>
    <row r="182" ht="21.25" customHeight="1">
      <c r="A182" s="50"/>
      <c r="B182" t="s" s="126">
        <f>_xlfn.IFERROR(VLOOKUP($A182,'The List'!$B1:$AS665,3,FALSE)," ")</f>
        <v>858</v>
      </c>
      <c r="C182" t="s" s="128">
        <f>_xlfn.IFERROR(VLOOKUP($A182,'The List'!$B1:$AS665,4,FALSE)," ")</f>
        <v>858</v>
      </c>
      <c r="D182" t="s" s="86">
        <f>_xlfn.IFERROR(VLOOKUP($A182,'The List'!$B1:$AS665,5,FALSE)," ")</f>
        <v>858</v>
      </c>
      <c r="E182" t="s" s="86">
        <f>_xlfn.IFERROR(VLOOKUP($A182,'The List'!$B1:$AS665,6,FALSE)," ")</f>
        <v>858</v>
      </c>
      <c r="F182" t="s" s="124">
        <f>_xlfn.IFERROR(VLOOKUP($A182,'The List'!$B1:$AS665,8,FALSE)," ")</f>
        <v>858</v>
      </c>
      <c r="G182" t="s" s="124">
        <f>_xlfn.IFERROR(VLOOKUP($A182,'The List'!$B1:$AS665,10,FALSE)," ")</f>
        <v>858</v>
      </c>
      <c r="H182" s="77"/>
      <c r="I182" t="s" s="125">
        <f>_xlfn.IFERROR(VLOOKUP($A182,'The List'!$B1:$AS665,16,FALSE)," ")</f>
        <v>858</v>
      </c>
      <c r="J182" t="s" s="125">
        <f>_xlfn.IFERROR(VLOOKUP($A182,'The List'!$B1:$AS665,17,FALSE)," ")</f>
        <v>858</v>
      </c>
      <c r="K182" t="s" s="125">
        <f>_xlfn.IFERROR(VLOOKUP($A182,'The List'!$B1:$AS665,18,FALSE)," ")</f>
        <v>858</v>
      </c>
      <c r="L182" t="s" s="125">
        <f>_xlfn.IFERROR(VLOOKUP($A182,'The List'!$B1:$AS665,19,FALSE)," ")</f>
        <v>858</v>
      </c>
      <c r="M182" t="s" s="125">
        <f>_xlfn.IFERROR(VLOOKUP($A182,'The List'!$B1:$AS665,20,FALSE)," ")</f>
        <v>858</v>
      </c>
      <c r="N182" t="s" s="125">
        <f>_xlfn.IFERROR(VLOOKUP($A182,'The List'!$B1:$AS665,21,FALSE)," ")</f>
        <v>858</v>
      </c>
      <c r="O182" t="s" s="125">
        <f>_xlfn.IFERROR(VLOOKUP($A182,'The List'!$B1:$AS665,22,FALSE)," ")</f>
        <v>858</v>
      </c>
      <c r="P182" t="s" s="125">
        <f>_xlfn.IFERROR(VLOOKUP($A182,'The List'!$B1:$AS665,23,FALSE)," ")</f>
        <v>858</v>
      </c>
      <c r="Q182" t="s" s="125">
        <f>_xlfn.IFERROR(VLOOKUP($A182,'The List'!$B1:$AS665,24,FALSE)," ")</f>
        <v>858</v>
      </c>
      <c r="R182" t="s" s="125">
        <f>_xlfn.IFERROR(VLOOKUP($A182,'The List'!$B1:$AS665,25,FALSE)," ")</f>
        <v>858</v>
      </c>
      <c r="S182" t="s" s="125">
        <f>_xlfn.IFERROR(VLOOKUP($A182,'The List'!$B1:$AS665,26,FALSE)," ")</f>
        <v>858</v>
      </c>
      <c r="T182" t="s" s="125">
        <f>_xlfn.IFERROR(VLOOKUP($A182,'The List'!$B1:$AS665,27,FALSE)," ")</f>
        <v>858</v>
      </c>
      <c r="U182" t="s" s="125">
        <f>_xlfn.IFERROR(VLOOKUP($A182,'The List'!$B1:$AS665,28,FALSE)," ")</f>
        <v>858</v>
      </c>
      <c r="V182" t="s" s="125">
        <f>_xlfn.IFERROR(VLOOKUP($A182,'The List'!$B1:$AS665,29,FALSE)," ")</f>
        <v>858</v>
      </c>
      <c r="W182" t="s" s="125">
        <f>_xlfn.IFERROR(VLOOKUP($A182,'The List'!$B1:$AS665,30,FALSE)," ")</f>
        <v>858</v>
      </c>
      <c r="X182" t="s" s="125">
        <f>_xlfn.IFERROR(VLOOKUP($A182,'The List'!$B1:$AS665,31,FALSE)," ")</f>
        <v>858</v>
      </c>
      <c r="Y182" t="s" s="125">
        <f>_xlfn.IFERROR(VLOOKUP($A182,'The List'!$B1:$AS665,32,FALSE)," ")</f>
        <v>858</v>
      </c>
      <c r="Z182" t="s" s="125">
        <f>_xlfn.IFERROR(VLOOKUP($A182,'The List'!$B1:$AS665,33,FALSE)," ")</f>
        <v>858</v>
      </c>
      <c r="AA182" s="120"/>
      <c r="AB182" s="121"/>
      <c r="AC182" s="121"/>
      <c r="AD182" s="121"/>
      <c r="AE182" s="121"/>
      <c r="AF182" s="144"/>
    </row>
    <row r="183" ht="21.25" customHeight="1">
      <c r="A183" s="50"/>
      <c r="B183" t="s" s="126">
        <f>_xlfn.IFERROR(VLOOKUP($A183,'The List'!$B1:$AS665,3,FALSE)," ")</f>
        <v>858</v>
      </c>
      <c r="C183" t="s" s="128">
        <f>_xlfn.IFERROR(VLOOKUP($A183,'The List'!$B1:$AS665,4,FALSE)," ")</f>
        <v>858</v>
      </c>
      <c r="D183" t="s" s="86">
        <f>_xlfn.IFERROR(VLOOKUP($A183,'The List'!$B1:$AS665,5,FALSE)," ")</f>
        <v>858</v>
      </c>
      <c r="E183" t="s" s="86">
        <f>_xlfn.IFERROR(VLOOKUP($A183,'The List'!$B1:$AS665,6,FALSE)," ")</f>
        <v>858</v>
      </c>
      <c r="F183" t="s" s="124">
        <f>_xlfn.IFERROR(VLOOKUP($A183,'The List'!$B1:$AS665,8,FALSE)," ")</f>
        <v>858</v>
      </c>
      <c r="G183" t="s" s="124">
        <f>_xlfn.IFERROR(VLOOKUP($A183,'The List'!$B1:$AS665,10,FALSE)," ")</f>
        <v>858</v>
      </c>
      <c r="H183" s="77"/>
      <c r="I183" t="s" s="125">
        <f>_xlfn.IFERROR(VLOOKUP($A183,'The List'!$B1:$AS665,16,FALSE)," ")</f>
        <v>858</v>
      </c>
      <c r="J183" t="s" s="125">
        <f>_xlfn.IFERROR(VLOOKUP($A183,'The List'!$B1:$AS665,17,FALSE)," ")</f>
        <v>858</v>
      </c>
      <c r="K183" t="s" s="125">
        <f>_xlfn.IFERROR(VLOOKUP($A183,'The List'!$B1:$AS665,18,FALSE)," ")</f>
        <v>858</v>
      </c>
      <c r="L183" t="s" s="125">
        <f>_xlfn.IFERROR(VLOOKUP($A183,'The List'!$B1:$AS665,19,FALSE)," ")</f>
        <v>858</v>
      </c>
      <c r="M183" t="s" s="125">
        <f>_xlfn.IFERROR(VLOOKUP($A183,'The List'!$B1:$AS665,20,FALSE)," ")</f>
        <v>858</v>
      </c>
      <c r="N183" t="s" s="125">
        <f>_xlfn.IFERROR(VLOOKUP($A183,'The List'!$B1:$AS665,21,FALSE)," ")</f>
        <v>858</v>
      </c>
      <c r="O183" t="s" s="125">
        <f>_xlfn.IFERROR(VLOOKUP($A183,'The List'!$B1:$AS665,22,FALSE)," ")</f>
        <v>858</v>
      </c>
      <c r="P183" t="s" s="125">
        <f>_xlfn.IFERROR(VLOOKUP($A183,'The List'!$B1:$AS665,23,FALSE)," ")</f>
        <v>858</v>
      </c>
      <c r="Q183" t="s" s="125">
        <f>_xlfn.IFERROR(VLOOKUP($A183,'The List'!$B1:$AS665,24,FALSE)," ")</f>
        <v>858</v>
      </c>
      <c r="R183" t="s" s="125">
        <f>_xlfn.IFERROR(VLOOKUP($A183,'The List'!$B1:$AS665,25,FALSE)," ")</f>
        <v>858</v>
      </c>
      <c r="S183" t="s" s="125">
        <f>_xlfn.IFERROR(VLOOKUP($A183,'The List'!$B1:$AS665,26,FALSE)," ")</f>
        <v>858</v>
      </c>
      <c r="T183" t="s" s="125">
        <f>_xlfn.IFERROR(VLOOKUP($A183,'The List'!$B1:$AS665,27,FALSE)," ")</f>
        <v>858</v>
      </c>
      <c r="U183" t="s" s="125">
        <f>_xlfn.IFERROR(VLOOKUP($A183,'The List'!$B1:$AS665,28,FALSE)," ")</f>
        <v>858</v>
      </c>
      <c r="V183" t="s" s="125">
        <f>_xlfn.IFERROR(VLOOKUP($A183,'The List'!$B1:$AS665,29,FALSE)," ")</f>
        <v>858</v>
      </c>
      <c r="W183" t="s" s="125">
        <f>_xlfn.IFERROR(VLOOKUP($A183,'The List'!$B1:$AS665,30,FALSE)," ")</f>
        <v>858</v>
      </c>
      <c r="X183" t="s" s="125">
        <f>_xlfn.IFERROR(VLOOKUP($A183,'The List'!$B1:$AS665,31,FALSE)," ")</f>
        <v>858</v>
      </c>
      <c r="Y183" t="s" s="125">
        <f>_xlfn.IFERROR(VLOOKUP($A183,'The List'!$B1:$AS665,32,FALSE)," ")</f>
        <v>858</v>
      </c>
      <c r="Z183" t="s" s="125">
        <f>_xlfn.IFERROR(VLOOKUP($A183,'The List'!$B1:$AS665,33,FALSE)," ")</f>
        <v>858</v>
      </c>
      <c r="AA183" s="120"/>
      <c r="AB183" s="121"/>
      <c r="AC183" s="121"/>
      <c r="AD183" s="121"/>
      <c r="AE183" s="121"/>
      <c r="AF183" s="144"/>
    </row>
    <row r="184" ht="21.25" customHeight="1">
      <c r="A184" s="50"/>
      <c r="B184" t="s" s="129">
        <f>_xlfn.IFERROR(VLOOKUP($A184,'The List'!$B1:$AS665,3,FALSE)," ")</f>
        <v>858</v>
      </c>
      <c r="C184" t="s" s="131">
        <f>_xlfn.IFERROR(VLOOKUP($A184,'The List'!$B1:$AS665,4,FALSE)," ")</f>
        <v>858</v>
      </c>
      <c r="D184" t="s" s="86">
        <f>_xlfn.IFERROR(VLOOKUP($A184,'The List'!$B1:$AS665,5,FALSE)," ")</f>
        <v>858</v>
      </c>
      <c r="E184" t="s" s="86">
        <f>_xlfn.IFERROR(VLOOKUP($A184,'The List'!$B1:$AS665,6,FALSE)," ")</f>
        <v>858</v>
      </c>
      <c r="F184" t="s" s="124">
        <f>_xlfn.IFERROR(VLOOKUP($A184,'The List'!$B1:$AS665,8,FALSE)," ")</f>
        <v>858</v>
      </c>
      <c r="G184" t="s" s="124">
        <f>_xlfn.IFERROR(VLOOKUP($A184,'The List'!$B1:$AS665,10,FALSE)," ")</f>
        <v>858</v>
      </c>
      <c r="H184" s="77"/>
      <c r="I184" t="s" s="125">
        <f>_xlfn.IFERROR(VLOOKUP($A184,'The List'!$B1:$AS665,16,FALSE)," ")</f>
        <v>858</v>
      </c>
      <c r="J184" t="s" s="125">
        <f>_xlfn.IFERROR(VLOOKUP($A184,'The List'!$B1:$AS665,17,FALSE)," ")</f>
        <v>858</v>
      </c>
      <c r="K184" t="s" s="125">
        <f>_xlfn.IFERROR(VLOOKUP($A184,'The List'!$B1:$AS665,18,FALSE)," ")</f>
        <v>858</v>
      </c>
      <c r="L184" t="s" s="125">
        <f>_xlfn.IFERROR(VLOOKUP($A184,'The List'!$B1:$AS665,19,FALSE)," ")</f>
        <v>858</v>
      </c>
      <c r="M184" t="s" s="125">
        <f>_xlfn.IFERROR(VLOOKUP($A184,'The List'!$B1:$AS665,20,FALSE)," ")</f>
        <v>858</v>
      </c>
      <c r="N184" t="s" s="125">
        <f>_xlfn.IFERROR(VLOOKUP($A184,'The List'!$B1:$AS665,21,FALSE)," ")</f>
        <v>858</v>
      </c>
      <c r="O184" t="s" s="125">
        <f>_xlfn.IFERROR(VLOOKUP($A184,'The List'!$B1:$AS665,22,FALSE)," ")</f>
        <v>858</v>
      </c>
      <c r="P184" t="s" s="125">
        <f>_xlfn.IFERROR(VLOOKUP($A184,'The List'!$B1:$AS665,23,FALSE)," ")</f>
        <v>858</v>
      </c>
      <c r="Q184" t="s" s="125">
        <f>_xlfn.IFERROR(VLOOKUP($A184,'The List'!$B1:$AS665,24,FALSE)," ")</f>
        <v>858</v>
      </c>
      <c r="R184" t="s" s="125">
        <f>_xlfn.IFERROR(VLOOKUP($A184,'The List'!$B1:$AS665,25,FALSE)," ")</f>
        <v>858</v>
      </c>
      <c r="S184" t="s" s="125">
        <f>_xlfn.IFERROR(VLOOKUP($A184,'The List'!$B1:$AS665,26,FALSE)," ")</f>
        <v>858</v>
      </c>
      <c r="T184" t="s" s="125">
        <f>_xlfn.IFERROR(VLOOKUP($A184,'The List'!$B1:$AS665,27,FALSE)," ")</f>
        <v>858</v>
      </c>
      <c r="U184" t="s" s="125">
        <f>_xlfn.IFERROR(VLOOKUP($A184,'The List'!$B1:$AS665,28,FALSE)," ")</f>
        <v>858</v>
      </c>
      <c r="V184" t="s" s="125">
        <f>_xlfn.IFERROR(VLOOKUP($A184,'The List'!$B1:$AS665,29,FALSE)," ")</f>
        <v>858</v>
      </c>
      <c r="W184" t="s" s="125">
        <f>_xlfn.IFERROR(VLOOKUP($A184,'The List'!$B1:$AS665,30,FALSE)," ")</f>
        <v>858</v>
      </c>
      <c r="X184" t="s" s="125">
        <f>_xlfn.IFERROR(VLOOKUP($A184,'The List'!$B1:$AS665,31,FALSE)," ")</f>
        <v>858</v>
      </c>
      <c r="Y184" t="s" s="125">
        <f>_xlfn.IFERROR(VLOOKUP($A184,'The List'!$B1:$AS665,32,FALSE)," ")</f>
        <v>858</v>
      </c>
      <c r="Z184" t="s" s="125">
        <f>_xlfn.IFERROR(VLOOKUP($A184,'The List'!$B1:$AS665,33,FALSE)," ")</f>
        <v>858</v>
      </c>
      <c r="AA184" s="120"/>
      <c r="AB184" s="121"/>
      <c r="AC184" s="121"/>
      <c r="AD184" s="121"/>
      <c r="AE184" s="121"/>
      <c r="AF184" s="144"/>
    </row>
    <row r="185" ht="21.25" customHeight="1">
      <c r="A185" s="50"/>
      <c r="B185" t="s" s="129">
        <f>_xlfn.IFERROR(VLOOKUP($A185,'The List'!$B1:$AS665,3,FALSE)," ")</f>
        <v>858</v>
      </c>
      <c r="C185" t="s" s="131">
        <f>_xlfn.IFERROR(VLOOKUP($A185,'The List'!$B1:$AS665,4,FALSE)," ")</f>
        <v>858</v>
      </c>
      <c r="D185" t="s" s="86">
        <f>_xlfn.IFERROR(VLOOKUP($A185,'The List'!$B1:$AS665,5,FALSE)," ")</f>
        <v>858</v>
      </c>
      <c r="E185" t="s" s="86">
        <f>_xlfn.IFERROR(VLOOKUP($A185,'The List'!$B1:$AS665,6,FALSE)," ")</f>
        <v>858</v>
      </c>
      <c r="F185" t="s" s="124">
        <f>_xlfn.IFERROR(VLOOKUP($A185,'The List'!$B1:$AS665,8,FALSE)," ")</f>
        <v>858</v>
      </c>
      <c r="G185" t="s" s="124">
        <f>_xlfn.IFERROR(VLOOKUP($A185,'The List'!$B1:$AS665,10,FALSE)," ")</f>
        <v>858</v>
      </c>
      <c r="H185" s="77"/>
      <c r="I185" t="s" s="125">
        <f>_xlfn.IFERROR(VLOOKUP($A185,'The List'!$B1:$AS665,16,FALSE)," ")</f>
        <v>858</v>
      </c>
      <c r="J185" t="s" s="125">
        <f>_xlfn.IFERROR(VLOOKUP($A185,'The List'!$B1:$AS665,17,FALSE)," ")</f>
        <v>858</v>
      </c>
      <c r="K185" t="s" s="125">
        <f>_xlfn.IFERROR(VLOOKUP($A185,'The List'!$B1:$AS665,18,FALSE)," ")</f>
        <v>858</v>
      </c>
      <c r="L185" t="s" s="125">
        <f>_xlfn.IFERROR(VLOOKUP($A185,'The List'!$B1:$AS665,19,FALSE)," ")</f>
        <v>858</v>
      </c>
      <c r="M185" t="s" s="125">
        <f>_xlfn.IFERROR(VLOOKUP($A185,'The List'!$B1:$AS665,20,FALSE)," ")</f>
        <v>858</v>
      </c>
      <c r="N185" t="s" s="125">
        <f>_xlfn.IFERROR(VLOOKUP($A185,'The List'!$B1:$AS665,21,FALSE)," ")</f>
        <v>858</v>
      </c>
      <c r="O185" t="s" s="125">
        <f>_xlfn.IFERROR(VLOOKUP($A185,'The List'!$B1:$AS665,22,FALSE)," ")</f>
        <v>858</v>
      </c>
      <c r="P185" t="s" s="125">
        <f>_xlfn.IFERROR(VLOOKUP($A185,'The List'!$B1:$AS665,23,FALSE)," ")</f>
        <v>858</v>
      </c>
      <c r="Q185" t="s" s="125">
        <f>_xlfn.IFERROR(VLOOKUP($A185,'The List'!$B1:$AS665,24,FALSE)," ")</f>
        <v>858</v>
      </c>
      <c r="R185" t="s" s="125">
        <f>_xlfn.IFERROR(VLOOKUP($A185,'The List'!$B1:$AS665,25,FALSE)," ")</f>
        <v>858</v>
      </c>
      <c r="S185" t="s" s="125">
        <f>_xlfn.IFERROR(VLOOKUP($A185,'The List'!$B1:$AS665,26,FALSE)," ")</f>
        <v>858</v>
      </c>
      <c r="T185" t="s" s="125">
        <f>_xlfn.IFERROR(VLOOKUP($A185,'The List'!$B1:$AS665,27,FALSE)," ")</f>
        <v>858</v>
      </c>
      <c r="U185" t="s" s="125">
        <f>_xlfn.IFERROR(VLOOKUP($A185,'The List'!$B1:$AS665,28,FALSE)," ")</f>
        <v>858</v>
      </c>
      <c r="V185" t="s" s="125">
        <f>_xlfn.IFERROR(VLOOKUP($A185,'The List'!$B1:$AS665,29,FALSE)," ")</f>
        <v>858</v>
      </c>
      <c r="W185" t="s" s="125">
        <f>_xlfn.IFERROR(VLOOKUP($A185,'The List'!$B1:$AS665,30,FALSE)," ")</f>
        <v>858</v>
      </c>
      <c r="X185" t="s" s="125">
        <f>_xlfn.IFERROR(VLOOKUP($A185,'The List'!$B1:$AS665,31,FALSE)," ")</f>
        <v>858</v>
      </c>
      <c r="Y185" t="s" s="125">
        <f>_xlfn.IFERROR(VLOOKUP($A185,'The List'!$B1:$AS665,32,FALSE)," ")</f>
        <v>858</v>
      </c>
      <c r="Z185" t="s" s="125">
        <f>_xlfn.IFERROR(VLOOKUP($A185,'The List'!$B1:$AS665,33,FALSE)," ")</f>
        <v>858</v>
      </c>
      <c r="AA185" s="120"/>
      <c r="AB185" s="121"/>
      <c r="AC185" s="121"/>
      <c r="AD185" s="121"/>
      <c r="AE185" s="121"/>
      <c r="AF185" s="144"/>
    </row>
    <row r="186" ht="21.25" customHeight="1">
      <c r="A186" s="50"/>
      <c r="B186" t="s" s="129">
        <f>_xlfn.IFERROR(VLOOKUP($A186,'The List'!$B1:$AS665,3,FALSE)," ")</f>
        <v>858</v>
      </c>
      <c r="C186" t="s" s="131">
        <f>_xlfn.IFERROR(VLOOKUP($A186,'The List'!$B1:$AS665,4,FALSE)," ")</f>
        <v>858</v>
      </c>
      <c r="D186" t="s" s="86">
        <f>_xlfn.IFERROR(VLOOKUP($A186,'The List'!$B1:$AS665,5,FALSE)," ")</f>
        <v>858</v>
      </c>
      <c r="E186" t="s" s="86">
        <f>_xlfn.IFERROR(VLOOKUP($A186,'The List'!$B1:$AS665,6,FALSE)," ")</f>
        <v>858</v>
      </c>
      <c r="F186" t="s" s="124">
        <f>_xlfn.IFERROR(VLOOKUP($A186,'The List'!$B1:$AS665,8,FALSE)," ")</f>
        <v>858</v>
      </c>
      <c r="G186" t="s" s="124">
        <f>_xlfn.IFERROR(VLOOKUP($A186,'The List'!$B1:$AS665,10,FALSE)," ")</f>
        <v>858</v>
      </c>
      <c r="H186" s="77"/>
      <c r="I186" t="s" s="125">
        <f>_xlfn.IFERROR(VLOOKUP($A186,'The List'!$B1:$AS665,16,FALSE)," ")</f>
        <v>858</v>
      </c>
      <c r="J186" t="s" s="125">
        <f>_xlfn.IFERROR(VLOOKUP($A186,'The List'!$B1:$AS665,17,FALSE)," ")</f>
        <v>858</v>
      </c>
      <c r="K186" t="s" s="125">
        <f>_xlfn.IFERROR(VLOOKUP($A186,'The List'!$B1:$AS665,18,FALSE)," ")</f>
        <v>858</v>
      </c>
      <c r="L186" t="s" s="125">
        <f>_xlfn.IFERROR(VLOOKUP($A186,'The List'!$B1:$AS665,19,FALSE)," ")</f>
        <v>858</v>
      </c>
      <c r="M186" t="s" s="125">
        <f>_xlfn.IFERROR(VLOOKUP($A186,'The List'!$B1:$AS665,20,FALSE)," ")</f>
        <v>858</v>
      </c>
      <c r="N186" t="s" s="125">
        <f>_xlfn.IFERROR(VLOOKUP($A186,'The List'!$B1:$AS665,21,FALSE)," ")</f>
        <v>858</v>
      </c>
      <c r="O186" t="s" s="125">
        <f>_xlfn.IFERROR(VLOOKUP($A186,'The List'!$B1:$AS665,22,FALSE)," ")</f>
        <v>858</v>
      </c>
      <c r="P186" t="s" s="125">
        <f>_xlfn.IFERROR(VLOOKUP($A186,'The List'!$B1:$AS665,23,FALSE)," ")</f>
        <v>858</v>
      </c>
      <c r="Q186" t="s" s="125">
        <f>_xlfn.IFERROR(VLOOKUP($A186,'The List'!$B1:$AS665,24,FALSE)," ")</f>
        <v>858</v>
      </c>
      <c r="R186" t="s" s="125">
        <f>_xlfn.IFERROR(VLOOKUP($A186,'The List'!$B1:$AS665,25,FALSE)," ")</f>
        <v>858</v>
      </c>
      <c r="S186" t="s" s="125">
        <f>_xlfn.IFERROR(VLOOKUP($A186,'The List'!$B1:$AS665,26,FALSE)," ")</f>
        <v>858</v>
      </c>
      <c r="T186" t="s" s="125">
        <f>_xlfn.IFERROR(VLOOKUP($A186,'The List'!$B1:$AS665,27,FALSE)," ")</f>
        <v>858</v>
      </c>
      <c r="U186" t="s" s="125">
        <f>_xlfn.IFERROR(VLOOKUP($A186,'The List'!$B1:$AS665,28,FALSE)," ")</f>
        <v>858</v>
      </c>
      <c r="V186" t="s" s="125">
        <f>_xlfn.IFERROR(VLOOKUP($A186,'The List'!$B1:$AS665,29,FALSE)," ")</f>
        <v>858</v>
      </c>
      <c r="W186" t="s" s="125">
        <f>_xlfn.IFERROR(VLOOKUP($A186,'The List'!$B1:$AS665,30,FALSE)," ")</f>
        <v>858</v>
      </c>
      <c r="X186" t="s" s="125">
        <f>_xlfn.IFERROR(VLOOKUP($A186,'The List'!$B1:$AS665,31,FALSE)," ")</f>
        <v>858</v>
      </c>
      <c r="Y186" t="s" s="125">
        <f>_xlfn.IFERROR(VLOOKUP($A186,'The List'!$B1:$AS665,32,FALSE)," ")</f>
        <v>858</v>
      </c>
      <c r="Z186" t="s" s="125">
        <f>_xlfn.IFERROR(VLOOKUP($A186,'The List'!$B1:$AS665,33,FALSE)," ")</f>
        <v>858</v>
      </c>
      <c r="AA186" s="120"/>
      <c r="AB186" s="121"/>
      <c r="AC186" s="121"/>
      <c r="AD186" s="121"/>
      <c r="AE186" s="121"/>
      <c r="AF186" s="144"/>
    </row>
    <row r="187" ht="21.25" customHeight="1">
      <c r="A187" s="50"/>
      <c r="B187" t="s" s="129">
        <f>_xlfn.IFERROR(VLOOKUP($A187,'The List'!$B1:$AS665,3,FALSE)," ")</f>
        <v>858</v>
      </c>
      <c r="C187" t="s" s="131">
        <f>_xlfn.IFERROR(VLOOKUP($A187,'The List'!$B1:$AS665,4,FALSE)," ")</f>
        <v>858</v>
      </c>
      <c r="D187" t="s" s="86">
        <f>_xlfn.IFERROR(VLOOKUP($A187,'The List'!$B1:$AS665,5,FALSE)," ")</f>
        <v>858</v>
      </c>
      <c r="E187" t="s" s="86">
        <f>_xlfn.IFERROR(VLOOKUP($A187,'The List'!$B1:$AS665,6,FALSE)," ")</f>
        <v>858</v>
      </c>
      <c r="F187" t="s" s="124">
        <f>_xlfn.IFERROR(VLOOKUP($A187,'The List'!$B1:$AS665,8,FALSE)," ")</f>
        <v>858</v>
      </c>
      <c r="G187" t="s" s="124">
        <f>_xlfn.IFERROR(VLOOKUP($A187,'The List'!$B1:$AS665,10,FALSE)," ")</f>
        <v>858</v>
      </c>
      <c r="H187" s="77"/>
      <c r="I187" t="s" s="125">
        <f>_xlfn.IFERROR(VLOOKUP($A187,'The List'!$B1:$AS665,16,FALSE)," ")</f>
        <v>858</v>
      </c>
      <c r="J187" t="s" s="125">
        <f>_xlfn.IFERROR(VLOOKUP($A187,'The List'!$B1:$AS665,17,FALSE)," ")</f>
        <v>858</v>
      </c>
      <c r="K187" t="s" s="125">
        <f>_xlfn.IFERROR(VLOOKUP($A187,'The List'!$B1:$AS665,18,FALSE)," ")</f>
        <v>858</v>
      </c>
      <c r="L187" t="s" s="125">
        <f>_xlfn.IFERROR(VLOOKUP($A187,'The List'!$B1:$AS665,19,FALSE)," ")</f>
        <v>858</v>
      </c>
      <c r="M187" t="s" s="125">
        <f>_xlfn.IFERROR(VLOOKUP($A187,'The List'!$B1:$AS665,20,FALSE)," ")</f>
        <v>858</v>
      </c>
      <c r="N187" t="s" s="125">
        <f>_xlfn.IFERROR(VLOOKUP($A187,'The List'!$B1:$AS665,21,FALSE)," ")</f>
        <v>858</v>
      </c>
      <c r="O187" t="s" s="125">
        <f>_xlfn.IFERROR(VLOOKUP($A187,'The List'!$B1:$AS665,22,FALSE)," ")</f>
        <v>858</v>
      </c>
      <c r="P187" t="s" s="125">
        <f>_xlfn.IFERROR(VLOOKUP($A187,'The List'!$B1:$AS665,23,FALSE)," ")</f>
        <v>858</v>
      </c>
      <c r="Q187" t="s" s="125">
        <f>_xlfn.IFERROR(VLOOKUP($A187,'The List'!$B1:$AS665,24,FALSE)," ")</f>
        <v>858</v>
      </c>
      <c r="R187" t="s" s="125">
        <f>_xlfn.IFERROR(VLOOKUP($A187,'The List'!$B1:$AS665,25,FALSE)," ")</f>
        <v>858</v>
      </c>
      <c r="S187" t="s" s="125">
        <f>_xlfn.IFERROR(VLOOKUP($A187,'The List'!$B1:$AS665,26,FALSE)," ")</f>
        <v>858</v>
      </c>
      <c r="T187" t="s" s="125">
        <f>_xlfn.IFERROR(VLOOKUP($A187,'The List'!$B1:$AS665,27,FALSE)," ")</f>
        <v>858</v>
      </c>
      <c r="U187" t="s" s="125">
        <f>_xlfn.IFERROR(VLOOKUP($A187,'The List'!$B1:$AS665,28,FALSE)," ")</f>
        <v>858</v>
      </c>
      <c r="V187" t="s" s="125">
        <f>_xlfn.IFERROR(VLOOKUP($A187,'The List'!$B1:$AS665,29,FALSE)," ")</f>
        <v>858</v>
      </c>
      <c r="W187" t="s" s="125">
        <f>_xlfn.IFERROR(VLOOKUP($A187,'The List'!$B1:$AS665,30,FALSE)," ")</f>
        <v>858</v>
      </c>
      <c r="X187" t="s" s="125">
        <f>_xlfn.IFERROR(VLOOKUP($A187,'The List'!$B1:$AS665,31,FALSE)," ")</f>
        <v>858</v>
      </c>
      <c r="Y187" t="s" s="125">
        <f>_xlfn.IFERROR(VLOOKUP($A187,'The List'!$B1:$AS665,32,FALSE)," ")</f>
        <v>858</v>
      </c>
      <c r="Z187" t="s" s="125">
        <f>_xlfn.IFERROR(VLOOKUP($A187,'The List'!$B1:$AS665,33,FALSE)," ")</f>
        <v>858</v>
      </c>
      <c r="AA187" s="120"/>
      <c r="AB187" s="121"/>
      <c r="AC187" s="121"/>
      <c r="AD187" s="121"/>
      <c r="AE187" s="121"/>
      <c r="AF187" s="144"/>
    </row>
    <row r="188" ht="21.25" customHeight="1">
      <c r="A188" s="50"/>
      <c r="B188" t="s" s="132">
        <f>_xlfn.IFERROR(VLOOKUP($A188,'The List'!$B1:$AS665,3,FALSE)," ")</f>
        <v>858</v>
      </c>
      <c r="C188" t="s" s="134">
        <f>_xlfn.IFERROR(VLOOKUP($A188,'The List'!$B1:$AS665,4,FALSE)," ")</f>
        <v>858</v>
      </c>
      <c r="D188" t="s" s="86">
        <f>_xlfn.IFERROR(VLOOKUP($A188,'The List'!$B1:$AS665,5,FALSE)," ")</f>
        <v>858</v>
      </c>
      <c r="E188" t="s" s="86">
        <f>_xlfn.IFERROR(VLOOKUP($A188,'The List'!$B1:$AS665,6,FALSE)," ")</f>
        <v>858</v>
      </c>
      <c r="F188" t="s" s="124">
        <f>_xlfn.IFERROR(VLOOKUP($A188,'The List'!$B1:$AS665,8,FALSE)," ")</f>
        <v>858</v>
      </c>
      <c r="G188" t="s" s="124">
        <f>_xlfn.IFERROR(VLOOKUP($A188,'The List'!$B1:$AS665,10,FALSE)," ")</f>
        <v>858</v>
      </c>
      <c r="H188" s="77"/>
      <c r="I188" t="s" s="125">
        <f>_xlfn.IFERROR(VLOOKUP($A188,'The List'!$B1:$AS665,16,FALSE)," ")</f>
        <v>858</v>
      </c>
      <c r="J188" t="s" s="125">
        <f>_xlfn.IFERROR(VLOOKUP($A188,'The List'!$B1:$AS665,17,FALSE)," ")</f>
        <v>858</v>
      </c>
      <c r="K188" t="s" s="125">
        <f>_xlfn.IFERROR(VLOOKUP($A188,'The List'!$B1:$AS665,18,FALSE)," ")</f>
        <v>858</v>
      </c>
      <c r="L188" t="s" s="125">
        <f>_xlfn.IFERROR(VLOOKUP($A188,'The List'!$B1:$AS665,19,FALSE)," ")</f>
        <v>858</v>
      </c>
      <c r="M188" t="s" s="125">
        <f>_xlfn.IFERROR(VLOOKUP($A188,'The List'!$B1:$AS665,20,FALSE)," ")</f>
        <v>858</v>
      </c>
      <c r="N188" t="s" s="125">
        <f>_xlfn.IFERROR(VLOOKUP($A188,'The List'!$B1:$AS665,21,FALSE)," ")</f>
        <v>858</v>
      </c>
      <c r="O188" t="s" s="125">
        <f>_xlfn.IFERROR(VLOOKUP($A188,'The List'!$B1:$AS665,22,FALSE)," ")</f>
        <v>858</v>
      </c>
      <c r="P188" t="s" s="125">
        <f>_xlfn.IFERROR(VLOOKUP($A188,'The List'!$B1:$AS665,23,FALSE)," ")</f>
        <v>858</v>
      </c>
      <c r="Q188" t="s" s="125">
        <f>_xlfn.IFERROR(VLOOKUP($A188,'The List'!$B1:$AS665,24,FALSE)," ")</f>
        <v>858</v>
      </c>
      <c r="R188" t="s" s="125">
        <f>_xlfn.IFERROR(VLOOKUP($A188,'The List'!$B1:$AS665,25,FALSE)," ")</f>
        <v>858</v>
      </c>
      <c r="S188" t="s" s="125">
        <f>_xlfn.IFERROR(VLOOKUP($A188,'The List'!$B1:$AS665,26,FALSE)," ")</f>
        <v>858</v>
      </c>
      <c r="T188" t="s" s="125">
        <f>_xlfn.IFERROR(VLOOKUP($A188,'The List'!$B1:$AS665,27,FALSE)," ")</f>
        <v>858</v>
      </c>
      <c r="U188" t="s" s="125">
        <f>_xlfn.IFERROR(VLOOKUP($A188,'The List'!$B1:$AS665,28,FALSE)," ")</f>
        <v>858</v>
      </c>
      <c r="V188" t="s" s="125">
        <f>_xlfn.IFERROR(VLOOKUP($A188,'The List'!$B1:$AS665,29,FALSE)," ")</f>
        <v>858</v>
      </c>
      <c r="W188" t="s" s="125">
        <f>_xlfn.IFERROR(VLOOKUP($A188,'The List'!$B1:$AS665,30,FALSE)," ")</f>
        <v>858</v>
      </c>
      <c r="X188" t="s" s="125">
        <f>_xlfn.IFERROR(VLOOKUP($A188,'The List'!$B1:$AS665,31,FALSE)," ")</f>
        <v>858</v>
      </c>
      <c r="Y188" t="s" s="125">
        <f>_xlfn.IFERROR(VLOOKUP($A188,'The List'!$B1:$AS665,32,FALSE)," ")</f>
        <v>858</v>
      </c>
      <c r="Z188" t="s" s="125">
        <f>_xlfn.IFERROR(VLOOKUP($A188,'The List'!$B1:$AS665,33,FALSE)," ")</f>
        <v>858</v>
      </c>
      <c r="AA188" s="120"/>
      <c r="AB188" s="121"/>
      <c r="AC188" s="121"/>
      <c r="AD188" s="121"/>
      <c r="AE188" s="121"/>
      <c r="AF188" s="144"/>
    </row>
    <row r="189" ht="21.25" customHeight="1">
      <c r="A189" s="50"/>
      <c r="B189" t="s" s="132">
        <f>_xlfn.IFERROR(VLOOKUP($A189,'The List'!$B1:$AS665,3,FALSE)," ")</f>
        <v>858</v>
      </c>
      <c r="C189" t="s" s="134">
        <f>_xlfn.IFERROR(VLOOKUP($A189,'The List'!$B1:$AS665,4,FALSE)," ")</f>
        <v>858</v>
      </c>
      <c r="D189" t="s" s="86">
        <f>_xlfn.IFERROR(VLOOKUP($A189,'The List'!$B1:$AS665,5,FALSE)," ")</f>
        <v>858</v>
      </c>
      <c r="E189" t="s" s="86">
        <f>_xlfn.IFERROR(VLOOKUP($A189,'The List'!$B1:$AS665,6,FALSE)," ")</f>
        <v>858</v>
      </c>
      <c r="F189" t="s" s="124">
        <f>_xlfn.IFERROR(VLOOKUP($A189,'The List'!$B1:$AS665,8,FALSE)," ")</f>
        <v>858</v>
      </c>
      <c r="G189" t="s" s="124">
        <f>_xlfn.IFERROR(VLOOKUP($A189,'The List'!$B1:$AS665,10,FALSE)," ")</f>
        <v>858</v>
      </c>
      <c r="H189" s="77"/>
      <c r="I189" t="s" s="125">
        <f>_xlfn.IFERROR(VLOOKUP($A189,'The List'!$B1:$AS665,16,FALSE)," ")</f>
        <v>858</v>
      </c>
      <c r="J189" t="s" s="125">
        <f>_xlfn.IFERROR(VLOOKUP($A189,'The List'!$B1:$AS665,17,FALSE)," ")</f>
        <v>858</v>
      </c>
      <c r="K189" t="s" s="125">
        <f>_xlfn.IFERROR(VLOOKUP($A189,'The List'!$B1:$AS665,18,FALSE)," ")</f>
        <v>858</v>
      </c>
      <c r="L189" t="s" s="125">
        <f>_xlfn.IFERROR(VLOOKUP($A189,'The List'!$B1:$AS665,19,FALSE)," ")</f>
        <v>858</v>
      </c>
      <c r="M189" t="s" s="125">
        <f>_xlfn.IFERROR(VLOOKUP($A189,'The List'!$B1:$AS665,20,FALSE)," ")</f>
        <v>858</v>
      </c>
      <c r="N189" t="s" s="125">
        <f>_xlfn.IFERROR(VLOOKUP($A189,'The List'!$B1:$AS665,21,FALSE)," ")</f>
        <v>858</v>
      </c>
      <c r="O189" t="s" s="125">
        <f>_xlfn.IFERROR(VLOOKUP($A189,'The List'!$B1:$AS665,22,FALSE)," ")</f>
        <v>858</v>
      </c>
      <c r="P189" t="s" s="125">
        <f>_xlfn.IFERROR(VLOOKUP($A189,'The List'!$B1:$AS665,23,FALSE)," ")</f>
        <v>858</v>
      </c>
      <c r="Q189" t="s" s="125">
        <f>_xlfn.IFERROR(VLOOKUP($A189,'The List'!$B1:$AS665,24,FALSE)," ")</f>
        <v>858</v>
      </c>
      <c r="R189" t="s" s="125">
        <f>_xlfn.IFERROR(VLOOKUP($A189,'The List'!$B1:$AS665,25,FALSE)," ")</f>
        <v>858</v>
      </c>
      <c r="S189" t="s" s="125">
        <f>_xlfn.IFERROR(VLOOKUP($A189,'The List'!$B1:$AS665,26,FALSE)," ")</f>
        <v>858</v>
      </c>
      <c r="T189" t="s" s="125">
        <f>_xlfn.IFERROR(VLOOKUP($A189,'The List'!$B1:$AS665,27,FALSE)," ")</f>
        <v>858</v>
      </c>
      <c r="U189" t="s" s="125">
        <f>_xlfn.IFERROR(VLOOKUP($A189,'The List'!$B1:$AS665,28,FALSE)," ")</f>
        <v>858</v>
      </c>
      <c r="V189" t="s" s="125">
        <f>_xlfn.IFERROR(VLOOKUP($A189,'The List'!$B1:$AS665,29,FALSE)," ")</f>
        <v>858</v>
      </c>
      <c r="W189" t="s" s="125">
        <f>_xlfn.IFERROR(VLOOKUP($A189,'The List'!$B1:$AS665,30,FALSE)," ")</f>
        <v>858</v>
      </c>
      <c r="X189" t="s" s="125">
        <f>_xlfn.IFERROR(VLOOKUP($A189,'The List'!$B1:$AS665,31,FALSE)," ")</f>
        <v>858</v>
      </c>
      <c r="Y189" t="s" s="125">
        <f>_xlfn.IFERROR(VLOOKUP($A189,'The List'!$B1:$AS665,32,FALSE)," ")</f>
        <v>858</v>
      </c>
      <c r="Z189" t="s" s="125">
        <f>_xlfn.IFERROR(VLOOKUP($A189,'The List'!$B1:$AS665,33,FALSE)," ")</f>
        <v>858</v>
      </c>
      <c r="AA189" s="120"/>
      <c r="AB189" s="121"/>
      <c r="AC189" s="121"/>
      <c r="AD189" s="121"/>
      <c r="AE189" s="121"/>
      <c r="AF189" s="144"/>
    </row>
    <row r="190" ht="21.25" customHeight="1">
      <c r="A190" s="50"/>
      <c r="B190" t="s" s="132">
        <f>_xlfn.IFERROR(VLOOKUP($A190,'The List'!$B1:$AS665,3,FALSE)," ")</f>
        <v>858</v>
      </c>
      <c r="C190" t="s" s="134">
        <f>_xlfn.IFERROR(VLOOKUP($A190,'The List'!$B1:$AS665,4,FALSE)," ")</f>
        <v>858</v>
      </c>
      <c r="D190" t="s" s="86">
        <f>_xlfn.IFERROR(VLOOKUP($A190,'The List'!$B1:$AS665,5,FALSE)," ")</f>
        <v>858</v>
      </c>
      <c r="E190" t="s" s="86">
        <f>_xlfn.IFERROR(VLOOKUP($A190,'The List'!$B1:$AS665,6,FALSE)," ")</f>
        <v>858</v>
      </c>
      <c r="F190" t="s" s="124">
        <f>_xlfn.IFERROR(VLOOKUP($A190,'The List'!$B1:$AS665,8,FALSE)," ")</f>
        <v>858</v>
      </c>
      <c r="G190" t="s" s="124">
        <f>_xlfn.IFERROR(VLOOKUP($A190,'The List'!$B1:$AS665,10,FALSE)," ")</f>
        <v>858</v>
      </c>
      <c r="H190" s="77"/>
      <c r="I190" t="s" s="125">
        <f>_xlfn.IFERROR(VLOOKUP($A190,'The List'!$B1:$AS665,16,FALSE)," ")</f>
        <v>858</v>
      </c>
      <c r="J190" t="s" s="125">
        <f>_xlfn.IFERROR(VLOOKUP($A190,'The List'!$B1:$AS665,17,FALSE)," ")</f>
        <v>858</v>
      </c>
      <c r="K190" t="s" s="125">
        <f>_xlfn.IFERROR(VLOOKUP($A190,'The List'!$B1:$AS665,18,FALSE)," ")</f>
        <v>858</v>
      </c>
      <c r="L190" t="s" s="125">
        <f>_xlfn.IFERROR(VLOOKUP($A190,'The List'!$B1:$AS665,19,FALSE)," ")</f>
        <v>858</v>
      </c>
      <c r="M190" t="s" s="125">
        <f>_xlfn.IFERROR(VLOOKUP($A190,'The List'!$B1:$AS665,20,FALSE)," ")</f>
        <v>858</v>
      </c>
      <c r="N190" t="s" s="125">
        <f>_xlfn.IFERROR(VLOOKUP($A190,'The List'!$B1:$AS665,21,FALSE)," ")</f>
        <v>858</v>
      </c>
      <c r="O190" t="s" s="125">
        <f>_xlfn.IFERROR(VLOOKUP($A190,'The List'!$B1:$AS665,22,FALSE)," ")</f>
        <v>858</v>
      </c>
      <c r="P190" t="s" s="125">
        <f>_xlfn.IFERROR(VLOOKUP($A190,'The List'!$B1:$AS665,23,FALSE)," ")</f>
        <v>858</v>
      </c>
      <c r="Q190" t="s" s="125">
        <f>_xlfn.IFERROR(VLOOKUP($A190,'The List'!$B1:$AS665,24,FALSE)," ")</f>
        <v>858</v>
      </c>
      <c r="R190" t="s" s="125">
        <f>_xlfn.IFERROR(VLOOKUP($A190,'The List'!$B1:$AS665,25,FALSE)," ")</f>
        <v>858</v>
      </c>
      <c r="S190" t="s" s="125">
        <f>_xlfn.IFERROR(VLOOKUP($A190,'The List'!$B1:$AS665,26,FALSE)," ")</f>
        <v>858</v>
      </c>
      <c r="T190" t="s" s="125">
        <f>_xlfn.IFERROR(VLOOKUP($A190,'The List'!$B1:$AS665,27,FALSE)," ")</f>
        <v>858</v>
      </c>
      <c r="U190" t="s" s="125">
        <f>_xlfn.IFERROR(VLOOKUP($A190,'The List'!$B1:$AS665,28,FALSE)," ")</f>
        <v>858</v>
      </c>
      <c r="V190" t="s" s="125">
        <f>_xlfn.IFERROR(VLOOKUP($A190,'The List'!$B1:$AS665,29,FALSE)," ")</f>
        <v>858</v>
      </c>
      <c r="W190" t="s" s="125">
        <f>_xlfn.IFERROR(VLOOKUP($A190,'The List'!$B1:$AS665,30,FALSE)," ")</f>
        <v>858</v>
      </c>
      <c r="X190" t="s" s="125">
        <f>_xlfn.IFERROR(VLOOKUP($A190,'The List'!$B1:$AS665,31,FALSE)," ")</f>
        <v>858</v>
      </c>
      <c r="Y190" t="s" s="125">
        <f>_xlfn.IFERROR(VLOOKUP($A190,'The List'!$B1:$AS665,32,FALSE)," ")</f>
        <v>858</v>
      </c>
      <c r="Z190" t="s" s="125">
        <f>_xlfn.IFERROR(VLOOKUP($A190,'The List'!$B1:$AS665,33,FALSE)," ")</f>
        <v>858</v>
      </c>
      <c r="AA190" s="120"/>
      <c r="AB190" s="121"/>
      <c r="AC190" s="121"/>
      <c r="AD190" s="121"/>
      <c r="AE190" s="121"/>
      <c r="AF190" s="144"/>
    </row>
    <row r="191" ht="21.25" customHeight="1">
      <c r="A191" s="50"/>
      <c r="B191" t="s" s="132">
        <f>_xlfn.IFERROR(VLOOKUP($A191,'The List'!$B1:$AS665,3,FALSE)," ")</f>
        <v>858</v>
      </c>
      <c r="C191" t="s" s="134">
        <f>_xlfn.IFERROR(VLOOKUP($A191,'The List'!$B1:$AS665,4,FALSE)," ")</f>
        <v>858</v>
      </c>
      <c r="D191" t="s" s="86">
        <f>_xlfn.IFERROR(VLOOKUP($A191,'The List'!$B1:$AS665,5,FALSE)," ")</f>
        <v>858</v>
      </c>
      <c r="E191" t="s" s="86">
        <f>_xlfn.IFERROR(VLOOKUP($A191,'The List'!$B1:$AS665,6,FALSE)," ")</f>
        <v>858</v>
      </c>
      <c r="F191" t="s" s="124">
        <f>_xlfn.IFERROR(VLOOKUP($A191,'The List'!$B1:$AS665,8,FALSE)," ")</f>
        <v>858</v>
      </c>
      <c r="G191" t="s" s="124">
        <f>_xlfn.IFERROR(VLOOKUP($A191,'The List'!$B1:$AS665,10,FALSE)," ")</f>
        <v>858</v>
      </c>
      <c r="H191" s="77"/>
      <c r="I191" t="s" s="125">
        <f>_xlfn.IFERROR(VLOOKUP($A191,'The List'!$B1:$AS665,16,FALSE)," ")</f>
        <v>858</v>
      </c>
      <c r="J191" t="s" s="125">
        <f>_xlfn.IFERROR(VLOOKUP($A191,'The List'!$B1:$AS665,17,FALSE)," ")</f>
        <v>858</v>
      </c>
      <c r="K191" t="s" s="125">
        <f>_xlfn.IFERROR(VLOOKUP($A191,'The List'!$B1:$AS665,18,FALSE)," ")</f>
        <v>858</v>
      </c>
      <c r="L191" t="s" s="125">
        <f>_xlfn.IFERROR(VLOOKUP($A191,'The List'!$B1:$AS665,19,FALSE)," ")</f>
        <v>858</v>
      </c>
      <c r="M191" t="s" s="125">
        <f>_xlfn.IFERROR(VLOOKUP($A191,'The List'!$B1:$AS665,20,FALSE)," ")</f>
        <v>858</v>
      </c>
      <c r="N191" t="s" s="125">
        <f>_xlfn.IFERROR(VLOOKUP($A191,'The List'!$B1:$AS665,21,FALSE)," ")</f>
        <v>858</v>
      </c>
      <c r="O191" t="s" s="125">
        <f>_xlfn.IFERROR(VLOOKUP($A191,'The List'!$B1:$AS665,22,FALSE)," ")</f>
        <v>858</v>
      </c>
      <c r="P191" t="s" s="125">
        <f>_xlfn.IFERROR(VLOOKUP($A191,'The List'!$B1:$AS665,23,FALSE)," ")</f>
        <v>858</v>
      </c>
      <c r="Q191" t="s" s="125">
        <f>_xlfn.IFERROR(VLOOKUP($A191,'The List'!$B1:$AS665,24,FALSE)," ")</f>
        <v>858</v>
      </c>
      <c r="R191" t="s" s="125">
        <f>_xlfn.IFERROR(VLOOKUP($A191,'The List'!$B1:$AS665,25,FALSE)," ")</f>
        <v>858</v>
      </c>
      <c r="S191" t="s" s="125">
        <f>_xlfn.IFERROR(VLOOKUP($A191,'The List'!$B1:$AS665,26,FALSE)," ")</f>
        <v>858</v>
      </c>
      <c r="T191" t="s" s="125">
        <f>_xlfn.IFERROR(VLOOKUP($A191,'The List'!$B1:$AS665,27,FALSE)," ")</f>
        <v>858</v>
      </c>
      <c r="U191" t="s" s="125">
        <f>_xlfn.IFERROR(VLOOKUP($A191,'The List'!$B1:$AS665,28,FALSE)," ")</f>
        <v>858</v>
      </c>
      <c r="V191" t="s" s="125">
        <f>_xlfn.IFERROR(VLOOKUP($A191,'The List'!$B1:$AS665,29,FALSE)," ")</f>
        <v>858</v>
      </c>
      <c r="W191" t="s" s="125">
        <f>_xlfn.IFERROR(VLOOKUP($A191,'The List'!$B1:$AS665,30,FALSE)," ")</f>
        <v>858</v>
      </c>
      <c r="X191" t="s" s="125">
        <f>_xlfn.IFERROR(VLOOKUP($A191,'The List'!$B1:$AS665,31,FALSE)," ")</f>
        <v>858</v>
      </c>
      <c r="Y191" t="s" s="125">
        <f>_xlfn.IFERROR(VLOOKUP($A191,'The List'!$B1:$AS665,32,FALSE)," ")</f>
        <v>858</v>
      </c>
      <c r="Z191" t="s" s="125">
        <f>_xlfn.IFERROR(VLOOKUP($A191,'The List'!$B1:$AS665,33,FALSE)," ")</f>
        <v>858</v>
      </c>
      <c r="AA191" s="120"/>
      <c r="AB191" s="121"/>
      <c r="AC191" s="121"/>
      <c r="AD191" s="121"/>
      <c r="AE191" s="121"/>
      <c r="AF191" s="144"/>
    </row>
    <row r="192" ht="21.25" customHeight="1">
      <c r="A192" s="50"/>
      <c r="B192" t="s" s="132">
        <f>_xlfn.IFERROR(VLOOKUP($A192,'The List'!$B1:$AS665,3,FALSE)," ")</f>
        <v>858</v>
      </c>
      <c r="C192" t="s" s="134">
        <f>_xlfn.IFERROR(VLOOKUP($A192,'The List'!$B1:$AS665,4,FALSE)," ")</f>
        <v>858</v>
      </c>
      <c r="D192" t="s" s="86">
        <f>_xlfn.IFERROR(VLOOKUP($A192,'The List'!$B1:$AS665,5,FALSE)," ")</f>
        <v>858</v>
      </c>
      <c r="E192" t="s" s="86">
        <f>_xlfn.IFERROR(VLOOKUP($A192,'The List'!$B1:$AS665,6,FALSE)," ")</f>
        <v>858</v>
      </c>
      <c r="F192" t="s" s="124">
        <f>_xlfn.IFERROR(VLOOKUP($A192,'The List'!$B1:$AS665,8,FALSE)," ")</f>
        <v>858</v>
      </c>
      <c r="G192" t="s" s="124">
        <f>_xlfn.IFERROR(VLOOKUP($A192,'The List'!$B1:$AS665,10,FALSE)," ")</f>
        <v>858</v>
      </c>
      <c r="H192" s="77"/>
      <c r="I192" t="s" s="125">
        <f>_xlfn.IFERROR(VLOOKUP($A192,'The List'!$B1:$AS665,16,FALSE)," ")</f>
        <v>858</v>
      </c>
      <c r="J192" t="s" s="125">
        <f>_xlfn.IFERROR(VLOOKUP($A192,'The List'!$B1:$AS665,17,FALSE)," ")</f>
        <v>858</v>
      </c>
      <c r="K192" t="s" s="125">
        <f>_xlfn.IFERROR(VLOOKUP($A192,'The List'!$B1:$AS665,18,FALSE)," ")</f>
        <v>858</v>
      </c>
      <c r="L192" t="s" s="125">
        <f>_xlfn.IFERROR(VLOOKUP($A192,'The List'!$B1:$AS665,19,FALSE)," ")</f>
        <v>858</v>
      </c>
      <c r="M192" t="s" s="125">
        <f>_xlfn.IFERROR(VLOOKUP($A192,'The List'!$B1:$AS665,20,FALSE)," ")</f>
        <v>858</v>
      </c>
      <c r="N192" t="s" s="125">
        <f>_xlfn.IFERROR(VLOOKUP($A192,'The List'!$B1:$AS665,21,FALSE)," ")</f>
        <v>858</v>
      </c>
      <c r="O192" t="s" s="125">
        <f>_xlfn.IFERROR(VLOOKUP($A192,'The List'!$B1:$AS665,22,FALSE)," ")</f>
        <v>858</v>
      </c>
      <c r="P192" t="s" s="125">
        <f>_xlfn.IFERROR(VLOOKUP($A192,'The List'!$B1:$AS665,23,FALSE)," ")</f>
        <v>858</v>
      </c>
      <c r="Q192" t="s" s="125">
        <f>_xlfn.IFERROR(VLOOKUP($A192,'The List'!$B1:$AS665,24,FALSE)," ")</f>
        <v>858</v>
      </c>
      <c r="R192" t="s" s="125">
        <f>_xlfn.IFERROR(VLOOKUP($A192,'The List'!$B1:$AS665,25,FALSE)," ")</f>
        <v>858</v>
      </c>
      <c r="S192" t="s" s="125">
        <f>_xlfn.IFERROR(VLOOKUP($A192,'The List'!$B1:$AS665,26,FALSE)," ")</f>
        <v>858</v>
      </c>
      <c r="T192" t="s" s="125">
        <f>_xlfn.IFERROR(VLOOKUP($A192,'The List'!$B1:$AS665,27,FALSE)," ")</f>
        <v>858</v>
      </c>
      <c r="U192" t="s" s="125">
        <f>_xlfn.IFERROR(VLOOKUP($A192,'The List'!$B1:$AS665,28,FALSE)," ")</f>
        <v>858</v>
      </c>
      <c r="V192" t="s" s="125">
        <f>_xlfn.IFERROR(VLOOKUP($A192,'The List'!$B1:$AS665,29,FALSE)," ")</f>
        <v>858</v>
      </c>
      <c r="W192" t="s" s="125">
        <f>_xlfn.IFERROR(VLOOKUP($A192,'The List'!$B1:$AS665,30,FALSE)," ")</f>
        <v>858</v>
      </c>
      <c r="X192" t="s" s="125">
        <f>_xlfn.IFERROR(VLOOKUP($A192,'The List'!$B1:$AS665,31,FALSE)," ")</f>
        <v>858</v>
      </c>
      <c r="Y192" t="s" s="125">
        <f>_xlfn.IFERROR(VLOOKUP($A192,'The List'!$B1:$AS665,32,FALSE)," ")</f>
        <v>858</v>
      </c>
      <c r="Z192" t="s" s="125">
        <f>_xlfn.IFERROR(VLOOKUP($A192,'The List'!$B1:$AS665,33,FALSE)," ")</f>
        <v>858</v>
      </c>
      <c r="AA192" s="120"/>
      <c r="AB192" s="121"/>
      <c r="AC192" s="121"/>
      <c r="AD192" s="121"/>
      <c r="AE192" s="121"/>
      <c r="AF192" s="144"/>
    </row>
    <row r="193" ht="21.25" customHeight="1">
      <c r="A193" s="50"/>
      <c r="B193" t="s" s="132">
        <f>_xlfn.IFERROR(VLOOKUP($A193,'The List'!$B1:$AS665,3,FALSE)," ")</f>
        <v>858</v>
      </c>
      <c r="C193" t="s" s="134">
        <f>_xlfn.IFERROR(VLOOKUP($A193,'The List'!$B1:$AS665,4,FALSE)," ")</f>
        <v>858</v>
      </c>
      <c r="D193" t="s" s="86">
        <f>_xlfn.IFERROR(VLOOKUP($A193,'The List'!$B1:$AS665,5,FALSE)," ")</f>
        <v>858</v>
      </c>
      <c r="E193" t="s" s="86">
        <f>_xlfn.IFERROR(VLOOKUP($A193,'The List'!$B1:$AS665,6,FALSE)," ")</f>
        <v>858</v>
      </c>
      <c r="F193" t="s" s="124">
        <f>_xlfn.IFERROR(VLOOKUP($A193,'The List'!$B1:$AS665,8,FALSE)," ")</f>
        <v>858</v>
      </c>
      <c r="G193" t="s" s="124">
        <f>_xlfn.IFERROR(VLOOKUP($A193,'The List'!$B1:$AS665,10,FALSE)," ")</f>
        <v>858</v>
      </c>
      <c r="H193" s="77"/>
      <c r="I193" t="s" s="125">
        <f>_xlfn.IFERROR(VLOOKUP($A193,'The List'!$B1:$AS665,16,FALSE)," ")</f>
        <v>858</v>
      </c>
      <c r="J193" t="s" s="125">
        <f>_xlfn.IFERROR(VLOOKUP($A193,'The List'!$B1:$AS665,17,FALSE)," ")</f>
        <v>858</v>
      </c>
      <c r="K193" t="s" s="125">
        <f>_xlfn.IFERROR(VLOOKUP($A193,'The List'!$B1:$AS665,18,FALSE)," ")</f>
        <v>858</v>
      </c>
      <c r="L193" t="s" s="125">
        <f>_xlfn.IFERROR(VLOOKUP($A193,'The List'!$B1:$AS665,19,FALSE)," ")</f>
        <v>858</v>
      </c>
      <c r="M193" t="s" s="125">
        <f>_xlfn.IFERROR(VLOOKUP($A193,'The List'!$B1:$AS665,20,FALSE)," ")</f>
        <v>858</v>
      </c>
      <c r="N193" t="s" s="125">
        <f>_xlfn.IFERROR(VLOOKUP($A193,'The List'!$B1:$AS665,21,FALSE)," ")</f>
        <v>858</v>
      </c>
      <c r="O193" t="s" s="125">
        <f>_xlfn.IFERROR(VLOOKUP($A193,'The List'!$B1:$AS665,22,FALSE)," ")</f>
        <v>858</v>
      </c>
      <c r="P193" t="s" s="125">
        <f>_xlfn.IFERROR(VLOOKUP($A193,'The List'!$B1:$AS665,23,FALSE)," ")</f>
        <v>858</v>
      </c>
      <c r="Q193" t="s" s="125">
        <f>_xlfn.IFERROR(VLOOKUP($A193,'The List'!$B1:$AS665,24,FALSE)," ")</f>
        <v>858</v>
      </c>
      <c r="R193" t="s" s="125">
        <f>_xlfn.IFERROR(VLOOKUP($A193,'The List'!$B1:$AS665,25,FALSE)," ")</f>
        <v>858</v>
      </c>
      <c r="S193" t="s" s="125">
        <f>_xlfn.IFERROR(VLOOKUP($A193,'The List'!$B1:$AS665,26,FALSE)," ")</f>
        <v>858</v>
      </c>
      <c r="T193" t="s" s="125">
        <f>_xlfn.IFERROR(VLOOKUP($A193,'The List'!$B1:$AS665,27,FALSE)," ")</f>
        <v>858</v>
      </c>
      <c r="U193" t="s" s="125">
        <f>_xlfn.IFERROR(VLOOKUP($A193,'The List'!$B1:$AS665,28,FALSE)," ")</f>
        <v>858</v>
      </c>
      <c r="V193" t="s" s="125">
        <f>_xlfn.IFERROR(VLOOKUP($A193,'The List'!$B1:$AS665,29,FALSE)," ")</f>
        <v>858</v>
      </c>
      <c r="W193" t="s" s="125">
        <f>_xlfn.IFERROR(VLOOKUP($A193,'The List'!$B1:$AS665,30,FALSE)," ")</f>
        <v>858</v>
      </c>
      <c r="X193" t="s" s="125">
        <f>_xlfn.IFERROR(VLOOKUP($A193,'The List'!$B1:$AS665,31,FALSE)," ")</f>
        <v>858</v>
      </c>
      <c r="Y193" t="s" s="125">
        <f>_xlfn.IFERROR(VLOOKUP($A193,'The List'!$B1:$AS665,32,FALSE)," ")</f>
        <v>858</v>
      </c>
      <c r="Z193" t="s" s="125">
        <f>_xlfn.IFERROR(VLOOKUP($A193,'The List'!$B1:$AS665,33,FALSE)," ")</f>
        <v>858</v>
      </c>
      <c r="AA193" s="120"/>
      <c r="AB193" s="121"/>
      <c r="AC193" s="121"/>
      <c r="AD193" s="121"/>
      <c r="AE193" s="121"/>
      <c r="AF193" s="144"/>
    </row>
    <row r="194" ht="21.25" customHeight="1">
      <c r="A194" s="50"/>
      <c r="B194" t="s" s="132">
        <f>_xlfn.IFERROR(VLOOKUP($A194,'The List'!$B1:$AS665,3,FALSE)," ")</f>
        <v>858</v>
      </c>
      <c r="C194" t="s" s="134">
        <f>_xlfn.IFERROR(VLOOKUP($A194,'The List'!$B1:$AS665,4,FALSE)," ")</f>
        <v>858</v>
      </c>
      <c r="D194" t="s" s="86">
        <f>_xlfn.IFERROR(VLOOKUP($A194,'The List'!$B1:$AS665,5,FALSE)," ")</f>
        <v>858</v>
      </c>
      <c r="E194" t="s" s="86">
        <f>_xlfn.IFERROR(VLOOKUP($A194,'The List'!$B1:$AS665,6,FALSE)," ")</f>
        <v>858</v>
      </c>
      <c r="F194" t="s" s="124">
        <f>_xlfn.IFERROR(VLOOKUP($A194,'The List'!$B1:$AS665,8,FALSE)," ")</f>
        <v>858</v>
      </c>
      <c r="G194" t="s" s="124">
        <f>_xlfn.IFERROR(VLOOKUP($A194,'The List'!$B1:$AS665,10,FALSE)," ")</f>
        <v>858</v>
      </c>
      <c r="H194" s="77"/>
      <c r="I194" t="s" s="125">
        <f>_xlfn.IFERROR(VLOOKUP($A194,'The List'!$B1:$AS665,16,FALSE)," ")</f>
        <v>858</v>
      </c>
      <c r="J194" t="s" s="125">
        <f>_xlfn.IFERROR(VLOOKUP($A194,'The List'!$B1:$AS665,17,FALSE)," ")</f>
        <v>858</v>
      </c>
      <c r="K194" t="s" s="125">
        <f>_xlfn.IFERROR(VLOOKUP($A194,'The List'!$B1:$AS665,18,FALSE)," ")</f>
        <v>858</v>
      </c>
      <c r="L194" t="s" s="125">
        <f>_xlfn.IFERROR(VLOOKUP($A194,'The List'!$B1:$AS665,19,FALSE)," ")</f>
        <v>858</v>
      </c>
      <c r="M194" t="s" s="125">
        <f>_xlfn.IFERROR(VLOOKUP($A194,'The List'!$B1:$AS665,20,FALSE)," ")</f>
        <v>858</v>
      </c>
      <c r="N194" t="s" s="125">
        <f>_xlfn.IFERROR(VLOOKUP($A194,'The List'!$B1:$AS665,21,FALSE)," ")</f>
        <v>858</v>
      </c>
      <c r="O194" t="s" s="125">
        <f>_xlfn.IFERROR(VLOOKUP($A194,'The List'!$B1:$AS665,22,FALSE)," ")</f>
        <v>858</v>
      </c>
      <c r="P194" t="s" s="125">
        <f>_xlfn.IFERROR(VLOOKUP($A194,'The List'!$B1:$AS665,23,FALSE)," ")</f>
        <v>858</v>
      </c>
      <c r="Q194" t="s" s="125">
        <f>_xlfn.IFERROR(VLOOKUP($A194,'The List'!$B1:$AS665,24,FALSE)," ")</f>
        <v>858</v>
      </c>
      <c r="R194" t="s" s="125">
        <f>_xlfn.IFERROR(VLOOKUP($A194,'The List'!$B1:$AS665,25,FALSE)," ")</f>
        <v>858</v>
      </c>
      <c r="S194" t="s" s="125">
        <f>_xlfn.IFERROR(VLOOKUP($A194,'The List'!$B1:$AS665,26,FALSE)," ")</f>
        <v>858</v>
      </c>
      <c r="T194" t="s" s="125">
        <f>_xlfn.IFERROR(VLOOKUP($A194,'The List'!$B1:$AS665,27,FALSE)," ")</f>
        <v>858</v>
      </c>
      <c r="U194" t="s" s="125">
        <f>_xlfn.IFERROR(VLOOKUP($A194,'The List'!$B1:$AS665,28,FALSE)," ")</f>
        <v>858</v>
      </c>
      <c r="V194" t="s" s="125">
        <f>_xlfn.IFERROR(VLOOKUP($A194,'The List'!$B1:$AS665,29,FALSE)," ")</f>
        <v>858</v>
      </c>
      <c r="W194" t="s" s="125">
        <f>_xlfn.IFERROR(VLOOKUP($A194,'The List'!$B1:$AS665,30,FALSE)," ")</f>
        <v>858</v>
      </c>
      <c r="X194" t="s" s="125">
        <f>_xlfn.IFERROR(VLOOKUP($A194,'The List'!$B1:$AS665,31,FALSE)," ")</f>
        <v>858</v>
      </c>
      <c r="Y194" t="s" s="125">
        <f>_xlfn.IFERROR(VLOOKUP($A194,'The List'!$B1:$AS665,32,FALSE)," ")</f>
        <v>858</v>
      </c>
      <c r="Z194" t="s" s="125">
        <f>_xlfn.IFERROR(VLOOKUP($A194,'The List'!$B1:$AS665,33,FALSE)," ")</f>
        <v>858</v>
      </c>
      <c r="AA194" s="120"/>
      <c r="AB194" s="121"/>
      <c r="AC194" s="121"/>
      <c r="AD194" s="121"/>
      <c r="AE194" s="121"/>
      <c r="AF194" s="144"/>
    </row>
    <row r="195" ht="21.25" customHeight="1">
      <c r="A195" s="137"/>
      <c r="B195" t="s" s="138">
        <f>_xlfn.IFERROR(VLOOKUP($A195,'The List'!$B1:$AS665,3,FALSE)," ")</f>
        <v>858</v>
      </c>
      <c r="C195" t="s" s="139">
        <f>_xlfn.IFERROR(VLOOKUP($A195,'The List'!$B1:$AS665,4,FALSE)," ")</f>
        <v>858</v>
      </c>
      <c r="D195" t="s" s="140">
        <f>_xlfn.IFERROR(VLOOKUP($A195,'The List'!$B1:$AS665,5,FALSE)," ")</f>
        <v>858</v>
      </c>
      <c r="E195" t="s" s="140">
        <f>_xlfn.IFERROR(VLOOKUP($A195,'The List'!$B1:$AS665,6,FALSE)," ")</f>
        <v>858</v>
      </c>
      <c r="F195" t="s" s="141">
        <f>_xlfn.IFERROR(VLOOKUP($A195,'The List'!$B1:$AS665,8,FALSE)," ")</f>
        <v>858</v>
      </c>
      <c r="G195" t="s" s="141">
        <f>_xlfn.IFERROR(VLOOKUP($A195,'The List'!$B1:$AS665,10,FALSE)," ")</f>
        <v>858</v>
      </c>
      <c r="H195" s="142"/>
      <c r="I195" t="s" s="143">
        <f>_xlfn.IFERROR(VLOOKUP($A195,'The List'!$B1:$AS665,16,FALSE)," ")</f>
        <v>858</v>
      </c>
      <c r="J195" t="s" s="143">
        <f>_xlfn.IFERROR(VLOOKUP($A195,'The List'!$B1:$AS665,17,FALSE)," ")</f>
        <v>858</v>
      </c>
      <c r="K195" t="s" s="143">
        <f>_xlfn.IFERROR(VLOOKUP($A195,'The List'!$B1:$AS665,18,FALSE)," ")</f>
        <v>858</v>
      </c>
      <c r="L195" t="s" s="143">
        <f>_xlfn.IFERROR(VLOOKUP($A195,'The List'!$B1:$AS665,19,FALSE)," ")</f>
        <v>858</v>
      </c>
      <c r="M195" t="s" s="143">
        <f>_xlfn.IFERROR(VLOOKUP($A195,'The List'!$B1:$AS665,20,FALSE)," ")</f>
        <v>858</v>
      </c>
      <c r="N195" t="s" s="143">
        <f>_xlfn.IFERROR(VLOOKUP($A195,'The List'!$B1:$AS665,21,FALSE)," ")</f>
        <v>858</v>
      </c>
      <c r="O195" t="s" s="143">
        <f>_xlfn.IFERROR(VLOOKUP($A195,'The List'!$B1:$AS665,22,FALSE)," ")</f>
        <v>858</v>
      </c>
      <c r="P195" t="s" s="143">
        <f>_xlfn.IFERROR(VLOOKUP($A195,'The List'!$B1:$AS665,23,FALSE)," ")</f>
        <v>858</v>
      </c>
      <c r="Q195" t="s" s="143">
        <f>_xlfn.IFERROR(VLOOKUP($A195,'The List'!$B1:$AS665,24,FALSE)," ")</f>
        <v>858</v>
      </c>
      <c r="R195" t="s" s="143">
        <f>_xlfn.IFERROR(VLOOKUP($A195,'The List'!$B1:$AS665,25,FALSE)," ")</f>
        <v>858</v>
      </c>
      <c r="S195" t="s" s="143">
        <f>_xlfn.IFERROR(VLOOKUP($A195,'The List'!$B1:$AS665,26,FALSE)," ")</f>
        <v>858</v>
      </c>
      <c r="T195" t="s" s="143">
        <f>_xlfn.IFERROR(VLOOKUP($A195,'The List'!$B1:$AS665,27,FALSE)," ")</f>
        <v>858</v>
      </c>
      <c r="U195" t="s" s="143">
        <f>_xlfn.IFERROR(VLOOKUP($A195,'The List'!$B1:$AS665,28,FALSE)," ")</f>
        <v>858</v>
      </c>
      <c r="V195" t="s" s="143">
        <f>_xlfn.IFERROR(VLOOKUP($A195,'The List'!$B1:$AS665,29,FALSE)," ")</f>
        <v>858</v>
      </c>
      <c r="W195" t="s" s="143">
        <f>_xlfn.IFERROR(VLOOKUP($A195,'The List'!$B1:$AS665,30,FALSE)," ")</f>
        <v>858</v>
      </c>
      <c r="X195" t="s" s="143">
        <f>_xlfn.IFERROR(VLOOKUP($A195,'The List'!$B1:$AS665,31,FALSE)," ")</f>
        <v>858</v>
      </c>
      <c r="Y195" t="s" s="143">
        <f>_xlfn.IFERROR(VLOOKUP($A195,'The List'!$B1:$AS665,32,FALSE)," ")</f>
        <v>858</v>
      </c>
      <c r="Z195" t="s" s="143">
        <f>_xlfn.IFERROR(VLOOKUP($A195,'The List'!$B1:$AS665,33,FALSE)," ")</f>
        <v>858</v>
      </c>
      <c r="AA195" s="120"/>
      <c r="AB195" s="121"/>
      <c r="AC195" s="121"/>
      <c r="AD195" s="121"/>
      <c r="AE195" s="121"/>
      <c r="AF195" s="144"/>
    </row>
    <row r="196" ht="21.25" customHeight="1">
      <c r="A196" s="145"/>
      <c r="B196" s="146"/>
      <c r="C196" s="147"/>
      <c r="D196" s="148"/>
      <c r="E196" t="s" s="193">
        <f>_xlfn.IFERROR(AVERAGE(E176:E195)," ")</f>
        <v>858</v>
      </c>
      <c r="F196" s="150">
        <f>SUM(F176:F195)</f>
        <v>0</v>
      </c>
      <c r="G196" s="150">
        <f>SUM(G176:G195)</f>
        <v>0</v>
      </c>
      <c r="H196" s="151"/>
      <c r="I196" s="152">
        <f>SUM(I176:I195)</f>
        <v>0</v>
      </c>
      <c r="J196" s="151">
        <f>AVERAGE(J176:J195)</f>
      </c>
      <c r="K196" s="152">
        <f>SUM(K176:K195)</f>
        <v>0</v>
      </c>
      <c r="L196" s="152">
        <f>SUM(L176:L195)</f>
        <v>0</v>
      </c>
      <c r="M196" s="152">
        <f>SUM(M176:M195)</f>
        <v>0</v>
      </c>
      <c r="N196" s="152">
        <f>SUM(N176:N195)</f>
        <v>0</v>
      </c>
      <c r="O196" s="152">
        <f>SUM(O176:O195)</f>
        <v>0</v>
      </c>
      <c r="P196" s="152">
        <f>SUM(P176:P195)</f>
        <v>0</v>
      </c>
      <c r="Q196" s="152">
        <f>SUM(Q176:Q195)</f>
        <v>0</v>
      </c>
      <c r="R196" s="152">
        <f>SUM(R176:R195)</f>
        <v>0</v>
      </c>
      <c r="S196" s="152">
        <f>SUM(S176:S195)</f>
        <v>0</v>
      </c>
      <c r="T196" s="152">
        <f>SUM(T176:T195)</f>
        <v>0</v>
      </c>
      <c r="U196" s="152">
        <f>SUM(U176:U195)</f>
        <v>0</v>
      </c>
      <c r="V196" s="152">
        <f>SUM(V176:V195)</f>
        <v>0</v>
      </c>
      <c r="W196" s="152">
        <f>SUM(W176:W195)</f>
        <v>0</v>
      </c>
      <c r="X196" s="152">
        <f>SUM(X176:X195)</f>
        <v>0</v>
      </c>
      <c r="Y196" s="152">
        <f>SUM(Y176:Y195)</f>
        <v>0</v>
      </c>
      <c r="Z196" s="153">
        <f>_xlfn.IFERROR(X196/(X196+Y196),0)</f>
        <v>0</v>
      </c>
      <c r="AA196" s="120"/>
      <c r="AB196" s="154"/>
      <c r="AC196" s="154"/>
      <c r="AD196" s="154"/>
      <c r="AE196" s="154"/>
      <c r="AF196" s="155"/>
    </row>
    <row r="197" ht="21.25" customHeight="1">
      <c r="A197" s="156"/>
      <c r="B197" s="157"/>
      <c r="C197" s="158"/>
      <c r="D197" s="13"/>
      <c r="E197" s="13"/>
      <c r="F197" s="159"/>
      <c r="G197" s="160"/>
      <c r="H197" s="161"/>
      <c r="I197" s="162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  <c r="AB197" s="121"/>
      <c r="AC197" s="121"/>
      <c r="AD197" s="121"/>
      <c r="AE197" s="121"/>
      <c r="AF197" s="144"/>
    </row>
    <row r="198" ht="21.25" customHeight="1">
      <c r="A198" t="s" s="163">
        <v>89</v>
      </c>
      <c r="B198" t="s" s="164">
        <v>91</v>
      </c>
      <c r="C198" s="31"/>
      <c r="D198" t="s" s="164">
        <v>92</v>
      </c>
      <c r="E198" t="s" s="164">
        <v>93</v>
      </c>
      <c r="F198" t="s" s="165">
        <v>95</v>
      </c>
      <c r="G198" t="s" s="165">
        <v>97</v>
      </c>
      <c r="H198" s="166"/>
      <c r="I198" t="s" s="167">
        <v>102</v>
      </c>
      <c r="J198" t="s" s="167">
        <v>118</v>
      </c>
      <c r="K198" t="s" s="167">
        <v>119</v>
      </c>
      <c r="L198" t="s" s="167">
        <v>120</v>
      </c>
      <c r="M198" t="s" s="167">
        <v>121</v>
      </c>
      <c r="N198" t="s" s="167">
        <v>122</v>
      </c>
      <c r="O198" t="s" s="167">
        <v>123</v>
      </c>
      <c r="P198" t="s" s="167">
        <v>124</v>
      </c>
      <c r="Q198" t="s" s="167">
        <v>125</v>
      </c>
      <c r="R198" s="120"/>
      <c r="S198" s="120"/>
      <c r="T198" s="120"/>
      <c r="U198" t="s" s="164">
        <v>876</v>
      </c>
      <c r="V198" s="166"/>
      <c r="W198" s="166"/>
      <c r="X198" t="s" s="164">
        <v>877</v>
      </c>
      <c r="Y198" s="166"/>
      <c r="Z198" s="166"/>
      <c r="AA198" s="120"/>
      <c r="AB198" s="120"/>
      <c r="AC198" s="120"/>
      <c r="AD198" s="120"/>
      <c r="AE198" s="120"/>
      <c r="AF198" s="168"/>
    </row>
    <row r="199" ht="21.25" customHeight="1">
      <c r="A199" s="194"/>
      <c r="B199" t="s" s="170">
        <f>_xlfn.IFERROR(VLOOKUP($A199,'The List'!$B1:$AS665,3,FALSE)," ")</f>
        <v>858</v>
      </c>
      <c r="C199" t="s" s="195">
        <f>_xlfn.IFERROR(VLOOKUP($A199,'The List'!$B1:$AS665,4,FALSE)," ")</f>
        <v>858</v>
      </c>
      <c r="D199" t="s" s="72">
        <f>_xlfn.IFERROR(VLOOKUP($A199,'The List'!$B1:$AS665,5,FALSE)," ")</f>
        <v>858</v>
      </c>
      <c r="E199" t="s" s="72">
        <f>_xlfn.IFERROR(VLOOKUP($A199,'The List'!$B1:$AS665,6,FALSE)," ")</f>
        <v>858</v>
      </c>
      <c r="F199" t="s" s="196">
        <f>_xlfn.IFERROR(VLOOKUP($A199,'The List'!$B1:$AS665,8,FALSE)," ")</f>
        <v>858</v>
      </c>
      <c r="G199" t="s" s="196">
        <f>_xlfn.IFERROR(VLOOKUP($A199,'The List'!$B1:$AS665,10,FALSE)," ")</f>
        <v>858</v>
      </c>
      <c r="H199" s="174"/>
      <c r="I199" t="s" s="197">
        <f>_xlfn.IFERROR(VLOOKUP($A199,'The List'!$B1:$AS665,35,FALSE)," ")</f>
        <v>858</v>
      </c>
      <c r="J199" t="s" s="197">
        <f>_xlfn.IFERROR(VLOOKUP($A199,'The List'!$B1:$AS665,36,FALSE)," ")</f>
        <v>858</v>
      </c>
      <c r="K199" t="s" s="197">
        <f>_xlfn.IFERROR(VLOOKUP($A199,'The List'!$B1:$AS665,37,FALSE)," ")</f>
        <v>858</v>
      </c>
      <c r="L199" t="s" s="197">
        <f>_xlfn.IFERROR(VLOOKUP($A199,'The List'!$B1:$AS665,38,FALSE)," ")</f>
        <v>858</v>
      </c>
      <c r="M199" t="s" s="197">
        <f>_xlfn.IFERROR(VLOOKUP($A199,'The List'!$B1:$AS665,39,FALSE)," ")</f>
        <v>858</v>
      </c>
      <c r="N199" t="s" s="197">
        <f>_xlfn.IFERROR(VLOOKUP($A199,'The List'!$B1:$AS665,40,FALSE)," ")</f>
        <v>858</v>
      </c>
      <c r="O199" t="s" s="197">
        <f>_xlfn.IFERROR(VLOOKUP($A199,'The List'!$B1:$AS665,41,FALSE)," ")</f>
        <v>858</v>
      </c>
      <c r="P199" t="s" s="197">
        <f>_xlfn.IFERROR(VLOOKUP($A199,'The List'!$B1:$AS665,42,FALSE)," ")</f>
        <v>858</v>
      </c>
      <c r="Q199" t="s" s="197">
        <f>_xlfn.IFERROR(VLOOKUP($A199,'The List'!$B1:$AS665,43,FALSE)," ")</f>
        <v>858</v>
      </c>
      <c r="R199" s="120"/>
      <c r="S199" s="120"/>
      <c r="T199" t="s" s="178">
        <f>A175</f>
        <v>885</v>
      </c>
      <c r="U199" s="179">
        <f>F196+F202</f>
        <v>0</v>
      </c>
      <c r="V199" s="31"/>
      <c r="W199" s="31"/>
      <c r="X199" s="179">
        <f>G202+G196</f>
        <v>0</v>
      </c>
      <c r="Y199" s="31"/>
      <c r="Z199" s="31"/>
      <c r="AA199" s="120"/>
      <c r="AB199" s="120"/>
      <c r="AC199" s="120"/>
      <c r="AD199" s="120"/>
      <c r="AE199" s="120"/>
      <c r="AF199" s="168"/>
    </row>
    <row r="200" ht="21.25" customHeight="1">
      <c r="A200" s="50"/>
      <c r="B200" t="s" s="180">
        <f>_xlfn.IFERROR(VLOOKUP($A200,'The List'!$B1:$AS665,3,FALSE)," ")</f>
        <v>858</v>
      </c>
      <c r="C200" t="s" s="181">
        <f>_xlfn.IFERROR(VLOOKUP($A200,'The List'!$B1:$AS665,4,FALSE)," ")</f>
        <v>858</v>
      </c>
      <c r="D200" t="s" s="86">
        <f>_xlfn.IFERROR(VLOOKUP($A200,'The List'!$B1:$AS665,5,FALSE)," ")</f>
        <v>858</v>
      </c>
      <c r="E200" t="s" s="86">
        <f>_xlfn.IFERROR(VLOOKUP($A200,'The List'!$B1:$AS665,6,FALSE)," ")</f>
        <v>858</v>
      </c>
      <c r="F200" t="s" s="124">
        <f>_xlfn.IFERROR(VLOOKUP($A200,'The List'!$B1:$AS665,8,FALSE)," ")</f>
        <v>858</v>
      </c>
      <c r="G200" t="s" s="124">
        <f>_xlfn.IFERROR(VLOOKUP($A200,'The List'!$B1:$AS665,10,FALSE)," ")</f>
        <v>858</v>
      </c>
      <c r="H200" s="77"/>
      <c r="I200" t="s" s="125">
        <f>_xlfn.IFERROR(VLOOKUP($A200,'The List'!$B1:$AS665,35,FALSE)," ")</f>
        <v>858</v>
      </c>
      <c r="J200" t="s" s="125">
        <f>_xlfn.IFERROR(VLOOKUP($A200,'The List'!$B1:$AS665,36,FALSE)," ")</f>
        <v>858</v>
      </c>
      <c r="K200" t="s" s="125">
        <f>_xlfn.IFERROR(VLOOKUP($A200,'The List'!$B1:$AS665,37,FALSE)," ")</f>
        <v>858</v>
      </c>
      <c r="L200" t="s" s="125">
        <f>_xlfn.IFERROR(VLOOKUP($A200,'The List'!$B1:$AS665,38,FALSE)," ")</f>
        <v>858</v>
      </c>
      <c r="M200" t="s" s="125">
        <f>_xlfn.IFERROR(VLOOKUP($A200,'The List'!$B1:$AS665,39,FALSE)," ")</f>
        <v>858</v>
      </c>
      <c r="N200" t="s" s="125">
        <f>_xlfn.IFERROR(VLOOKUP($A200,'The List'!$B1:$AS665,40,FALSE)," ")</f>
        <v>858</v>
      </c>
      <c r="O200" t="s" s="125">
        <f>_xlfn.IFERROR(VLOOKUP($A200,'The List'!$B1:$AS665,41,FALSE)," ")</f>
        <v>858</v>
      </c>
      <c r="P200" t="s" s="125">
        <f>_xlfn.IFERROR(VLOOKUP($A200,'The List'!$B1:$AS665,42,FALSE)," ")</f>
        <v>858</v>
      </c>
      <c r="Q200" t="s" s="125">
        <f>_xlfn.IFERROR(VLOOKUP($A200,'The List'!$B1:$AS665,43,FALSE)," ")</f>
        <v>858</v>
      </c>
      <c r="R200" s="120"/>
      <c r="S200" s="120"/>
      <c r="T200" s="120"/>
      <c r="U200" s="31"/>
      <c r="V200" s="31"/>
      <c r="W200" s="31"/>
      <c r="X200" s="31"/>
      <c r="Y200" s="31"/>
      <c r="Z200" s="31"/>
      <c r="AA200" s="120"/>
      <c r="AB200" s="120"/>
      <c r="AC200" s="120"/>
      <c r="AD200" s="120"/>
      <c r="AE200" s="120"/>
      <c r="AF200" s="168"/>
    </row>
    <row r="201" ht="21.25" customHeight="1">
      <c r="A201" s="137"/>
      <c r="B201" t="s" s="182">
        <f>_xlfn.IFERROR(VLOOKUP($A201,'The List'!$B1:$AS665,3,FALSE)," ")</f>
        <v>858</v>
      </c>
      <c r="C201" t="s" s="183">
        <f>_xlfn.IFERROR(VLOOKUP($A201,'The List'!$B1:$AS665,4,FALSE)," ")</f>
        <v>858</v>
      </c>
      <c r="D201" t="s" s="140">
        <f>_xlfn.IFERROR(VLOOKUP($A201,'The List'!$B1:$AS665,5,FALSE)," ")</f>
        <v>858</v>
      </c>
      <c r="E201" t="s" s="140">
        <f>_xlfn.IFERROR(VLOOKUP($A201,'The List'!$B1:$AS665,6,FALSE)," ")</f>
        <v>858</v>
      </c>
      <c r="F201" t="s" s="141">
        <f>_xlfn.IFERROR(VLOOKUP($A201,'The List'!$B1:$AS665,8,FALSE)," ")</f>
        <v>858</v>
      </c>
      <c r="G201" t="s" s="141">
        <f>_xlfn.IFERROR(VLOOKUP($A201,'The List'!$B1:$AS665,10,FALSE)," ")</f>
        <v>858</v>
      </c>
      <c r="H201" s="142"/>
      <c r="I201" t="s" s="143">
        <f>_xlfn.IFERROR(VLOOKUP($A201,'The List'!$B1:$AS665,35,FALSE)," ")</f>
        <v>858</v>
      </c>
      <c r="J201" t="s" s="143">
        <f>_xlfn.IFERROR(VLOOKUP($A201,'The List'!$B1:$AS665,36,FALSE)," ")</f>
        <v>858</v>
      </c>
      <c r="K201" t="s" s="143">
        <f>_xlfn.IFERROR(VLOOKUP($A201,'The List'!$B1:$AS665,37,FALSE)," ")</f>
        <v>858</v>
      </c>
      <c r="L201" t="s" s="143">
        <f>_xlfn.IFERROR(VLOOKUP($A201,'The List'!$B1:$AS665,38,FALSE)," ")</f>
        <v>858</v>
      </c>
      <c r="M201" t="s" s="143">
        <f>_xlfn.IFERROR(VLOOKUP($A201,'The List'!$B1:$AS665,39,FALSE)," ")</f>
        <v>858</v>
      </c>
      <c r="N201" t="s" s="143">
        <f>_xlfn.IFERROR(VLOOKUP($A201,'The List'!$B1:$AS665,40,FALSE)," ")</f>
        <v>858</v>
      </c>
      <c r="O201" t="s" s="143">
        <f>_xlfn.IFERROR(VLOOKUP($A201,'The List'!$B1:$AS665,41,FALSE)," ")</f>
        <v>858</v>
      </c>
      <c r="P201" t="s" s="143">
        <f>_xlfn.IFERROR(VLOOKUP($A201,'The List'!$B1:$AS665,42,FALSE)," ")</f>
        <v>858</v>
      </c>
      <c r="Q201" t="s" s="143">
        <f>_xlfn.IFERROR(VLOOKUP($A201,'The List'!$B1:$AS665,43,FALSE)," ")</f>
        <v>858</v>
      </c>
      <c r="R201" s="120"/>
      <c r="S201" s="120"/>
      <c r="T201" s="120"/>
      <c r="U201" s="31"/>
      <c r="V201" s="31"/>
      <c r="W201" s="31"/>
      <c r="X201" s="31"/>
      <c r="Y201" s="31"/>
      <c r="Z201" s="31"/>
      <c r="AA201" s="120"/>
      <c r="AB201" s="120"/>
      <c r="AC201" s="120"/>
      <c r="AD201" s="120"/>
      <c r="AE201" s="120"/>
      <c r="AF201" s="168"/>
    </row>
    <row r="202" ht="21.25" customHeight="1">
      <c r="A202" s="145"/>
      <c r="B202" s="146"/>
      <c r="C202" s="147"/>
      <c r="D202" s="148"/>
      <c r="E202" t="s" s="193">
        <f>_xlfn.IFERROR(AVERAGE(E199:E201)," ")</f>
        <v>858</v>
      </c>
      <c r="F202" s="150">
        <f>SUM(F199:F201)</f>
        <v>0</v>
      </c>
      <c r="G202" s="150">
        <f>SUM(G199:G201)</f>
        <v>0</v>
      </c>
      <c r="H202" s="151"/>
      <c r="I202" s="152">
        <f>SUM(I199:I201)</f>
        <v>0</v>
      </c>
      <c r="J202" s="151">
        <f>SUM(J199:J201)</f>
        <v>0</v>
      </c>
      <c r="K202" s="152">
        <f>SUM(K199:K201)</f>
        <v>0</v>
      </c>
      <c r="L202" s="152">
        <f>SUM(L199:L201)</f>
        <v>0</v>
      </c>
      <c r="M202" s="152">
        <f>SUM(M199:M201)</f>
        <v>0</v>
      </c>
      <c r="N202" s="152">
        <f>SUM(N199:N201)</f>
        <v>0</v>
      </c>
      <c r="O202" s="152">
        <f>SUM(O199:O201)</f>
        <v>0</v>
      </c>
      <c r="P202" s="184">
        <f>1-(O202/(N202+O202))</f>
      </c>
      <c r="Q202" s="185">
        <f>O202/I202</f>
      </c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  <c r="AB202" s="120"/>
      <c r="AC202" s="120"/>
      <c r="AD202" s="120"/>
      <c r="AE202" s="120"/>
      <c r="AF202" s="168"/>
    </row>
    <row r="203" ht="70.75" customHeight="1">
      <c r="A203" s="156"/>
      <c r="B203" s="157"/>
      <c r="C203" s="158"/>
      <c r="D203" s="13"/>
      <c r="E203" s="13"/>
      <c r="F203" s="159"/>
      <c r="G203" s="160"/>
      <c r="H203" s="161"/>
      <c r="I203" s="162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1"/>
      <c r="AB203" s="121"/>
      <c r="AC203" s="121"/>
      <c r="AD203" s="121"/>
      <c r="AE203" s="121"/>
      <c r="AF203" s="144"/>
    </row>
    <row r="204" ht="21.25" customHeight="1">
      <c r="A204" t="s" s="186">
        <v>865</v>
      </c>
      <c r="B204" t="s" s="187">
        <v>91</v>
      </c>
      <c r="C204" s="45"/>
      <c r="D204" t="s" s="187">
        <v>92</v>
      </c>
      <c r="E204" t="s" s="187">
        <v>93</v>
      </c>
      <c r="F204" t="s" s="188">
        <v>95</v>
      </c>
      <c r="G204" t="s" s="188">
        <v>97</v>
      </c>
      <c r="H204" s="189"/>
      <c r="I204" t="s" s="190">
        <v>102</v>
      </c>
      <c r="J204" t="s" s="190">
        <v>55</v>
      </c>
      <c r="K204" t="s" s="190">
        <v>103</v>
      </c>
      <c r="L204" t="s" s="190">
        <v>104</v>
      </c>
      <c r="M204" t="s" s="190">
        <v>105</v>
      </c>
      <c r="N204" t="s" s="190">
        <v>106</v>
      </c>
      <c r="O204" t="s" s="190">
        <v>107</v>
      </c>
      <c r="P204" t="s" s="190">
        <v>63</v>
      </c>
      <c r="Q204" t="s" s="190">
        <v>108</v>
      </c>
      <c r="R204" t="s" s="190">
        <v>109</v>
      </c>
      <c r="S204" t="s" s="190">
        <v>110</v>
      </c>
      <c r="T204" t="s" s="190">
        <v>111</v>
      </c>
      <c r="U204" t="s" s="190">
        <v>112</v>
      </c>
      <c r="V204" t="s" s="190">
        <v>113</v>
      </c>
      <c r="W204" t="s" s="190">
        <v>114</v>
      </c>
      <c r="X204" t="s" s="190">
        <v>115</v>
      </c>
      <c r="Y204" t="s" s="190">
        <v>116</v>
      </c>
      <c r="Z204" t="s" s="190">
        <v>117</v>
      </c>
      <c r="AA204" s="120"/>
      <c r="AB204" s="191"/>
      <c r="AC204" s="191"/>
      <c r="AD204" s="191"/>
      <c r="AE204" s="191"/>
      <c r="AF204" s="192"/>
    </row>
    <row r="205" ht="21.25" customHeight="1">
      <c r="A205" s="50"/>
      <c r="B205" t="s" s="117">
        <f>_xlfn.IFERROR(VLOOKUP($A205,'The List'!$B1:$AS665,3,FALSE)," ")</f>
        <v>858</v>
      </c>
      <c r="C205" t="s" s="123">
        <f>_xlfn.IFERROR(VLOOKUP($A205,'The List'!$B1:$AS665,4,FALSE)," ")</f>
        <v>858</v>
      </c>
      <c r="D205" t="s" s="86">
        <f>_xlfn.IFERROR(VLOOKUP($A205,'The List'!$B1:$AS665,5,FALSE)," ")</f>
        <v>858</v>
      </c>
      <c r="E205" t="s" s="86">
        <f>_xlfn.IFERROR(VLOOKUP($A205,'The List'!$B1:$AS665,6,FALSE)," ")</f>
        <v>858</v>
      </c>
      <c r="F205" t="s" s="124">
        <f>_xlfn.IFERROR(VLOOKUP($A205,'The List'!$B1:$AS665,8,FALSE)," ")</f>
        <v>858</v>
      </c>
      <c r="G205" t="s" s="124">
        <f>_xlfn.IFERROR(VLOOKUP($A205,'The List'!$B1:$AS665,10,FALSE)," ")</f>
        <v>858</v>
      </c>
      <c r="H205" s="77"/>
      <c r="I205" t="s" s="125">
        <f>_xlfn.IFERROR(VLOOKUP($A205,'The List'!$B1:$AS665,16,FALSE)," ")</f>
        <v>858</v>
      </c>
      <c r="J205" t="s" s="125">
        <f>_xlfn.IFERROR(VLOOKUP($A205,'The List'!$B1:$AS665,17,FALSE)," ")</f>
        <v>858</v>
      </c>
      <c r="K205" t="s" s="125">
        <f>_xlfn.IFERROR(VLOOKUP($A205,'The List'!$B1:$AS665,18,FALSE)," ")</f>
        <v>858</v>
      </c>
      <c r="L205" t="s" s="125">
        <f>_xlfn.IFERROR(VLOOKUP($A205,'The List'!$B1:$AS665,19,FALSE)," ")</f>
        <v>858</v>
      </c>
      <c r="M205" t="s" s="125">
        <f>_xlfn.IFERROR(VLOOKUP($A205,'The List'!$B1:$AS665,20,FALSE)," ")</f>
        <v>858</v>
      </c>
      <c r="N205" t="s" s="125">
        <f>_xlfn.IFERROR(VLOOKUP($A205,'The List'!$B1:$AS665,21,FALSE)," ")</f>
        <v>858</v>
      </c>
      <c r="O205" t="s" s="125">
        <f>_xlfn.IFERROR(VLOOKUP($A205,'The List'!$B1:$AS665,22,FALSE)," ")</f>
        <v>858</v>
      </c>
      <c r="P205" t="s" s="125">
        <f>_xlfn.IFERROR(VLOOKUP($A205,'The List'!$B1:$AS665,23,FALSE)," ")</f>
        <v>858</v>
      </c>
      <c r="Q205" t="s" s="125">
        <f>_xlfn.IFERROR(VLOOKUP($A205,'The List'!$B1:$AS665,24,FALSE)," ")</f>
        <v>858</v>
      </c>
      <c r="R205" t="s" s="125">
        <f>_xlfn.IFERROR(VLOOKUP($A205,'The List'!$B1:$AS665,25,FALSE)," ")</f>
        <v>858</v>
      </c>
      <c r="S205" t="s" s="125">
        <f>_xlfn.IFERROR(VLOOKUP($A205,'The List'!$B1:$AS665,26,FALSE)," ")</f>
        <v>858</v>
      </c>
      <c r="T205" t="s" s="125">
        <f>_xlfn.IFERROR(VLOOKUP($A205,'The List'!$B1:$AS665,27,FALSE)," ")</f>
        <v>858</v>
      </c>
      <c r="U205" t="s" s="125">
        <f>_xlfn.IFERROR(VLOOKUP($A205,'The List'!$B1:$AS665,28,FALSE)," ")</f>
        <v>858</v>
      </c>
      <c r="V205" t="s" s="125">
        <f>_xlfn.IFERROR(VLOOKUP($A205,'The List'!$B1:$AS665,29,FALSE)," ")</f>
        <v>858</v>
      </c>
      <c r="W205" t="s" s="125">
        <f>_xlfn.IFERROR(VLOOKUP($A205,'The List'!$B1:$AS665,30,FALSE)," ")</f>
        <v>858</v>
      </c>
      <c r="X205" t="s" s="125">
        <f>_xlfn.IFERROR(VLOOKUP($A205,'The List'!$B1:$AS665,31,FALSE)," ")</f>
        <v>858</v>
      </c>
      <c r="Y205" t="s" s="125">
        <f>_xlfn.IFERROR(VLOOKUP($A205,'The List'!$B1:$AS665,32,FALSE)," ")</f>
        <v>858</v>
      </c>
      <c r="Z205" t="s" s="125">
        <f>_xlfn.IFERROR(VLOOKUP($A205,'The List'!$B1:$AS665,33,FALSE)," ")</f>
        <v>858</v>
      </c>
      <c r="AA205" s="120"/>
      <c r="AB205" s="121"/>
      <c r="AC205" s="121"/>
      <c r="AD205" s="121"/>
      <c r="AE205" s="121"/>
      <c r="AF205" s="144"/>
    </row>
    <row r="206" ht="21.25" customHeight="1">
      <c r="A206" s="50"/>
      <c r="B206" t="s" s="117">
        <f>_xlfn.IFERROR(VLOOKUP($A206,'The List'!$B1:$AS665,3,FALSE)," ")</f>
        <v>858</v>
      </c>
      <c r="C206" t="s" s="123">
        <f>_xlfn.IFERROR(VLOOKUP($A206,'The List'!$B1:$AS665,4,FALSE)," ")</f>
        <v>858</v>
      </c>
      <c r="D206" t="s" s="86">
        <f>_xlfn.IFERROR(VLOOKUP($A206,'The List'!$B1:$AS665,5,FALSE)," ")</f>
        <v>858</v>
      </c>
      <c r="E206" t="s" s="86">
        <f>_xlfn.IFERROR(VLOOKUP($A206,'The List'!$B1:$AS665,6,FALSE)," ")</f>
        <v>858</v>
      </c>
      <c r="F206" t="s" s="124">
        <f>_xlfn.IFERROR(VLOOKUP($A206,'The List'!$B1:$AS665,8,FALSE)," ")</f>
        <v>858</v>
      </c>
      <c r="G206" t="s" s="124">
        <f>_xlfn.IFERROR(VLOOKUP($A206,'The List'!$B1:$AS665,10,FALSE)," ")</f>
        <v>858</v>
      </c>
      <c r="H206" s="77"/>
      <c r="I206" t="s" s="125">
        <f>_xlfn.IFERROR(VLOOKUP($A206,'The List'!$B1:$AS665,16,FALSE)," ")</f>
        <v>858</v>
      </c>
      <c r="J206" t="s" s="125">
        <f>_xlfn.IFERROR(VLOOKUP($A206,'The List'!$B1:$AS665,17,FALSE)," ")</f>
        <v>858</v>
      </c>
      <c r="K206" t="s" s="125">
        <f>_xlfn.IFERROR(VLOOKUP($A206,'The List'!$B1:$AS665,18,FALSE)," ")</f>
        <v>858</v>
      </c>
      <c r="L206" t="s" s="125">
        <f>_xlfn.IFERROR(VLOOKUP($A206,'The List'!$B1:$AS665,19,FALSE)," ")</f>
        <v>858</v>
      </c>
      <c r="M206" t="s" s="125">
        <f>_xlfn.IFERROR(VLOOKUP($A206,'The List'!$B1:$AS665,20,FALSE)," ")</f>
        <v>858</v>
      </c>
      <c r="N206" t="s" s="125">
        <f>_xlfn.IFERROR(VLOOKUP($A206,'The List'!$B1:$AS665,21,FALSE)," ")</f>
        <v>858</v>
      </c>
      <c r="O206" t="s" s="125">
        <f>_xlfn.IFERROR(VLOOKUP($A206,'The List'!$B1:$AS665,22,FALSE)," ")</f>
        <v>858</v>
      </c>
      <c r="P206" t="s" s="125">
        <f>_xlfn.IFERROR(VLOOKUP($A206,'The List'!$B1:$AS665,23,FALSE)," ")</f>
        <v>858</v>
      </c>
      <c r="Q206" t="s" s="125">
        <f>_xlfn.IFERROR(VLOOKUP($A206,'The List'!$B1:$AS665,24,FALSE)," ")</f>
        <v>858</v>
      </c>
      <c r="R206" t="s" s="125">
        <f>_xlfn.IFERROR(VLOOKUP($A206,'The List'!$B1:$AS665,25,FALSE)," ")</f>
        <v>858</v>
      </c>
      <c r="S206" t="s" s="125">
        <f>_xlfn.IFERROR(VLOOKUP($A206,'The List'!$B1:$AS665,26,FALSE)," ")</f>
        <v>858</v>
      </c>
      <c r="T206" t="s" s="125">
        <f>_xlfn.IFERROR(VLOOKUP($A206,'The List'!$B1:$AS665,27,FALSE)," ")</f>
        <v>858</v>
      </c>
      <c r="U206" t="s" s="125">
        <f>_xlfn.IFERROR(VLOOKUP($A206,'The List'!$B1:$AS665,28,FALSE)," ")</f>
        <v>858</v>
      </c>
      <c r="V206" t="s" s="125">
        <f>_xlfn.IFERROR(VLOOKUP($A206,'The List'!$B1:$AS665,29,FALSE)," ")</f>
        <v>858</v>
      </c>
      <c r="W206" t="s" s="125">
        <f>_xlfn.IFERROR(VLOOKUP($A206,'The List'!$B1:$AS665,30,FALSE)," ")</f>
        <v>858</v>
      </c>
      <c r="X206" t="s" s="125">
        <f>_xlfn.IFERROR(VLOOKUP($A206,'The List'!$B1:$AS665,31,FALSE)," ")</f>
        <v>858</v>
      </c>
      <c r="Y206" t="s" s="125">
        <f>_xlfn.IFERROR(VLOOKUP($A206,'The List'!$B1:$AS665,32,FALSE)," ")</f>
        <v>858</v>
      </c>
      <c r="Z206" t="s" s="125">
        <f>_xlfn.IFERROR(VLOOKUP($A206,'The List'!$B1:$AS665,33,FALSE)," ")</f>
        <v>858</v>
      </c>
      <c r="AA206" s="120"/>
      <c r="AB206" s="121"/>
      <c r="AC206" s="121"/>
      <c r="AD206" s="121"/>
      <c r="AE206" s="121"/>
      <c r="AF206" s="144"/>
    </row>
    <row r="207" ht="21.25" customHeight="1">
      <c r="A207" s="50"/>
      <c r="B207" t="s" s="117">
        <f>_xlfn.IFERROR(VLOOKUP($A207,'The List'!$B1:$AS665,3,FALSE)," ")</f>
        <v>858</v>
      </c>
      <c r="C207" t="s" s="123">
        <f>_xlfn.IFERROR(VLOOKUP($A207,'The List'!$B1:$AS665,4,FALSE)," ")</f>
        <v>858</v>
      </c>
      <c r="D207" t="s" s="86">
        <f>_xlfn.IFERROR(VLOOKUP($A207,'The List'!$B1:$AS665,5,FALSE)," ")</f>
        <v>858</v>
      </c>
      <c r="E207" t="s" s="86">
        <f>_xlfn.IFERROR(VLOOKUP($A207,'The List'!$B1:$AS665,6,FALSE)," ")</f>
        <v>858</v>
      </c>
      <c r="F207" t="s" s="124">
        <f>_xlfn.IFERROR(VLOOKUP($A207,'The List'!$B1:$AS665,8,FALSE)," ")</f>
        <v>858</v>
      </c>
      <c r="G207" t="s" s="124">
        <f>_xlfn.IFERROR(VLOOKUP($A207,'The List'!$B1:$AS665,10,FALSE)," ")</f>
        <v>858</v>
      </c>
      <c r="H207" s="77"/>
      <c r="I207" t="s" s="125">
        <f>_xlfn.IFERROR(VLOOKUP($A207,'The List'!$B1:$AS665,16,FALSE)," ")</f>
        <v>858</v>
      </c>
      <c r="J207" t="s" s="125">
        <f>_xlfn.IFERROR(VLOOKUP($A207,'The List'!$B1:$AS665,17,FALSE)," ")</f>
        <v>858</v>
      </c>
      <c r="K207" t="s" s="125">
        <f>_xlfn.IFERROR(VLOOKUP($A207,'The List'!$B1:$AS665,18,FALSE)," ")</f>
        <v>858</v>
      </c>
      <c r="L207" t="s" s="125">
        <f>_xlfn.IFERROR(VLOOKUP($A207,'The List'!$B1:$AS665,19,FALSE)," ")</f>
        <v>858</v>
      </c>
      <c r="M207" t="s" s="125">
        <f>_xlfn.IFERROR(VLOOKUP($A207,'The List'!$B1:$AS665,20,FALSE)," ")</f>
        <v>858</v>
      </c>
      <c r="N207" t="s" s="125">
        <f>_xlfn.IFERROR(VLOOKUP($A207,'The List'!$B1:$AS665,21,FALSE)," ")</f>
        <v>858</v>
      </c>
      <c r="O207" t="s" s="125">
        <f>_xlfn.IFERROR(VLOOKUP($A207,'The List'!$B1:$AS665,22,FALSE)," ")</f>
        <v>858</v>
      </c>
      <c r="P207" t="s" s="125">
        <f>_xlfn.IFERROR(VLOOKUP($A207,'The List'!$B1:$AS665,23,FALSE)," ")</f>
        <v>858</v>
      </c>
      <c r="Q207" t="s" s="125">
        <f>_xlfn.IFERROR(VLOOKUP($A207,'The List'!$B1:$AS665,24,FALSE)," ")</f>
        <v>858</v>
      </c>
      <c r="R207" t="s" s="125">
        <f>_xlfn.IFERROR(VLOOKUP($A207,'The List'!$B1:$AS665,25,FALSE)," ")</f>
        <v>858</v>
      </c>
      <c r="S207" t="s" s="125">
        <f>_xlfn.IFERROR(VLOOKUP($A207,'The List'!$B1:$AS665,26,FALSE)," ")</f>
        <v>858</v>
      </c>
      <c r="T207" t="s" s="125">
        <f>_xlfn.IFERROR(VLOOKUP($A207,'The List'!$B1:$AS665,27,FALSE)," ")</f>
        <v>858</v>
      </c>
      <c r="U207" t="s" s="125">
        <f>_xlfn.IFERROR(VLOOKUP($A207,'The List'!$B1:$AS665,28,FALSE)," ")</f>
        <v>858</v>
      </c>
      <c r="V207" t="s" s="125">
        <f>_xlfn.IFERROR(VLOOKUP($A207,'The List'!$B1:$AS665,29,FALSE)," ")</f>
        <v>858</v>
      </c>
      <c r="W207" t="s" s="125">
        <f>_xlfn.IFERROR(VLOOKUP($A207,'The List'!$B1:$AS665,30,FALSE)," ")</f>
        <v>858</v>
      </c>
      <c r="X207" t="s" s="125">
        <f>_xlfn.IFERROR(VLOOKUP($A207,'The List'!$B1:$AS665,31,FALSE)," ")</f>
        <v>858</v>
      </c>
      <c r="Y207" t="s" s="125">
        <f>_xlfn.IFERROR(VLOOKUP($A207,'The List'!$B1:$AS665,32,FALSE)," ")</f>
        <v>858</v>
      </c>
      <c r="Z207" t="s" s="125">
        <f>_xlfn.IFERROR(VLOOKUP($A207,'The List'!$B1:$AS665,33,FALSE)," ")</f>
        <v>858</v>
      </c>
      <c r="AA207" s="120"/>
      <c r="AB207" s="121"/>
      <c r="AC207" s="121"/>
      <c r="AD207" s="121"/>
      <c r="AE207" s="121"/>
      <c r="AF207" s="144"/>
    </row>
    <row r="208" ht="21.25" customHeight="1">
      <c r="A208" s="50"/>
      <c r="B208" t="s" s="117">
        <f>_xlfn.IFERROR(VLOOKUP($A208,'The List'!$B1:$AS665,3,FALSE)," ")</f>
        <v>858</v>
      </c>
      <c r="C208" t="s" s="123">
        <f>_xlfn.IFERROR(VLOOKUP($A208,'The List'!$B1:$AS665,4,FALSE)," ")</f>
        <v>858</v>
      </c>
      <c r="D208" t="s" s="86">
        <f>_xlfn.IFERROR(VLOOKUP($A208,'The List'!$B1:$AS665,5,FALSE)," ")</f>
        <v>858</v>
      </c>
      <c r="E208" t="s" s="86">
        <f>_xlfn.IFERROR(VLOOKUP($A208,'The List'!$B1:$AS665,6,FALSE)," ")</f>
        <v>858</v>
      </c>
      <c r="F208" t="s" s="124">
        <f>_xlfn.IFERROR(VLOOKUP($A208,'The List'!$B1:$AS665,8,FALSE)," ")</f>
        <v>858</v>
      </c>
      <c r="G208" t="s" s="124">
        <f>_xlfn.IFERROR(VLOOKUP($A208,'The List'!$B1:$AS665,10,FALSE)," ")</f>
        <v>858</v>
      </c>
      <c r="H208" s="77"/>
      <c r="I208" t="s" s="125">
        <f>_xlfn.IFERROR(VLOOKUP($A208,'The List'!$B1:$AS665,16,FALSE)," ")</f>
        <v>858</v>
      </c>
      <c r="J208" t="s" s="125">
        <f>_xlfn.IFERROR(VLOOKUP($A208,'The List'!$B1:$AS665,17,FALSE)," ")</f>
        <v>858</v>
      </c>
      <c r="K208" t="s" s="125">
        <f>_xlfn.IFERROR(VLOOKUP($A208,'The List'!$B1:$AS665,18,FALSE)," ")</f>
        <v>858</v>
      </c>
      <c r="L208" t="s" s="125">
        <f>_xlfn.IFERROR(VLOOKUP($A208,'The List'!$B1:$AS665,19,FALSE)," ")</f>
        <v>858</v>
      </c>
      <c r="M208" t="s" s="125">
        <f>_xlfn.IFERROR(VLOOKUP($A208,'The List'!$B1:$AS665,20,FALSE)," ")</f>
        <v>858</v>
      </c>
      <c r="N208" t="s" s="125">
        <f>_xlfn.IFERROR(VLOOKUP($A208,'The List'!$B1:$AS665,21,FALSE)," ")</f>
        <v>858</v>
      </c>
      <c r="O208" t="s" s="125">
        <f>_xlfn.IFERROR(VLOOKUP($A208,'The List'!$B1:$AS665,22,FALSE)," ")</f>
        <v>858</v>
      </c>
      <c r="P208" t="s" s="125">
        <f>_xlfn.IFERROR(VLOOKUP($A208,'The List'!$B1:$AS665,23,FALSE)," ")</f>
        <v>858</v>
      </c>
      <c r="Q208" t="s" s="125">
        <f>_xlfn.IFERROR(VLOOKUP($A208,'The List'!$B1:$AS665,24,FALSE)," ")</f>
        <v>858</v>
      </c>
      <c r="R208" t="s" s="125">
        <f>_xlfn.IFERROR(VLOOKUP($A208,'The List'!$B1:$AS665,25,FALSE)," ")</f>
        <v>858</v>
      </c>
      <c r="S208" t="s" s="125">
        <f>_xlfn.IFERROR(VLOOKUP($A208,'The List'!$B1:$AS665,26,FALSE)," ")</f>
        <v>858</v>
      </c>
      <c r="T208" t="s" s="125">
        <f>_xlfn.IFERROR(VLOOKUP($A208,'The List'!$B1:$AS665,27,FALSE)," ")</f>
        <v>858</v>
      </c>
      <c r="U208" t="s" s="125">
        <f>_xlfn.IFERROR(VLOOKUP($A208,'The List'!$B1:$AS665,28,FALSE)," ")</f>
        <v>858</v>
      </c>
      <c r="V208" t="s" s="125">
        <f>_xlfn.IFERROR(VLOOKUP($A208,'The List'!$B1:$AS665,29,FALSE)," ")</f>
        <v>858</v>
      </c>
      <c r="W208" t="s" s="125">
        <f>_xlfn.IFERROR(VLOOKUP($A208,'The List'!$B1:$AS665,30,FALSE)," ")</f>
        <v>858</v>
      </c>
      <c r="X208" t="s" s="125">
        <f>_xlfn.IFERROR(VLOOKUP($A208,'The List'!$B1:$AS665,31,FALSE)," ")</f>
        <v>858</v>
      </c>
      <c r="Y208" t="s" s="125">
        <f>_xlfn.IFERROR(VLOOKUP($A208,'The List'!$B1:$AS665,32,FALSE)," ")</f>
        <v>858</v>
      </c>
      <c r="Z208" t="s" s="125">
        <f>_xlfn.IFERROR(VLOOKUP($A208,'The List'!$B1:$AS665,33,FALSE)," ")</f>
        <v>858</v>
      </c>
      <c r="AA208" s="120"/>
      <c r="AB208" s="121"/>
      <c r="AC208" s="121"/>
      <c r="AD208" s="121"/>
      <c r="AE208" s="121"/>
      <c r="AF208" s="144"/>
    </row>
    <row r="209" ht="21.25" customHeight="1">
      <c r="A209" s="50"/>
      <c r="B209" t="s" s="126">
        <f>_xlfn.IFERROR(VLOOKUP($A209,'The List'!$B1:$AS665,3,FALSE)," ")</f>
        <v>858</v>
      </c>
      <c r="C209" t="s" s="128">
        <f>_xlfn.IFERROR(VLOOKUP($A209,'The List'!$B1:$AS665,4,FALSE)," ")</f>
        <v>858</v>
      </c>
      <c r="D209" t="s" s="86">
        <f>_xlfn.IFERROR(VLOOKUP($A209,'The List'!$B1:$AS665,5,FALSE)," ")</f>
        <v>858</v>
      </c>
      <c r="E209" t="s" s="86">
        <f>_xlfn.IFERROR(VLOOKUP($A209,'The List'!$B1:$AS665,6,FALSE)," ")</f>
        <v>858</v>
      </c>
      <c r="F209" t="s" s="124">
        <f>_xlfn.IFERROR(VLOOKUP($A209,'The List'!$B1:$AS665,8,FALSE)," ")</f>
        <v>858</v>
      </c>
      <c r="G209" t="s" s="124">
        <f>_xlfn.IFERROR(VLOOKUP($A209,'The List'!$B1:$AS665,10,FALSE)," ")</f>
        <v>858</v>
      </c>
      <c r="H209" s="77"/>
      <c r="I209" t="s" s="125">
        <f>_xlfn.IFERROR(VLOOKUP($A209,'The List'!$B1:$AS665,16,FALSE)," ")</f>
        <v>858</v>
      </c>
      <c r="J209" t="s" s="125">
        <f>_xlfn.IFERROR(VLOOKUP($A209,'The List'!$B1:$AS665,17,FALSE)," ")</f>
        <v>858</v>
      </c>
      <c r="K209" t="s" s="125">
        <f>_xlfn.IFERROR(VLOOKUP($A209,'The List'!$B1:$AS665,18,FALSE)," ")</f>
        <v>858</v>
      </c>
      <c r="L209" t="s" s="125">
        <f>_xlfn.IFERROR(VLOOKUP($A209,'The List'!$B1:$AS665,19,FALSE)," ")</f>
        <v>858</v>
      </c>
      <c r="M209" t="s" s="125">
        <f>_xlfn.IFERROR(VLOOKUP($A209,'The List'!$B1:$AS665,20,FALSE)," ")</f>
        <v>858</v>
      </c>
      <c r="N209" t="s" s="125">
        <f>_xlfn.IFERROR(VLOOKUP($A209,'The List'!$B1:$AS665,21,FALSE)," ")</f>
        <v>858</v>
      </c>
      <c r="O209" t="s" s="125">
        <f>_xlfn.IFERROR(VLOOKUP($A209,'The List'!$B1:$AS665,22,FALSE)," ")</f>
        <v>858</v>
      </c>
      <c r="P209" t="s" s="125">
        <f>_xlfn.IFERROR(VLOOKUP($A209,'The List'!$B1:$AS665,23,FALSE)," ")</f>
        <v>858</v>
      </c>
      <c r="Q209" t="s" s="125">
        <f>_xlfn.IFERROR(VLOOKUP($A209,'The List'!$B1:$AS665,24,FALSE)," ")</f>
        <v>858</v>
      </c>
      <c r="R209" t="s" s="125">
        <f>_xlfn.IFERROR(VLOOKUP($A209,'The List'!$B1:$AS665,25,FALSE)," ")</f>
        <v>858</v>
      </c>
      <c r="S209" t="s" s="125">
        <f>_xlfn.IFERROR(VLOOKUP($A209,'The List'!$B1:$AS665,26,FALSE)," ")</f>
        <v>858</v>
      </c>
      <c r="T209" t="s" s="125">
        <f>_xlfn.IFERROR(VLOOKUP($A209,'The List'!$B1:$AS665,27,FALSE)," ")</f>
        <v>858</v>
      </c>
      <c r="U209" t="s" s="125">
        <f>_xlfn.IFERROR(VLOOKUP($A209,'The List'!$B1:$AS665,28,FALSE)," ")</f>
        <v>858</v>
      </c>
      <c r="V209" t="s" s="125">
        <f>_xlfn.IFERROR(VLOOKUP($A209,'The List'!$B1:$AS665,29,FALSE)," ")</f>
        <v>858</v>
      </c>
      <c r="W209" t="s" s="125">
        <f>_xlfn.IFERROR(VLOOKUP($A209,'The List'!$B1:$AS665,30,FALSE)," ")</f>
        <v>858</v>
      </c>
      <c r="X209" t="s" s="125">
        <f>_xlfn.IFERROR(VLOOKUP($A209,'The List'!$B1:$AS665,31,FALSE)," ")</f>
        <v>858</v>
      </c>
      <c r="Y209" t="s" s="125">
        <f>_xlfn.IFERROR(VLOOKUP($A209,'The List'!$B1:$AS665,32,FALSE)," ")</f>
        <v>858</v>
      </c>
      <c r="Z209" t="s" s="125">
        <f>_xlfn.IFERROR(VLOOKUP($A209,'The List'!$B1:$AS665,33,FALSE)," ")</f>
        <v>858</v>
      </c>
      <c r="AA209" s="120"/>
      <c r="AB209" s="121"/>
      <c r="AC209" s="121"/>
      <c r="AD209" s="121"/>
      <c r="AE209" s="121"/>
      <c r="AF209" s="144"/>
    </row>
    <row r="210" ht="21.25" customHeight="1">
      <c r="A210" s="50"/>
      <c r="B210" t="s" s="126">
        <f>_xlfn.IFERROR(VLOOKUP($A210,'The List'!$B1:$AS665,3,FALSE)," ")</f>
        <v>858</v>
      </c>
      <c r="C210" t="s" s="128">
        <f>_xlfn.IFERROR(VLOOKUP($A210,'The List'!$B1:$AS665,4,FALSE)," ")</f>
        <v>858</v>
      </c>
      <c r="D210" t="s" s="86">
        <f>_xlfn.IFERROR(VLOOKUP($A210,'The List'!$B1:$AS665,5,FALSE)," ")</f>
        <v>858</v>
      </c>
      <c r="E210" t="s" s="86">
        <f>_xlfn.IFERROR(VLOOKUP($A210,'The List'!$B1:$AS665,6,FALSE)," ")</f>
        <v>858</v>
      </c>
      <c r="F210" t="s" s="124">
        <f>_xlfn.IFERROR(VLOOKUP($A210,'The List'!$B1:$AS665,8,FALSE)," ")</f>
        <v>858</v>
      </c>
      <c r="G210" t="s" s="124">
        <f>_xlfn.IFERROR(VLOOKUP($A210,'The List'!$B1:$AS665,10,FALSE)," ")</f>
        <v>858</v>
      </c>
      <c r="H210" s="77"/>
      <c r="I210" t="s" s="125">
        <f>_xlfn.IFERROR(VLOOKUP($A210,'The List'!$B1:$AS665,16,FALSE)," ")</f>
        <v>858</v>
      </c>
      <c r="J210" t="s" s="125">
        <f>_xlfn.IFERROR(VLOOKUP($A210,'The List'!$B1:$AS665,17,FALSE)," ")</f>
        <v>858</v>
      </c>
      <c r="K210" t="s" s="125">
        <f>_xlfn.IFERROR(VLOOKUP($A210,'The List'!$B1:$AS665,18,FALSE)," ")</f>
        <v>858</v>
      </c>
      <c r="L210" t="s" s="125">
        <f>_xlfn.IFERROR(VLOOKUP($A210,'The List'!$B1:$AS665,19,FALSE)," ")</f>
        <v>858</v>
      </c>
      <c r="M210" t="s" s="125">
        <f>_xlfn.IFERROR(VLOOKUP($A210,'The List'!$B1:$AS665,20,FALSE)," ")</f>
        <v>858</v>
      </c>
      <c r="N210" t="s" s="125">
        <f>_xlfn.IFERROR(VLOOKUP($A210,'The List'!$B1:$AS665,21,FALSE)," ")</f>
        <v>858</v>
      </c>
      <c r="O210" t="s" s="125">
        <f>_xlfn.IFERROR(VLOOKUP($A210,'The List'!$B1:$AS665,22,FALSE)," ")</f>
        <v>858</v>
      </c>
      <c r="P210" t="s" s="125">
        <f>_xlfn.IFERROR(VLOOKUP($A210,'The List'!$B1:$AS665,23,FALSE)," ")</f>
        <v>858</v>
      </c>
      <c r="Q210" t="s" s="125">
        <f>_xlfn.IFERROR(VLOOKUP($A210,'The List'!$B1:$AS665,24,FALSE)," ")</f>
        <v>858</v>
      </c>
      <c r="R210" t="s" s="125">
        <f>_xlfn.IFERROR(VLOOKUP($A210,'The List'!$B1:$AS665,25,FALSE)," ")</f>
        <v>858</v>
      </c>
      <c r="S210" t="s" s="125">
        <f>_xlfn.IFERROR(VLOOKUP($A210,'The List'!$B1:$AS665,26,FALSE)," ")</f>
        <v>858</v>
      </c>
      <c r="T210" t="s" s="125">
        <f>_xlfn.IFERROR(VLOOKUP($A210,'The List'!$B1:$AS665,27,FALSE)," ")</f>
        <v>858</v>
      </c>
      <c r="U210" t="s" s="125">
        <f>_xlfn.IFERROR(VLOOKUP($A210,'The List'!$B1:$AS665,28,FALSE)," ")</f>
        <v>858</v>
      </c>
      <c r="V210" t="s" s="125">
        <f>_xlfn.IFERROR(VLOOKUP($A210,'The List'!$B1:$AS665,29,FALSE)," ")</f>
        <v>858</v>
      </c>
      <c r="W210" t="s" s="125">
        <f>_xlfn.IFERROR(VLOOKUP($A210,'The List'!$B1:$AS665,30,FALSE)," ")</f>
        <v>858</v>
      </c>
      <c r="X210" t="s" s="125">
        <f>_xlfn.IFERROR(VLOOKUP($A210,'The List'!$B1:$AS665,31,FALSE)," ")</f>
        <v>858</v>
      </c>
      <c r="Y210" t="s" s="125">
        <f>_xlfn.IFERROR(VLOOKUP($A210,'The List'!$B1:$AS665,32,FALSE)," ")</f>
        <v>858</v>
      </c>
      <c r="Z210" t="s" s="125">
        <f>_xlfn.IFERROR(VLOOKUP($A210,'The List'!$B1:$AS665,33,FALSE)," ")</f>
        <v>858</v>
      </c>
      <c r="AA210" s="120"/>
      <c r="AB210" s="121"/>
      <c r="AC210" s="121"/>
      <c r="AD210" s="121"/>
      <c r="AE210" s="121"/>
      <c r="AF210" s="144"/>
    </row>
    <row r="211" ht="21.25" customHeight="1">
      <c r="A211" s="50"/>
      <c r="B211" t="s" s="126">
        <f>_xlfn.IFERROR(VLOOKUP($A211,'The List'!$B1:$AS665,3,FALSE)," ")</f>
        <v>858</v>
      </c>
      <c r="C211" t="s" s="128">
        <f>_xlfn.IFERROR(VLOOKUP($A211,'The List'!$B1:$AS665,4,FALSE)," ")</f>
        <v>858</v>
      </c>
      <c r="D211" t="s" s="86">
        <f>_xlfn.IFERROR(VLOOKUP($A211,'The List'!$B1:$AS665,5,FALSE)," ")</f>
        <v>858</v>
      </c>
      <c r="E211" t="s" s="86">
        <f>_xlfn.IFERROR(VLOOKUP($A211,'The List'!$B1:$AS665,6,FALSE)," ")</f>
        <v>858</v>
      </c>
      <c r="F211" t="s" s="124">
        <f>_xlfn.IFERROR(VLOOKUP($A211,'The List'!$B1:$AS665,8,FALSE)," ")</f>
        <v>858</v>
      </c>
      <c r="G211" t="s" s="124">
        <f>_xlfn.IFERROR(VLOOKUP($A211,'The List'!$B1:$AS665,10,FALSE)," ")</f>
        <v>858</v>
      </c>
      <c r="H211" s="77"/>
      <c r="I211" t="s" s="125">
        <f>_xlfn.IFERROR(VLOOKUP($A211,'The List'!$B1:$AS665,16,FALSE)," ")</f>
        <v>858</v>
      </c>
      <c r="J211" t="s" s="125">
        <f>_xlfn.IFERROR(VLOOKUP($A211,'The List'!$B1:$AS665,17,FALSE)," ")</f>
        <v>858</v>
      </c>
      <c r="K211" t="s" s="125">
        <f>_xlfn.IFERROR(VLOOKUP($A211,'The List'!$B1:$AS665,18,FALSE)," ")</f>
        <v>858</v>
      </c>
      <c r="L211" t="s" s="125">
        <f>_xlfn.IFERROR(VLOOKUP($A211,'The List'!$B1:$AS665,19,FALSE)," ")</f>
        <v>858</v>
      </c>
      <c r="M211" t="s" s="125">
        <f>_xlfn.IFERROR(VLOOKUP($A211,'The List'!$B1:$AS665,20,FALSE)," ")</f>
        <v>858</v>
      </c>
      <c r="N211" t="s" s="125">
        <f>_xlfn.IFERROR(VLOOKUP($A211,'The List'!$B1:$AS665,21,FALSE)," ")</f>
        <v>858</v>
      </c>
      <c r="O211" t="s" s="125">
        <f>_xlfn.IFERROR(VLOOKUP($A211,'The List'!$B1:$AS665,22,FALSE)," ")</f>
        <v>858</v>
      </c>
      <c r="P211" t="s" s="125">
        <f>_xlfn.IFERROR(VLOOKUP($A211,'The List'!$B1:$AS665,23,FALSE)," ")</f>
        <v>858</v>
      </c>
      <c r="Q211" t="s" s="125">
        <f>_xlfn.IFERROR(VLOOKUP($A211,'The List'!$B1:$AS665,24,FALSE)," ")</f>
        <v>858</v>
      </c>
      <c r="R211" t="s" s="125">
        <f>_xlfn.IFERROR(VLOOKUP($A211,'The List'!$B1:$AS665,25,FALSE)," ")</f>
        <v>858</v>
      </c>
      <c r="S211" t="s" s="125">
        <f>_xlfn.IFERROR(VLOOKUP($A211,'The List'!$B1:$AS665,26,FALSE)," ")</f>
        <v>858</v>
      </c>
      <c r="T211" t="s" s="125">
        <f>_xlfn.IFERROR(VLOOKUP($A211,'The List'!$B1:$AS665,27,FALSE)," ")</f>
        <v>858</v>
      </c>
      <c r="U211" t="s" s="125">
        <f>_xlfn.IFERROR(VLOOKUP($A211,'The List'!$B1:$AS665,28,FALSE)," ")</f>
        <v>858</v>
      </c>
      <c r="V211" t="s" s="125">
        <f>_xlfn.IFERROR(VLOOKUP($A211,'The List'!$B1:$AS665,29,FALSE)," ")</f>
        <v>858</v>
      </c>
      <c r="W211" t="s" s="125">
        <f>_xlfn.IFERROR(VLOOKUP($A211,'The List'!$B1:$AS665,30,FALSE)," ")</f>
        <v>858</v>
      </c>
      <c r="X211" t="s" s="125">
        <f>_xlfn.IFERROR(VLOOKUP($A211,'The List'!$B1:$AS665,31,FALSE)," ")</f>
        <v>858</v>
      </c>
      <c r="Y211" t="s" s="125">
        <f>_xlfn.IFERROR(VLOOKUP($A211,'The List'!$B1:$AS665,32,FALSE)," ")</f>
        <v>858</v>
      </c>
      <c r="Z211" t="s" s="125">
        <f>_xlfn.IFERROR(VLOOKUP($A211,'The List'!$B1:$AS665,33,FALSE)," ")</f>
        <v>858</v>
      </c>
      <c r="AA211" s="120"/>
      <c r="AB211" s="121"/>
      <c r="AC211" s="121"/>
      <c r="AD211" s="121"/>
      <c r="AE211" s="121"/>
      <c r="AF211" s="144"/>
    </row>
    <row r="212" ht="21.25" customHeight="1">
      <c r="A212" s="50"/>
      <c r="B212" t="s" s="126">
        <f>_xlfn.IFERROR(VLOOKUP($A212,'The List'!$B1:$AS665,3,FALSE)," ")</f>
        <v>858</v>
      </c>
      <c r="C212" t="s" s="128">
        <f>_xlfn.IFERROR(VLOOKUP($A212,'The List'!$B1:$AS665,4,FALSE)," ")</f>
        <v>858</v>
      </c>
      <c r="D212" t="s" s="86">
        <f>_xlfn.IFERROR(VLOOKUP($A212,'The List'!$B1:$AS665,5,FALSE)," ")</f>
        <v>858</v>
      </c>
      <c r="E212" t="s" s="86">
        <f>_xlfn.IFERROR(VLOOKUP($A212,'The List'!$B1:$AS665,6,FALSE)," ")</f>
        <v>858</v>
      </c>
      <c r="F212" t="s" s="124">
        <f>_xlfn.IFERROR(VLOOKUP($A212,'The List'!$B1:$AS665,8,FALSE)," ")</f>
        <v>858</v>
      </c>
      <c r="G212" t="s" s="124">
        <f>_xlfn.IFERROR(VLOOKUP($A212,'The List'!$B1:$AS665,10,FALSE)," ")</f>
        <v>858</v>
      </c>
      <c r="H212" s="77"/>
      <c r="I212" t="s" s="125">
        <f>_xlfn.IFERROR(VLOOKUP($A212,'The List'!$B1:$AS665,16,FALSE)," ")</f>
        <v>858</v>
      </c>
      <c r="J212" t="s" s="125">
        <f>_xlfn.IFERROR(VLOOKUP($A212,'The List'!$B1:$AS665,17,FALSE)," ")</f>
        <v>858</v>
      </c>
      <c r="K212" t="s" s="125">
        <f>_xlfn.IFERROR(VLOOKUP($A212,'The List'!$B1:$AS665,18,FALSE)," ")</f>
        <v>858</v>
      </c>
      <c r="L212" t="s" s="125">
        <f>_xlfn.IFERROR(VLOOKUP($A212,'The List'!$B1:$AS665,19,FALSE)," ")</f>
        <v>858</v>
      </c>
      <c r="M212" t="s" s="125">
        <f>_xlfn.IFERROR(VLOOKUP($A212,'The List'!$B1:$AS665,20,FALSE)," ")</f>
        <v>858</v>
      </c>
      <c r="N212" t="s" s="125">
        <f>_xlfn.IFERROR(VLOOKUP($A212,'The List'!$B1:$AS665,21,FALSE)," ")</f>
        <v>858</v>
      </c>
      <c r="O212" t="s" s="125">
        <f>_xlfn.IFERROR(VLOOKUP($A212,'The List'!$B1:$AS665,22,FALSE)," ")</f>
        <v>858</v>
      </c>
      <c r="P212" t="s" s="125">
        <f>_xlfn.IFERROR(VLOOKUP($A212,'The List'!$B1:$AS665,23,FALSE)," ")</f>
        <v>858</v>
      </c>
      <c r="Q212" t="s" s="125">
        <f>_xlfn.IFERROR(VLOOKUP($A212,'The List'!$B1:$AS665,24,FALSE)," ")</f>
        <v>858</v>
      </c>
      <c r="R212" t="s" s="125">
        <f>_xlfn.IFERROR(VLOOKUP($A212,'The List'!$B1:$AS665,25,FALSE)," ")</f>
        <v>858</v>
      </c>
      <c r="S212" t="s" s="125">
        <f>_xlfn.IFERROR(VLOOKUP($A212,'The List'!$B1:$AS665,26,FALSE)," ")</f>
        <v>858</v>
      </c>
      <c r="T212" t="s" s="125">
        <f>_xlfn.IFERROR(VLOOKUP($A212,'The List'!$B1:$AS665,27,FALSE)," ")</f>
        <v>858</v>
      </c>
      <c r="U212" t="s" s="125">
        <f>_xlfn.IFERROR(VLOOKUP($A212,'The List'!$B1:$AS665,28,FALSE)," ")</f>
        <v>858</v>
      </c>
      <c r="V212" t="s" s="125">
        <f>_xlfn.IFERROR(VLOOKUP($A212,'The List'!$B1:$AS665,29,FALSE)," ")</f>
        <v>858</v>
      </c>
      <c r="W212" t="s" s="125">
        <f>_xlfn.IFERROR(VLOOKUP($A212,'The List'!$B1:$AS665,30,FALSE)," ")</f>
        <v>858</v>
      </c>
      <c r="X212" t="s" s="125">
        <f>_xlfn.IFERROR(VLOOKUP($A212,'The List'!$B1:$AS665,31,FALSE)," ")</f>
        <v>858</v>
      </c>
      <c r="Y212" t="s" s="125">
        <f>_xlfn.IFERROR(VLOOKUP($A212,'The List'!$B1:$AS665,32,FALSE)," ")</f>
        <v>858</v>
      </c>
      <c r="Z212" t="s" s="125">
        <f>_xlfn.IFERROR(VLOOKUP($A212,'The List'!$B1:$AS665,33,FALSE)," ")</f>
        <v>858</v>
      </c>
      <c r="AA212" s="120"/>
      <c r="AB212" s="121"/>
      <c r="AC212" s="121"/>
      <c r="AD212" s="121"/>
      <c r="AE212" s="121"/>
      <c r="AF212" s="144"/>
    </row>
    <row r="213" ht="21.25" customHeight="1">
      <c r="A213" s="50"/>
      <c r="B213" t="s" s="129">
        <f>_xlfn.IFERROR(VLOOKUP($A213,'The List'!$B1:$AS665,3,FALSE)," ")</f>
        <v>858</v>
      </c>
      <c r="C213" t="s" s="131">
        <f>_xlfn.IFERROR(VLOOKUP($A213,'The List'!$B1:$AS665,4,FALSE)," ")</f>
        <v>858</v>
      </c>
      <c r="D213" t="s" s="86">
        <f>_xlfn.IFERROR(VLOOKUP($A213,'The List'!$B1:$AS665,5,FALSE)," ")</f>
        <v>858</v>
      </c>
      <c r="E213" t="s" s="86">
        <f>_xlfn.IFERROR(VLOOKUP($A213,'The List'!$B1:$AS665,6,FALSE)," ")</f>
        <v>858</v>
      </c>
      <c r="F213" t="s" s="124">
        <f>_xlfn.IFERROR(VLOOKUP($A213,'The List'!$B1:$AS665,8,FALSE)," ")</f>
        <v>858</v>
      </c>
      <c r="G213" t="s" s="124">
        <f>_xlfn.IFERROR(VLOOKUP($A213,'The List'!$B1:$AS665,10,FALSE)," ")</f>
        <v>858</v>
      </c>
      <c r="H213" s="77"/>
      <c r="I213" t="s" s="125">
        <f>_xlfn.IFERROR(VLOOKUP($A213,'The List'!$B1:$AS665,16,FALSE)," ")</f>
        <v>858</v>
      </c>
      <c r="J213" t="s" s="125">
        <f>_xlfn.IFERROR(VLOOKUP($A213,'The List'!$B1:$AS665,17,FALSE)," ")</f>
        <v>858</v>
      </c>
      <c r="K213" t="s" s="125">
        <f>_xlfn.IFERROR(VLOOKUP($A213,'The List'!$B1:$AS665,18,FALSE)," ")</f>
        <v>858</v>
      </c>
      <c r="L213" t="s" s="125">
        <f>_xlfn.IFERROR(VLOOKUP($A213,'The List'!$B1:$AS665,19,FALSE)," ")</f>
        <v>858</v>
      </c>
      <c r="M213" t="s" s="125">
        <f>_xlfn.IFERROR(VLOOKUP($A213,'The List'!$B1:$AS665,20,FALSE)," ")</f>
        <v>858</v>
      </c>
      <c r="N213" t="s" s="125">
        <f>_xlfn.IFERROR(VLOOKUP($A213,'The List'!$B1:$AS665,21,FALSE)," ")</f>
        <v>858</v>
      </c>
      <c r="O213" t="s" s="125">
        <f>_xlfn.IFERROR(VLOOKUP($A213,'The List'!$B1:$AS665,22,FALSE)," ")</f>
        <v>858</v>
      </c>
      <c r="P213" t="s" s="125">
        <f>_xlfn.IFERROR(VLOOKUP($A213,'The List'!$B1:$AS665,23,FALSE)," ")</f>
        <v>858</v>
      </c>
      <c r="Q213" t="s" s="125">
        <f>_xlfn.IFERROR(VLOOKUP($A213,'The List'!$B1:$AS665,24,FALSE)," ")</f>
        <v>858</v>
      </c>
      <c r="R213" t="s" s="125">
        <f>_xlfn.IFERROR(VLOOKUP($A213,'The List'!$B1:$AS665,25,FALSE)," ")</f>
        <v>858</v>
      </c>
      <c r="S213" t="s" s="125">
        <f>_xlfn.IFERROR(VLOOKUP($A213,'The List'!$B1:$AS665,26,FALSE)," ")</f>
        <v>858</v>
      </c>
      <c r="T213" t="s" s="125">
        <f>_xlfn.IFERROR(VLOOKUP($A213,'The List'!$B1:$AS665,27,FALSE)," ")</f>
        <v>858</v>
      </c>
      <c r="U213" t="s" s="125">
        <f>_xlfn.IFERROR(VLOOKUP($A213,'The List'!$B1:$AS665,28,FALSE)," ")</f>
        <v>858</v>
      </c>
      <c r="V213" t="s" s="125">
        <f>_xlfn.IFERROR(VLOOKUP($A213,'The List'!$B1:$AS665,29,FALSE)," ")</f>
        <v>858</v>
      </c>
      <c r="W213" t="s" s="125">
        <f>_xlfn.IFERROR(VLOOKUP($A213,'The List'!$B1:$AS665,30,FALSE)," ")</f>
        <v>858</v>
      </c>
      <c r="X213" t="s" s="125">
        <f>_xlfn.IFERROR(VLOOKUP($A213,'The List'!$B1:$AS665,31,FALSE)," ")</f>
        <v>858</v>
      </c>
      <c r="Y213" t="s" s="125">
        <f>_xlfn.IFERROR(VLOOKUP($A213,'The List'!$B1:$AS665,32,FALSE)," ")</f>
        <v>858</v>
      </c>
      <c r="Z213" t="s" s="125">
        <f>_xlfn.IFERROR(VLOOKUP($A213,'The List'!$B1:$AS665,33,FALSE)," ")</f>
        <v>858</v>
      </c>
      <c r="AA213" s="120"/>
      <c r="AB213" s="121"/>
      <c r="AC213" s="121"/>
      <c r="AD213" s="121"/>
      <c r="AE213" s="121"/>
      <c r="AF213" s="144"/>
    </row>
    <row r="214" ht="21.25" customHeight="1">
      <c r="A214" s="50"/>
      <c r="B214" t="s" s="129">
        <f>_xlfn.IFERROR(VLOOKUP($A214,'The List'!$B1:$AS665,3,FALSE)," ")</f>
        <v>858</v>
      </c>
      <c r="C214" t="s" s="131">
        <f>_xlfn.IFERROR(VLOOKUP($A214,'The List'!$B1:$AS665,4,FALSE)," ")</f>
        <v>858</v>
      </c>
      <c r="D214" t="s" s="86">
        <f>_xlfn.IFERROR(VLOOKUP($A214,'The List'!$B1:$AS665,5,FALSE)," ")</f>
        <v>858</v>
      </c>
      <c r="E214" t="s" s="86">
        <f>_xlfn.IFERROR(VLOOKUP($A214,'The List'!$B1:$AS665,6,FALSE)," ")</f>
        <v>858</v>
      </c>
      <c r="F214" t="s" s="124">
        <f>_xlfn.IFERROR(VLOOKUP($A214,'The List'!$B1:$AS665,8,FALSE)," ")</f>
        <v>858</v>
      </c>
      <c r="G214" t="s" s="124">
        <f>_xlfn.IFERROR(VLOOKUP($A214,'The List'!$B1:$AS665,10,FALSE)," ")</f>
        <v>858</v>
      </c>
      <c r="H214" s="77"/>
      <c r="I214" t="s" s="125">
        <f>_xlfn.IFERROR(VLOOKUP($A214,'The List'!$B1:$AS665,16,FALSE)," ")</f>
        <v>858</v>
      </c>
      <c r="J214" t="s" s="125">
        <f>_xlfn.IFERROR(VLOOKUP($A214,'The List'!$B1:$AS665,17,FALSE)," ")</f>
        <v>858</v>
      </c>
      <c r="K214" t="s" s="125">
        <f>_xlfn.IFERROR(VLOOKUP($A214,'The List'!$B1:$AS665,18,FALSE)," ")</f>
        <v>858</v>
      </c>
      <c r="L214" t="s" s="125">
        <f>_xlfn.IFERROR(VLOOKUP($A214,'The List'!$B1:$AS665,19,FALSE)," ")</f>
        <v>858</v>
      </c>
      <c r="M214" t="s" s="125">
        <f>_xlfn.IFERROR(VLOOKUP($A214,'The List'!$B1:$AS665,20,FALSE)," ")</f>
        <v>858</v>
      </c>
      <c r="N214" t="s" s="125">
        <f>_xlfn.IFERROR(VLOOKUP($A214,'The List'!$B1:$AS665,21,FALSE)," ")</f>
        <v>858</v>
      </c>
      <c r="O214" t="s" s="125">
        <f>_xlfn.IFERROR(VLOOKUP($A214,'The List'!$B1:$AS665,22,FALSE)," ")</f>
        <v>858</v>
      </c>
      <c r="P214" t="s" s="125">
        <f>_xlfn.IFERROR(VLOOKUP($A214,'The List'!$B1:$AS665,23,FALSE)," ")</f>
        <v>858</v>
      </c>
      <c r="Q214" t="s" s="125">
        <f>_xlfn.IFERROR(VLOOKUP($A214,'The List'!$B1:$AS665,24,FALSE)," ")</f>
        <v>858</v>
      </c>
      <c r="R214" t="s" s="125">
        <f>_xlfn.IFERROR(VLOOKUP($A214,'The List'!$B1:$AS665,25,FALSE)," ")</f>
        <v>858</v>
      </c>
      <c r="S214" t="s" s="125">
        <f>_xlfn.IFERROR(VLOOKUP($A214,'The List'!$B1:$AS665,26,FALSE)," ")</f>
        <v>858</v>
      </c>
      <c r="T214" t="s" s="125">
        <f>_xlfn.IFERROR(VLOOKUP($A214,'The List'!$B1:$AS665,27,FALSE)," ")</f>
        <v>858</v>
      </c>
      <c r="U214" t="s" s="125">
        <f>_xlfn.IFERROR(VLOOKUP($A214,'The List'!$B1:$AS665,28,FALSE)," ")</f>
        <v>858</v>
      </c>
      <c r="V214" t="s" s="125">
        <f>_xlfn.IFERROR(VLOOKUP($A214,'The List'!$B1:$AS665,29,FALSE)," ")</f>
        <v>858</v>
      </c>
      <c r="W214" t="s" s="125">
        <f>_xlfn.IFERROR(VLOOKUP($A214,'The List'!$B1:$AS665,30,FALSE)," ")</f>
        <v>858</v>
      </c>
      <c r="X214" t="s" s="125">
        <f>_xlfn.IFERROR(VLOOKUP($A214,'The List'!$B1:$AS665,31,FALSE)," ")</f>
        <v>858</v>
      </c>
      <c r="Y214" t="s" s="125">
        <f>_xlfn.IFERROR(VLOOKUP($A214,'The List'!$B1:$AS665,32,FALSE)," ")</f>
        <v>858</v>
      </c>
      <c r="Z214" t="s" s="125">
        <f>_xlfn.IFERROR(VLOOKUP($A214,'The List'!$B1:$AS665,33,FALSE)," ")</f>
        <v>858</v>
      </c>
      <c r="AA214" s="120"/>
      <c r="AB214" s="121"/>
      <c r="AC214" s="121"/>
      <c r="AD214" s="121"/>
      <c r="AE214" s="121"/>
      <c r="AF214" s="144"/>
    </row>
    <row r="215" ht="21.25" customHeight="1">
      <c r="A215" s="50"/>
      <c r="B215" t="s" s="129">
        <f>_xlfn.IFERROR(VLOOKUP($A215,'The List'!$B1:$AS665,3,FALSE)," ")</f>
        <v>858</v>
      </c>
      <c r="C215" t="s" s="131">
        <f>_xlfn.IFERROR(VLOOKUP($A215,'The List'!$B1:$AS665,4,FALSE)," ")</f>
        <v>858</v>
      </c>
      <c r="D215" t="s" s="86">
        <f>_xlfn.IFERROR(VLOOKUP($A215,'The List'!$B1:$AS665,5,FALSE)," ")</f>
        <v>858</v>
      </c>
      <c r="E215" t="s" s="86">
        <f>_xlfn.IFERROR(VLOOKUP($A215,'The List'!$B1:$AS665,6,FALSE)," ")</f>
        <v>858</v>
      </c>
      <c r="F215" t="s" s="124">
        <f>_xlfn.IFERROR(VLOOKUP($A215,'The List'!$B1:$AS665,8,FALSE)," ")</f>
        <v>858</v>
      </c>
      <c r="G215" t="s" s="124">
        <f>_xlfn.IFERROR(VLOOKUP($A215,'The List'!$B1:$AS665,10,FALSE)," ")</f>
        <v>858</v>
      </c>
      <c r="H215" s="77"/>
      <c r="I215" t="s" s="125">
        <f>_xlfn.IFERROR(VLOOKUP($A215,'The List'!$B1:$AS665,16,FALSE)," ")</f>
        <v>858</v>
      </c>
      <c r="J215" t="s" s="125">
        <f>_xlfn.IFERROR(VLOOKUP($A215,'The List'!$B1:$AS665,17,FALSE)," ")</f>
        <v>858</v>
      </c>
      <c r="K215" t="s" s="125">
        <f>_xlfn.IFERROR(VLOOKUP($A215,'The List'!$B1:$AS665,18,FALSE)," ")</f>
        <v>858</v>
      </c>
      <c r="L215" t="s" s="125">
        <f>_xlfn.IFERROR(VLOOKUP($A215,'The List'!$B1:$AS665,19,FALSE)," ")</f>
        <v>858</v>
      </c>
      <c r="M215" t="s" s="125">
        <f>_xlfn.IFERROR(VLOOKUP($A215,'The List'!$B1:$AS665,20,FALSE)," ")</f>
        <v>858</v>
      </c>
      <c r="N215" t="s" s="125">
        <f>_xlfn.IFERROR(VLOOKUP($A215,'The List'!$B1:$AS665,21,FALSE)," ")</f>
        <v>858</v>
      </c>
      <c r="O215" t="s" s="125">
        <f>_xlfn.IFERROR(VLOOKUP($A215,'The List'!$B1:$AS665,22,FALSE)," ")</f>
        <v>858</v>
      </c>
      <c r="P215" t="s" s="125">
        <f>_xlfn.IFERROR(VLOOKUP($A215,'The List'!$B1:$AS665,23,FALSE)," ")</f>
        <v>858</v>
      </c>
      <c r="Q215" t="s" s="125">
        <f>_xlfn.IFERROR(VLOOKUP($A215,'The List'!$B1:$AS665,24,FALSE)," ")</f>
        <v>858</v>
      </c>
      <c r="R215" t="s" s="125">
        <f>_xlfn.IFERROR(VLOOKUP($A215,'The List'!$B1:$AS665,25,FALSE)," ")</f>
        <v>858</v>
      </c>
      <c r="S215" t="s" s="125">
        <f>_xlfn.IFERROR(VLOOKUP($A215,'The List'!$B1:$AS665,26,FALSE)," ")</f>
        <v>858</v>
      </c>
      <c r="T215" t="s" s="125">
        <f>_xlfn.IFERROR(VLOOKUP($A215,'The List'!$B1:$AS665,27,FALSE)," ")</f>
        <v>858</v>
      </c>
      <c r="U215" t="s" s="125">
        <f>_xlfn.IFERROR(VLOOKUP($A215,'The List'!$B1:$AS665,28,FALSE)," ")</f>
        <v>858</v>
      </c>
      <c r="V215" t="s" s="125">
        <f>_xlfn.IFERROR(VLOOKUP($A215,'The List'!$B1:$AS665,29,FALSE)," ")</f>
        <v>858</v>
      </c>
      <c r="W215" t="s" s="125">
        <f>_xlfn.IFERROR(VLOOKUP($A215,'The List'!$B1:$AS665,30,FALSE)," ")</f>
        <v>858</v>
      </c>
      <c r="X215" t="s" s="125">
        <f>_xlfn.IFERROR(VLOOKUP($A215,'The List'!$B1:$AS665,31,FALSE)," ")</f>
        <v>858</v>
      </c>
      <c r="Y215" t="s" s="125">
        <f>_xlfn.IFERROR(VLOOKUP($A215,'The List'!$B1:$AS665,32,FALSE)," ")</f>
        <v>858</v>
      </c>
      <c r="Z215" t="s" s="125">
        <f>_xlfn.IFERROR(VLOOKUP($A215,'The List'!$B1:$AS665,33,FALSE)," ")</f>
        <v>858</v>
      </c>
      <c r="AA215" s="120"/>
      <c r="AB215" s="121"/>
      <c r="AC215" s="121"/>
      <c r="AD215" s="121"/>
      <c r="AE215" s="121"/>
      <c r="AF215" s="144"/>
    </row>
    <row r="216" ht="21.25" customHeight="1">
      <c r="A216" s="50"/>
      <c r="B216" t="s" s="129">
        <f>_xlfn.IFERROR(VLOOKUP($A216,'The List'!$B1:$AS665,3,FALSE)," ")</f>
        <v>858</v>
      </c>
      <c r="C216" t="s" s="131">
        <f>_xlfn.IFERROR(VLOOKUP($A216,'The List'!$B1:$AS665,4,FALSE)," ")</f>
        <v>858</v>
      </c>
      <c r="D216" t="s" s="86">
        <f>_xlfn.IFERROR(VLOOKUP($A216,'The List'!$B1:$AS665,5,FALSE)," ")</f>
        <v>858</v>
      </c>
      <c r="E216" t="s" s="86">
        <f>_xlfn.IFERROR(VLOOKUP($A216,'The List'!$B1:$AS665,6,FALSE)," ")</f>
        <v>858</v>
      </c>
      <c r="F216" t="s" s="124">
        <f>_xlfn.IFERROR(VLOOKUP($A216,'The List'!$B1:$AS665,8,FALSE)," ")</f>
        <v>858</v>
      </c>
      <c r="G216" t="s" s="124">
        <f>_xlfn.IFERROR(VLOOKUP($A216,'The List'!$B1:$AS665,10,FALSE)," ")</f>
        <v>858</v>
      </c>
      <c r="H216" s="77"/>
      <c r="I216" t="s" s="125">
        <f>_xlfn.IFERROR(VLOOKUP($A216,'The List'!$B1:$AS665,16,FALSE)," ")</f>
        <v>858</v>
      </c>
      <c r="J216" t="s" s="125">
        <f>_xlfn.IFERROR(VLOOKUP($A216,'The List'!$B1:$AS665,17,FALSE)," ")</f>
        <v>858</v>
      </c>
      <c r="K216" t="s" s="125">
        <f>_xlfn.IFERROR(VLOOKUP($A216,'The List'!$B1:$AS665,18,FALSE)," ")</f>
        <v>858</v>
      </c>
      <c r="L216" t="s" s="125">
        <f>_xlfn.IFERROR(VLOOKUP($A216,'The List'!$B1:$AS665,19,FALSE)," ")</f>
        <v>858</v>
      </c>
      <c r="M216" t="s" s="125">
        <f>_xlfn.IFERROR(VLOOKUP($A216,'The List'!$B1:$AS665,20,FALSE)," ")</f>
        <v>858</v>
      </c>
      <c r="N216" t="s" s="125">
        <f>_xlfn.IFERROR(VLOOKUP($A216,'The List'!$B1:$AS665,21,FALSE)," ")</f>
        <v>858</v>
      </c>
      <c r="O216" t="s" s="125">
        <f>_xlfn.IFERROR(VLOOKUP($A216,'The List'!$B1:$AS665,22,FALSE)," ")</f>
        <v>858</v>
      </c>
      <c r="P216" t="s" s="125">
        <f>_xlfn.IFERROR(VLOOKUP($A216,'The List'!$B1:$AS665,23,FALSE)," ")</f>
        <v>858</v>
      </c>
      <c r="Q216" t="s" s="125">
        <f>_xlfn.IFERROR(VLOOKUP($A216,'The List'!$B1:$AS665,24,FALSE)," ")</f>
        <v>858</v>
      </c>
      <c r="R216" t="s" s="125">
        <f>_xlfn.IFERROR(VLOOKUP($A216,'The List'!$B1:$AS665,25,FALSE)," ")</f>
        <v>858</v>
      </c>
      <c r="S216" t="s" s="125">
        <f>_xlfn.IFERROR(VLOOKUP($A216,'The List'!$B1:$AS665,26,FALSE)," ")</f>
        <v>858</v>
      </c>
      <c r="T216" t="s" s="125">
        <f>_xlfn.IFERROR(VLOOKUP($A216,'The List'!$B1:$AS665,27,FALSE)," ")</f>
        <v>858</v>
      </c>
      <c r="U216" t="s" s="125">
        <f>_xlfn.IFERROR(VLOOKUP($A216,'The List'!$B1:$AS665,28,FALSE)," ")</f>
        <v>858</v>
      </c>
      <c r="V216" t="s" s="125">
        <f>_xlfn.IFERROR(VLOOKUP($A216,'The List'!$B1:$AS665,29,FALSE)," ")</f>
        <v>858</v>
      </c>
      <c r="W216" t="s" s="125">
        <f>_xlfn.IFERROR(VLOOKUP($A216,'The List'!$B1:$AS665,30,FALSE)," ")</f>
        <v>858</v>
      </c>
      <c r="X216" t="s" s="125">
        <f>_xlfn.IFERROR(VLOOKUP($A216,'The List'!$B1:$AS665,31,FALSE)," ")</f>
        <v>858</v>
      </c>
      <c r="Y216" t="s" s="125">
        <f>_xlfn.IFERROR(VLOOKUP($A216,'The List'!$B1:$AS665,32,FALSE)," ")</f>
        <v>858</v>
      </c>
      <c r="Z216" t="s" s="125">
        <f>_xlfn.IFERROR(VLOOKUP($A216,'The List'!$B1:$AS665,33,FALSE)," ")</f>
        <v>858</v>
      </c>
      <c r="AA216" s="120"/>
      <c r="AB216" s="121"/>
      <c r="AC216" s="121"/>
      <c r="AD216" s="121"/>
      <c r="AE216" s="121"/>
      <c r="AF216" s="144"/>
    </row>
    <row r="217" ht="21.25" customHeight="1">
      <c r="A217" s="50"/>
      <c r="B217" t="s" s="132">
        <f>_xlfn.IFERROR(VLOOKUP($A217,'The List'!$B1:$AS665,3,FALSE)," ")</f>
        <v>858</v>
      </c>
      <c r="C217" t="s" s="134">
        <f>_xlfn.IFERROR(VLOOKUP($A217,'The List'!$B1:$AS665,4,FALSE)," ")</f>
        <v>858</v>
      </c>
      <c r="D217" t="s" s="86">
        <f>_xlfn.IFERROR(VLOOKUP($A217,'The List'!$B1:$AS665,5,FALSE)," ")</f>
        <v>858</v>
      </c>
      <c r="E217" t="s" s="86">
        <f>_xlfn.IFERROR(VLOOKUP($A217,'The List'!$B1:$AS665,6,FALSE)," ")</f>
        <v>858</v>
      </c>
      <c r="F217" t="s" s="124">
        <f>_xlfn.IFERROR(VLOOKUP($A217,'The List'!$B1:$AS665,8,FALSE)," ")</f>
        <v>858</v>
      </c>
      <c r="G217" t="s" s="124">
        <f>_xlfn.IFERROR(VLOOKUP($A217,'The List'!$B1:$AS665,10,FALSE)," ")</f>
        <v>858</v>
      </c>
      <c r="H217" s="77"/>
      <c r="I217" t="s" s="125">
        <f>_xlfn.IFERROR(VLOOKUP($A217,'The List'!$B1:$AS665,16,FALSE)," ")</f>
        <v>858</v>
      </c>
      <c r="J217" t="s" s="125">
        <f>_xlfn.IFERROR(VLOOKUP($A217,'The List'!$B1:$AS665,17,FALSE)," ")</f>
        <v>858</v>
      </c>
      <c r="K217" t="s" s="125">
        <f>_xlfn.IFERROR(VLOOKUP($A217,'The List'!$B1:$AS665,18,FALSE)," ")</f>
        <v>858</v>
      </c>
      <c r="L217" t="s" s="125">
        <f>_xlfn.IFERROR(VLOOKUP($A217,'The List'!$B1:$AS665,19,FALSE)," ")</f>
        <v>858</v>
      </c>
      <c r="M217" t="s" s="125">
        <f>_xlfn.IFERROR(VLOOKUP($A217,'The List'!$B1:$AS665,20,FALSE)," ")</f>
        <v>858</v>
      </c>
      <c r="N217" t="s" s="125">
        <f>_xlfn.IFERROR(VLOOKUP($A217,'The List'!$B1:$AS665,21,FALSE)," ")</f>
        <v>858</v>
      </c>
      <c r="O217" t="s" s="125">
        <f>_xlfn.IFERROR(VLOOKUP($A217,'The List'!$B1:$AS665,22,FALSE)," ")</f>
        <v>858</v>
      </c>
      <c r="P217" t="s" s="125">
        <f>_xlfn.IFERROR(VLOOKUP($A217,'The List'!$B1:$AS665,23,FALSE)," ")</f>
        <v>858</v>
      </c>
      <c r="Q217" t="s" s="125">
        <f>_xlfn.IFERROR(VLOOKUP($A217,'The List'!$B1:$AS665,24,FALSE)," ")</f>
        <v>858</v>
      </c>
      <c r="R217" t="s" s="125">
        <f>_xlfn.IFERROR(VLOOKUP($A217,'The List'!$B1:$AS665,25,FALSE)," ")</f>
        <v>858</v>
      </c>
      <c r="S217" t="s" s="125">
        <f>_xlfn.IFERROR(VLOOKUP($A217,'The List'!$B1:$AS665,26,FALSE)," ")</f>
        <v>858</v>
      </c>
      <c r="T217" t="s" s="125">
        <f>_xlfn.IFERROR(VLOOKUP($A217,'The List'!$B1:$AS665,27,FALSE)," ")</f>
        <v>858</v>
      </c>
      <c r="U217" t="s" s="125">
        <f>_xlfn.IFERROR(VLOOKUP($A217,'The List'!$B1:$AS665,28,FALSE)," ")</f>
        <v>858</v>
      </c>
      <c r="V217" t="s" s="125">
        <f>_xlfn.IFERROR(VLOOKUP($A217,'The List'!$B1:$AS665,29,FALSE)," ")</f>
        <v>858</v>
      </c>
      <c r="W217" t="s" s="125">
        <f>_xlfn.IFERROR(VLOOKUP($A217,'The List'!$B1:$AS665,30,FALSE)," ")</f>
        <v>858</v>
      </c>
      <c r="X217" t="s" s="125">
        <f>_xlfn.IFERROR(VLOOKUP($A217,'The List'!$B1:$AS665,31,FALSE)," ")</f>
        <v>858</v>
      </c>
      <c r="Y217" t="s" s="125">
        <f>_xlfn.IFERROR(VLOOKUP($A217,'The List'!$B1:$AS665,32,FALSE)," ")</f>
        <v>858</v>
      </c>
      <c r="Z217" t="s" s="125">
        <f>_xlfn.IFERROR(VLOOKUP($A217,'The List'!$B1:$AS665,33,FALSE)," ")</f>
        <v>858</v>
      </c>
      <c r="AA217" s="120"/>
      <c r="AB217" s="121"/>
      <c r="AC217" s="121"/>
      <c r="AD217" s="121"/>
      <c r="AE217" s="121"/>
      <c r="AF217" s="144"/>
    </row>
    <row r="218" ht="21.25" customHeight="1">
      <c r="A218" s="50"/>
      <c r="B218" t="s" s="132">
        <f>_xlfn.IFERROR(VLOOKUP($A218,'The List'!$B1:$AS665,3,FALSE)," ")</f>
        <v>858</v>
      </c>
      <c r="C218" t="s" s="134">
        <f>_xlfn.IFERROR(VLOOKUP($A218,'The List'!$B1:$AS665,4,FALSE)," ")</f>
        <v>858</v>
      </c>
      <c r="D218" t="s" s="86">
        <f>_xlfn.IFERROR(VLOOKUP($A218,'The List'!$B1:$AS665,5,FALSE)," ")</f>
        <v>858</v>
      </c>
      <c r="E218" t="s" s="86">
        <f>_xlfn.IFERROR(VLOOKUP($A218,'The List'!$B1:$AS665,6,FALSE)," ")</f>
        <v>858</v>
      </c>
      <c r="F218" t="s" s="124">
        <f>_xlfn.IFERROR(VLOOKUP($A218,'The List'!$B1:$AS665,8,FALSE)," ")</f>
        <v>858</v>
      </c>
      <c r="G218" t="s" s="124">
        <f>_xlfn.IFERROR(VLOOKUP($A218,'The List'!$B1:$AS665,10,FALSE)," ")</f>
        <v>858</v>
      </c>
      <c r="H218" s="77"/>
      <c r="I218" t="s" s="125">
        <f>_xlfn.IFERROR(VLOOKUP($A218,'The List'!$B1:$AS665,16,FALSE)," ")</f>
        <v>858</v>
      </c>
      <c r="J218" t="s" s="125">
        <f>_xlfn.IFERROR(VLOOKUP($A218,'The List'!$B1:$AS665,17,FALSE)," ")</f>
        <v>858</v>
      </c>
      <c r="K218" t="s" s="125">
        <f>_xlfn.IFERROR(VLOOKUP($A218,'The List'!$B1:$AS665,18,FALSE)," ")</f>
        <v>858</v>
      </c>
      <c r="L218" t="s" s="125">
        <f>_xlfn.IFERROR(VLOOKUP($A218,'The List'!$B1:$AS665,19,FALSE)," ")</f>
        <v>858</v>
      </c>
      <c r="M218" t="s" s="125">
        <f>_xlfn.IFERROR(VLOOKUP($A218,'The List'!$B1:$AS665,20,FALSE)," ")</f>
        <v>858</v>
      </c>
      <c r="N218" t="s" s="125">
        <f>_xlfn.IFERROR(VLOOKUP($A218,'The List'!$B1:$AS665,21,FALSE)," ")</f>
        <v>858</v>
      </c>
      <c r="O218" t="s" s="125">
        <f>_xlfn.IFERROR(VLOOKUP($A218,'The List'!$B1:$AS665,22,FALSE)," ")</f>
        <v>858</v>
      </c>
      <c r="P218" t="s" s="125">
        <f>_xlfn.IFERROR(VLOOKUP($A218,'The List'!$B1:$AS665,23,FALSE)," ")</f>
        <v>858</v>
      </c>
      <c r="Q218" t="s" s="125">
        <f>_xlfn.IFERROR(VLOOKUP($A218,'The List'!$B1:$AS665,24,FALSE)," ")</f>
        <v>858</v>
      </c>
      <c r="R218" t="s" s="125">
        <f>_xlfn.IFERROR(VLOOKUP($A218,'The List'!$B1:$AS665,25,FALSE)," ")</f>
        <v>858</v>
      </c>
      <c r="S218" t="s" s="125">
        <f>_xlfn.IFERROR(VLOOKUP($A218,'The List'!$B1:$AS665,26,FALSE)," ")</f>
        <v>858</v>
      </c>
      <c r="T218" t="s" s="125">
        <f>_xlfn.IFERROR(VLOOKUP($A218,'The List'!$B1:$AS665,27,FALSE)," ")</f>
        <v>858</v>
      </c>
      <c r="U218" t="s" s="125">
        <f>_xlfn.IFERROR(VLOOKUP($A218,'The List'!$B1:$AS665,28,FALSE)," ")</f>
        <v>858</v>
      </c>
      <c r="V218" t="s" s="125">
        <f>_xlfn.IFERROR(VLOOKUP($A218,'The List'!$B1:$AS665,29,FALSE)," ")</f>
        <v>858</v>
      </c>
      <c r="W218" t="s" s="125">
        <f>_xlfn.IFERROR(VLOOKUP($A218,'The List'!$B1:$AS665,30,FALSE)," ")</f>
        <v>858</v>
      </c>
      <c r="X218" t="s" s="125">
        <f>_xlfn.IFERROR(VLOOKUP($A218,'The List'!$B1:$AS665,31,FALSE)," ")</f>
        <v>858</v>
      </c>
      <c r="Y218" t="s" s="125">
        <f>_xlfn.IFERROR(VLOOKUP($A218,'The List'!$B1:$AS665,32,FALSE)," ")</f>
        <v>858</v>
      </c>
      <c r="Z218" t="s" s="125">
        <f>_xlfn.IFERROR(VLOOKUP($A218,'The List'!$B1:$AS665,33,FALSE)," ")</f>
        <v>858</v>
      </c>
      <c r="AA218" s="120"/>
      <c r="AB218" s="121"/>
      <c r="AC218" s="121"/>
      <c r="AD218" s="121"/>
      <c r="AE218" s="121"/>
      <c r="AF218" s="144"/>
    </row>
    <row r="219" ht="21.25" customHeight="1">
      <c r="A219" s="50"/>
      <c r="B219" t="s" s="132">
        <f>_xlfn.IFERROR(VLOOKUP($A219,'The List'!$B1:$AS665,3,FALSE)," ")</f>
        <v>858</v>
      </c>
      <c r="C219" t="s" s="134">
        <f>_xlfn.IFERROR(VLOOKUP($A219,'The List'!$B1:$AS665,4,FALSE)," ")</f>
        <v>858</v>
      </c>
      <c r="D219" t="s" s="86">
        <f>_xlfn.IFERROR(VLOOKUP($A219,'The List'!$B1:$AS665,5,FALSE)," ")</f>
        <v>858</v>
      </c>
      <c r="E219" t="s" s="86">
        <f>_xlfn.IFERROR(VLOOKUP($A219,'The List'!$B1:$AS665,6,FALSE)," ")</f>
        <v>858</v>
      </c>
      <c r="F219" t="s" s="124">
        <f>_xlfn.IFERROR(VLOOKUP($A219,'The List'!$B1:$AS665,8,FALSE)," ")</f>
        <v>858</v>
      </c>
      <c r="G219" t="s" s="124">
        <f>_xlfn.IFERROR(VLOOKUP($A219,'The List'!$B1:$AS665,10,FALSE)," ")</f>
        <v>858</v>
      </c>
      <c r="H219" s="77"/>
      <c r="I219" t="s" s="125">
        <f>_xlfn.IFERROR(VLOOKUP($A219,'The List'!$B1:$AS665,16,FALSE)," ")</f>
        <v>858</v>
      </c>
      <c r="J219" t="s" s="125">
        <f>_xlfn.IFERROR(VLOOKUP($A219,'The List'!$B1:$AS665,17,FALSE)," ")</f>
        <v>858</v>
      </c>
      <c r="K219" t="s" s="125">
        <f>_xlfn.IFERROR(VLOOKUP($A219,'The List'!$B1:$AS665,18,FALSE)," ")</f>
        <v>858</v>
      </c>
      <c r="L219" t="s" s="125">
        <f>_xlfn.IFERROR(VLOOKUP($A219,'The List'!$B1:$AS665,19,FALSE)," ")</f>
        <v>858</v>
      </c>
      <c r="M219" t="s" s="125">
        <f>_xlfn.IFERROR(VLOOKUP($A219,'The List'!$B1:$AS665,20,FALSE)," ")</f>
        <v>858</v>
      </c>
      <c r="N219" t="s" s="125">
        <f>_xlfn.IFERROR(VLOOKUP($A219,'The List'!$B1:$AS665,21,FALSE)," ")</f>
        <v>858</v>
      </c>
      <c r="O219" t="s" s="125">
        <f>_xlfn.IFERROR(VLOOKUP($A219,'The List'!$B1:$AS665,22,FALSE)," ")</f>
        <v>858</v>
      </c>
      <c r="P219" t="s" s="125">
        <f>_xlfn.IFERROR(VLOOKUP($A219,'The List'!$B1:$AS665,23,FALSE)," ")</f>
        <v>858</v>
      </c>
      <c r="Q219" t="s" s="125">
        <f>_xlfn.IFERROR(VLOOKUP($A219,'The List'!$B1:$AS665,24,FALSE)," ")</f>
        <v>858</v>
      </c>
      <c r="R219" t="s" s="125">
        <f>_xlfn.IFERROR(VLOOKUP($A219,'The List'!$B1:$AS665,25,FALSE)," ")</f>
        <v>858</v>
      </c>
      <c r="S219" t="s" s="125">
        <f>_xlfn.IFERROR(VLOOKUP($A219,'The List'!$B1:$AS665,26,FALSE)," ")</f>
        <v>858</v>
      </c>
      <c r="T219" t="s" s="125">
        <f>_xlfn.IFERROR(VLOOKUP($A219,'The List'!$B1:$AS665,27,FALSE)," ")</f>
        <v>858</v>
      </c>
      <c r="U219" t="s" s="125">
        <f>_xlfn.IFERROR(VLOOKUP($A219,'The List'!$B1:$AS665,28,FALSE)," ")</f>
        <v>858</v>
      </c>
      <c r="V219" t="s" s="125">
        <f>_xlfn.IFERROR(VLOOKUP($A219,'The List'!$B1:$AS665,29,FALSE)," ")</f>
        <v>858</v>
      </c>
      <c r="W219" t="s" s="125">
        <f>_xlfn.IFERROR(VLOOKUP($A219,'The List'!$B1:$AS665,30,FALSE)," ")</f>
        <v>858</v>
      </c>
      <c r="X219" t="s" s="125">
        <f>_xlfn.IFERROR(VLOOKUP($A219,'The List'!$B1:$AS665,31,FALSE)," ")</f>
        <v>858</v>
      </c>
      <c r="Y219" t="s" s="125">
        <f>_xlfn.IFERROR(VLOOKUP($A219,'The List'!$B1:$AS665,32,FALSE)," ")</f>
        <v>858</v>
      </c>
      <c r="Z219" t="s" s="125">
        <f>_xlfn.IFERROR(VLOOKUP($A219,'The List'!$B1:$AS665,33,FALSE)," ")</f>
        <v>858</v>
      </c>
      <c r="AA219" s="120"/>
      <c r="AB219" s="121"/>
      <c r="AC219" s="121"/>
      <c r="AD219" s="121"/>
      <c r="AE219" s="121"/>
      <c r="AF219" s="144"/>
    </row>
    <row r="220" ht="21.25" customHeight="1">
      <c r="A220" s="50"/>
      <c r="B220" t="s" s="132">
        <f>_xlfn.IFERROR(VLOOKUP($A220,'The List'!$B1:$AS665,3,FALSE)," ")</f>
        <v>858</v>
      </c>
      <c r="C220" t="s" s="134">
        <f>_xlfn.IFERROR(VLOOKUP($A220,'The List'!$B1:$AS665,4,FALSE)," ")</f>
        <v>858</v>
      </c>
      <c r="D220" t="s" s="86">
        <f>_xlfn.IFERROR(VLOOKUP($A220,'The List'!$B1:$AS665,5,FALSE)," ")</f>
        <v>858</v>
      </c>
      <c r="E220" t="s" s="86">
        <f>_xlfn.IFERROR(VLOOKUP($A220,'The List'!$B1:$AS665,6,FALSE)," ")</f>
        <v>858</v>
      </c>
      <c r="F220" t="s" s="124">
        <f>_xlfn.IFERROR(VLOOKUP($A220,'The List'!$B1:$AS665,8,FALSE)," ")</f>
        <v>858</v>
      </c>
      <c r="G220" t="s" s="124">
        <f>_xlfn.IFERROR(VLOOKUP($A220,'The List'!$B1:$AS665,10,FALSE)," ")</f>
        <v>858</v>
      </c>
      <c r="H220" s="77"/>
      <c r="I220" t="s" s="125">
        <f>_xlfn.IFERROR(VLOOKUP($A220,'The List'!$B1:$AS665,16,FALSE)," ")</f>
        <v>858</v>
      </c>
      <c r="J220" t="s" s="125">
        <f>_xlfn.IFERROR(VLOOKUP($A220,'The List'!$B1:$AS665,17,FALSE)," ")</f>
        <v>858</v>
      </c>
      <c r="K220" t="s" s="125">
        <f>_xlfn.IFERROR(VLOOKUP($A220,'The List'!$B1:$AS665,18,FALSE)," ")</f>
        <v>858</v>
      </c>
      <c r="L220" t="s" s="125">
        <f>_xlfn.IFERROR(VLOOKUP($A220,'The List'!$B1:$AS665,19,FALSE)," ")</f>
        <v>858</v>
      </c>
      <c r="M220" t="s" s="125">
        <f>_xlfn.IFERROR(VLOOKUP($A220,'The List'!$B1:$AS665,20,FALSE)," ")</f>
        <v>858</v>
      </c>
      <c r="N220" t="s" s="125">
        <f>_xlfn.IFERROR(VLOOKUP($A220,'The List'!$B1:$AS665,21,FALSE)," ")</f>
        <v>858</v>
      </c>
      <c r="O220" t="s" s="125">
        <f>_xlfn.IFERROR(VLOOKUP($A220,'The List'!$B1:$AS665,22,FALSE)," ")</f>
        <v>858</v>
      </c>
      <c r="P220" t="s" s="125">
        <f>_xlfn.IFERROR(VLOOKUP($A220,'The List'!$B1:$AS665,23,FALSE)," ")</f>
        <v>858</v>
      </c>
      <c r="Q220" t="s" s="125">
        <f>_xlfn.IFERROR(VLOOKUP($A220,'The List'!$B1:$AS665,24,FALSE)," ")</f>
        <v>858</v>
      </c>
      <c r="R220" t="s" s="125">
        <f>_xlfn.IFERROR(VLOOKUP($A220,'The List'!$B1:$AS665,25,FALSE)," ")</f>
        <v>858</v>
      </c>
      <c r="S220" t="s" s="125">
        <f>_xlfn.IFERROR(VLOOKUP($A220,'The List'!$B1:$AS665,26,FALSE)," ")</f>
        <v>858</v>
      </c>
      <c r="T220" t="s" s="125">
        <f>_xlfn.IFERROR(VLOOKUP($A220,'The List'!$B1:$AS665,27,FALSE)," ")</f>
        <v>858</v>
      </c>
      <c r="U220" t="s" s="125">
        <f>_xlfn.IFERROR(VLOOKUP($A220,'The List'!$B1:$AS665,28,FALSE)," ")</f>
        <v>858</v>
      </c>
      <c r="V220" t="s" s="125">
        <f>_xlfn.IFERROR(VLOOKUP($A220,'The List'!$B1:$AS665,29,FALSE)," ")</f>
        <v>858</v>
      </c>
      <c r="W220" t="s" s="125">
        <f>_xlfn.IFERROR(VLOOKUP($A220,'The List'!$B1:$AS665,30,FALSE)," ")</f>
        <v>858</v>
      </c>
      <c r="X220" t="s" s="125">
        <f>_xlfn.IFERROR(VLOOKUP($A220,'The List'!$B1:$AS665,31,FALSE)," ")</f>
        <v>858</v>
      </c>
      <c r="Y220" t="s" s="125">
        <f>_xlfn.IFERROR(VLOOKUP($A220,'The List'!$B1:$AS665,32,FALSE)," ")</f>
        <v>858</v>
      </c>
      <c r="Z220" t="s" s="125">
        <f>_xlfn.IFERROR(VLOOKUP($A220,'The List'!$B1:$AS665,33,FALSE)," ")</f>
        <v>858</v>
      </c>
      <c r="AA220" s="120"/>
      <c r="AB220" s="121"/>
      <c r="AC220" s="121"/>
      <c r="AD220" s="121"/>
      <c r="AE220" s="121"/>
      <c r="AF220" s="144"/>
    </row>
    <row r="221" ht="21.25" customHeight="1">
      <c r="A221" s="50"/>
      <c r="B221" t="s" s="132">
        <f>_xlfn.IFERROR(VLOOKUP($A221,'The List'!$B1:$AS665,3,FALSE)," ")</f>
        <v>858</v>
      </c>
      <c r="C221" t="s" s="134">
        <f>_xlfn.IFERROR(VLOOKUP($A221,'The List'!$B1:$AS665,4,FALSE)," ")</f>
        <v>858</v>
      </c>
      <c r="D221" t="s" s="86">
        <f>_xlfn.IFERROR(VLOOKUP($A221,'The List'!$B1:$AS665,5,FALSE)," ")</f>
        <v>858</v>
      </c>
      <c r="E221" t="s" s="86">
        <f>_xlfn.IFERROR(VLOOKUP($A221,'The List'!$B1:$AS665,6,FALSE)," ")</f>
        <v>858</v>
      </c>
      <c r="F221" t="s" s="124">
        <f>_xlfn.IFERROR(VLOOKUP($A221,'The List'!$B1:$AS665,8,FALSE)," ")</f>
        <v>858</v>
      </c>
      <c r="G221" t="s" s="124">
        <f>_xlfn.IFERROR(VLOOKUP($A221,'The List'!$B1:$AS665,10,FALSE)," ")</f>
        <v>858</v>
      </c>
      <c r="H221" s="77"/>
      <c r="I221" t="s" s="125">
        <f>_xlfn.IFERROR(VLOOKUP($A221,'The List'!$B1:$AS665,16,FALSE)," ")</f>
        <v>858</v>
      </c>
      <c r="J221" t="s" s="125">
        <f>_xlfn.IFERROR(VLOOKUP($A221,'The List'!$B1:$AS665,17,FALSE)," ")</f>
        <v>858</v>
      </c>
      <c r="K221" t="s" s="125">
        <f>_xlfn.IFERROR(VLOOKUP($A221,'The List'!$B1:$AS665,18,FALSE)," ")</f>
        <v>858</v>
      </c>
      <c r="L221" t="s" s="125">
        <f>_xlfn.IFERROR(VLOOKUP($A221,'The List'!$B1:$AS665,19,FALSE)," ")</f>
        <v>858</v>
      </c>
      <c r="M221" t="s" s="125">
        <f>_xlfn.IFERROR(VLOOKUP($A221,'The List'!$B1:$AS665,20,FALSE)," ")</f>
        <v>858</v>
      </c>
      <c r="N221" t="s" s="125">
        <f>_xlfn.IFERROR(VLOOKUP($A221,'The List'!$B1:$AS665,21,FALSE)," ")</f>
        <v>858</v>
      </c>
      <c r="O221" t="s" s="125">
        <f>_xlfn.IFERROR(VLOOKUP($A221,'The List'!$B1:$AS665,22,FALSE)," ")</f>
        <v>858</v>
      </c>
      <c r="P221" t="s" s="125">
        <f>_xlfn.IFERROR(VLOOKUP($A221,'The List'!$B1:$AS665,23,FALSE)," ")</f>
        <v>858</v>
      </c>
      <c r="Q221" t="s" s="125">
        <f>_xlfn.IFERROR(VLOOKUP($A221,'The List'!$B1:$AS665,24,FALSE)," ")</f>
        <v>858</v>
      </c>
      <c r="R221" t="s" s="125">
        <f>_xlfn.IFERROR(VLOOKUP($A221,'The List'!$B1:$AS665,25,FALSE)," ")</f>
        <v>858</v>
      </c>
      <c r="S221" t="s" s="125">
        <f>_xlfn.IFERROR(VLOOKUP($A221,'The List'!$B1:$AS665,26,FALSE)," ")</f>
        <v>858</v>
      </c>
      <c r="T221" t="s" s="125">
        <f>_xlfn.IFERROR(VLOOKUP($A221,'The List'!$B1:$AS665,27,FALSE)," ")</f>
        <v>858</v>
      </c>
      <c r="U221" t="s" s="125">
        <f>_xlfn.IFERROR(VLOOKUP($A221,'The List'!$B1:$AS665,28,FALSE)," ")</f>
        <v>858</v>
      </c>
      <c r="V221" t="s" s="125">
        <f>_xlfn.IFERROR(VLOOKUP($A221,'The List'!$B1:$AS665,29,FALSE)," ")</f>
        <v>858</v>
      </c>
      <c r="W221" t="s" s="125">
        <f>_xlfn.IFERROR(VLOOKUP($A221,'The List'!$B1:$AS665,30,FALSE)," ")</f>
        <v>858</v>
      </c>
      <c r="X221" t="s" s="125">
        <f>_xlfn.IFERROR(VLOOKUP($A221,'The List'!$B1:$AS665,31,FALSE)," ")</f>
        <v>858</v>
      </c>
      <c r="Y221" t="s" s="125">
        <f>_xlfn.IFERROR(VLOOKUP($A221,'The List'!$B1:$AS665,32,FALSE)," ")</f>
        <v>858</v>
      </c>
      <c r="Z221" t="s" s="125">
        <f>_xlfn.IFERROR(VLOOKUP($A221,'The List'!$B1:$AS665,33,FALSE)," ")</f>
        <v>858</v>
      </c>
      <c r="AA221" s="120"/>
      <c r="AB221" s="121"/>
      <c r="AC221" s="121"/>
      <c r="AD221" s="121"/>
      <c r="AE221" s="121"/>
      <c r="AF221" s="144"/>
    </row>
    <row r="222" ht="21.25" customHeight="1">
      <c r="A222" s="50"/>
      <c r="B222" t="s" s="132">
        <f>_xlfn.IFERROR(VLOOKUP($A222,'The List'!$B1:$AS665,3,FALSE)," ")</f>
        <v>858</v>
      </c>
      <c r="C222" t="s" s="134">
        <f>_xlfn.IFERROR(VLOOKUP($A222,'The List'!$B1:$AS665,4,FALSE)," ")</f>
        <v>858</v>
      </c>
      <c r="D222" t="s" s="86">
        <f>_xlfn.IFERROR(VLOOKUP($A222,'The List'!$B1:$AS665,5,FALSE)," ")</f>
        <v>858</v>
      </c>
      <c r="E222" t="s" s="86">
        <f>_xlfn.IFERROR(VLOOKUP($A222,'The List'!$B1:$AS665,6,FALSE)," ")</f>
        <v>858</v>
      </c>
      <c r="F222" t="s" s="124">
        <f>_xlfn.IFERROR(VLOOKUP($A222,'The List'!$B1:$AS665,8,FALSE)," ")</f>
        <v>858</v>
      </c>
      <c r="G222" t="s" s="124">
        <f>_xlfn.IFERROR(VLOOKUP($A222,'The List'!$B1:$AS665,10,FALSE)," ")</f>
        <v>858</v>
      </c>
      <c r="H222" s="77"/>
      <c r="I222" t="s" s="125">
        <f>_xlfn.IFERROR(VLOOKUP($A222,'The List'!$B1:$AS665,16,FALSE)," ")</f>
        <v>858</v>
      </c>
      <c r="J222" t="s" s="125">
        <f>_xlfn.IFERROR(VLOOKUP($A222,'The List'!$B1:$AS665,17,FALSE)," ")</f>
        <v>858</v>
      </c>
      <c r="K222" t="s" s="125">
        <f>_xlfn.IFERROR(VLOOKUP($A222,'The List'!$B1:$AS665,18,FALSE)," ")</f>
        <v>858</v>
      </c>
      <c r="L222" t="s" s="125">
        <f>_xlfn.IFERROR(VLOOKUP($A222,'The List'!$B1:$AS665,19,FALSE)," ")</f>
        <v>858</v>
      </c>
      <c r="M222" t="s" s="125">
        <f>_xlfn.IFERROR(VLOOKUP($A222,'The List'!$B1:$AS665,20,FALSE)," ")</f>
        <v>858</v>
      </c>
      <c r="N222" t="s" s="125">
        <f>_xlfn.IFERROR(VLOOKUP($A222,'The List'!$B1:$AS665,21,FALSE)," ")</f>
        <v>858</v>
      </c>
      <c r="O222" t="s" s="125">
        <f>_xlfn.IFERROR(VLOOKUP($A222,'The List'!$B1:$AS665,22,FALSE)," ")</f>
        <v>858</v>
      </c>
      <c r="P222" t="s" s="125">
        <f>_xlfn.IFERROR(VLOOKUP($A222,'The List'!$B1:$AS665,23,FALSE)," ")</f>
        <v>858</v>
      </c>
      <c r="Q222" t="s" s="125">
        <f>_xlfn.IFERROR(VLOOKUP($A222,'The List'!$B1:$AS665,24,FALSE)," ")</f>
        <v>858</v>
      </c>
      <c r="R222" t="s" s="125">
        <f>_xlfn.IFERROR(VLOOKUP($A222,'The List'!$B1:$AS665,25,FALSE)," ")</f>
        <v>858</v>
      </c>
      <c r="S222" t="s" s="125">
        <f>_xlfn.IFERROR(VLOOKUP($A222,'The List'!$B1:$AS665,26,FALSE)," ")</f>
        <v>858</v>
      </c>
      <c r="T222" t="s" s="125">
        <f>_xlfn.IFERROR(VLOOKUP($A222,'The List'!$B1:$AS665,27,FALSE)," ")</f>
        <v>858</v>
      </c>
      <c r="U222" t="s" s="125">
        <f>_xlfn.IFERROR(VLOOKUP($A222,'The List'!$B1:$AS665,28,FALSE)," ")</f>
        <v>858</v>
      </c>
      <c r="V222" t="s" s="125">
        <f>_xlfn.IFERROR(VLOOKUP($A222,'The List'!$B1:$AS665,29,FALSE)," ")</f>
        <v>858</v>
      </c>
      <c r="W222" t="s" s="125">
        <f>_xlfn.IFERROR(VLOOKUP($A222,'The List'!$B1:$AS665,30,FALSE)," ")</f>
        <v>858</v>
      </c>
      <c r="X222" t="s" s="125">
        <f>_xlfn.IFERROR(VLOOKUP($A222,'The List'!$B1:$AS665,31,FALSE)," ")</f>
        <v>858</v>
      </c>
      <c r="Y222" t="s" s="125">
        <f>_xlfn.IFERROR(VLOOKUP($A222,'The List'!$B1:$AS665,32,FALSE)," ")</f>
        <v>858</v>
      </c>
      <c r="Z222" t="s" s="125">
        <f>_xlfn.IFERROR(VLOOKUP($A222,'The List'!$B1:$AS665,33,FALSE)," ")</f>
        <v>858</v>
      </c>
      <c r="AA222" s="120"/>
      <c r="AB222" s="121"/>
      <c r="AC222" s="121"/>
      <c r="AD222" s="121"/>
      <c r="AE222" s="121"/>
      <c r="AF222" s="144"/>
    </row>
    <row r="223" ht="21.25" customHeight="1">
      <c r="A223" s="50"/>
      <c r="B223" t="s" s="132">
        <f>_xlfn.IFERROR(VLOOKUP($A223,'The List'!$B1:$AS665,3,FALSE)," ")</f>
        <v>858</v>
      </c>
      <c r="C223" t="s" s="134">
        <f>_xlfn.IFERROR(VLOOKUP($A223,'The List'!$B1:$AS665,4,FALSE)," ")</f>
        <v>858</v>
      </c>
      <c r="D223" t="s" s="86">
        <f>_xlfn.IFERROR(VLOOKUP($A223,'The List'!$B1:$AS665,5,FALSE)," ")</f>
        <v>858</v>
      </c>
      <c r="E223" t="s" s="86">
        <f>_xlfn.IFERROR(VLOOKUP($A223,'The List'!$B1:$AS665,6,FALSE)," ")</f>
        <v>858</v>
      </c>
      <c r="F223" t="s" s="124">
        <f>_xlfn.IFERROR(VLOOKUP($A223,'The List'!$B1:$AS665,8,FALSE)," ")</f>
        <v>858</v>
      </c>
      <c r="G223" t="s" s="124">
        <f>_xlfn.IFERROR(VLOOKUP($A223,'The List'!$B1:$AS665,10,FALSE)," ")</f>
        <v>858</v>
      </c>
      <c r="H223" s="77"/>
      <c r="I223" t="s" s="125">
        <f>_xlfn.IFERROR(VLOOKUP($A223,'The List'!$B1:$AS665,16,FALSE)," ")</f>
        <v>858</v>
      </c>
      <c r="J223" t="s" s="125">
        <f>_xlfn.IFERROR(VLOOKUP($A223,'The List'!$B1:$AS665,17,FALSE)," ")</f>
        <v>858</v>
      </c>
      <c r="K223" t="s" s="125">
        <f>_xlfn.IFERROR(VLOOKUP($A223,'The List'!$B1:$AS665,18,FALSE)," ")</f>
        <v>858</v>
      </c>
      <c r="L223" t="s" s="125">
        <f>_xlfn.IFERROR(VLOOKUP($A223,'The List'!$B1:$AS665,19,FALSE)," ")</f>
        <v>858</v>
      </c>
      <c r="M223" t="s" s="125">
        <f>_xlfn.IFERROR(VLOOKUP($A223,'The List'!$B1:$AS665,20,FALSE)," ")</f>
        <v>858</v>
      </c>
      <c r="N223" t="s" s="125">
        <f>_xlfn.IFERROR(VLOOKUP($A223,'The List'!$B1:$AS665,21,FALSE)," ")</f>
        <v>858</v>
      </c>
      <c r="O223" t="s" s="125">
        <f>_xlfn.IFERROR(VLOOKUP($A223,'The List'!$B1:$AS665,22,FALSE)," ")</f>
        <v>858</v>
      </c>
      <c r="P223" t="s" s="125">
        <f>_xlfn.IFERROR(VLOOKUP($A223,'The List'!$B1:$AS665,23,FALSE)," ")</f>
        <v>858</v>
      </c>
      <c r="Q223" t="s" s="125">
        <f>_xlfn.IFERROR(VLOOKUP($A223,'The List'!$B1:$AS665,24,FALSE)," ")</f>
        <v>858</v>
      </c>
      <c r="R223" t="s" s="125">
        <f>_xlfn.IFERROR(VLOOKUP($A223,'The List'!$B1:$AS665,25,FALSE)," ")</f>
        <v>858</v>
      </c>
      <c r="S223" t="s" s="125">
        <f>_xlfn.IFERROR(VLOOKUP($A223,'The List'!$B1:$AS665,26,FALSE)," ")</f>
        <v>858</v>
      </c>
      <c r="T223" t="s" s="125">
        <f>_xlfn.IFERROR(VLOOKUP($A223,'The List'!$B1:$AS665,27,FALSE)," ")</f>
        <v>858</v>
      </c>
      <c r="U223" t="s" s="125">
        <f>_xlfn.IFERROR(VLOOKUP($A223,'The List'!$B1:$AS665,28,FALSE)," ")</f>
        <v>858</v>
      </c>
      <c r="V223" t="s" s="125">
        <f>_xlfn.IFERROR(VLOOKUP($A223,'The List'!$B1:$AS665,29,FALSE)," ")</f>
        <v>858</v>
      </c>
      <c r="W223" t="s" s="125">
        <f>_xlfn.IFERROR(VLOOKUP($A223,'The List'!$B1:$AS665,30,FALSE)," ")</f>
        <v>858</v>
      </c>
      <c r="X223" t="s" s="125">
        <f>_xlfn.IFERROR(VLOOKUP($A223,'The List'!$B1:$AS665,31,FALSE)," ")</f>
        <v>858</v>
      </c>
      <c r="Y223" t="s" s="125">
        <f>_xlfn.IFERROR(VLOOKUP($A223,'The List'!$B1:$AS665,32,FALSE)," ")</f>
        <v>858</v>
      </c>
      <c r="Z223" t="s" s="125">
        <f>_xlfn.IFERROR(VLOOKUP($A223,'The List'!$B1:$AS665,33,FALSE)," ")</f>
        <v>858</v>
      </c>
      <c r="AA223" s="120"/>
      <c r="AB223" s="121"/>
      <c r="AC223" s="121"/>
      <c r="AD223" s="121"/>
      <c r="AE223" s="121"/>
      <c r="AF223" s="144"/>
    </row>
    <row r="224" ht="21.25" customHeight="1">
      <c r="A224" s="137"/>
      <c r="B224" t="s" s="138">
        <f>_xlfn.IFERROR(VLOOKUP($A224,'The List'!$B1:$AS665,3,FALSE)," ")</f>
        <v>858</v>
      </c>
      <c r="C224" t="s" s="139">
        <f>_xlfn.IFERROR(VLOOKUP($A224,'The List'!$B1:$AS665,4,FALSE)," ")</f>
        <v>858</v>
      </c>
      <c r="D224" t="s" s="140">
        <f>_xlfn.IFERROR(VLOOKUP($A224,'The List'!$B1:$AS665,5,FALSE)," ")</f>
        <v>858</v>
      </c>
      <c r="E224" t="s" s="140">
        <f>_xlfn.IFERROR(VLOOKUP($A224,'The List'!$B1:$AS665,6,FALSE)," ")</f>
        <v>858</v>
      </c>
      <c r="F224" t="s" s="141">
        <f>_xlfn.IFERROR(VLOOKUP($A224,'The List'!$B1:$AS665,8,FALSE)," ")</f>
        <v>858</v>
      </c>
      <c r="G224" t="s" s="141">
        <f>_xlfn.IFERROR(VLOOKUP($A224,'The List'!$B1:$AS665,10,FALSE)," ")</f>
        <v>858</v>
      </c>
      <c r="H224" s="142"/>
      <c r="I224" t="s" s="143">
        <f>_xlfn.IFERROR(VLOOKUP($A224,'The List'!$B1:$AS665,16,FALSE)," ")</f>
        <v>858</v>
      </c>
      <c r="J224" t="s" s="143">
        <f>_xlfn.IFERROR(VLOOKUP($A224,'The List'!$B1:$AS665,17,FALSE)," ")</f>
        <v>858</v>
      </c>
      <c r="K224" t="s" s="143">
        <f>_xlfn.IFERROR(VLOOKUP($A224,'The List'!$B1:$AS665,18,FALSE)," ")</f>
        <v>858</v>
      </c>
      <c r="L224" t="s" s="143">
        <f>_xlfn.IFERROR(VLOOKUP($A224,'The List'!$B1:$AS665,19,FALSE)," ")</f>
        <v>858</v>
      </c>
      <c r="M224" t="s" s="143">
        <f>_xlfn.IFERROR(VLOOKUP($A224,'The List'!$B1:$AS665,20,FALSE)," ")</f>
        <v>858</v>
      </c>
      <c r="N224" t="s" s="143">
        <f>_xlfn.IFERROR(VLOOKUP($A224,'The List'!$B1:$AS665,21,FALSE)," ")</f>
        <v>858</v>
      </c>
      <c r="O224" t="s" s="143">
        <f>_xlfn.IFERROR(VLOOKUP($A224,'The List'!$B1:$AS665,22,FALSE)," ")</f>
        <v>858</v>
      </c>
      <c r="P224" t="s" s="143">
        <f>_xlfn.IFERROR(VLOOKUP($A224,'The List'!$B1:$AS665,23,FALSE)," ")</f>
        <v>858</v>
      </c>
      <c r="Q224" t="s" s="143">
        <f>_xlfn.IFERROR(VLOOKUP($A224,'The List'!$B1:$AS665,24,FALSE)," ")</f>
        <v>858</v>
      </c>
      <c r="R224" t="s" s="143">
        <f>_xlfn.IFERROR(VLOOKUP($A224,'The List'!$B1:$AS665,25,FALSE)," ")</f>
        <v>858</v>
      </c>
      <c r="S224" t="s" s="143">
        <f>_xlfn.IFERROR(VLOOKUP($A224,'The List'!$B1:$AS665,26,FALSE)," ")</f>
        <v>858</v>
      </c>
      <c r="T224" t="s" s="143">
        <f>_xlfn.IFERROR(VLOOKUP($A224,'The List'!$B1:$AS665,27,FALSE)," ")</f>
        <v>858</v>
      </c>
      <c r="U224" t="s" s="143">
        <f>_xlfn.IFERROR(VLOOKUP($A224,'The List'!$B1:$AS665,28,FALSE)," ")</f>
        <v>858</v>
      </c>
      <c r="V224" t="s" s="143">
        <f>_xlfn.IFERROR(VLOOKUP($A224,'The List'!$B1:$AS665,29,FALSE)," ")</f>
        <v>858</v>
      </c>
      <c r="W224" t="s" s="143">
        <f>_xlfn.IFERROR(VLOOKUP($A224,'The List'!$B1:$AS665,30,FALSE)," ")</f>
        <v>858</v>
      </c>
      <c r="X224" t="s" s="143">
        <f>_xlfn.IFERROR(VLOOKUP($A224,'The List'!$B1:$AS665,31,FALSE)," ")</f>
        <v>858</v>
      </c>
      <c r="Y224" t="s" s="143">
        <f>_xlfn.IFERROR(VLOOKUP($A224,'The List'!$B1:$AS665,32,FALSE)," ")</f>
        <v>858</v>
      </c>
      <c r="Z224" t="s" s="143">
        <f>_xlfn.IFERROR(VLOOKUP($A224,'The List'!$B1:$AS665,33,FALSE)," ")</f>
        <v>858</v>
      </c>
      <c r="AA224" s="120"/>
      <c r="AB224" s="121"/>
      <c r="AC224" s="121"/>
      <c r="AD224" s="121"/>
      <c r="AE224" s="121"/>
      <c r="AF224" s="144"/>
    </row>
    <row r="225" ht="21.25" customHeight="1">
      <c r="A225" s="145"/>
      <c r="B225" s="146"/>
      <c r="C225" s="147"/>
      <c r="D225" s="148"/>
      <c r="E225" t="s" s="193">
        <f>_xlfn.IFERROR(AVERAGE(E205:E224)," ")</f>
        <v>858</v>
      </c>
      <c r="F225" s="150">
        <f>SUM(F205:F224)</f>
        <v>0</v>
      </c>
      <c r="G225" s="150">
        <f>SUM(G205:G224)</f>
        <v>0</v>
      </c>
      <c r="H225" s="151"/>
      <c r="I225" s="152">
        <f>SUM(I205:I224)</f>
        <v>0</v>
      </c>
      <c r="J225" s="151">
        <f>AVERAGE(J205:J224)</f>
      </c>
      <c r="K225" s="152">
        <f>SUM(K205:K224)</f>
        <v>0</v>
      </c>
      <c r="L225" s="152">
        <f>SUM(L205:L224)</f>
        <v>0</v>
      </c>
      <c r="M225" s="152">
        <f>SUM(M205:M224)</f>
        <v>0</v>
      </c>
      <c r="N225" s="152">
        <f>SUM(N205:N224)</f>
        <v>0</v>
      </c>
      <c r="O225" s="152">
        <f>SUM(O205:O224)</f>
        <v>0</v>
      </c>
      <c r="P225" s="152">
        <f>SUM(P205:P224)</f>
        <v>0</v>
      </c>
      <c r="Q225" s="152">
        <f>SUM(Q205:Q224)</f>
        <v>0</v>
      </c>
      <c r="R225" s="152">
        <f>SUM(R205:R224)</f>
        <v>0</v>
      </c>
      <c r="S225" s="152">
        <f>SUM(S205:S224)</f>
        <v>0</v>
      </c>
      <c r="T225" s="152">
        <f>SUM(T205:T224)</f>
        <v>0</v>
      </c>
      <c r="U225" s="152">
        <f>SUM(U205:U224)</f>
        <v>0</v>
      </c>
      <c r="V225" s="152">
        <f>SUM(V205:V224)</f>
        <v>0</v>
      </c>
      <c r="W225" s="152">
        <f>SUM(W205:W224)</f>
        <v>0</v>
      </c>
      <c r="X225" s="152">
        <f>SUM(X205:X224)</f>
        <v>0</v>
      </c>
      <c r="Y225" s="152">
        <f>SUM(Y205:Y224)</f>
        <v>0</v>
      </c>
      <c r="Z225" s="153">
        <f>_xlfn.IFERROR(X225/(X225+Y225),0)</f>
        <v>0</v>
      </c>
      <c r="AA225" s="120"/>
      <c r="AB225" s="154"/>
      <c r="AC225" s="154"/>
      <c r="AD225" s="154"/>
      <c r="AE225" s="154"/>
      <c r="AF225" s="155"/>
    </row>
    <row r="226" ht="21.25" customHeight="1">
      <c r="A226" s="156"/>
      <c r="B226" s="157"/>
      <c r="C226" s="158"/>
      <c r="D226" s="13"/>
      <c r="E226" s="13"/>
      <c r="F226" s="159"/>
      <c r="G226" s="160"/>
      <c r="H226" s="161"/>
      <c r="I226" s="162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  <c r="AB226" s="121"/>
      <c r="AC226" s="121"/>
      <c r="AD226" s="121"/>
      <c r="AE226" s="121"/>
      <c r="AF226" s="144"/>
    </row>
    <row r="227" ht="21.25" customHeight="1">
      <c r="A227" t="s" s="163">
        <v>89</v>
      </c>
      <c r="B227" t="s" s="164">
        <v>91</v>
      </c>
      <c r="C227" s="31"/>
      <c r="D227" t="s" s="164">
        <v>92</v>
      </c>
      <c r="E227" t="s" s="164">
        <v>93</v>
      </c>
      <c r="F227" t="s" s="165">
        <v>95</v>
      </c>
      <c r="G227" t="s" s="165">
        <v>97</v>
      </c>
      <c r="H227" s="166"/>
      <c r="I227" t="s" s="167">
        <v>102</v>
      </c>
      <c r="J227" t="s" s="167">
        <v>118</v>
      </c>
      <c r="K227" t="s" s="167">
        <v>119</v>
      </c>
      <c r="L227" t="s" s="167">
        <v>120</v>
      </c>
      <c r="M227" t="s" s="167">
        <v>121</v>
      </c>
      <c r="N227" t="s" s="167">
        <v>122</v>
      </c>
      <c r="O227" t="s" s="167">
        <v>123</v>
      </c>
      <c r="P227" t="s" s="167">
        <v>124</v>
      </c>
      <c r="Q227" t="s" s="167">
        <v>125</v>
      </c>
      <c r="R227" s="120"/>
      <c r="S227" s="120"/>
      <c r="T227" s="120"/>
      <c r="U227" t="s" s="164">
        <v>876</v>
      </c>
      <c r="V227" s="166"/>
      <c r="W227" s="166"/>
      <c r="X227" t="s" s="164">
        <v>877</v>
      </c>
      <c r="Y227" s="166"/>
      <c r="Z227" s="166"/>
      <c r="AA227" s="120"/>
      <c r="AB227" s="120"/>
      <c r="AC227" s="120"/>
      <c r="AD227" s="120"/>
      <c r="AE227" s="120"/>
      <c r="AF227" s="168"/>
    </row>
    <row r="228" ht="21.25" customHeight="1">
      <c r="A228" s="194"/>
      <c r="B228" t="s" s="170">
        <f>_xlfn.IFERROR(VLOOKUP($A228,'The List'!$B1:$AS665,3,FALSE)," ")</f>
        <v>858</v>
      </c>
      <c r="C228" t="s" s="195">
        <f>_xlfn.IFERROR(VLOOKUP($A228,'The List'!$B1:$AS665,4,FALSE)," ")</f>
        <v>858</v>
      </c>
      <c r="D228" t="s" s="72">
        <f>_xlfn.IFERROR(VLOOKUP($A228,'The List'!$B1:$AS665,5,FALSE)," ")</f>
        <v>858</v>
      </c>
      <c r="E228" t="s" s="72">
        <f>_xlfn.IFERROR(VLOOKUP($A228,'The List'!$B1:$AS665,6,FALSE)," ")</f>
        <v>858</v>
      </c>
      <c r="F228" t="s" s="196">
        <f>_xlfn.IFERROR(VLOOKUP($A228,'The List'!$B1:$AS665,8,FALSE)," ")</f>
        <v>858</v>
      </c>
      <c r="G228" t="s" s="196">
        <f>_xlfn.IFERROR(VLOOKUP($A228,'The List'!$B1:$AS665,10,FALSE)," ")</f>
        <v>858</v>
      </c>
      <c r="H228" s="174"/>
      <c r="I228" t="s" s="197">
        <f>_xlfn.IFERROR(VLOOKUP($A228,'The List'!$B1:$AS665,35,FALSE)," ")</f>
        <v>858</v>
      </c>
      <c r="J228" t="s" s="197">
        <f>_xlfn.IFERROR(VLOOKUP($A228,'The List'!$B1:$AS665,36,FALSE)," ")</f>
        <v>858</v>
      </c>
      <c r="K228" t="s" s="197">
        <f>_xlfn.IFERROR(VLOOKUP($A228,'The List'!$B1:$AS665,37,FALSE)," ")</f>
        <v>858</v>
      </c>
      <c r="L228" t="s" s="197">
        <f>_xlfn.IFERROR(VLOOKUP($A228,'The List'!$B1:$AS665,38,FALSE)," ")</f>
        <v>858</v>
      </c>
      <c r="M228" t="s" s="197">
        <f>_xlfn.IFERROR(VLOOKUP($A228,'The List'!$B1:$AS665,39,FALSE)," ")</f>
        <v>858</v>
      </c>
      <c r="N228" t="s" s="197">
        <f>_xlfn.IFERROR(VLOOKUP($A228,'The List'!$B1:$AS665,40,FALSE)," ")</f>
        <v>858</v>
      </c>
      <c r="O228" t="s" s="197">
        <f>_xlfn.IFERROR(VLOOKUP($A228,'The List'!$B1:$AS665,41,FALSE)," ")</f>
        <v>858</v>
      </c>
      <c r="P228" t="s" s="197">
        <f>_xlfn.IFERROR(VLOOKUP($A228,'The List'!$B1:$AS665,42,FALSE)," ")</f>
        <v>858</v>
      </c>
      <c r="Q228" t="s" s="197">
        <f>_xlfn.IFERROR(VLOOKUP($A228,'The List'!$B1:$AS665,43,FALSE)," ")</f>
        <v>858</v>
      </c>
      <c r="R228" s="120"/>
      <c r="S228" s="120"/>
      <c r="T228" t="s" s="178">
        <f>A204</f>
        <v>886</v>
      </c>
      <c r="U228" s="179">
        <f>F225+F231</f>
        <v>0</v>
      </c>
      <c r="V228" s="31"/>
      <c r="W228" s="31"/>
      <c r="X228" s="179">
        <f>G231+G225</f>
        <v>0</v>
      </c>
      <c r="Y228" s="31"/>
      <c r="Z228" s="31"/>
      <c r="AA228" s="120"/>
      <c r="AB228" s="120"/>
      <c r="AC228" s="120"/>
      <c r="AD228" s="120"/>
      <c r="AE228" s="120"/>
      <c r="AF228" s="168"/>
    </row>
    <row r="229" ht="21.25" customHeight="1">
      <c r="A229" s="50"/>
      <c r="B229" t="s" s="180">
        <f>_xlfn.IFERROR(VLOOKUP($A229,'The List'!$B1:$AS665,3,FALSE)," ")</f>
        <v>858</v>
      </c>
      <c r="C229" t="s" s="181">
        <f>_xlfn.IFERROR(VLOOKUP($A229,'The List'!$B1:$AS665,4,FALSE)," ")</f>
        <v>858</v>
      </c>
      <c r="D229" t="s" s="86">
        <f>_xlfn.IFERROR(VLOOKUP($A229,'The List'!$B1:$AS665,5,FALSE)," ")</f>
        <v>858</v>
      </c>
      <c r="E229" t="s" s="86">
        <f>_xlfn.IFERROR(VLOOKUP($A229,'The List'!$B1:$AS665,6,FALSE)," ")</f>
        <v>858</v>
      </c>
      <c r="F229" t="s" s="124">
        <f>_xlfn.IFERROR(VLOOKUP($A229,'The List'!$B1:$AS665,8,FALSE)," ")</f>
        <v>858</v>
      </c>
      <c r="G229" t="s" s="124">
        <f>_xlfn.IFERROR(VLOOKUP($A229,'The List'!$B1:$AS665,10,FALSE)," ")</f>
        <v>858</v>
      </c>
      <c r="H229" s="77"/>
      <c r="I229" t="s" s="125">
        <f>_xlfn.IFERROR(VLOOKUP($A229,'The List'!$B1:$AS665,35,FALSE)," ")</f>
        <v>858</v>
      </c>
      <c r="J229" t="s" s="125">
        <f>_xlfn.IFERROR(VLOOKUP($A229,'The List'!$B1:$AS665,36,FALSE)," ")</f>
        <v>858</v>
      </c>
      <c r="K229" t="s" s="125">
        <f>_xlfn.IFERROR(VLOOKUP($A229,'The List'!$B1:$AS665,37,FALSE)," ")</f>
        <v>858</v>
      </c>
      <c r="L229" t="s" s="125">
        <f>_xlfn.IFERROR(VLOOKUP($A229,'The List'!$B1:$AS665,38,FALSE)," ")</f>
        <v>858</v>
      </c>
      <c r="M229" t="s" s="125">
        <f>_xlfn.IFERROR(VLOOKUP($A229,'The List'!$B1:$AS665,39,FALSE)," ")</f>
        <v>858</v>
      </c>
      <c r="N229" t="s" s="125">
        <f>_xlfn.IFERROR(VLOOKUP($A229,'The List'!$B1:$AS665,40,FALSE)," ")</f>
        <v>858</v>
      </c>
      <c r="O229" t="s" s="125">
        <f>_xlfn.IFERROR(VLOOKUP($A229,'The List'!$B1:$AS665,41,FALSE)," ")</f>
        <v>858</v>
      </c>
      <c r="P229" t="s" s="125">
        <f>_xlfn.IFERROR(VLOOKUP($A229,'The List'!$B1:$AS665,42,FALSE)," ")</f>
        <v>858</v>
      </c>
      <c r="Q229" t="s" s="125">
        <f>_xlfn.IFERROR(VLOOKUP($A229,'The List'!$B1:$AS665,43,FALSE)," ")</f>
        <v>858</v>
      </c>
      <c r="R229" s="120"/>
      <c r="S229" s="120"/>
      <c r="T229" s="120"/>
      <c r="U229" s="31"/>
      <c r="V229" s="31"/>
      <c r="W229" s="31"/>
      <c r="X229" s="31"/>
      <c r="Y229" s="31"/>
      <c r="Z229" s="31"/>
      <c r="AA229" s="120"/>
      <c r="AB229" s="120"/>
      <c r="AC229" s="120"/>
      <c r="AD229" s="120"/>
      <c r="AE229" s="120"/>
      <c r="AF229" s="168"/>
    </row>
    <row r="230" ht="21.25" customHeight="1">
      <c r="A230" s="137"/>
      <c r="B230" t="s" s="182">
        <f>_xlfn.IFERROR(VLOOKUP($A230,'The List'!$B1:$AS665,3,FALSE)," ")</f>
        <v>858</v>
      </c>
      <c r="C230" t="s" s="183">
        <f>_xlfn.IFERROR(VLOOKUP($A230,'The List'!$B1:$AS665,4,FALSE)," ")</f>
        <v>858</v>
      </c>
      <c r="D230" t="s" s="140">
        <f>_xlfn.IFERROR(VLOOKUP($A230,'The List'!$B1:$AS665,5,FALSE)," ")</f>
        <v>858</v>
      </c>
      <c r="E230" t="s" s="140">
        <f>_xlfn.IFERROR(VLOOKUP($A230,'The List'!$B1:$AS665,6,FALSE)," ")</f>
        <v>858</v>
      </c>
      <c r="F230" t="s" s="141">
        <f>_xlfn.IFERROR(VLOOKUP($A230,'The List'!$B1:$AS665,8,FALSE)," ")</f>
        <v>858</v>
      </c>
      <c r="G230" t="s" s="141">
        <f>_xlfn.IFERROR(VLOOKUP($A230,'The List'!$B1:$AS665,10,FALSE)," ")</f>
        <v>858</v>
      </c>
      <c r="H230" s="142"/>
      <c r="I230" t="s" s="143">
        <f>_xlfn.IFERROR(VLOOKUP($A230,'The List'!$B1:$AS665,35,FALSE)," ")</f>
        <v>858</v>
      </c>
      <c r="J230" t="s" s="143">
        <f>_xlfn.IFERROR(VLOOKUP($A230,'The List'!$B1:$AS665,36,FALSE)," ")</f>
        <v>858</v>
      </c>
      <c r="K230" t="s" s="143">
        <f>_xlfn.IFERROR(VLOOKUP($A230,'The List'!$B1:$AS665,37,FALSE)," ")</f>
        <v>858</v>
      </c>
      <c r="L230" t="s" s="143">
        <f>_xlfn.IFERROR(VLOOKUP($A230,'The List'!$B1:$AS665,38,FALSE)," ")</f>
        <v>858</v>
      </c>
      <c r="M230" t="s" s="143">
        <f>_xlfn.IFERROR(VLOOKUP($A230,'The List'!$B1:$AS665,39,FALSE)," ")</f>
        <v>858</v>
      </c>
      <c r="N230" t="s" s="143">
        <f>_xlfn.IFERROR(VLOOKUP($A230,'The List'!$B1:$AS665,40,FALSE)," ")</f>
        <v>858</v>
      </c>
      <c r="O230" t="s" s="143">
        <f>_xlfn.IFERROR(VLOOKUP($A230,'The List'!$B1:$AS665,41,FALSE)," ")</f>
        <v>858</v>
      </c>
      <c r="P230" t="s" s="143">
        <f>_xlfn.IFERROR(VLOOKUP($A230,'The List'!$B1:$AS665,42,FALSE)," ")</f>
        <v>858</v>
      </c>
      <c r="Q230" t="s" s="143">
        <f>_xlfn.IFERROR(VLOOKUP($A230,'The List'!$B1:$AS665,43,FALSE)," ")</f>
        <v>858</v>
      </c>
      <c r="R230" s="120"/>
      <c r="S230" s="120"/>
      <c r="T230" s="120"/>
      <c r="U230" s="31"/>
      <c r="V230" s="31"/>
      <c r="W230" s="31"/>
      <c r="X230" s="31"/>
      <c r="Y230" s="31"/>
      <c r="Z230" s="31"/>
      <c r="AA230" s="120"/>
      <c r="AB230" s="120"/>
      <c r="AC230" s="120"/>
      <c r="AD230" s="120"/>
      <c r="AE230" s="120"/>
      <c r="AF230" s="168"/>
    </row>
    <row r="231" ht="21.25" customHeight="1">
      <c r="A231" s="145"/>
      <c r="B231" s="146"/>
      <c r="C231" s="147"/>
      <c r="D231" s="148"/>
      <c r="E231" t="s" s="193">
        <f>_xlfn.IFERROR(AVERAGE(E228:E230)," ")</f>
        <v>858</v>
      </c>
      <c r="F231" s="150">
        <f>SUM(F228:F230)</f>
        <v>0</v>
      </c>
      <c r="G231" s="150">
        <f>SUM(G228:G230)</f>
        <v>0</v>
      </c>
      <c r="H231" s="151"/>
      <c r="I231" s="152">
        <f>SUM(I228:I230)</f>
        <v>0</v>
      </c>
      <c r="J231" s="151">
        <f>SUM(J228:J230)</f>
        <v>0</v>
      </c>
      <c r="K231" s="152">
        <f>SUM(K228:K230)</f>
        <v>0</v>
      </c>
      <c r="L231" s="152">
        <f>SUM(L228:L230)</f>
        <v>0</v>
      </c>
      <c r="M231" s="152">
        <f>SUM(M228:M230)</f>
        <v>0</v>
      </c>
      <c r="N231" s="152">
        <f>SUM(N228:N230)</f>
        <v>0</v>
      </c>
      <c r="O231" s="152">
        <f>SUM(O228:O230)</f>
        <v>0</v>
      </c>
      <c r="P231" s="184">
        <f>1-(O231/(N231+O231))</f>
      </c>
      <c r="Q231" s="185">
        <f>O231/I231</f>
      </c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  <c r="AB231" s="120"/>
      <c r="AC231" s="120"/>
      <c r="AD231" s="120"/>
      <c r="AE231" s="120"/>
      <c r="AF231" s="168"/>
    </row>
    <row r="232" ht="70.75" customHeight="1">
      <c r="A232" s="156"/>
      <c r="B232" s="157"/>
      <c r="C232" s="158"/>
      <c r="D232" s="13"/>
      <c r="E232" s="13"/>
      <c r="F232" s="159"/>
      <c r="G232" s="160"/>
      <c r="H232" s="161"/>
      <c r="I232" s="162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1"/>
      <c r="AB232" s="121"/>
      <c r="AC232" s="121"/>
      <c r="AD232" s="121"/>
      <c r="AE232" s="121"/>
      <c r="AF232" s="144"/>
    </row>
    <row r="233" ht="21.25" customHeight="1">
      <c r="A233" t="s" s="186">
        <v>867</v>
      </c>
      <c r="B233" t="s" s="187">
        <v>91</v>
      </c>
      <c r="C233" s="45"/>
      <c r="D233" t="s" s="187">
        <v>92</v>
      </c>
      <c r="E233" t="s" s="187">
        <v>93</v>
      </c>
      <c r="F233" t="s" s="188">
        <v>95</v>
      </c>
      <c r="G233" t="s" s="188">
        <v>97</v>
      </c>
      <c r="H233" s="189"/>
      <c r="I233" t="s" s="190">
        <v>102</v>
      </c>
      <c r="J233" t="s" s="190">
        <v>55</v>
      </c>
      <c r="K233" t="s" s="190">
        <v>103</v>
      </c>
      <c r="L233" t="s" s="190">
        <v>104</v>
      </c>
      <c r="M233" t="s" s="190">
        <v>105</v>
      </c>
      <c r="N233" t="s" s="190">
        <v>106</v>
      </c>
      <c r="O233" t="s" s="190">
        <v>107</v>
      </c>
      <c r="P233" t="s" s="190">
        <v>63</v>
      </c>
      <c r="Q233" t="s" s="190">
        <v>108</v>
      </c>
      <c r="R233" t="s" s="190">
        <v>109</v>
      </c>
      <c r="S233" t="s" s="190">
        <v>110</v>
      </c>
      <c r="T233" t="s" s="190">
        <v>111</v>
      </c>
      <c r="U233" t="s" s="190">
        <v>112</v>
      </c>
      <c r="V233" t="s" s="190">
        <v>113</v>
      </c>
      <c r="W233" t="s" s="190">
        <v>114</v>
      </c>
      <c r="X233" t="s" s="190">
        <v>115</v>
      </c>
      <c r="Y233" t="s" s="190">
        <v>116</v>
      </c>
      <c r="Z233" t="s" s="190">
        <v>117</v>
      </c>
      <c r="AA233" s="120"/>
      <c r="AB233" s="191"/>
      <c r="AC233" s="191"/>
      <c r="AD233" s="191"/>
      <c r="AE233" s="191"/>
      <c r="AF233" s="192"/>
    </row>
    <row r="234" ht="21.25" customHeight="1">
      <c r="A234" s="50"/>
      <c r="B234" t="s" s="117">
        <f>_xlfn.IFERROR(VLOOKUP($A234,'The List'!$B1:$AS665,3,FALSE)," ")</f>
        <v>858</v>
      </c>
      <c r="C234" t="s" s="123">
        <f>_xlfn.IFERROR(VLOOKUP($A234,'The List'!$B1:$AS665,4,FALSE)," ")</f>
        <v>858</v>
      </c>
      <c r="D234" t="s" s="86">
        <f>_xlfn.IFERROR(VLOOKUP($A234,'The List'!$B1:$AS665,5,FALSE)," ")</f>
        <v>858</v>
      </c>
      <c r="E234" t="s" s="86">
        <f>_xlfn.IFERROR(VLOOKUP($A234,'The List'!$B1:$AS665,6,FALSE)," ")</f>
        <v>858</v>
      </c>
      <c r="F234" t="s" s="124">
        <f>_xlfn.IFERROR(VLOOKUP($A234,'The List'!$B1:$AS665,8,FALSE)," ")</f>
        <v>858</v>
      </c>
      <c r="G234" t="s" s="124">
        <f>_xlfn.IFERROR(VLOOKUP($A234,'The List'!$B1:$AS665,10,FALSE)," ")</f>
        <v>858</v>
      </c>
      <c r="H234" s="77"/>
      <c r="I234" t="s" s="125">
        <f>_xlfn.IFERROR(VLOOKUP($A234,'The List'!$B1:$AS665,16,FALSE)," ")</f>
        <v>858</v>
      </c>
      <c r="J234" t="s" s="125">
        <f>_xlfn.IFERROR(VLOOKUP($A234,'The List'!$B1:$AS665,17,FALSE)," ")</f>
        <v>858</v>
      </c>
      <c r="K234" t="s" s="125">
        <f>_xlfn.IFERROR(VLOOKUP($A234,'The List'!$B1:$AS665,18,FALSE)," ")</f>
        <v>858</v>
      </c>
      <c r="L234" t="s" s="125">
        <f>_xlfn.IFERROR(VLOOKUP($A234,'The List'!$B1:$AS665,19,FALSE)," ")</f>
        <v>858</v>
      </c>
      <c r="M234" t="s" s="125">
        <f>_xlfn.IFERROR(VLOOKUP($A234,'The List'!$B1:$AS665,20,FALSE)," ")</f>
        <v>858</v>
      </c>
      <c r="N234" t="s" s="125">
        <f>_xlfn.IFERROR(VLOOKUP($A234,'The List'!$B1:$AS665,21,FALSE)," ")</f>
        <v>858</v>
      </c>
      <c r="O234" t="s" s="125">
        <f>_xlfn.IFERROR(VLOOKUP($A234,'The List'!$B1:$AS665,22,FALSE)," ")</f>
        <v>858</v>
      </c>
      <c r="P234" t="s" s="125">
        <f>_xlfn.IFERROR(VLOOKUP($A234,'The List'!$B1:$AS665,23,FALSE)," ")</f>
        <v>858</v>
      </c>
      <c r="Q234" t="s" s="125">
        <f>_xlfn.IFERROR(VLOOKUP($A234,'The List'!$B1:$AS665,24,FALSE)," ")</f>
        <v>858</v>
      </c>
      <c r="R234" t="s" s="125">
        <f>_xlfn.IFERROR(VLOOKUP($A234,'The List'!$B1:$AS665,25,FALSE)," ")</f>
        <v>858</v>
      </c>
      <c r="S234" t="s" s="125">
        <f>_xlfn.IFERROR(VLOOKUP($A234,'The List'!$B1:$AS665,26,FALSE)," ")</f>
        <v>858</v>
      </c>
      <c r="T234" t="s" s="125">
        <f>_xlfn.IFERROR(VLOOKUP($A234,'The List'!$B1:$AS665,27,FALSE)," ")</f>
        <v>858</v>
      </c>
      <c r="U234" t="s" s="125">
        <f>_xlfn.IFERROR(VLOOKUP($A234,'The List'!$B1:$AS665,28,FALSE)," ")</f>
        <v>858</v>
      </c>
      <c r="V234" t="s" s="125">
        <f>_xlfn.IFERROR(VLOOKUP($A234,'The List'!$B1:$AS665,29,FALSE)," ")</f>
        <v>858</v>
      </c>
      <c r="W234" t="s" s="125">
        <f>_xlfn.IFERROR(VLOOKUP($A234,'The List'!$B1:$AS665,30,FALSE)," ")</f>
        <v>858</v>
      </c>
      <c r="X234" t="s" s="125">
        <f>_xlfn.IFERROR(VLOOKUP($A234,'The List'!$B1:$AS665,31,FALSE)," ")</f>
        <v>858</v>
      </c>
      <c r="Y234" t="s" s="125">
        <f>_xlfn.IFERROR(VLOOKUP($A234,'The List'!$B1:$AS665,32,FALSE)," ")</f>
        <v>858</v>
      </c>
      <c r="Z234" t="s" s="125">
        <f>_xlfn.IFERROR(VLOOKUP($A234,'The List'!$B1:$AS665,33,FALSE)," ")</f>
        <v>858</v>
      </c>
      <c r="AA234" s="120"/>
      <c r="AB234" s="121"/>
      <c r="AC234" s="121"/>
      <c r="AD234" s="121"/>
      <c r="AE234" s="121"/>
      <c r="AF234" s="144"/>
    </row>
    <row r="235" ht="21.25" customHeight="1">
      <c r="A235" s="50"/>
      <c r="B235" t="s" s="117">
        <f>_xlfn.IFERROR(VLOOKUP($A235,'The List'!$B1:$AS665,3,FALSE)," ")</f>
        <v>858</v>
      </c>
      <c r="C235" t="s" s="123">
        <f>_xlfn.IFERROR(VLOOKUP($A235,'The List'!$B1:$AS665,4,FALSE)," ")</f>
        <v>858</v>
      </c>
      <c r="D235" t="s" s="86">
        <f>_xlfn.IFERROR(VLOOKUP($A235,'The List'!$B1:$AS665,5,FALSE)," ")</f>
        <v>858</v>
      </c>
      <c r="E235" t="s" s="86">
        <f>_xlfn.IFERROR(VLOOKUP($A235,'The List'!$B1:$AS665,6,FALSE)," ")</f>
        <v>858</v>
      </c>
      <c r="F235" t="s" s="124">
        <f>_xlfn.IFERROR(VLOOKUP($A235,'The List'!$B1:$AS665,8,FALSE)," ")</f>
        <v>858</v>
      </c>
      <c r="G235" t="s" s="124">
        <f>_xlfn.IFERROR(VLOOKUP($A235,'The List'!$B1:$AS665,10,FALSE)," ")</f>
        <v>858</v>
      </c>
      <c r="H235" s="77"/>
      <c r="I235" t="s" s="125">
        <f>_xlfn.IFERROR(VLOOKUP($A235,'The List'!$B1:$AS665,16,FALSE)," ")</f>
        <v>858</v>
      </c>
      <c r="J235" t="s" s="125">
        <f>_xlfn.IFERROR(VLOOKUP($A235,'The List'!$B1:$AS665,17,FALSE)," ")</f>
        <v>858</v>
      </c>
      <c r="K235" t="s" s="125">
        <f>_xlfn.IFERROR(VLOOKUP($A235,'The List'!$B1:$AS665,18,FALSE)," ")</f>
        <v>858</v>
      </c>
      <c r="L235" t="s" s="125">
        <f>_xlfn.IFERROR(VLOOKUP($A235,'The List'!$B1:$AS665,19,FALSE)," ")</f>
        <v>858</v>
      </c>
      <c r="M235" t="s" s="125">
        <f>_xlfn.IFERROR(VLOOKUP($A235,'The List'!$B1:$AS665,20,FALSE)," ")</f>
        <v>858</v>
      </c>
      <c r="N235" t="s" s="125">
        <f>_xlfn.IFERROR(VLOOKUP($A235,'The List'!$B1:$AS665,21,FALSE)," ")</f>
        <v>858</v>
      </c>
      <c r="O235" t="s" s="125">
        <f>_xlfn.IFERROR(VLOOKUP($A235,'The List'!$B1:$AS665,22,FALSE)," ")</f>
        <v>858</v>
      </c>
      <c r="P235" t="s" s="125">
        <f>_xlfn.IFERROR(VLOOKUP($A235,'The List'!$B1:$AS665,23,FALSE)," ")</f>
        <v>858</v>
      </c>
      <c r="Q235" t="s" s="125">
        <f>_xlfn.IFERROR(VLOOKUP($A235,'The List'!$B1:$AS665,24,FALSE)," ")</f>
        <v>858</v>
      </c>
      <c r="R235" t="s" s="125">
        <f>_xlfn.IFERROR(VLOOKUP($A235,'The List'!$B1:$AS665,25,FALSE)," ")</f>
        <v>858</v>
      </c>
      <c r="S235" t="s" s="125">
        <f>_xlfn.IFERROR(VLOOKUP($A235,'The List'!$B1:$AS665,26,FALSE)," ")</f>
        <v>858</v>
      </c>
      <c r="T235" t="s" s="125">
        <f>_xlfn.IFERROR(VLOOKUP($A235,'The List'!$B1:$AS665,27,FALSE)," ")</f>
        <v>858</v>
      </c>
      <c r="U235" t="s" s="125">
        <f>_xlfn.IFERROR(VLOOKUP($A235,'The List'!$B1:$AS665,28,FALSE)," ")</f>
        <v>858</v>
      </c>
      <c r="V235" t="s" s="125">
        <f>_xlfn.IFERROR(VLOOKUP($A235,'The List'!$B1:$AS665,29,FALSE)," ")</f>
        <v>858</v>
      </c>
      <c r="W235" t="s" s="125">
        <f>_xlfn.IFERROR(VLOOKUP($A235,'The List'!$B1:$AS665,30,FALSE)," ")</f>
        <v>858</v>
      </c>
      <c r="X235" t="s" s="125">
        <f>_xlfn.IFERROR(VLOOKUP($A235,'The List'!$B1:$AS665,31,FALSE)," ")</f>
        <v>858</v>
      </c>
      <c r="Y235" t="s" s="125">
        <f>_xlfn.IFERROR(VLOOKUP($A235,'The List'!$B1:$AS665,32,FALSE)," ")</f>
        <v>858</v>
      </c>
      <c r="Z235" t="s" s="125">
        <f>_xlfn.IFERROR(VLOOKUP($A235,'The List'!$B1:$AS665,33,FALSE)," ")</f>
        <v>858</v>
      </c>
      <c r="AA235" s="120"/>
      <c r="AB235" s="121"/>
      <c r="AC235" s="121"/>
      <c r="AD235" s="121"/>
      <c r="AE235" s="121"/>
      <c r="AF235" s="144"/>
    </row>
    <row r="236" ht="21.25" customHeight="1">
      <c r="A236" s="50"/>
      <c r="B236" t="s" s="117">
        <f>_xlfn.IFERROR(VLOOKUP($A236,'The List'!$B1:$AS665,3,FALSE)," ")</f>
        <v>858</v>
      </c>
      <c r="C236" t="s" s="123">
        <f>_xlfn.IFERROR(VLOOKUP($A236,'The List'!$B1:$AS665,4,FALSE)," ")</f>
        <v>858</v>
      </c>
      <c r="D236" t="s" s="86">
        <f>_xlfn.IFERROR(VLOOKUP($A236,'The List'!$B1:$AS665,5,FALSE)," ")</f>
        <v>858</v>
      </c>
      <c r="E236" t="s" s="86">
        <f>_xlfn.IFERROR(VLOOKUP($A236,'The List'!$B1:$AS665,6,FALSE)," ")</f>
        <v>858</v>
      </c>
      <c r="F236" t="s" s="124">
        <f>_xlfn.IFERROR(VLOOKUP($A236,'The List'!$B1:$AS665,8,FALSE)," ")</f>
        <v>858</v>
      </c>
      <c r="G236" t="s" s="124">
        <f>_xlfn.IFERROR(VLOOKUP($A236,'The List'!$B1:$AS665,10,FALSE)," ")</f>
        <v>858</v>
      </c>
      <c r="H236" s="77"/>
      <c r="I236" t="s" s="125">
        <f>_xlfn.IFERROR(VLOOKUP($A236,'The List'!$B1:$AS665,16,FALSE)," ")</f>
        <v>858</v>
      </c>
      <c r="J236" t="s" s="125">
        <f>_xlfn.IFERROR(VLOOKUP($A236,'The List'!$B1:$AS665,17,FALSE)," ")</f>
        <v>858</v>
      </c>
      <c r="K236" t="s" s="125">
        <f>_xlfn.IFERROR(VLOOKUP($A236,'The List'!$B1:$AS665,18,FALSE)," ")</f>
        <v>858</v>
      </c>
      <c r="L236" t="s" s="125">
        <f>_xlfn.IFERROR(VLOOKUP($A236,'The List'!$B1:$AS665,19,FALSE)," ")</f>
        <v>858</v>
      </c>
      <c r="M236" t="s" s="125">
        <f>_xlfn.IFERROR(VLOOKUP($A236,'The List'!$B1:$AS665,20,FALSE)," ")</f>
        <v>858</v>
      </c>
      <c r="N236" t="s" s="125">
        <f>_xlfn.IFERROR(VLOOKUP($A236,'The List'!$B1:$AS665,21,FALSE)," ")</f>
        <v>858</v>
      </c>
      <c r="O236" t="s" s="125">
        <f>_xlfn.IFERROR(VLOOKUP($A236,'The List'!$B1:$AS665,22,FALSE)," ")</f>
        <v>858</v>
      </c>
      <c r="P236" t="s" s="125">
        <f>_xlfn.IFERROR(VLOOKUP($A236,'The List'!$B1:$AS665,23,FALSE)," ")</f>
        <v>858</v>
      </c>
      <c r="Q236" t="s" s="125">
        <f>_xlfn.IFERROR(VLOOKUP($A236,'The List'!$B1:$AS665,24,FALSE)," ")</f>
        <v>858</v>
      </c>
      <c r="R236" t="s" s="125">
        <f>_xlfn.IFERROR(VLOOKUP($A236,'The List'!$B1:$AS665,25,FALSE)," ")</f>
        <v>858</v>
      </c>
      <c r="S236" t="s" s="125">
        <f>_xlfn.IFERROR(VLOOKUP($A236,'The List'!$B1:$AS665,26,FALSE)," ")</f>
        <v>858</v>
      </c>
      <c r="T236" t="s" s="125">
        <f>_xlfn.IFERROR(VLOOKUP($A236,'The List'!$B1:$AS665,27,FALSE)," ")</f>
        <v>858</v>
      </c>
      <c r="U236" t="s" s="125">
        <f>_xlfn.IFERROR(VLOOKUP($A236,'The List'!$B1:$AS665,28,FALSE)," ")</f>
        <v>858</v>
      </c>
      <c r="V236" t="s" s="125">
        <f>_xlfn.IFERROR(VLOOKUP($A236,'The List'!$B1:$AS665,29,FALSE)," ")</f>
        <v>858</v>
      </c>
      <c r="W236" t="s" s="125">
        <f>_xlfn.IFERROR(VLOOKUP($A236,'The List'!$B1:$AS665,30,FALSE)," ")</f>
        <v>858</v>
      </c>
      <c r="X236" t="s" s="125">
        <f>_xlfn.IFERROR(VLOOKUP($A236,'The List'!$B1:$AS665,31,FALSE)," ")</f>
        <v>858</v>
      </c>
      <c r="Y236" t="s" s="125">
        <f>_xlfn.IFERROR(VLOOKUP($A236,'The List'!$B1:$AS665,32,FALSE)," ")</f>
        <v>858</v>
      </c>
      <c r="Z236" t="s" s="125">
        <f>_xlfn.IFERROR(VLOOKUP($A236,'The List'!$B1:$AS665,33,FALSE)," ")</f>
        <v>858</v>
      </c>
      <c r="AA236" s="120"/>
      <c r="AB236" s="121"/>
      <c r="AC236" s="121"/>
      <c r="AD236" s="121"/>
      <c r="AE236" s="121"/>
      <c r="AF236" s="144"/>
    </row>
    <row r="237" ht="21.25" customHeight="1">
      <c r="A237" s="50"/>
      <c r="B237" t="s" s="117">
        <f>_xlfn.IFERROR(VLOOKUP($A237,'The List'!$B1:$AS665,3,FALSE)," ")</f>
        <v>858</v>
      </c>
      <c r="C237" t="s" s="123">
        <f>_xlfn.IFERROR(VLOOKUP($A237,'The List'!$B1:$AS665,4,FALSE)," ")</f>
        <v>858</v>
      </c>
      <c r="D237" t="s" s="86">
        <f>_xlfn.IFERROR(VLOOKUP($A237,'The List'!$B1:$AS665,5,FALSE)," ")</f>
        <v>858</v>
      </c>
      <c r="E237" t="s" s="86">
        <f>_xlfn.IFERROR(VLOOKUP($A237,'The List'!$B1:$AS665,6,FALSE)," ")</f>
        <v>858</v>
      </c>
      <c r="F237" t="s" s="124">
        <f>_xlfn.IFERROR(VLOOKUP($A237,'The List'!$B1:$AS665,8,FALSE)," ")</f>
        <v>858</v>
      </c>
      <c r="G237" t="s" s="124">
        <f>_xlfn.IFERROR(VLOOKUP($A237,'The List'!$B1:$AS665,10,FALSE)," ")</f>
        <v>858</v>
      </c>
      <c r="H237" s="77"/>
      <c r="I237" t="s" s="125">
        <f>_xlfn.IFERROR(VLOOKUP($A237,'The List'!$B1:$AS665,16,FALSE)," ")</f>
        <v>858</v>
      </c>
      <c r="J237" t="s" s="125">
        <f>_xlfn.IFERROR(VLOOKUP($A237,'The List'!$B1:$AS665,17,FALSE)," ")</f>
        <v>858</v>
      </c>
      <c r="K237" t="s" s="125">
        <f>_xlfn.IFERROR(VLOOKUP($A237,'The List'!$B1:$AS665,18,FALSE)," ")</f>
        <v>858</v>
      </c>
      <c r="L237" t="s" s="125">
        <f>_xlfn.IFERROR(VLOOKUP($A237,'The List'!$B1:$AS665,19,FALSE)," ")</f>
        <v>858</v>
      </c>
      <c r="M237" t="s" s="125">
        <f>_xlfn.IFERROR(VLOOKUP($A237,'The List'!$B1:$AS665,20,FALSE)," ")</f>
        <v>858</v>
      </c>
      <c r="N237" t="s" s="125">
        <f>_xlfn.IFERROR(VLOOKUP($A237,'The List'!$B1:$AS665,21,FALSE)," ")</f>
        <v>858</v>
      </c>
      <c r="O237" t="s" s="125">
        <f>_xlfn.IFERROR(VLOOKUP($A237,'The List'!$B1:$AS665,22,FALSE)," ")</f>
        <v>858</v>
      </c>
      <c r="P237" t="s" s="125">
        <f>_xlfn.IFERROR(VLOOKUP($A237,'The List'!$B1:$AS665,23,FALSE)," ")</f>
        <v>858</v>
      </c>
      <c r="Q237" t="s" s="125">
        <f>_xlfn.IFERROR(VLOOKUP($A237,'The List'!$B1:$AS665,24,FALSE)," ")</f>
        <v>858</v>
      </c>
      <c r="R237" t="s" s="125">
        <f>_xlfn.IFERROR(VLOOKUP($A237,'The List'!$B1:$AS665,25,FALSE)," ")</f>
        <v>858</v>
      </c>
      <c r="S237" t="s" s="125">
        <f>_xlfn.IFERROR(VLOOKUP($A237,'The List'!$B1:$AS665,26,FALSE)," ")</f>
        <v>858</v>
      </c>
      <c r="T237" t="s" s="125">
        <f>_xlfn.IFERROR(VLOOKUP($A237,'The List'!$B1:$AS665,27,FALSE)," ")</f>
        <v>858</v>
      </c>
      <c r="U237" t="s" s="125">
        <f>_xlfn.IFERROR(VLOOKUP($A237,'The List'!$B1:$AS665,28,FALSE)," ")</f>
        <v>858</v>
      </c>
      <c r="V237" t="s" s="125">
        <f>_xlfn.IFERROR(VLOOKUP($A237,'The List'!$B1:$AS665,29,FALSE)," ")</f>
        <v>858</v>
      </c>
      <c r="W237" t="s" s="125">
        <f>_xlfn.IFERROR(VLOOKUP($A237,'The List'!$B1:$AS665,30,FALSE)," ")</f>
        <v>858</v>
      </c>
      <c r="X237" t="s" s="125">
        <f>_xlfn.IFERROR(VLOOKUP($A237,'The List'!$B1:$AS665,31,FALSE)," ")</f>
        <v>858</v>
      </c>
      <c r="Y237" t="s" s="125">
        <f>_xlfn.IFERROR(VLOOKUP($A237,'The List'!$B1:$AS665,32,FALSE)," ")</f>
        <v>858</v>
      </c>
      <c r="Z237" t="s" s="125">
        <f>_xlfn.IFERROR(VLOOKUP($A237,'The List'!$B1:$AS665,33,FALSE)," ")</f>
        <v>858</v>
      </c>
      <c r="AA237" s="120"/>
      <c r="AB237" s="121"/>
      <c r="AC237" s="121"/>
      <c r="AD237" s="121"/>
      <c r="AE237" s="121"/>
      <c r="AF237" s="144"/>
    </row>
    <row r="238" ht="21.25" customHeight="1">
      <c r="A238" s="50"/>
      <c r="B238" t="s" s="126">
        <f>_xlfn.IFERROR(VLOOKUP($A238,'The List'!$B1:$AS665,3,FALSE)," ")</f>
        <v>858</v>
      </c>
      <c r="C238" t="s" s="128">
        <f>_xlfn.IFERROR(VLOOKUP($A238,'The List'!$B1:$AS665,4,FALSE)," ")</f>
        <v>858</v>
      </c>
      <c r="D238" t="s" s="86">
        <f>_xlfn.IFERROR(VLOOKUP($A238,'The List'!$B1:$AS665,5,FALSE)," ")</f>
        <v>858</v>
      </c>
      <c r="E238" t="s" s="86">
        <f>_xlfn.IFERROR(VLOOKUP($A238,'The List'!$B1:$AS665,6,FALSE)," ")</f>
        <v>858</v>
      </c>
      <c r="F238" t="s" s="124">
        <f>_xlfn.IFERROR(VLOOKUP($A238,'The List'!$B1:$AS665,8,FALSE)," ")</f>
        <v>858</v>
      </c>
      <c r="G238" t="s" s="124">
        <f>_xlfn.IFERROR(VLOOKUP($A238,'The List'!$B1:$AS665,10,FALSE)," ")</f>
        <v>858</v>
      </c>
      <c r="H238" s="77"/>
      <c r="I238" t="s" s="125">
        <f>_xlfn.IFERROR(VLOOKUP($A238,'The List'!$B1:$AS665,16,FALSE)," ")</f>
        <v>858</v>
      </c>
      <c r="J238" t="s" s="125">
        <f>_xlfn.IFERROR(VLOOKUP($A238,'The List'!$B1:$AS665,17,FALSE)," ")</f>
        <v>858</v>
      </c>
      <c r="K238" t="s" s="125">
        <f>_xlfn.IFERROR(VLOOKUP($A238,'The List'!$B1:$AS665,18,FALSE)," ")</f>
        <v>858</v>
      </c>
      <c r="L238" t="s" s="125">
        <f>_xlfn.IFERROR(VLOOKUP($A238,'The List'!$B1:$AS665,19,FALSE)," ")</f>
        <v>858</v>
      </c>
      <c r="M238" t="s" s="125">
        <f>_xlfn.IFERROR(VLOOKUP($A238,'The List'!$B1:$AS665,20,FALSE)," ")</f>
        <v>858</v>
      </c>
      <c r="N238" t="s" s="125">
        <f>_xlfn.IFERROR(VLOOKUP($A238,'The List'!$B1:$AS665,21,FALSE)," ")</f>
        <v>858</v>
      </c>
      <c r="O238" t="s" s="125">
        <f>_xlfn.IFERROR(VLOOKUP($A238,'The List'!$B1:$AS665,22,FALSE)," ")</f>
        <v>858</v>
      </c>
      <c r="P238" t="s" s="125">
        <f>_xlfn.IFERROR(VLOOKUP($A238,'The List'!$B1:$AS665,23,FALSE)," ")</f>
        <v>858</v>
      </c>
      <c r="Q238" t="s" s="125">
        <f>_xlfn.IFERROR(VLOOKUP($A238,'The List'!$B1:$AS665,24,FALSE)," ")</f>
        <v>858</v>
      </c>
      <c r="R238" t="s" s="125">
        <f>_xlfn.IFERROR(VLOOKUP($A238,'The List'!$B1:$AS665,25,FALSE)," ")</f>
        <v>858</v>
      </c>
      <c r="S238" t="s" s="125">
        <f>_xlfn.IFERROR(VLOOKUP($A238,'The List'!$B1:$AS665,26,FALSE)," ")</f>
        <v>858</v>
      </c>
      <c r="T238" t="s" s="125">
        <f>_xlfn.IFERROR(VLOOKUP($A238,'The List'!$B1:$AS665,27,FALSE)," ")</f>
        <v>858</v>
      </c>
      <c r="U238" t="s" s="125">
        <f>_xlfn.IFERROR(VLOOKUP($A238,'The List'!$B1:$AS665,28,FALSE)," ")</f>
        <v>858</v>
      </c>
      <c r="V238" t="s" s="125">
        <f>_xlfn.IFERROR(VLOOKUP($A238,'The List'!$B1:$AS665,29,FALSE)," ")</f>
        <v>858</v>
      </c>
      <c r="W238" t="s" s="125">
        <f>_xlfn.IFERROR(VLOOKUP($A238,'The List'!$B1:$AS665,30,FALSE)," ")</f>
        <v>858</v>
      </c>
      <c r="X238" t="s" s="125">
        <f>_xlfn.IFERROR(VLOOKUP($A238,'The List'!$B1:$AS665,31,FALSE)," ")</f>
        <v>858</v>
      </c>
      <c r="Y238" t="s" s="125">
        <f>_xlfn.IFERROR(VLOOKUP($A238,'The List'!$B1:$AS665,32,FALSE)," ")</f>
        <v>858</v>
      </c>
      <c r="Z238" t="s" s="125">
        <f>_xlfn.IFERROR(VLOOKUP($A238,'The List'!$B1:$AS665,33,FALSE)," ")</f>
        <v>858</v>
      </c>
      <c r="AA238" s="120"/>
      <c r="AB238" s="121"/>
      <c r="AC238" s="121"/>
      <c r="AD238" s="121"/>
      <c r="AE238" s="121"/>
      <c r="AF238" s="144"/>
    </row>
    <row r="239" ht="21.25" customHeight="1">
      <c r="A239" s="50"/>
      <c r="B239" t="s" s="126">
        <f>_xlfn.IFERROR(VLOOKUP($A239,'The List'!$B1:$AS665,3,FALSE)," ")</f>
        <v>858</v>
      </c>
      <c r="C239" t="s" s="128">
        <f>_xlfn.IFERROR(VLOOKUP($A239,'The List'!$B1:$AS665,4,FALSE)," ")</f>
        <v>858</v>
      </c>
      <c r="D239" t="s" s="86">
        <f>_xlfn.IFERROR(VLOOKUP($A239,'The List'!$B1:$AS665,5,FALSE)," ")</f>
        <v>858</v>
      </c>
      <c r="E239" t="s" s="86">
        <f>_xlfn.IFERROR(VLOOKUP($A239,'The List'!$B1:$AS665,6,FALSE)," ")</f>
        <v>858</v>
      </c>
      <c r="F239" t="s" s="124">
        <f>_xlfn.IFERROR(VLOOKUP($A239,'The List'!$B1:$AS665,8,FALSE)," ")</f>
        <v>858</v>
      </c>
      <c r="G239" t="s" s="124">
        <f>_xlfn.IFERROR(VLOOKUP($A239,'The List'!$B1:$AS665,10,FALSE)," ")</f>
        <v>858</v>
      </c>
      <c r="H239" s="77"/>
      <c r="I239" t="s" s="125">
        <f>_xlfn.IFERROR(VLOOKUP($A239,'The List'!$B1:$AS665,16,FALSE)," ")</f>
        <v>858</v>
      </c>
      <c r="J239" t="s" s="125">
        <f>_xlfn.IFERROR(VLOOKUP($A239,'The List'!$B1:$AS665,17,FALSE)," ")</f>
        <v>858</v>
      </c>
      <c r="K239" t="s" s="125">
        <f>_xlfn.IFERROR(VLOOKUP($A239,'The List'!$B1:$AS665,18,FALSE)," ")</f>
        <v>858</v>
      </c>
      <c r="L239" t="s" s="125">
        <f>_xlfn.IFERROR(VLOOKUP($A239,'The List'!$B1:$AS665,19,FALSE)," ")</f>
        <v>858</v>
      </c>
      <c r="M239" t="s" s="125">
        <f>_xlfn.IFERROR(VLOOKUP($A239,'The List'!$B1:$AS665,20,FALSE)," ")</f>
        <v>858</v>
      </c>
      <c r="N239" t="s" s="125">
        <f>_xlfn.IFERROR(VLOOKUP($A239,'The List'!$B1:$AS665,21,FALSE)," ")</f>
        <v>858</v>
      </c>
      <c r="O239" t="s" s="125">
        <f>_xlfn.IFERROR(VLOOKUP($A239,'The List'!$B1:$AS665,22,FALSE)," ")</f>
        <v>858</v>
      </c>
      <c r="P239" t="s" s="125">
        <f>_xlfn.IFERROR(VLOOKUP($A239,'The List'!$B1:$AS665,23,FALSE)," ")</f>
        <v>858</v>
      </c>
      <c r="Q239" t="s" s="125">
        <f>_xlfn.IFERROR(VLOOKUP($A239,'The List'!$B1:$AS665,24,FALSE)," ")</f>
        <v>858</v>
      </c>
      <c r="R239" t="s" s="125">
        <f>_xlfn.IFERROR(VLOOKUP($A239,'The List'!$B1:$AS665,25,FALSE)," ")</f>
        <v>858</v>
      </c>
      <c r="S239" t="s" s="125">
        <f>_xlfn.IFERROR(VLOOKUP($A239,'The List'!$B1:$AS665,26,FALSE)," ")</f>
        <v>858</v>
      </c>
      <c r="T239" t="s" s="125">
        <f>_xlfn.IFERROR(VLOOKUP($A239,'The List'!$B1:$AS665,27,FALSE)," ")</f>
        <v>858</v>
      </c>
      <c r="U239" t="s" s="125">
        <f>_xlfn.IFERROR(VLOOKUP($A239,'The List'!$B1:$AS665,28,FALSE)," ")</f>
        <v>858</v>
      </c>
      <c r="V239" t="s" s="125">
        <f>_xlfn.IFERROR(VLOOKUP($A239,'The List'!$B1:$AS665,29,FALSE)," ")</f>
        <v>858</v>
      </c>
      <c r="W239" t="s" s="125">
        <f>_xlfn.IFERROR(VLOOKUP($A239,'The List'!$B1:$AS665,30,FALSE)," ")</f>
        <v>858</v>
      </c>
      <c r="X239" t="s" s="125">
        <f>_xlfn.IFERROR(VLOOKUP($A239,'The List'!$B1:$AS665,31,FALSE)," ")</f>
        <v>858</v>
      </c>
      <c r="Y239" t="s" s="125">
        <f>_xlfn.IFERROR(VLOOKUP($A239,'The List'!$B1:$AS665,32,FALSE)," ")</f>
        <v>858</v>
      </c>
      <c r="Z239" t="s" s="125">
        <f>_xlfn.IFERROR(VLOOKUP($A239,'The List'!$B1:$AS665,33,FALSE)," ")</f>
        <v>858</v>
      </c>
      <c r="AA239" s="120"/>
      <c r="AB239" s="121"/>
      <c r="AC239" s="121"/>
      <c r="AD239" s="121"/>
      <c r="AE239" s="121"/>
      <c r="AF239" s="144"/>
    </row>
    <row r="240" ht="21.25" customHeight="1">
      <c r="A240" s="50"/>
      <c r="B240" t="s" s="126">
        <f>_xlfn.IFERROR(VLOOKUP($A240,'The List'!$B1:$AS665,3,FALSE)," ")</f>
        <v>858</v>
      </c>
      <c r="C240" t="s" s="128">
        <f>_xlfn.IFERROR(VLOOKUP($A240,'The List'!$B1:$AS665,4,FALSE)," ")</f>
        <v>858</v>
      </c>
      <c r="D240" t="s" s="86">
        <f>_xlfn.IFERROR(VLOOKUP($A240,'The List'!$B1:$AS665,5,FALSE)," ")</f>
        <v>858</v>
      </c>
      <c r="E240" t="s" s="86">
        <f>_xlfn.IFERROR(VLOOKUP($A240,'The List'!$B1:$AS665,6,FALSE)," ")</f>
        <v>858</v>
      </c>
      <c r="F240" t="s" s="124">
        <f>_xlfn.IFERROR(VLOOKUP($A240,'The List'!$B1:$AS665,8,FALSE)," ")</f>
        <v>858</v>
      </c>
      <c r="G240" t="s" s="124">
        <f>_xlfn.IFERROR(VLOOKUP($A240,'The List'!$B1:$AS665,10,FALSE)," ")</f>
        <v>858</v>
      </c>
      <c r="H240" s="77"/>
      <c r="I240" t="s" s="125">
        <f>_xlfn.IFERROR(VLOOKUP($A240,'The List'!$B1:$AS665,16,FALSE)," ")</f>
        <v>858</v>
      </c>
      <c r="J240" t="s" s="125">
        <f>_xlfn.IFERROR(VLOOKUP($A240,'The List'!$B1:$AS665,17,FALSE)," ")</f>
        <v>858</v>
      </c>
      <c r="K240" t="s" s="125">
        <f>_xlfn.IFERROR(VLOOKUP($A240,'The List'!$B1:$AS665,18,FALSE)," ")</f>
        <v>858</v>
      </c>
      <c r="L240" t="s" s="125">
        <f>_xlfn.IFERROR(VLOOKUP($A240,'The List'!$B1:$AS665,19,FALSE)," ")</f>
        <v>858</v>
      </c>
      <c r="M240" t="s" s="125">
        <f>_xlfn.IFERROR(VLOOKUP($A240,'The List'!$B1:$AS665,20,FALSE)," ")</f>
        <v>858</v>
      </c>
      <c r="N240" t="s" s="125">
        <f>_xlfn.IFERROR(VLOOKUP($A240,'The List'!$B1:$AS665,21,FALSE)," ")</f>
        <v>858</v>
      </c>
      <c r="O240" t="s" s="125">
        <f>_xlfn.IFERROR(VLOOKUP($A240,'The List'!$B1:$AS665,22,FALSE)," ")</f>
        <v>858</v>
      </c>
      <c r="P240" t="s" s="125">
        <f>_xlfn.IFERROR(VLOOKUP($A240,'The List'!$B1:$AS665,23,FALSE)," ")</f>
        <v>858</v>
      </c>
      <c r="Q240" t="s" s="125">
        <f>_xlfn.IFERROR(VLOOKUP($A240,'The List'!$B1:$AS665,24,FALSE)," ")</f>
        <v>858</v>
      </c>
      <c r="R240" t="s" s="125">
        <f>_xlfn.IFERROR(VLOOKUP($A240,'The List'!$B1:$AS665,25,FALSE)," ")</f>
        <v>858</v>
      </c>
      <c r="S240" t="s" s="125">
        <f>_xlfn.IFERROR(VLOOKUP($A240,'The List'!$B1:$AS665,26,FALSE)," ")</f>
        <v>858</v>
      </c>
      <c r="T240" t="s" s="125">
        <f>_xlfn.IFERROR(VLOOKUP($A240,'The List'!$B1:$AS665,27,FALSE)," ")</f>
        <v>858</v>
      </c>
      <c r="U240" t="s" s="125">
        <f>_xlfn.IFERROR(VLOOKUP($A240,'The List'!$B1:$AS665,28,FALSE)," ")</f>
        <v>858</v>
      </c>
      <c r="V240" t="s" s="125">
        <f>_xlfn.IFERROR(VLOOKUP($A240,'The List'!$B1:$AS665,29,FALSE)," ")</f>
        <v>858</v>
      </c>
      <c r="W240" t="s" s="125">
        <f>_xlfn.IFERROR(VLOOKUP($A240,'The List'!$B1:$AS665,30,FALSE)," ")</f>
        <v>858</v>
      </c>
      <c r="X240" t="s" s="125">
        <f>_xlfn.IFERROR(VLOOKUP($A240,'The List'!$B1:$AS665,31,FALSE)," ")</f>
        <v>858</v>
      </c>
      <c r="Y240" t="s" s="125">
        <f>_xlfn.IFERROR(VLOOKUP($A240,'The List'!$B1:$AS665,32,FALSE)," ")</f>
        <v>858</v>
      </c>
      <c r="Z240" t="s" s="125">
        <f>_xlfn.IFERROR(VLOOKUP($A240,'The List'!$B1:$AS665,33,FALSE)," ")</f>
        <v>858</v>
      </c>
      <c r="AA240" s="120"/>
      <c r="AB240" s="121"/>
      <c r="AC240" s="121"/>
      <c r="AD240" s="121"/>
      <c r="AE240" s="121"/>
      <c r="AF240" s="144"/>
    </row>
    <row r="241" ht="21.25" customHeight="1">
      <c r="A241" s="50"/>
      <c r="B241" t="s" s="126">
        <f>_xlfn.IFERROR(VLOOKUP($A241,'The List'!$B1:$AS665,3,FALSE)," ")</f>
        <v>858</v>
      </c>
      <c r="C241" t="s" s="128">
        <f>_xlfn.IFERROR(VLOOKUP($A241,'The List'!$B1:$AS665,4,FALSE)," ")</f>
        <v>858</v>
      </c>
      <c r="D241" t="s" s="86">
        <f>_xlfn.IFERROR(VLOOKUP($A241,'The List'!$B1:$AS665,5,FALSE)," ")</f>
        <v>858</v>
      </c>
      <c r="E241" t="s" s="86">
        <f>_xlfn.IFERROR(VLOOKUP($A241,'The List'!$B1:$AS665,6,FALSE)," ")</f>
        <v>858</v>
      </c>
      <c r="F241" t="s" s="124">
        <f>_xlfn.IFERROR(VLOOKUP($A241,'The List'!$B1:$AS665,8,FALSE)," ")</f>
        <v>858</v>
      </c>
      <c r="G241" t="s" s="124">
        <f>_xlfn.IFERROR(VLOOKUP($A241,'The List'!$B1:$AS665,10,FALSE)," ")</f>
        <v>858</v>
      </c>
      <c r="H241" s="77"/>
      <c r="I241" t="s" s="125">
        <f>_xlfn.IFERROR(VLOOKUP($A241,'The List'!$B1:$AS665,16,FALSE)," ")</f>
        <v>858</v>
      </c>
      <c r="J241" t="s" s="125">
        <f>_xlfn.IFERROR(VLOOKUP($A241,'The List'!$B1:$AS665,17,FALSE)," ")</f>
        <v>858</v>
      </c>
      <c r="K241" t="s" s="125">
        <f>_xlfn.IFERROR(VLOOKUP($A241,'The List'!$B1:$AS665,18,FALSE)," ")</f>
        <v>858</v>
      </c>
      <c r="L241" t="s" s="125">
        <f>_xlfn.IFERROR(VLOOKUP($A241,'The List'!$B1:$AS665,19,FALSE)," ")</f>
        <v>858</v>
      </c>
      <c r="M241" t="s" s="125">
        <f>_xlfn.IFERROR(VLOOKUP($A241,'The List'!$B1:$AS665,20,FALSE)," ")</f>
        <v>858</v>
      </c>
      <c r="N241" t="s" s="125">
        <f>_xlfn.IFERROR(VLOOKUP($A241,'The List'!$B1:$AS665,21,FALSE)," ")</f>
        <v>858</v>
      </c>
      <c r="O241" t="s" s="125">
        <f>_xlfn.IFERROR(VLOOKUP($A241,'The List'!$B1:$AS665,22,FALSE)," ")</f>
        <v>858</v>
      </c>
      <c r="P241" t="s" s="125">
        <f>_xlfn.IFERROR(VLOOKUP($A241,'The List'!$B1:$AS665,23,FALSE)," ")</f>
        <v>858</v>
      </c>
      <c r="Q241" t="s" s="125">
        <f>_xlfn.IFERROR(VLOOKUP($A241,'The List'!$B1:$AS665,24,FALSE)," ")</f>
        <v>858</v>
      </c>
      <c r="R241" t="s" s="125">
        <f>_xlfn.IFERROR(VLOOKUP($A241,'The List'!$B1:$AS665,25,FALSE)," ")</f>
        <v>858</v>
      </c>
      <c r="S241" t="s" s="125">
        <f>_xlfn.IFERROR(VLOOKUP($A241,'The List'!$B1:$AS665,26,FALSE)," ")</f>
        <v>858</v>
      </c>
      <c r="T241" t="s" s="125">
        <f>_xlfn.IFERROR(VLOOKUP($A241,'The List'!$B1:$AS665,27,FALSE)," ")</f>
        <v>858</v>
      </c>
      <c r="U241" t="s" s="125">
        <f>_xlfn.IFERROR(VLOOKUP($A241,'The List'!$B1:$AS665,28,FALSE)," ")</f>
        <v>858</v>
      </c>
      <c r="V241" t="s" s="125">
        <f>_xlfn.IFERROR(VLOOKUP($A241,'The List'!$B1:$AS665,29,FALSE)," ")</f>
        <v>858</v>
      </c>
      <c r="W241" t="s" s="125">
        <f>_xlfn.IFERROR(VLOOKUP($A241,'The List'!$B1:$AS665,30,FALSE)," ")</f>
        <v>858</v>
      </c>
      <c r="X241" t="s" s="125">
        <f>_xlfn.IFERROR(VLOOKUP($A241,'The List'!$B1:$AS665,31,FALSE)," ")</f>
        <v>858</v>
      </c>
      <c r="Y241" t="s" s="125">
        <f>_xlfn.IFERROR(VLOOKUP($A241,'The List'!$B1:$AS665,32,FALSE)," ")</f>
        <v>858</v>
      </c>
      <c r="Z241" t="s" s="125">
        <f>_xlfn.IFERROR(VLOOKUP($A241,'The List'!$B1:$AS665,33,FALSE)," ")</f>
        <v>858</v>
      </c>
      <c r="AA241" s="120"/>
      <c r="AB241" s="121"/>
      <c r="AC241" s="121"/>
      <c r="AD241" s="121"/>
      <c r="AE241" s="121"/>
      <c r="AF241" s="144"/>
    </row>
    <row r="242" ht="21.25" customHeight="1">
      <c r="A242" s="50"/>
      <c r="B242" t="s" s="129">
        <f>_xlfn.IFERROR(VLOOKUP($A242,'The List'!$B1:$AS665,3,FALSE)," ")</f>
        <v>858</v>
      </c>
      <c r="C242" t="s" s="131">
        <f>_xlfn.IFERROR(VLOOKUP($A242,'The List'!$B1:$AS665,4,FALSE)," ")</f>
        <v>858</v>
      </c>
      <c r="D242" t="s" s="86">
        <f>_xlfn.IFERROR(VLOOKUP($A242,'The List'!$B1:$AS665,5,FALSE)," ")</f>
        <v>858</v>
      </c>
      <c r="E242" t="s" s="86">
        <f>_xlfn.IFERROR(VLOOKUP($A242,'The List'!$B1:$AS665,6,FALSE)," ")</f>
        <v>858</v>
      </c>
      <c r="F242" t="s" s="124">
        <f>_xlfn.IFERROR(VLOOKUP($A242,'The List'!$B1:$AS665,8,FALSE)," ")</f>
        <v>858</v>
      </c>
      <c r="G242" t="s" s="124">
        <f>_xlfn.IFERROR(VLOOKUP($A242,'The List'!$B1:$AS665,10,FALSE)," ")</f>
        <v>858</v>
      </c>
      <c r="H242" s="77"/>
      <c r="I242" t="s" s="125">
        <f>_xlfn.IFERROR(VLOOKUP($A242,'The List'!$B1:$AS665,16,FALSE)," ")</f>
        <v>858</v>
      </c>
      <c r="J242" t="s" s="125">
        <f>_xlfn.IFERROR(VLOOKUP($A242,'The List'!$B1:$AS665,17,FALSE)," ")</f>
        <v>858</v>
      </c>
      <c r="K242" t="s" s="125">
        <f>_xlfn.IFERROR(VLOOKUP($A242,'The List'!$B1:$AS665,18,FALSE)," ")</f>
        <v>858</v>
      </c>
      <c r="L242" t="s" s="125">
        <f>_xlfn.IFERROR(VLOOKUP($A242,'The List'!$B1:$AS665,19,FALSE)," ")</f>
        <v>858</v>
      </c>
      <c r="M242" t="s" s="125">
        <f>_xlfn.IFERROR(VLOOKUP($A242,'The List'!$B1:$AS665,20,FALSE)," ")</f>
        <v>858</v>
      </c>
      <c r="N242" t="s" s="125">
        <f>_xlfn.IFERROR(VLOOKUP($A242,'The List'!$B1:$AS665,21,FALSE)," ")</f>
        <v>858</v>
      </c>
      <c r="O242" t="s" s="125">
        <f>_xlfn.IFERROR(VLOOKUP($A242,'The List'!$B1:$AS665,22,FALSE)," ")</f>
        <v>858</v>
      </c>
      <c r="P242" t="s" s="125">
        <f>_xlfn.IFERROR(VLOOKUP($A242,'The List'!$B1:$AS665,23,FALSE)," ")</f>
        <v>858</v>
      </c>
      <c r="Q242" t="s" s="125">
        <f>_xlfn.IFERROR(VLOOKUP($A242,'The List'!$B1:$AS665,24,FALSE)," ")</f>
        <v>858</v>
      </c>
      <c r="R242" t="s" s="125">
        <f>_xlfn.IFERROR(VLOOKUP($A242,'The List'!$B1:$AS665,25,FALSE)," ")</f>
        <v>858</v>
      </c>
      <c r="S242" t="s" s="125">
        <f>_xlfn.IFERROR(VLOOKUP($A242,'The List'!$B1:$AS665,26,FALSE)," ")</f>
        <v>858</v>
      </c>
      <c r="T242" t="s" s="125">
        <f>_xlfn.IFERROR(VLOOKUP($A242,'The List'!$B1:$AS665,27,FALSE)," ")</f>
        <v>858</v>
      </c>
      <c r="U242" t="s" s="125">
        <f>_xlfn.IFERROR(VLOOKUP($A242,'The List'!$B1:$AS665,28,FALSE)," ")</f>
        <v>858</v>
      </c>
      <c r="V242" t="s" s="125">
        <f>_xlfn.IFERROR(VLOOKUP($A242,'The List'!$B1:$AS665,29,FALSE)," ")</f>
        <v>858</v>
      </c>
      <c r="W242" t="s" s="125">
        <f>_xlfn.IFERROR(VLOOKUP($A242,'The List'!$B1:$AS665,30,FALSE)," ")</f>
        <v>858</v>
      </c>
      <c r="X242" t="s" s="125">
        <f>_xlfn.IFERROR(VLOOKUP($A242,'The List'!$B1:$AS665,31,FALSE)," ")</f>
        <v>858</v>
      </c>
      <c r="Y242" t="s" s="125">
        <f>_xlfn.IFERROR(VLOOKUP($A242,'The List'!$B1:$AS665,32,FALSE)," ")</f>
        <v>858</v>
      </c>
      <c r="Z242" t="s" s="125">
        <f>_xlfn.IFERROR(VLOOKUP($A242,'The List'!$B1:$AS665,33,FALSE)," ")</f>
        <v>858</v>
      </c>
      <c r="AA242" s="120"/>
      <c r="AB242" s="121"/>
      <c r="AC242" s="121"/>
      <c r="AD242" s="121"/>
      <c r="AE242" s="121"/>
      <c r="AF242" s="144"/>
    </row>
    <row r="243" ht="21.25" customHeight="1">
      <c r="A243" s="50"/>
      <c r="B243" t="s" s="129">
        <f>_xlfn.IFERROR(VLOOKUP($A243,'The List'!$B1:$AS665,3,FALSE)," ")</f>
        <v>858</v>
      </c>
      <c r="C243" t="s" s="131">
        <f>_xlfn.IFERROR(VLOOKUP($A243,'The List'!$B1:$AS665,4,FALSE)," ")</f>
        <v>858</v>
      </c>
      <c r="D243" t="s" s="86">
        <f>_xlfn.IFERROR(VLOOKUP($A243,'The List'!$B1:$AS665,5,FALSE)," ")</f>
        <v>858</v>
      </c>
      <c r="E243" t="s" s="86">
        <f>_xlfn.IFERROR(VLOOKUP($A243,'The List'!$B1:$AS665,6,FALSE)," ")</f>
        <v>858</v>
      </c>
      <c r="F243" t="s" s="124">
        <f>_xlfn.IFERROR(VLOOKUP($A243,'The List'!$B1:$AS665,8,FALSE)," ")</f>
        <v>858</v>
      </c>
      <c r="G243" t="s" s="124">
        <f>_xlfn.IFERROR(VLOOKUP($A243,'The List'!$B1:$AS665,10,FALSE)," ")</f>
        <v>858</v>
      </c>
      <c r="H243" s="77"/>
      <c r="I243" t="s" s="125">
        <f>_xlfn.IFERROR(VLOOKUP($A243,'The List'!$B1:$AS665,16,FALSE)," ")</f>
        <v>858</v>
      </c>
      <c r="J243" t="s" s="125">
        <f>_xlfn.IFERROR(VLOOKUP($A243,'The List'!$B1:$AS665,17,FALSE)," ")</f>
        <v>858</v>
      </c>
      <c r="K243" t="s" s="125">
        <f>_xlfn.IFERROR(VLOOKUP($A243,'The List'!$B1:$AS665,18,FALSE)," ")</f>
        <v>858</v>
      </c>
      <c r="L243" t="s" s="125">
        <f>_xlfn.IFERROR(VLOOKUP($A243,'The List'!$B1:$AS665,19,FALSE)," ")</f>
        <v>858</v>
      </c>
      <c r="M243" t="s" s="125">
        <f>_xlfn.IFERROR(VLOOKUP($A243,'The List'!$B1:$AS665,20,FALSE)," ")</f>
        <v>858</v>
      </c>
      <c r="N243" t="s" s="125">
        <f>_xlfn.IFERROR(VLOOKUP($A243,'The List'!$B1:$AS665,21,FALSE)," ")</f>
        <v>858</v>
      </c>
      <c r="O243" t="s" s="125">
        <f>_xlfn.IFERROR(VLOOKUP($A243,'The List'!$B1:$AS665,22,FALSE)," ")</f>
        <v>858</v>
      </c>
      <c r="P243" t="s" s="125">
        <f>_xlfn.IFERROR(VLOOKUP($A243,'The List'!$B1:$AS665,23,FALSE)," ")</f>
        <v>858</v>
      </c>
      <c r="Q243" t="s" s="125">
        <f>_xlfn.IFERROR(VLOOKUP($A243,'The List'!$B1:$AS665,24,FALSE)," ")</f>
        <v>858</v>
      </c>
      <c r="R243" t="s" s="125">
        <f>_xlfn.IFERROR(VLOOKUP($A243,'The List'!$B1:$AS665,25,FALSE)," ")</f>
        <v>858</v>
      </c>
      <c r="S243" t="s" s="125">
        <f>_xlfn.IFERROR(VLOOKUP($A243,'The List'!$B1:$AS665,26,FALSE)," ")</f>
        <v>858</v>
      </c>
      <c r="T243" t="s" s="125">
        <f>_xlfn.IFERROR(VLOOKUP($A243,'The List'!$B1:$AS665,27,FALSE)," ")</f>
        <v>858</v>
      </c>
      <c r="U243" t="s" s="125">
        <f>_xlfn.IFERROR(VLOOKUP($A243,'The List'!$B1:$AS665,28,FALSE)," ")</f>
        <v>858</v>
      </c>
      <c r="V243" t="s" s="125">
        <f>_xlfn.IFERROR(VLOOKUP($A243,'The List'!$B1:$AS665,29,FALSE)," ")</f>
        <v>858</v>
      </c>
      <c r="W243" t="s" s="125">
        <f>_xlfn.IFERROR(VLOOKUP($A243,'The List'!$B1:$AS665,30,FALSE)," ")</f>
        <v>858</v>
      </c>
      <c r="X243" t="s" s="125">
        <f>_xlfn.IFERROR(VLOOKUP($A243,'The List'!$B1:$AS665,31,FALSE)," ")</f>
        <v>858</v>
      </c>
      <c r="Y243" t="s" s="125">
        <f>_xlfn.IFERROR(VLOOKUP($A243,'The List'!$B1:$AS665,32,FALSE)," ")</f>
        <v>858</v>
      </c>
      <c r="Z243" t="s" s="125">
        <f>_xlfn.IFERROR(VLOOKUP($A243,'The List'!$B1:$AS665,33,FALSE)," ")</f>
        <v>858</v>
      </c>
      <c r="AA243" s="120"/>
      <c r="AB243" s="121"/>
      <c r="AC243" s="121"/>
      <c r="AD243" s="121"/>
      <c r="AE243" s="121"/>
      <c r="AF243" s="144"/>
    </row>
    <row r="244" ht="21.25" customHeight="1">
      <c r="A244" s="50"/>
      <c r="B244" t="s" s="129">
        <f>_xlfn.IFERROR(VLOOKUP($A244,'The List'!$B1:$AS665,3,FALSE)," ")</f>
        <v>858</v>
      </c>
      <c r="C244" t="s" s="131">
        <f>_xlfn.IFERROR(VLOOKUP($A244,'The List'!$B1:$AS665,4,FALSE)," ")</f>
        <v>858</v>
      </c>
      <c r="D244" t="s" s="86">
        <f>_xlfn.IFERROR(VLOOKUP($A244,'The List'!$B1:$AS665,5,FALSE)," ")</f>
        <v>858</v>
      </c>
      <c r="E244" t="s" s="86">
        <f>_xlfn.IFERROR(VLOOKUP($A244,'The List'!$B1:$AS665,6,FALSE)," ")</f>
        <v>858</v>
      </c>
      <c r="F244" t="s" s="124">
        <f>_xlfn.IFERROR(VLOOKUP($A244,'The List'!$B1:$AS665,8,FALSE)," ")</f>
        <v>858</v>
      </c>
      <c r="G244" t="s" s="124">
        <f>_xlfn.IFERROR(VLOOKUP($A244,'The List'!$B1:$AS665,10,FALSE)," ")</f>
        <v>858</v>
      </c>
      <c r="H244" s="77"/>
      <c r="I244" t="s" s="125">
        <f>_xlfn.IFERROR(VLOOKUP($A244,'The List'!$B1:$AS665,16,FALSE)," ")</f>
        <v>858</v>
      </c>
      <c r="J244" t="s" s="125">
        <f>_xlfn.IFERROR(VLOOKUP($A244,'The List'!$B1:$AS665,17,FALSE)," ")</f>
        <v>858</v>
      </c>
      <c r="K244" t="s" s="125">
        <f>_xlfn.IFERROR(VLOOKUP($A244,'The List'!$B1:$AS665,18,FALSE)," ")</f>
        <v>858</v>
      </c>
      <c r="L244" t="s" s="125">
        <f>_xlfn.IFERROR(VLOOKUP($A244,'The List'!$B1:$AS665,19,FALSE)," ")</f>
        <v>858</v>
      </c>
      <c r="M244" t="s" s="125">
        <f>_xlfn.IFERROR(VLOOKUP($A244,'The List'!$B1:$AS665,20,FALSE)," ")</f>
        <v>858</v>
      </c>
      <c r="N244" t="s" s="125">
        <f>_xlfn.IFERROR(VLOOKUP($A244,'The List'!$B1:$AS665,21,FALSE)," ")</f>
        <v>858</v>
      </c>
      <c r="O244" t="s" s="125">
        <f>_xlfn.IFERROR(VLOOKUP($A244,'The List'!$B1:$AS665,22,FALSE)," ")</f>
        <v>858</v>
      </c>
      <c r="P244" t="s" s="125">
        <f>_xlfn.IFERROR(VLOOKUP($A244,'The List'!$B1:$AS665,23,FALSE)," ")</f>
        <v>858</v>
      </c>
      <c r="Q244" t="s" s="125">
        <f>_xlfn.IFERROR(VLOOKUP($A244,'The List'!$B1:$AS665,24,FALSE)," ")</f>
        <v>858</v>
      </c>
      <c r="R244" t="s" s="125">
        <f>_xlfn.IFERROR(VLOOKUP($A244,'The List'!$B1:$AS665,25,FALSE)," ")</f>
        <v>858</v>
      </c>
      <c r="S244" t="s" s="125">
        <f>_xlfn.IFERROR(VLOOKUP($A244,'The List'!$B1:$AS665,26,FALSE)," ")</f>
        <v>858</v>
      </c>
      <c r="T244" t="s" s="125">
        <f>_xlfn.IFERROR(VLOOKUP($A244,'The List'!$B1:$AS665,27,FALSE)," ")</f>
        <v>858</v>
      </c>
      <c r="U244" t="s" s="125">
        <f>_xlfn.IFERROR(VLOOKUP($A244,'The List'!$B1:$AS665,28,FALSE)," ")</f>
        <v>858</v>
      </c>
      <c r="V244" t="s" s="125">
        <f>_xlfn.IFERROR(VLOOKUP($A244,'The List'!$B1:$AS665,29,FALSE)," ")</f>
        <v>858</v>
      </c>
      <c r="W244" t="s" s="125">
        <f>_xlfn.IFERROR(VLOOKUP($A244,'The List'!$B1:$AS665,30,FALSE)," ")</f>
        <v>858</v>
      </c>
      <c r="X244" t="s" s="125">
        <f>_xlfn.IFERROR(VLOOKUP($A244,'The List'!$B1:$AS665,31,FALSE)," ")</f>
        <v>858</v>
      </c>
      <c r="Y244" t="s" s="125">
        <f>_xlfn.IFERROR(VLOOKUP($A244,'The List'!$B1:$AS665,32,FALSE)," ")</f>
        <v>858</v>
      </c>
      <c r="Z244" t="s" s="125">
        <f>_xlfn.IFERROR(VLOOKUP($A244,'The List'!$B1:$AS665,33,FALSE)," ")</f>
        <v>858</v>
      </c>
      <c r="AA244" s="120"/>
      <c r="AB244" s="121"/>
      <c r="AC244" s="121"/>
      <c r="AD244" s="121"/>
      <c r="AE244" s="121"/>
      <c r="AF244" s="144"/>
    </row>
    <row r="245" ht="21.25" customHeight="1">
      <c r="A245" s="50"/>
      <c r="B245" t="s" s="129">
        <f>_xlfn.IFERROR(VLOOKUP($A245,'The List'!$B1:$AS665,3,FALSE)," ")</f>
        <v>858</v>
      </c>
      <c r="C245" t="s" s="131">
        <f>_xlfn.IFERROR(VLOOKUP($A245,'The List'!$B1:$AS665,4,FALSE)," ")</f>
        <v>858</v>
      </c>
      <c r="D245" t="s" s="86">
        <f>_xlfn.IFERROR(VLOOKUP($A245,'The List'!$B1:$AS665,5,FALSE)," ")</f>
        <v>858</v>
      </c>
      <c r="E245" t="s" s="86">
        <f>_xlfn.IFERROR(VLOOKUP($A245,'The List'!$B1:$AS665,6,FALSE)," ")</f>
        <v>858</v>
      </c>
      <c r="F245" t="s" s="124">
        <f>_xlfn.IFERROR(VLOOKUP($A245,'The List'!$B1:$AS665,8,FALSE)," ")</f>
        <v>858</v>
      </c>
      <c r="G245" t="s" s="124">
        <f>_xlfn.IFERROR(VLOOKUP($A245,'The List'!$B1:$AS665,10,FALSE)," ")</f>
        <v>858</v>
      </c>
      <c r="H245" s="77"/>
      <c r="I245" t="s" s="125">
        <f>_xlfn.IFERROR(VLOOKUP($A245,'The List'!$B1:$AS665,16,FALSE)," ")</f>
        <v>858</v>
      </c>
      <c r="J245" t="s" s="125">
        <f>_xlfn.IFERROR(VLOOKUP($A245,'The List'!$B1:$AS665,17,FALSE)," ")</f>
        <v>858</v>
      </c>
      <c r="K245" t="s" s="125">
        <f>_xlfn.IFERROR(VLOOKUP($A245,'The List'!$B1:$AS665,18,FALSE)," ")</f>
        <v>858</v>
      </c>
      <c r="L245" t="s" s="125">
        <f>_xlfn.IFERROR(VLOOKUP($A245,'The List'!$B1:$AS665,19,FALSE)," ")</f>
        <v>858</v>
      </c>
      <c r="M245" t="s" s="125">
        <f>_xlfn.IFERROR(VLOOKUP($A245,'The List'!$B1:$AS665,20,FALSE)," ")</f>
        <v>858</v>
      </c>
      <c r="N245" t="s" s="125">
        <f>_xlfn.IFERROR(VLOOKUP($A245,'The List'!$B1:$AS665,21,FALSE)," ")</f>
        <v>858</v>
      </c>
      <c r="O245" t="s" s="125">
        <f>_xlfn.IFERROR(VLOOKUP($A245,'The List'!$B1:$AS665,22,FALSE)," ")</f>
        <v>858</v>
      </c>
      <c r="P245" t="s" s="125">
        <f>_xlfn.IFERROR(VLOOKUP($A245,'The List'!$B1:$AS665,23,FALSE)," ")</f>
        <v>858</v>
      </c>
      <c r="Q245" t="s" s="125">
        <f>_xlfn.IFERROR(VLOOKUP($A245,'The List'!$B1:$AS665,24,FALSE)," ")</f>
        <v>858</v>
      </c>
      <c r="R245" t="s" s="125">
        <f>_xlfn.IFERROR(VLOOKUP($A245,'The List'!$B1:$AS665,25,FALSE)," ")</f>
        <v>858</v>
      </c>
      <c r="S245" t="s" s="125">
        <f>_xlfn.IFERROR(VLOOKUP($A245,'The List'!$B1:$AS665,26,FALSE)," ")</f>
        <v>858</v>
      </c>
      <c r="T245" t="s" s="125">
        <f>_xlfn.IFERROR(VLOOKUP($A245,'The List'!$B1:$AS665,27,FALSE)," ")</f>
        <v>858</v>
      </c>
      <c r="U245" t="s" s="125">
        <f>_xlfn.IFERROR(VLOOKUP($A245,'The List'!$B1:$AS665,28,FALSE)," ")</f>
        <v>858</v>
      </c>
      <c r="V245" t="s" s="125">
        <f>_xlfn.IFERROR(VLOOKUP($A245,'The List'!$B1:$AS665,29,FALSE)," ")</f>
        <v>858</v>
      </c>
      <c r="W245" t="s" s="125">
        <f>_xlfn.IFERROR(VLOOKUP($A245,'The List'!$B1:$AS665,30,FALSE)," ")</f>
        <v>858</v>
      </c>
      <c r="X245" t="s" s="125">
        <f>_xlfn.IFERROR(VLOOKUP($A245,'The List'!$B1:$AS665,31,FALSE)," ")</f>
        <v>858</v>
      </c>
      <c r="Y245" t="s" s="125">
        <f>_xlfn.IFERROR(VLOOKUP($A245,'The List'!$B1:$AS665,32,FALSE)," ")</f>
        <v>858</v>
      </c>
      <c r="Z245" t="s" s="125">
        <f>_xlfn.IFERROR(VLOOKUP($A245,'The List'!$B1:$AS665,33,FALSE)," ")</f>
        <v>858</v>
      </c>
      <c r="AA245" s="120"/>
      <c r="AB245" s="121"/>
      <c r="AC245" s="121"/>
      <c r="AD245" s="121"/>
      <c r="AE245" s="121"/>
      <c r="AF245" s="144"/>
    </row>
    <row r="246" ht="21.25" customHeight="1">
      <c r="A246" s="50"/>
      <c r="B246" t="s" s="132">
        <f>_xlfn.IFERROR(VLOOKUP($A246,'The List'!$B1:$AS665,3,FALSE)," ")</f>
        <v>858</v>
      </c>
      <c r="C246" t="s" s="134">
        <f>_xlfn.IFERROR(VLOOKUP($A246,'The List'!$B1:$AS665,4,FALSE)," ")</f>
        <v>858</v>
      </c>
      <c r="D246" t="s" s="86">
        <f>_xlfn.IFERROR(VLOOKUP($A246,'The List'!$B1:$AS665,5,FALSE)," ")</f>
        <v>858</v>
      </c>
      <c r="E246" t="s" s="86">
        <f>_xlfn.IFERROR(VLOOKUP($A246,'The List'!$B1:$AS665,6,FALSE)," ")</f>
        <v>858</v>
      </c>
      <c r="F246" t="s" s="124">
        <f>_xlfn.IFERROR(VLOOKUP($A246,'The List'!$B1:$AS665,8,FALSE)," ")</f>
        <v>858</v>
      </c>
      <c r="G246" t="s" s="124">
        <f>_xlfn.IFERROR(VLOOKUP($A246,'The List'!$B1:$AS665,10,FALSE)," ")</f>
        <v>858</v>
      </c>
      <c r="H246" s="77"/>
      <c r="I246" t="s" s="125">
        <f>_xlfn.IFERROR(VLOOKUP($A246,'The List'!$B1:$AS665,16,FALSE)," ")</f>
        <v>858</v>
      </c>
      <c r="J246" t="s" s="125">
        <f>_xlfn.IFERROR(VLOOKUP($A246,'The List'!$B1:$AS665,17,FALSE)," ")</f>
        <v>858</v>
      </c>
      <c r="K246" t="s" s="125">
        <f>_xlfn.IFERROR(VLOOKUP($A246,'The List'!$B1:$AS665,18,FALSE)," ")</f>
        <v>858</v>
      </c>
      <c r="L246" t="s" s="125">
        <f>_xlfn.IFERROR(VLOOKUP($A246,'The List'!$B1:$AS665,19,FALSE)," ")</f>
        <v>858</v>
      </c>
      <c r="M246" t="s" s="125">
        <f>_xlfn.IFERROR(VLOOKUP($A246,'The List'!$B1:$AS665,20,FALSE)," ")</f>
        <v>858</v>
      </c>
      <c r="N246" t="s" s="125">
        <f>_xlfn.IFERROR(VLOOKUP($A246,'The List'!$B1:$AS665,21,FALSE)," ")</f>
        <v>858</v>
      </c>
      <c r="O246" t="s" s="125">
        <f>_xlfn.IFERROR(VLOOKUP($A246,'The List'!$B1:$AS665,22,FALSE)," ")</f>
        <v>858</v>
      </c>
      <c r="P246" t="s" s="125">
        <f>_xlfn.IFERROR(VLOOKUP($A246,'The List'!$B1:$AS665,23,FALSE)," ")</f>
        <v>858</v>
      </c>
      <c r="Q246" t="s" s="125">
        <f>_xlfn.IFERROR(VLOOKUP($A246,'The List'!$B1:$AS665,24,FALSE)," ")</f>
        <v>858</v>
      </c>
      <c r="R246" t="s" s="125">
        <f>_xlfn.IFERROR(VLOOKUP($A246,'The List'!$B1:$AS665,25,FALSE)," ")</f>
        <v>858</v>
      </c>
      <c r="S246" t="s" s="125">
        <f>_xlfn.IFERROR(VLOOKUP($A246,'The List'!$B1:$AS665,26,FALSE)," ")</f>
        <v>858</v>
      </c>
      <c r="T246" t="s" s="125">
        <f>_xlfn.IFERROR(VLOOKUP($A246,'The List'!$B1:$AS665,27,FALSE)," ")</f>
        <v>858</v>
      </c>
      <c r="U246" t="s" s="125">
        <f>_xlfn.IFERROR(VLOOKUP($A246,'The List'!$B1:$AS665,28,FALSE)," ")</f>
        <v>858</v>
      </c>
      <c r="V246" t="s" s="125">
        <f>_xlfn.IFERROR(VLOOKUP($A246,'The List'!$B1:$AS665,29,FALSE)," ")</f>
        <v>858</v>
      </c>
      <c r="W246" t="s" s="125">
        <f>_xlfn.IFERROR(VLOOKUP($A246,'The List'!$B1:$AS665,30,FALSE)," ")</f>
        <v>858</v>
      </c>
      <c r="X246" t="s" s="125">
        <f>_xlfn.IFERROR(VLOOKUP($A246,'The List'!$B1:$AS665,31,FALSE)," ")</f>
        <v>858</v>
      </c>
      <c r="Y246" t="s" s="125">
        <f>_xlfn.IFERROR(VLOOKUP($A246,'The List'!$B1:$AS665,32,FALSE)," ")</f>
        <v>858</v>
      </c>
      <c r="Z246" t="s" s="125">
        <f>_xlfn.IFERROR(VLOOKUP($A246,'The List'!$B1:$AS665,33,FALSE)," ")</f>
        <v>858</v>
      </c>
      <c r="AA246" s="120"/>
      <c r="AB246" s="121"/>
      <c r="AC246" s="121"/>
      <c r="AD246" s="121"/>
      <c r="AE246" s="121"/>
      <c r="AF246" s="144"/>
    </row>
    <row r="247" ht="21.25" customHeight="1">
      <c r="A247" s="50"/>
      <c r="B247" t="s" s="132">
        <f>_xlfn.IFERROR(VLOOKUP($A247,'The List'!$B1:$AS665,3,FALSE)," ")</f>
        <v>858</v>
      </c>
      <c r="C247" t="s" s="134">
        <f>_xlfn.IFERROR(VLOOKUP($A247,'The List'!$B1:$AS665,4,FALSE)," ")</f>
        <v>858</v>
      </c>
      <c r="D247" t="s" s="86">
        <f>_xlfn.IFERROR(VLOOKUP($A247,'The List'!$B1:$AS665,5,FALSE)," ")</f>
        <v>858</v>
      </c>
      <c r="E247" t="s" s="86">
        <f>_xlfn.IFERROR(VLOOKUP($A247,'The List'!$B1:$AS665,6,FALSE)," ")</f>
        <v>858</v>
      </c>
      <c r="F247" t="s" s="124">
        <f>_xlfn.IFERROR(VLOOKUP($A247,'The List'!$B1:$AS665,8,FALSE)," ")</f>
        <v>858</v>
      </c>
      <c r="G247" t="s" s="124">
        <f>_xlfn.IFERROR(VLOOKUP($A247,'The List'!$B1:$AS665,10,FALSE)," ")</f>
        <v>858</v>
      </c>
      <c r="H247" s="77"/>
      <c r="I247" t="s" s="125">
        <f>_xlfn.IFERROR(VLOOKUP($A247,'The List'!$B1:$AS665,16,FALSE)," ")</f>
        <v>858</v>
      </c>
      <c r="J247" t="s" s="125">
        <f>_xlfn.IFERROR(VLOOKUP($A247,'The List'!$B1:$AS665,17,FALSE)," ")</f>
        <v>858</v>
      </c>
      <c r="K247" t="s" s="125">
        <f>_xlfn.IFERROR(VLOOKUP($A247,'The List'!$B1:$AS665,18,FALSE)," ")</f>
        <v>858</v>
      </c>
      <c r="L247" t="s" s="125">
        <f>_xlfn.IFERROR(VLOOKUP($A247,'The List'!$B1:$AS665,19,FALSE)," ")</f>
        <v>858</v>
      </c>
      <c r="M247" t="s" s="125">
        <f>_xlfn.IFERROR(VLOOKUP($A247,'The List'!$B1:$AS665,20,FALSE)," ")</f>
        <v>858</v>
      </c>
      <c r="N247" t="s" s="125">
        <f>_xlfn.IFERROR(VLOOKUP($A247,'The List'!$B1:$AS665,21,FALSE)," ")</f>
        <v>858</v>
      </c>
      <c r="O247" t="s" s="125">
        <f>_xlfn.IFERROR(VLOOKUP($A247,'The List'!$B1:$AS665,22,FALSE)," ")</f>
        <v>858</v>
      </c>
      <c r="P247" t="s" s="125">
        <f>_xlfn.IFERROR(VLOOKUP($A247,'The List'!$B1:$AS665,23,FALSE)," ")</f>
        <v>858</v>
      </c>
      <c r="Q247" t="s" s="125">
        <f>_xlfn.IFERROR(VLOOKUP($A247,'The List'!$B1:$AS665,24,FALSE)," ")</f>
        <v>858</v>
      </c>
      <c r="R247" t="s" s="125">
        <f>_xlfn.IFERROR(VLOOKUP($A247,'The List'!$B1:$AS665,25,FALSE)," ")</f>
        <v>858</v>
      </c>
      <c r="S247" t="s" s="125">
        <f>_xlfn.IFERROR(VLOOKUP($A247,'The List'!$B1:$AS665,26,FALSE)," ")</f>
        <v>858</v>
      </c>
      <c r="T247" t="s" s="125">
        <f>_xlfn.IFERROR(VLOOKUP($A247,'The List'!$B1:$AS665,27,FALSE)," ")</f>
        <v>858</v>
      </c>
      <c r="U247" t="s" s="125">
        <f>_xlfn.IFERROR(VLOOKUP($A247,'The List'!$B1:$AS665,28,FALSE)," ")</f>
        <v>858</v>
      </c>
      <c r="V247" t="s" s="125">
        <f>_xlfn.IFERROR(VLOOKUP($A247,'The List'!$B1:$AS665,29,FALSE)," ")</f>
        <v>858</v>
      </c>
      <c r="W247" t="s" s="125">
        <f>_xlfn.IFERROR(VLOOKUP($A247,'The List'!$B1:$AS665,30,FALSE)," ")</f>
        <v>858</v>
      </c>
      <c r="X247" t="s" s="125">
        <f>_xlfn.IFERROR(VLOOKUP($A247,'The List'!$B1:$AS665,31,FALSE)," ")</f>
        <v>858</v>
      </c>
      <c r="Y247" t="s" s="125">
        <f>_xlfn.IFERROR(VLOOKUP($A247,'The List'!$B1:$AS665,32,FALSE)," ")</f>
        <v>858</v>
      </c>
      <c r="Z247" t="s" s="125">
        <f>_xlfn.IFERROR(VLOOKUP($A247,'The List'!$B1:$AS665,33,FALSE)," ")</f>
        <v>858</v>
      </c>
      <c r="AA247" s="120"/>
      <c r="AB247" s="121"/>
      <c r="AC247" s="121"/>
      <c r="AD247" s="121"/>
      <c r="AE247" s="121"/>
      <c r="AF247" s="144"/>
    </row>
    <row r="248" ht="21.25" customHeight="1">
      <c r="A248" s="50"/>
      <c r="B248" t="s" s="132">
        <f>_xlfn.IFERROR(VLOOKUP($A248,'The List'!$B1:$AS665,3,FALSE)," ")</f>
        <v>858</v>
      </c>
      <c r="C248" t="s" s="134">
        <f>_xlfn.IFERROR(VLOOKUP($A248,'The List'!$B1:$AS665,4,FALSE)," ")</f>
        <v>858</v>
      </c>
      <c r="D248" t="s" s="86">
        <f>_xlfn.IFERROR(VLOOKUP($A248,'The List'!$B1:$AS665,5,FALSE)," ")</f>
        <v>858</v>
      </c>
      <c r="E248" t="s" s="86">
        <f>_xlfn.IFERROR(VLOOKUP($A248,'The List'!$B1:$AS665,6,FALSE)," ")</f>
        <v>858</v>
      </c>
      <c r="F248" t="s" s="124">
        <f>_xlfn.IFERROR(VLOOKUP($A248,'The List'!$B1:$AS665,8,FALSE)," ")</f>
        <v>858</v>
      </c>
      <c r="G248" t="s" s="124">
        <f>_xlfn.IFERROR(VLOOKUP($A248,'The List'!$B1:$AS665,10,FALSE)," ")</f>
        <v>858</v>
      </c>
      <c r="H248" s="77"/>
      <c r="I248" t="s" s="125">
        <f>_xlfn.IFERROR(VLOOKUP($A248,'The List'!$B1:$AS665,16,FALSE)," ")</f>
        <v>858</v>
      </c>
      <c r="J248" t="s" s="125">
        <f>_xlfn.IFERROR(VLOOKUP($A248,'The List'!$B1:$AS665,17,FALSE)," ")</f>
        <v>858</v>
      </c>
      <c r="K248" t="s" s="125">
        <f>_xlfn.IFERROR(VLOOKUP($A248,'The List'!$B1:$AS665,18,FALSE)," ")</f>
        <v>858</v>
      </c>
      <c r="L248" t="s" s="125">
        <f>_xlfn.IFERROR(VLOOKUP($A248,'The List'!$B1:$AS665,19,FALSE)," ")</f>
        <v>858</v>
      </c>
      <c r="M248" t="s" s="125">
        <f>_xlfn.IFERROR(VLOOKUP($A248,'The List'!$B1:$AS665,20,FALSE)," ")</f>
        <v>858</v>
      </c>
      <c r="N248" t="s" s="125">
        <f>_xlfn.IFERROR(VLOOKUP($A248,'The List'!$B1:$AS665,21,FALSE)," ")</f>
        <v>858</v>
      </c>
      <c r="O248" t="s" s="125">
        <f>_xlfn.IFERROR(VLOOKUP($A248,'The List'!$B1:$AS665,22,FALSE)," ")</f>
        <v>858</v>
      </c>
      <c r="P248" t="s" s="125">
        <f>_xlfn.IFERROR(VLOOKUP($A248,'The List'!$B1:$AS665,23,FALSE)," ")</f>
        <v>858</v>
      </c>
      <c r="Q248" t="s" s="125">
        <f>_xlfn.IFERROR(VLOOKUP($A248,'The List'!$B1:$AS665,24,FALSE)," ")</f>
        <v>858</v>
      </c>
      <c r="R248" t="s" s="125">
        <f>_xlfn.IFERROR(VLOOKUP($A248,'The List'!$B1:$AS665,25,FALSE)," ")</f>
        <v>858</v>
      </c>
      <c r="S248" t="s" s="125">
        <f>_xlfn.IFERROR(VLOOKUP($A248,'The List'!$B1:$AS665,26,FALSE)," ")</f>
        <v>858</v>
      </c>
      <c r="T248" t="s" s="125">
        <f>_xlfn.IFERROR(VLOOKUP($A248,'The List'!$B1:$AS665,27,FALSE)," ")</f>
        <v>858</v>
      </c>
      <c r="U248" t="s" s="125">
        <f>_xlfn.IFERROR(VLOOKUP($A248,'The List'!$B1:$AS665,28,FALSE)," ")</f>
        <v>858</v>
      </c>
      <c r="V248" t="s" s="125">
        <f>_xlfn.IFERROR(VLOOKUP($A248,'The List'!$B1:$AS665,29,FALSE)," ")</f>
        <v>858</v>
      </c>
      <c r="W248" t="s" s="125">
        <f>_xlfn.IFERROR(VLOOKUP($A248,'The List'!$B1:$AS665,30,FALSE)," ")</f>
        <v>858</v>
      </c>
      <c r="X248" t="s" s="125">
        <f>_xlfn.IFERROR(VLOOKUP($A248,'The List'!$B1:$AS665,31,FALSE)," ")</f>
        <v>858</v>
      </c>
      <c r="Y248" t="s" s="125">
        <f>_xlfn.IFERROR(VLOOKUP($A248,'The List'!$B1:$AS665,32,FALSE)," ")</f>
        <v>858</v>
      </c>
      <c r="Z248" t="s" s="125">
        <f>_xlfn.IFERROR(VLOOKUP($A248,'The List'!$B1:$AS665,33,FALSE)," ")</f>
        <v>858</v>
      </c>
      <c r="AA248" s="120"/>
      <c r="AB248" s="121"/>
      <c r="AC248" s="121"/>
      <c r="AD248" s="121"/>
      <c r="AE248" s="121"/>
      <c r="AF248" s="144"/>
    </row>
    <row r="249" ht="21.25" customHeight="1">
      <c r="A249" s="50"/>
      <c r="B249" t="s" s="132">
        <f>_xlfn.IFERROR(VLOOKUP($A249,'The List'!$B1:$AS665,3,FALSE)," ")</f>
        <v>858</v>
      </c>
      <c r="C249" t="s" s="134">
        <f>_xlfn.IFERROR(VLOOKUP($A249,'The List'!$B1:$AS665,4,FALSE)," ")</f>
        <v>858</v>
      </c>
      <c r="D249" t="s" s="86">
        <f>_xlfn.IFERROR(VLOOKUP($A249,'The List'!$B1:$AS665,5,FALSE)," ")</f>
        <v>858</v>
      </c>
      <c r="E249" t="s" s="86">
        <f>_xlfn.IFERROR(VLOOKUP($A249,'The List'!$B1:$AS665,6,FALSE)," ")</f>
        <v>858</v>
      </c>
      <c r="F249" t="s" s="124">
        <f>_xlfn.IFERROR(VLOOKUP($A249,'The List'!$B1:$AS665,8,FALSE)," ")</f>
        <v>858</v>
      </c>
      <c r="G249" t="s" s="124">
        <f>_xlfn.IFERROR(VLOOKUP($A249,'The List'!$B1:$AS665,10,FALSE)," ")</f>
        <v>858</v>
      </c>
      <c r="H249" s="77"/>
      <c r="I249" t="s" s="125">
        <f>_xlfn.IFERROR(VLOOKUP($A249,'The List'!$B1:$AS665,16,FALSE)," ")</f>
        <v>858</v>
      </c>
      <c r="J249" t="s" s="125">
        <f>_xlfn.IFERROR(VLOOKUP($A249,'The List'!$B1:$AS665,17,FALSE)," ")</f>
        <v>858</v>
      </c>
      <c r="K249" t="s" s="125">
        <f>_xlfn.IFERROR(VLOOKUP($A249,'The List'!$B1:$AS665,18,FALSE)," ")</f>
        <v>858</v>
      </c>
      <c r="L249" t="s" s="125">
        <f>_xlfn.IFERROR(VLOOKUP($A249,'The List'!$B1:$AS665,19,FALSE)," ")</f>
        <v>858</v>
      </c>
      <c r="M249" t="s" s="125">
        <f>_xlfn.IFERROR(VLOOKUP($A249,'The List'!$B1:$AS665,20,FALSE)," ")</f>
        <v>858</v>
      </c>
      <c r="N249" t="s" s="125">
        <f>_xlfn.IFERROR(VLOOKUP($A249,'The List'!$B1:$AS665,21,FALSE)," ")</f>
        <v>858</v>
      </c>
      <c r="O249" t="s" s="125">
        <f>_xlfn.IFERROR(VLOOKUP($A249,'The List'!$B1:$AS665,22,FALSE)," ")</f>
        <v>858</v>
      </c>
      <c r="P249" t="s" s="125">
        <f>_xlfn.IFERROR(VLOOKUP($A249,'The List'!$B1:$AS665,23,FALSE)," ")</f>
        <v>858</v>
      </c>
      <c r="Q249" t="s" s="125">
        <f>_xlfn.IFERROR(VLOOKUP($A249,'The List'!$B1:$AS665,24,FALSE)," ")</f>
        <v>858</v>
      </c>
      <c r="R249" t="s" s="125">
        <f>_xlfn.IFERROR(VLOOKUP($A249,'The List'!$B1:$AS665,25,FALSE)," ")</f>
        <v>858</v>
      </c>
      <c r="S249" t="s" s="125">
        <f>_xlfn.IFERROR(VLOOKUP($A249,'The List'!$B1:$AS665,26,FALSE)," ")</f>
        <v>858</v>
      </c>
      <c r="T249" t="s" s="125">
        <f>_xlfn.IFERROR(VLOOKUP($A249,'The List'!$B1:$AS665,27,FALSE)," ")</f>
        <v>858</v>
      </c>
      <c r="U249" t="s" s="125">
        <f>_xlfn.IFERROR(VLOOKUP($A249,'The List'!$B1:$AS665,28,FALSE)," ")</f>
        <v>858</v>
      </c>
      <c r="V249" t="s" s="125">
        <f>_xlfn.IFERROR(VLOOKUP($A249,'The List'!$B1:$AS665,29,FALSE)," ")</f>
        <v>858</v>
      </c>
      <c r="W249" t="s" s="125">
        <f>_xlfn.IFERROR(VLOOKUP($A249,'The List'!$B1:$AS665,30,FALSE)," ")</f>
        <v>858</v>
      </c>
      <c r="X249" t="s" s="125">
        <f>_xlfn.IFERROR(VLOOKUP($A249,'The List'!$B1:$AS665,31,FALSE)," ")</f>
        <v>858</v>
      </c>
      <c r="Y249" t="s" s="125">
        <f>_xlfn.IFERROR(VLOOKUP($A249,'The List'!$B1:$AS665,32,FALSE)," ")</f>
        <v>858</v>
      </c>
      <c r="Z249" t="s" s="125">
        <f>_xlfn.IFERROR(VLOOKUP($A249,'The List'!$B1:$AS665,33,FALSE)," ")</f>
        <v>858</v>
      </c>
      <c r="AA249" s="120"/>
      <c r="AB249" s="121"/>
      <c r="AC249" s="121"/>
      <c r="AD249" s="121"/>
      <c r="AE249" s="121"/>
      <c r="AF249" s="144"/>
    </row>
    <row r="250" ht="21.25" customHeight="1">
      <c r="A250" s="50"/>
      <c r="B250" t="s" s="132">
        <f>_xlfn.IFERROR(VLOOKUP($A250,'The List'!$B1:$AS665,3,FALSE)," ")</f>
        <v>858</v>
      </c>
      <c r="C250" t="s" s="134">
        <f>_xlfn.IFERROR(VLOOKUP($A250,'The List'!$B1:$AS665,4,FALSE)," ")</f>
        <v>858</v>
      </c>
      <c r="D250" t="s" s="86">
        <f>_xlfn.IFERROR(VLOOKUP($A250,'The List'!$B1:$AS665,5,FALSE)," ")</f>
        <v>858</v>
      </c>
      <c r="E250" t="s" s="86">
        <f>_xlfn.IFERROR(VLOOKUP($A250,'The List'!$B1:$AS665,6,FALSE)," ")</f>
        <v>858</v>
      </c>
      <c r="F250" t="s" s="124">
        <f>_xlfn.IFERROR(VLOOKUP($A250,'The List'!$B1:$AS665,8,FALSE)," ")</f>
        <v>858</v>
      </c>
      <c r="G250" t="s" s="124">
        <f>_xlfn.IFERROR(VLOOKUP($A250,'The List'!$B1:$AS665,10,FALSE)," ")</f>
        <v>858</v>
      </c>
      <c r="H250" s="77"/>
      <c r="I250" t="s" s="125">
        <f>_xlfn.IFERROR(VLOOKUP($A250,'The List'!$B1:$AS665,16,FALSE)," ")</f>
        <v>858</v>
      </c>
      <c r="J250" t="s" s="125">
        <f>_xlfn.IFERROR(VLOOKUP($A250,'The List'!$B1:$AS665,17,FALSE)," ")</f>
        <v>858</v>
      </c>
      <c r="K250" t="s" s="125">
        <f>_xlfn.IFERROR(VLOOKUP($A250,'The List'!$B1:$AS665,18,FALSE)," ")</f>
        <v>858</v>
      </c>
      <c r="L250" t="s" s="125">
        <f>_xlfn.IFERROR(VLOOKUP($A250,'The List'!$B1:$AS665,19,FALSE)," ")</f>
        <v>858</v>
      </c>
      <c r="M250" t="s" s="125">
        <f>_xlfn.IFERROR(VLOOKUP($A250,'The List'!$B1:$AS665,20,FALSE)," ")</f>
        <v>858</v>
      </c>
      <c r="N250" t="s" s="125">
        <f>_xlfn.IFERROR(VLOOKUP($A250,'The List'!$B1:$AS665,21,FALSE)," ")</f>
        <v>858</v>
      </c>
      <c r="O250" t="s" s="125">
        <f>_xlfn.IFERROR(VLOOKUP($A250,'The List'!$B1:$AS665,22,FALSE)," ")</f>
        <v>858</v>
      </c>
      <c r="P250" t="s" s="125">
        <f>_xlfn.IFERROR(VLOOKUP($A250,'The List'!$B1:$AS665,23,FALSE)," ")</f>
        <v>858</v>
      </c>
      <c r="Q250" t="s" s="125">
        <f>_xlfn.IFERROR(VLOOKUP($A250,'The List'!$B1:$AS665,24,FALSE)," ")</f>
        <v>858</v>
      </c>
      <c r="R250" t="s" s="125">
        <f>_xlfn.IFERROR(VLOOKUP($A250,'The List'!$B1:$AS665,25,FALSE)," ")</f>
        <v>858</v>
      </c>
      <c r="S250" t="s" s="125">
        <f>_xlfn.IFERROR(VLOOKUP($A250,'The List'!$B1:$AS665,26,FALSE)," ")</f>
        <v>858</v>
      </c>
      <c r="T250" t="s" s="125">
        <f>_xlfn.IFERROR(VLOOKUP($A250,'The List'!$B1:$AS665,27,FALSE)," ")</f>
        <v>858</v>
      </c>
      <c r="U250" t="s" s="125">
        <f>_xlfn.IFERROR(VLOOKUP($A250,'The List'!$B1:$AS665,28,FALSE)," ")</f>
        <v>858</v>
      </c>
      <c r="V250" t="s" s="125">
        <f>_xlfn.IFERROR(VLOOKUP($A250,'The List'!$B1:$AS665,29,FALSE)," ")</f>
        <v>858</v>
      </c>
      <c r="W250" t="s" s="125">
        <f>_xlfn.IFERROR(VLOOKUP($A250,'The List'!$B1:$AS665,30,FALSE)," ")</f>
        <v>858</v>
      </c>
      <c r="X250" t="s" s="125">
        <f>_xlfn.IFERROR(VLOOKUP($A250,'The List'!$B1:$AS665,31,FALSE)," ")</f>
        <v>858</v>
      </c>
      <c r="Y250" t="s" s="125">
        <f>_xlfn.IFERROR(VLOOKUP($A250,'The List'!$B1:$AS665,32,FALSE)," ")</f>
        <v>858</v>
      </c>
      <c r="Z250" t="s" s="125">
        <f>_xlfn.IFERROR(VLOOKUP($A250,'The List'!$B1:$AS665,33,FALSE)," ")</f>
        <v>858</v>
      </c>
      <c r="AA250" s="120"/>
      <c r="AB250" s="121"/>
      <c r="AC250" s="121"/>
      <c r="AD250" s="121"/>
      <c r="AE250" s="121"/>
      <c r="AF250" s="144"/>
    </row>
    <row r="251" ht="21.25" customHeight="1">
      <c r="A251" s="50"/>
      <c r="B251" t="s" s="132">
        <f>_xlfn.IFERROR(VLOOKUP($A251,'The List'!$B1:$AS665,3,FALSE)," ")</f>
        <v>858</v>
      </c>
      <c r="C251" t="s" s="134">
        <f>_xlfn.IFERROR(VLOOKUP($A251,'The List'!$B1:$AS665,4,FALSE)," ")</f>
        <v>858</v>
      </c>
      <c r="D251" t="s" s="86">
        <f>_xlfn.IFERROR(VLOOKUP($A251,'The List'!$B1:$AS665,5,FALSE)," ")</f>
        <v>858</v>
      </c>
      <c r="E251" t="s" s="86">
        <f>_xlfn.IFERROR(VLOOKUP($A251,'The List'!$B1:$AS665,6,FALSE)," ")</f>
        <v>858</v>
      </c>
      <c r="F251" t="s" s="124">
        <f>_xlfn.IFERROR(VLOOKUP($A251,'The List'!$B1:$AS665,8,FALSE)," ")</f>
        <v>858</v>
      </c>
      <c r="G251" t="s" s="124">
        <f>_xlfn.IFERROR(VLOOKUP($A251,'The List'!$B1:$AS665,10,FALSE)," ")</f>
        <v>858</v>
      </c>
      <c r="H251" s="77"/>
      <c r="I251" t="s" s="125">
        <f>_xlfn.IFERROR(VLOOKUP($A251,'The List'!$B1:$AS665,16,FALSE)," ")</f>
        <v>858</v>
      </c>
      <c r="J251" t="s" s="125">
        <f>_xlfn.IFERROR(VLOOKUP($A251,'The List'!$B1:$AS665,17,FALSE)," ")</f>
        <v>858</v>
      </c>
      <c r="K251" t="s" s="125">
        <f>_xlfn.IFERROR(VLOOKUP($A251,'The List'!$B1:$AS665,18,FALSE)," ")</f>
        <v>858</v>
      </c>
      <c r="L251" t="s" s="125">
        <f>_xlfn.IFERROR(VLOOKUP($A251,'The List'!$B1:$AS665,19,FALSE)," ")</f>
        <v>858</v>
      </c>
      <c r="M251" t="s" s="125">
        <f>_xlfn.IFERROR(VLOOKUP($A251,'The List'!$B1:$AS665,20,FALSE)," ")</f>
        <v>858</v>
      </c>
      <c r="N251" t="s" s="125">
        <f>_xlfn.IFERROR(VLOOKUP($A251,'The List'!$B1:$AS665,21,FALSE)," ")</f>
        <v>858</v>
      </c>
      <c r="O251" t="s" s="125">
        <f>_xlfn.IFERROR(VLOOKUP($A251,'The List'!$B1:$AS665,22,FALSE)," ")</f>
        <v>858</v>
      </c>
      <c r="P251" t="s" s="125">
        <f>_xlfn.IFERROR(VLOOKUP($A251,'The List'!$B1:$AS665,23,FALSE)," ")</f>
        <v>858</v>
      </c>
      <c r="Q251" t="s" s="125">
        <f>_xlfn.IFERROR(VLOOKUP($A251,'The List'!$B1:$AS665,24,FALSE)," ")</f>
        <v>858</v>
      </c>
      <c r="R251" t="s" s="125">
        <f>_xlfn.IFERROR(VLOOKUP($A251,'The List'!$B1:$AS665,25,FALSE)," ")</f>
        <v>858</v>
      </c>
      <c r="S251" t="s" s="125">
        <f>_xlfn.IFERROR(VLOOKUP($A251,'The List'!$B1:$AS665,26,FALSE)," ")</f>
        <v>858</v>
      </c>
      <c r="T251" t="s" s="125">
        <f>_xlfn.IFERROR(VLOOKUP($A251,'The List'!$B1:$AS665,27,FALSE)," ")</f>
        <v>858</v>
      </c>
      <c r="U251" t="s" s="125">
        <f>_xlfn.IFERROR(VLOOKUP($A251,'The List'!$B1:$AS665,28,FALSE)," ")</f>
        <v>858</v>
      </c>
      <c r="V251" t="s" s="125">
        <f>_xlfn.IFERROR(VLOOKUP($A251,'The List'!$B1:$AS665,29,FALSE)," ")</f>
        <v>858</v>
      </c>
      <c r="W251" t="s" s="125">
        <f>_xlfn.IFERROR(VLOOKUP($A251,'The List'!$B1:$AS665,30,FALSE)," ")</f>
        <v>858</v>
      </c>
      <c r="X251" t="s" s="125">
        <f>_xlfn.IFERROR(VLOOKUP($A251,'The List'!$B1:$AS665,31,FALSE)," ")</f>
        <v>858</v>
      </c>
      <c r="Y251" t="s" s="125">
        <f>_xlfn.IFERROR(VLOOKUP($A251,'The List'!$B1:$AS665,32,FALSE)," ")</f>
        <v>858</v>
      </c>
      <c r="Z251" t="s" s="125">
        <f>_xlfn.IFERROR(VLOOKUP($A251,'The List'!$B1:$AS665,33,FALSE)," ")</f>
        <v>858</v>
      </c>
      <c r="AA251" s="120"/>
      <c r="AB251" s="121"/>
      <c r="AC251" s="121"/>
      <c r="AD251" s="121"/>
      <c r="AE251" s="121"/>
      <c r="AF251" s="144"/>
    </row>
    <row r="252" ht="21.25" customHeight="1">
      <c r="A252" s="50"/>
      <c r="B252" t="s" s="132">
        <f>_xlfn.IFERROR(VLOOKUP($A252,'The List'!$B1:$AS665,3,FALSE)," ")</f>
        <v>858</v>
      </c>
      <c r="C252" t="s" s="134">
        <f>_xlfn.IFERROR(VLOOKUP($A252,'The List'!$B1:$AS665,4,FALSE)," ")</f>
        <v>858</v>
      </c>
      <c r="D252" t="s" s="86">
        <f>_xlfn.IFERROR(VLOOKUP($A252,'The List'!$B1:$AS665,5,FALSE)," ")</f>
        <v>858</v>
      </c>
      <c r="E252" t="s" s="86">
        <f>_xlfn.IFERROR(VLOOKUP($A252,'The List'!$B1:$AS665,6,FALSE)," ")</f>
        <v>858</v>
      </c>
      <c r="F252" t="s" s="124">
        <f>_xlfn.IFERROR(VLOOKUP($A252,'The List'!$B1:$AS665,8,FALSE)," ")</f>
        <v>858</v>
      </c>
      <c r="G252" t="s" s="124">
        <f>_xlfn.IFERROR(VLOOKUP($A252,'The List'!$B1:$AS665,10,FALSE)," ")</f>
        <v>858</v>
      </c>
      <c r="H252" s="77"/>
      <c r="I252" t="s" s="125">
        <f>_xlfn.IFERROR(VLOOKUP($A252,'The List'!$B1:$AS665,16,FALSE)," ")</f>
        <v>858</v>
      </c>
      <c r="J252" t="s" s="125">
        <f>_xlfn.IFERROR(VLOOKUP($A252,'The List'!$B1:$AS665,17,FALSE)," ")</f>
        <v>858</v>
      </c>
      <c r="K252" t="s" s="125">
        <f>_xlfn.IFERROR(VLOOKUP($A252,'The List'!$B1:$AS665,18,FALSE)," ")</f>
        <v>858</v>
      </c>
      <c r="L252" t="s" s="125">
        <f>_xlfn.IFERROR(VLOOKUP($A252,'The List'!$B1:$AS665,19,FALSE)," ")</f>
        <v>858</v>
      </c>
      <c r="M252" t="s" s="125">
        <f>_xlfn.IFERROR(VLOOKUP($A252,'The List'!$B1:$AS665,20,FALSE)," ")</f>
        <v>858</v>
      </c>
      <c r="N252" t="s" s="125">
        <f>_xlfn.IFERROR(VLOOKUP($A252,'The List'!$B1:$AS665,21,FALSE)," ")</f>
        <v>858</v>
      </c>
      <c r="O252" t="s" s="125">
        <f>_xlfn.IFERROR(VLOOKUP($A252,'The List'!$B1:$AS665,22,FALSE)," ")</f>
        <v>858</v>
      </c>
      <c r="P252" t="s" s="125">
        <f>_xlfn.IFERROR(VLOOKUP($A252,'The List'!$B1:$AS665,23,FALSE)," ")</f>
        <v>858</v>
      </c>
      <c r="Q252" t="s" s="125">
        <f>_xlfn.IFERROR(VLOOKUP($A252,'The List'!$B1:$AS665,24,FALSE)," ")</f>
        <v>858</v>
      </c>
      <c r="R252" t="s" s="125">
        <f>_xlfn.IFERROR(VLOOKUP($A252,'The List'!$B1:$AS665,25,FALSE)," ")</f>
        <v>858</v>
      </c>
      <c r="S252" t="s" s="125">
        <f>_xlfn.IFERROR(VLOOKUP($A252,'The List'!$B1:$AS665,26,FALSE)," ")</f>
        <v>858</v>
      </c>
      <c r="T252" t="s" s="125">
        <f>_xlfn.IFERROR(VLOOKUP($A252,'The List'!$B1:$AS665,27,FALSE)," ")</f>
        <v>858</v>
      </c>
      <c r="U252" t="s" s="125">
        <f>_xlfn.IFERROR(VLOOKUP($A252,'The List'!$B1:$AS665,28,FALSE)," ")</f>
        <v>858</v>
      </c>
      <c r="V252" t="s" s="125">
        <f>_xlfn.IFERROR(VLOOKUP($A252,'The List'!$B1:$AS665,29,FALSE)," ")</f>
        <v>858</v>
      </c>
      <c r="W252" t="s" s="125">
        <f>_xlfn.IFERROR(VLOOKUP($A252,'The List'!$B1:$AS665,30,FALSE)," ")</f>
        <v>858</v>
      </c>
      <c r="X252" t="s" s="125">
        <f>_xlfn.IFERROR(VLOOKUP($A252,'The List'!$B1:$AS665,31,FALSE)," ")</f>
        <v>858</v>
      </c>
      <c r="Y252" t="s" s="125">
        <f>_xlfn.IFERROR(VLOOKUP($A252,'The List'!$B1:$AS665,32,FALSE)," ")</f>
        <v>858</v>
      </c>
      <c r="Z252" t="s" s="125">
        <f>_xlfn.IFERROR(VLOOKUP($A252,'The List'!$B1:$AS665,33,FALSE)," ")</f>
        <v>858</v>
      </c>
      <c r="AA252" s="120"/>
      <c r="AB252" s="121"/>
      <c r="AC252" s="121"/>
      <c r="AD252" s="121"/>
      <c r="AE252" s="121"/>
      <c r="AF252" s="144"/>
    </row>
    <row r="253" ht="21.25" customHeight="1">
      <c r="A253" s="137"/>
      <c r="B253" t="s" s="138">
        <f>_xlfn.IFERROR(VLOOKUP($A253,'The List'!$B1:$AS665,3,FALSE)," ")</f>
        <v>858</v>
      </c>
      <c r="C253" t="s" s="139">
        <f>_xlfn.IFERROR(VLOOKUP($A253,'The List'!$B1:$AS665,4,FALSE)," ")</f>
        <v>858</v>
      </c>
      <c r="D253" t="s" s="140">
        <f>_xlfn.IFERROR(VLOOKUP($A253,'The List'!$B1:$AS665,5,FALSE)," ")</f>
        <v>858</v>
      </c>
      <c r="E253" t="s" s="140">
        <f>_xlfn.IFERROR(VLOOKUP($A253,'The List'!$B1:$AS665,6,FALSE)," ")</f>
        <v>858</v>
      </c>
      <c r="F253" t="s" s="141">
        <f>_xlfn.IFERROR(VLOOKUP($A253,'The List'!$B1:$AS665,8,FALSE)," ")</f>
        <v>858</v>
      </c>
      <c r="G253" t="s" s="141">
        <f>_xlfn.IFERROR(VLOOKUP($A253,'The List'!$B1:$AS665,10,FALSE)," ")</f>
        <v>858</v>
      </c>
      <c r="H253" s="142"/>
      <c r="I253" t="s" s="143">
        <f>_xlfn.IFERROR(VLOOKUP($A253,'The List'!$B1:$AS665,16,FALSE)," ")</f>
        <v>858</v>
      </c>
      <c r="J253" t="s" s="143">
        <f>_xlfn.IFERROR(VLOOKUP($A253,'The List'!$B1:$AS665,17,FALSE)," ")</f>
        <v>858</v>
      </c>
      <c r="K253" t="s" s="143">
        <f>_xlfn.IFERROR(VLOOKUP($A253,'The List'!$B1:$AS665,18,FALSE)," ")</f>
        <v>858</v>
      </c>
      <c r="L253" t="s" s="143">
        <f>_xlfn.IFERROR(VLOOKUP($A253,'The List'!$B1:$AS665,19,FALSE)," ")</f>
        <v>858</v>
      </c>
      <c r="M253" t="s" s="143">
        <f>_xlfn.IFERROR(VLOOKUP($A253,'The List'!$B1:$AS665,20,FALSE)," ")</f>
        <v>858</v>
      </c>
      <c r="N253" t="s" s="143">
        <f>_xlfn.IFERROR(VLOOKUP($A253,'The List'!$B1:$AS665,21,FALSE)," ")</f>
        <v>858</v>
      </c>
      <c r="O253" t="s" s="143">
        <f>_xlfn.IFERROR(VLOOKUP($A253,'The List'!$B1:$AS665,22,FALSE)," ")</f>
        <v>858</v>
      </c>
      <c r="P253" t="s" s="143">
        <f>_xlfn.IFERROR(VLOOKUP($A253,'The List'!$B1:$AS665,23,FALSE)," ")</f>
        <v>858</v>
      </c>
      <c r="Q253" t="s" s="143">
        <f>_xlfn.IFERROR(VLOOKUP($A253,'The List'!$B1:$AS665,24,FALSE)," ")</f>
        <v>858</v>
      </c>
      <c r="R253" t="s" s="143">
        <f>_xlfn.IFERROR(VLOOKUP($A253,'The List'!$B1:$AS665,25,FALSE)," ")</f>
        <v>858</v>
      </c>
      <c r="S253" t="s" s="143">
        <f>_xlfn.IFERROR(VLOOKUP($A253,'The List'!$B1:$AS665,26,FALSE)," ")</f>
        <v>858</v>
      </c>
      <c r="T253" t="s" s="143">
        <f>_xlfn.IFERROR(VLOOKUP($A253,'The List'!$B1:$AS665,27,FALSE)," ")</f>
        <v>858</v>
      </c>
      <c r="U253" t="s" s="143">
        <f>_xlfn.IFERROR(VLOOKUP($A253,'The List'!$B1:$AS665,28,FALSE)," ")</f>
        <v>858</v>
      </c>
      <c r="V253" t="s" s="143">
        <f>_xlfn.IFERROR(VLOOKUP($A253,'The List'!$B1:$AS665,29,FALSE)," ")</f>
        <v>858</v>
      </c>
      <c r="W253" t="s" s="143">
        <f>_xlfn.IFERROR(VLOOKUP($A253,'The List'!$B1:$AS665,30,FALSE)," ")</f>
        <v>858</v>
      </c>
      <c r="X253" t="s" s="143">
        <f>_xlfn.IFERROR(VLOOKUP($A253,'The List'!$B1:$AS665,31,FALSE)," ")</f>
        <v>858</v>
      </c>
      <c r="Y253" t="s" s="143">
        <f>_xlfn.IFERROR(VLOOKUP($A253,'The List'!$B1:$AS665,32,FALSE)," ")</f>
        <v>858</v>
      </c>
      <c r="Z253" t="s" s="143">
        <f>_xlfn.IFERROR(VLOOKUP($A253,'The List'!$B1:$AS665,33,FALSE)," ")</f>
        <v>858</v>
      </c>
      <c r="AA253" s="120"/>
      <c r="AB253" s="121"/>
      <c r="AC253" s="121"/>
      <c r="AD253" s="121"/>
      <c r="AE253" s="121"/>
      <c r="AF253" s="144"/>
    </row>
    <row r="254" ht="21.25" customHeight="1">
      <c r="A254" s="145"/>
      <c r="B254" s="146"/>
      <c r="C254" s="147"/>
      <c r="D254" s="148"/>
      <c r="E254" t="s" s="193">
        <f>_xlfn.IFERROR(AVERAGE(E234:E253)," ")</f>
        <v>858</v>
      </c>
      <c r="F254" s="150">
        <f>SUM(F234:F253)</f>
        <v>0</v>
      </c>
      <c r="G254" s="150">
        <f>SUM(G234:G253)</f>
        <v>0</v>
      </c>
      <c r="H254" s="151"/>
      <c r="I254" s="152">
        <f>SUM(I234:I253)</f>
        <v>0</v>
      </c>
      <c r="J254" s="151">
        <f>AVERAGE(J234:J253)</f>
      </c>
      <c r="K254" s="152">
        <f>SUM(K234:K253)</f>
        <v>0</v>
      </c>
      <c r="L254" s="152">
        <f>SUM(L234:L253)</f>
        <v>0</v>
      </c>
      <c r="M254" s="152">
        <f>SUM(M234:M253)</f>
        <v>0</v>
      </c>
      <c r="N254" s="152">
        <f>SUM(N234:N253)</f>
        <v>0</v>
      </c>
      <c r="O254" s="152">
        <f>SUM(O234:O253)</f>
        <v>0</v>
      </c>
      <c r="P254" s="152">
        <f>SUM(P234:P253)</f>
        <v>0</v>
      </c>
      <c r="Q254" s="152">
        <f>SUM(Q234:Q253)</f>
        <v>0</v>
      </c>
      <c r="R254" s="152">
        <f>SUM(R234:R253)</f>
        <v>0</v>
      </c>
      <c r="S254" s="152">
        <f>SUM(S234:S253)</f>
        <v>0</v>
      </c>
      <c r="T254" s="152">
        <f>SUM(T234:T253)</f>
        <v>0</v>
      </c>
      <c r="U254" s="152">
        <f>SUM(U234:U253)</f>
        <v>0</v>
      </c>
      <c r="V254" s="152">
        <f>SUM(V234:V253)</f>
        <v>0</v>
      </c>
      <c r="W254" s="152">
        <f>SUM(W234:W253)</f>
        <v>0</v>
      </c>
      <c r="X254" s="152">
        <f>SUM(X234:X253)</f>
        <v>0</v>
      </c>
      <c r="Y254" s="152">
        <f>SUM(Y234:Y253)</f>
        <v>0</v>
      </c>
      <c r="Z254" s="153">
        <f>_xlfn.IFERROR(X254/(X254+Y254),0)</f>
        <v>0</v>
      </c>
      <c r="AA254" s="120"/>
      <c r="AB254" s="154"/>
      <c r="AC254" s="154"/>
      <c r="AD254" s="154"/>
      <c r="AE254" s="154"/>
      <c r="AF254" s="155"/>
    </row>
    <row r="255" ht="21.25" customHeight="1">
      <c r="A255" s="156"/>
      <c r="B255" s="157"/>
      <c r="C255" s="158"/>
      <c r="D255" s="13"/>
      <c r="E255" s="13"/>
      <c r="F255" s="159"/>
      <c r="G255" s="160"/>
      <c r="H255" s="161"/>
      <c r="I255" s="162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  <c r="AB255" s="121"/>
      <c r="AC255" s="121"/>
      <c r="AD255" s="121"/>
      <c r="AE255" s="121"/>
      <c r="AF255" s="144"/>
    </row>
    <row r="256" ht="21.25" customHeight="1">
      <c r="A256" t="s" s="163">
        <v>89</v>
      </c>
      <c r="B256" t="s" s="164">
        <v>91</v>
      </c>
      <c r="C256" s="31"/>
      <c r="D256" t="s" s="164">
        <v>92</v>
      </c>
      <c r="E256" t="s" s="164">
        <v>93</v>
      </c>
      <c r="F256" t="s" s="165">
        <v>95</v>
      </c>
      <c r="G256" t="s" s="165">
        <v>97</v>
      </c>
      <c r="H256" s="166"/>
      <c r="I256" t="s" s="167">
        <v>102</v>
      </c>
      <c r="J256" t="s" s="167">
        <v>118</v>
      </c>
      <c r="K256" t="s" s="167">
        <v>119</v>
      </c>
      <c r="L256" t="s" s="167">
        <v>120</v>
      </c>
      <c r="M256" t="s" s="167">
        <v>121</v>
      </c>
      <c r="N256" t="s" s="167">
        <v>122</v>
      </c>
      <c r="O256" t="s" s="167">
        <v>123</v>
      </c>
      <c r="P256" t="s" s="167">
        <v>124</v>
      </c>
      <c r="Q256" t="s" s="167">
        <v>125</v>
      </c>
      <c r="R256" s="120"/>
      <c r="S256" s="120"/>
      <c r="T256" s="120"/>
      <c r="U256" t="s" s="164">
        <v>876</v>
      </c>
      <c r="V256" s="166"/>
      <c r="W256" s="166"/>
      <c r="X256" t="s" s="164">
        <v>877</v>
      </c>
      <c r="Y256" s="166"/>
      <c r="Z256" s="166"/>
      <c r="AA256" s="120"/>
      <c r="AB256" s="120"/>
      <c r="AC256" s="120"/>
      <c r="AD256" s="120"/>
      <c r="AE256" s="120"/>
      <c r="AF256" s="168"/>
    </row>
    <row r="257" ht="21.25" customHeight="1">
      <c r="A257" s="194"/>
      <c r="B257" t="s" s="170">
        <f>_xlfn.IFERROR(VLOOKUP($A257,'The List'!$B1:$AS665,3,FALSE)," ")</f>
        <v>858</v>
      </c>
      <c r="C257" t="s" s="195">
        <f>_xlfn.IFERROR(VLOOKUP($A257,'The List'!$B1:$AS665,4,FALSE)," ")</f>
        <v>858</v>
      </c>
      <c r="D257" t="s" s="72">
        <f>_xlfn.IFERROR(VLOOKUP($A257,'The List'!$B1:$AS665,5,FALSE)," ")</f>
        <v>858</v>
      </c>
      <c r="E257" t="s" s="72">
        <f>_xlfn.IFERROR(VLOOKUP($A257,'The List'!$B1:$AS665,6,FALSE)," ")</f>
        <v>858</v>
      </c>
      <c r="F257" t="s" s="196">
        <f>_xlfn.IFERROR(VLOOKUP($A257,'The List'!$B1:$AS665,8,FALSE)," ")</f>
        <v>858</v>
      </c>
      <c r="G257" t="s" s="196">
        <f>_xlfn.IFERROR(VLOOKUP($A257,'The List'!$B1:$AS665,10,FALSE)," ")</f>
        <v>858</v>
      </c>
      <c r="H257" s="174"/>
      <c r="I257" t="s" s="197">
        <f>_xlfn.IFERROR(VLOOKUP($A257,'The List'!$B1:$AS665,35,FALSE)," ")</f>
        <v>858</v>
      </c>
      <c r="J257" t="s" s="197">
        <f>_xlfn.IFERROR(VLOOKUP($A257,'The List'!$B1:$AS665,36,FALSE)," ")</f>
        <v>858</v>
      </c>
      <c r="K257" t="s" s="197">
        <f>_xlfn.IFERROR(VLOOKUP($A257,'The List'!$B1:$AS665,37,FALSE)," ")</f>
        <v>858</v>
      </c>
      <c r="L257" t="s" s="197">
        <f>_xlfn.IFERROR(VLOOKUP($A257,'The List'!$B1:$AS665,38,FALSE)," ")</f>
        <v>858</v>
      </c>
      <c r="M257" t="s" s="197">
        <f>_xlfn.IFERROR(VLOOKUP($A257,'The List'!$B1:$AS665,39,FALSE)," ")</f>
        <v>858</v>
      </c>
      <c r="N257" t="s" s="197">
        <f>_xlfn.IFERROR(VLOOKUP($A257,'The List'!$B1:$AS665,40,FALSE)," ")</f>
        <v>858</v>
      </c>
      <c r="O257" t="s" s="197">
        <f>_xlfn.IFERROR(VLOOKUP($A257,'The List'!$B1:$AS665,41,FALSE)," ")</f>
        <v>858</v>
      </c>
      <c r="P257" t="s" s="197">
        <f>_xlfn.IFERROR(VLOOKUP($A257,'The List'!$B1:$AS665,42,FALSE)," ")</f>
        <v>858</v>
      </c>
      <c r="Q257" t="s" s="197">
        <f>_xlfn.IFERROR(VLOOKUP($A257,'The List'!$B1:$AS665,43,FALSE)," ")</f>
        <v>858</v>
      </c>
      <c r="R257" s="120"/>
      <c r="S257" s="120"/>
      <c r="T257" t="s" s="178">
        <f>A233</f>
        <v>887</v>
      </c>
      <c r="U257" s="179">
        <f>F254+F260</f>
        <v>0</v>
      </c>
      <c r="V257" s="31"/>
      <c r="W257" s="31"/>
      <c r="X257" s="179">
        <f>G260+G254</f>
        <v>0</v>
      </c>
      <c r="Y257" s="31"/>
      <c r="Z257" s="31"/>
      <c r="AA257" s="120"/>
      <c r="AB257" s="120"/>
      <c r="AC257" s="120"/>
      <c r="AD257" s="120"/>
      <c r="AE257" s="120"/>
      <c r="AF257" s="168"/>
    </row>
    <row r="258" ht="21.25" customHeight="1">
      <c r="A258" s="50"/>
      <c r="B258" t="s" s="180">
        <f>_xlfn.IFERROR(VLOOKUP($A258,'The List'!$B1:$AS665,3,FALSE)," ")</f>
        <v>858</v>
      </c>
      <c r="C258" t="s" s="181">
        <f>_xlfn.IFERROR(VLOOKUP($A258,'The List'!$B1:$AS665,4,FALSE)," ")</f>
        <v>858</v>
      </c>
      <c r="D258" t="s" s="86">
        <f>_xlfn.IFERROR(VLOOKUP($A258,'The List'!$B1:$AS665,5,FALSE)," ")</f>
        <v>858</v>
      </c>
      <c r="E258" t="s" s="86">
        <f>_xlfn.IFERROR(VLOOKUP($A258,'The List'!$B1:$AS665,6,FALSE)," ")</f>
        <v>858</v>
      </c>
      <c r="F258" t="s" s="124">
        <f>_xlfn.IFERROR(VLOOKUP($A258,'The List'!$B1:$AS665,8,FALSE)," ")</f>
        <v>858</v>
      </c>
      <c r="G258" t="s" s="124">
        <f>_xlfn.IFERROR(VLOOKUP($A258,'The List'!$B1:$AS665,10,FALSE)," ")</f>
        <v>858</v>
      </c>
      <c r="H258" s="77"/>
      <c r="I258" t="s" s="125">
        <f>_xlfn.IFERROR(VLOOKUP($A258,'The List'!$B1:$AS665,35,FALSE)," ")</f>
        <v>858</v>
      </c>
      <c r="J258" t="s" s="125">
        <f>_xlfn.IFERROR(VLOOKUP($A258,'The List'!$B1:$AS665,36,FALSE)," ")</f>
        <v>858</v>
      </c>
      <c r="K258" t="s" s="125">
        <f>_xlfn.IFERROR(VLOOKUP($A258,'The List'!$B1:$AS665,37,FALSE)," ")</f>
        <v>858</v>
      </c>
      <c r="L258" t="s" s="125">
        <f>_xlfn.IFERROR(VLOOKUP($A258,'The List'!$B1:$AS665,38,FALSE)," ")</f>
        <v>858</v>
      </c>
      <c r="M258" t="s" s="125">
        <f>_xlfn.IFERROR(VLOOKUP($A258,'The List'!$B1:$AS665,39,FALSE)," ")</f>
        <v>858</v>
      </c>
      <c r="N258" t="s" s="125">
        <f>_xlfn.IFERROR(VLOOKUP($A258,'The List'!$B1:$AS665,40,FALSE)," ")</f>
        <v>858</v>
      </c>
      <c r="O258" t="s" s="125">
        <f>_xlfn.IFERROR(VLOOKUP($A258,'The List'!$B1:$AS665,41,FALSE)," ")</f>
        <v>858</v>
      </c>
      <c r="P258" t="s" s="125">
        <f>_xlfn.IFERROR(VLOOKUP($A258,'The List'!$B1:$AS665,42,FALSE)," ")</f>
        <v>858</v>
      </c>
      <c r="Q258" t="s" s="125">
        <f>_xlfn.IFERROR(VLOOKUP($A258,'The List'!$B1:$AS665,43,FALSE)," ")</f>
        <v>858</v>
      </c>
      <c r="R258" s="120"/>
      <c r="S258" s="120"/>
      <c r="T258" s="120"/>
      <c r="U258" s="31"/>
      <c r="V258" s="31"/>
      <c r="W258" s="31"/>
      <c r="X258" s="31"/>
      <c r="Y258" s="31"/>
      <c r="Z258" s="31"/>
      <c r="AA258" s="120"/>
      <c r="AB258" s="120"/>
      <c r="AC258" s="120"/>
      <c r="AD258" s="120"/>
      <c r="AE258" s="120"/>
      <c r="AF258" s="168"/>
    </row>
    <row r="259" ht="21.25" customHeight="1">
      <c r="A259" s="137"/>
      <c r="B259" t="s" s="182">
        <f>_xlfn.IFERROR(VLOOKUP($A259,'The List'!$B1:$AS665,3,FALSE)," ")</f>
        <v>858</v>
      </c>
      <c r="C259" t="s" s="183">
        <f>_xlfn.IFERROR(VLOOKUP($A259,'The List'!$B1:$AS665,4,FALSE)," ")</f>
        <v>858</v>
      </c>
      <c r="D259" t="s" s="140">
        <f>_xlfn.IFERROR(VLOOKUP($A259,'The List'!$B1:$AS665,5,FALSE)," ")</f>
        <v>858</v>
      </c>
      <c r="E259" t="s" s="140">
        <f>_xlfn.IFERROR(VLOOKUP($A259,'The List'!$B1:$AS665,6,FALSE)," ")</f>
        <v>858</v>
      </c>
      <c r="F259" t="s" s="141">
        <f>_xlfn.IFERROR(VLOOKUP($A259,'The List'!$B1:$AS665,8,FALSE)," ")</f>
        <v>858</v>
      </c>
      <c r="G259" t="s" s="141">
        <f>_xlfn.IFERROR(VLOOKUP($A259,'The List'!$B1:$AS665,10,FALSE)," ")</f>
        <v>858</v>
      </c>
      <c r="H259" s="142"/>
      <c r="I259" t="s" s="143">
        <f>_xlfn.IFERROR(VLOOKUP($A259,'The List'!$B1:$AS665,35,FALSE)," ")</f>
        <v>858</v>
      </c>
      <c r="J259" t="s" s="143">
        <f>_xlfn.IFERROR(VLOOKUP($A259,'The List'!$B1:$AS665,36,FALSE)," ")</f>
        <v>858</v>
      </c>
      <c r="K259" t="s" s="143">
        <f>_xlfn.IFERROR(VLOOKUP($A259,'The List'!$B1:$AS665,37,FALSE)," ")</f>
        <v>858</v>
      </c>
      <c r="L259" t="s" s="143">
        <f>_xlfn.IFERROR(VLOOKUP($A259,'The List'!$B1:$AS665,38,FALSE)," ")</f>
        <v>858</v>
      </c>
      <c r="M259" t="s" s="143">
        <f>_xlfn.IFERROR(VLOOKUP($A259,'The List'!$B1:$AS665,39,FALSE)," ")</f>
        <v>858</v>
      </c>
      <c r="N259" t="s" s="143">
        <f>_xlfn.IFERROR(VLOOKUP($A259,'The List'!$B1:$AS665,40,FALSE)," ")</f>
        <v>858</v>
      </c>
      <c r="O259" t="s" s="143">
        <f>_xlfn.IFERROR(VLOOKUP($A259,'The List'!$B1:$AS665,41,FALSE)," ")</f>
        <v>858</v>
      </c>
      <c r="P259" t="s" s="143">
        <f>_xlfn.IFERROR(VLOOKUP($A259,'The List'!$B1:$AS665,42,FALSE)," ")</f>
        <v>858</v>
      </c>
      <c r="Q259" t="s" s="143">
        <f>_xlfn.IFERROR(VLOOKUP($A259,'The List'!$B1:$AS665,43,FALSE)," ")</f>
        <v>858</v>
      </c>
      <c r="R259" s="120"/>
      <c r="S259" s="120"/>
      <c r="T259" s="120"/>
      <c r="U259" s="31"/>
      <c r="V259" s="31"/>
      <c r="W259" s="31"/>
      <c r="X259" s="31"/>
      <c r="Y259" s="31"/>
      <c r="Z259" s="31"/>
      <c r="AA259" s="120"/>
      <c r="AB259" s="120"/>
      <c r="AC259" s="120"/>
      <c r="AD259" s="120"/>
      <c r="AE259" s="120"/>
      <c r="AF259" s="168"/>
    </row>
    <row r="260" ht="21.25" customHeight="1">
      <c r="A260" s="145"/>
      <c r="B260" s="146"/>
      <c r="C260" s="147"/>
      <c r="D260" s="148"/>
      <c r="E260" t="s" s="193">
        <f>_xlfn.IFERROR(AVERAGE(E257:E259)," ")</f>
        <v>858</v>
      </c>
      <c r="F260" s="150">
        <f>SUM(F257:F259)</f>
        <v>0</v>
      </c>
      <c r="G260" s="150">
        <f>SUM(G257:G259)</f>
        <v>0</v>
      </c>
      <c r="H260" s="151"/>
      <c r="I260" s="152">
        <f>SUM(I257:I259)</f>
        <v>0</v>
      </c>
      <c r="J260" s="151">
        <f>SUM(J257:J259)</f>
        <v>0</v>
      </c>
      <c r="K260" s="152">
        <f>SUM(K257:K259)</f>
        <v>0</v>
      </c>
      <c r="L260" s="152">
        <f>SUM(L257:L259)</f>
        <v>0</v>
      </c>
      <c r="M260" s="152">
        <f>SUM(M257:M259)</f>
        <v>0</v>
      </c>
      <c r="N260" s="152">
        <f>SUM(N257:N259)</f>
        <v>0</v>
      </c>
      <c r="O260" s="152">
        <f>SUM(O257:O259)</f>
        <v>0</v>
      </c>
      <c r="P260" s="184">
        <f>1-(O260/(N260+O260))</f>
      </c>
      <c r="Q260" s="185">
        <f>O260/I260</f>
      </c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120"/>
      <c r="AE260" s="120"/>
      <c r="AF260" s="168"/>
    </row>
    <row r="261" ht="70.75" customHeight="1">
      <c r="A261" s="156"/>
      <c r="B261" s="157"/>
      <c r="C261" s="158"/>
      <c r="D261" s="13"/>
      <c r="E261" s="13"/>
      <c r="F261" s="159"/>
      <c r="G261" s="160"/>
      <c r="H261" s="161"/>
      <c r="I261" s="162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1"/>
      <c r="AB261" s="121"/>
      <c r="AC261" s="121"/>
      <c r="AD261" s="121"/>
      <c r="AE261" s="121"/>
      <c r="AF261" s="144"/>
    </row>
    <row r="262" ht="21.25" customHeight="1">
      <c r="A262" t="s" s="186">
        <v>868</v>
      </c>
      <c r="B262" t="s" s="187">
        <v>91</v>
      </c>
      <c r="C262" s="45"/>
      <c r="D262" t="s" s="187">
        <v>92</v>
      </c>
      <c r="E262" t="s" s="187">
        <v>93</v>
      </c>
      <c r="F262" t="s" s="188">
        <v>95</v>
      </c>
      <c r="G262" t="s" s="188">
        <v>97</v>
      </c>
      <c r="H262" s="189"/>
      <c r="I262" t="s" s="190">
        <v>102</v>
      </c>
      <c r="J262" t="s" s="190">
        <v>55</v>
      </c>
      <c r="K262" t="s" s="190">
        <v>103</v>
      </c>
      <c r="L262" t="s" s="190">
        <v>104</v>
      </c>
      <c r="M262" t="s" s="190">
        <v>105</v>
      </c>
      <c r="N262" t="s" s="190">
        <v>106</v>
      </c>
      <c r="O262" t="s" s="190">
        <v>107</v>
      </c>
      <c r="P262" t="s" s="190">
        <v>63</v>
      </c>
      <c r="Q262" t="s" s="190">
        <v>108</v>
      </c>
      <c r="R262" t="s" s="190">
        <v>109</v>
      </c>
      <c r="S262" t="s" s="190">
        <v>110</v>
      </c>
      <c r="T262" t="s" s="190">
        <v>111</v>
      </c>
      <c r="U262" t="s" s="190">
        <v>112</v>
      </c>
      <c r="V262" t="s" s="190">
        <v>113</v>
      </c>
      <c r="W262" t="s" s="190">
        <v>114</v>
      </c>
      <c r="X262" t="s" s="190">
        <v>115</v>
      </c>
      <c r="Y262" t="s" s="190">
        <v>116</v>
      </c>
      <c r="Z262" t="s" s="190">
        <v>117</v>
      </c>
      <c r="AA262" s="120"/>
      <c r="AB262" s="191"/>
      <c r="AC262" s="191"/>
      <c r="AD262" s="191"/>
      <c r="AE262" s="191"/>
      <c r="AF262" s="192"/>
    </row>
    <row r="263" ht="21.25" customHeight="1">
      <c r="A263" s="50"/>
      <c r="B263" t="s" s="117">
        <f>_xlfn.IFERROR(VLOOKUP($A263,'The List'!$B1:$AS665,3,FALSE)," ")</f>
        <v>858</v>
      </c>
      <c r="C263" t="s" s="123">
        <f>_xlfn.IFERROR(VLOOKUP($A263,'The List'!$B1:$AS665,4,FALSE)," ")</f>
        <v>858</v>
      </c>
      <c r="D263" t="s" s="86">
        <f>_xlfn.IFERROR(VLOOKUP($A263,'The List'!$B1:$AS665,5,FALSE)," ")</f>
        <v>858</v>
      </c>
      <c r="E263" t="s" s="86">
        <f>_xlfn.IFERROR(VLOOKUP($A263,'The List'!$B1:$AS665,6,FALSE)," ")</f>
        <v>858</v>
      </c>
      <c r="F263" t="s" s="124">
        <f>_xlfn.IFERROR(VLOOKUP($A263,'The List'!$B1:$AS665,8,FALSE)," ")</f>
        <v>858</v>
      </c>
      <c r="G263" t="s" s="124">
        <f>_xlfn.IFERROR(VLOOKUP($A263,'The List'!$B1:$AS665,10,FALSE)," ")</f>
        <v>858</v>
      </c>
      <c r="H263" s="77"/>
      <c r="I263" t="s" s="125">
        <f>_xlfn.IFERROR(VLOOKUP($A263,'The List'!$B1:$AS665,16,FALSE)," ")</f>
        <v>858</v>
      </c>
      <c r="J263" t="s" s="125">
        <f>_xlfn.IFERROR(VLOOKUP($A263,'The List'!$B1:$AS665,17,FALSE)," ")</f>
        <v>858</v>
      </c>
      <c r="K263" t="s" s="125">
        <f>_xlfn.IFERROR(VLOOKUP($A263,'The List'!$B1:$AS665,18,FALSE)," ")</f>
        <v>858</v>
      </c>
      <c r="L263" t="s" s="125">
        <f>_xlfn.IFERROR(VLOOKUP($A263,'The List'!$B1:$AS665,19,FALSE)," ")</f>
        <v>858</v>
      </c>
      <c r="M263" t="s" s="125">
        <f>_xlfn.IFERROR(VLOOKUP($A263,'The List'!$B1:$AS665,20,FALSE)," ")</f>
        <v>858</v>
      </c>
      <c r="N263" t="s" s="125">
        <f>_xlfn.IFERROR(VLOOKUP($A263,'The List'!$B1:$AS665,21,FALSE)," ")</f>
        <v>858</v>
      </c>
      <c r="O263" t="s" s="125">
        <f>_xlfn.IFERROR(VLOOKUP($A263,'The List'!$B1:$AS665,22,FALSE)," ")</f>
        <v>858</v>
      </c>
      <c r="P263" t="s" s="125">
        <f>_xlfn.IFERROR(VLOOKUP($A263,'The List'!$B1:$AS665,23,FALSE)," ")</f>
        <v>858</v>
      </c>
      <c r="Q263" t="s" s="125">
        <f>_xlfn.IFERROR(VLOOKUP($A263,'The List'!$B1:$AS665,24,FALSE)," ")</f>
        <v>858</v>
      </c>
      <c r="R263" t="s" s="125">
        <f>_xlfn.IFERROR(VLOOKUP($A263,'The List'!$B1:$AS665,25,FALSE)," ")</f>
        <v>858</v>
      </c>
      <c r="S263" t="s" s="125">
        <f>_xlfn.IFERROR(VLOOKUP($A263,'The List'!$B1:$AS665,26,FALSE)," ")</f>
        <v>858</v>
      </c>
      <c r="T263" t="s" s="125">
        <f>_xlfn.IFERROR(VLOOKUP($A263,'The List'!$B1:$AS665,27,FALSE)," ")</f>
        <v>858</v>
      </c>
      <c r="U263" t="s" s="125">
        <f>_xlfn.IFERROR(VLOOKUP($A263,'The List'!$B1:$AS665,28,FALSE)," ")</f>
        <v>858</v>
      </c>
      <c r="V263" t="s" s="125">
        <f>_xlfn.IFERROR(VLOOKUP($A263,'The List'!$B1:$AS665,29,FALSE)," ")</f>
        <v>858</v>
      </c>
      <c r="W263" t="s" s="125">
        <f>_xlfn.IFERROR(VLOOKUP($A263,'The List'!$B1:$AS665,30,FALSE)," ")</f>
        <v>858</v>
      </c>
      <c r="X263" t="s" s="125">
        <f>_xlfn.IFERROR(VLOOKUP($A263,'The List'!$B1:$AS665,31,FALSE)," ")</f>
        <v>858</v>
      </c>
      <c r="Y263" t="s" s="125">
        <f>_xlfn.IFERROR(VLOOKUP($A263,'The List'!$B1:$AS665,32,FALSE)," ")</f>
        <v>858</v>
      </c>
      <c r="Z263" t="s" s="125">
        <f>_xlfn.IFERROR(VLOOKUP($A263,'The List'!$B1:$AS665,33,FALSE)," ")</f>
        <v>858</v>
      </c>
      <c r="AA263" s="120"/>
      <c r="AB263" s="121"/>
      <c r="AC263" s="121"/>
      <c r="AD263" s="121"/>
      <c r="AE263" s="121"/>
      <c r="AF263" s="144"/>
    </row>
    <row r="264" ht="21.25" customHeight="1">
      <c r="A264" s="50"/>
      <c r="B264" t="s" s="117">
        <f>_xlfn.IFERROR(VLOOKUP($A264,'The List'!$B1:$AS665,3,FALSE)," ")</f>
        <v>858</v>
      </c>
      <c r="C264" t="s" s="123">
        <f>_xlfn.IFERROR(VLOOKUP($A264,'The List'!$B1:$AS665,4,FALSE)," ")</f>
        <v>858</v>
      </c>
      <c r="D264" t="s" s="86">
        <f>_xlfn.IFERROR(VLOOKUP($A264,'The List'!$B1:$AS665,5,FALSE)," ")</f>
        <v>858</v>
      </c>
      <c r="E264" t="s" s="86">
        <f>_xlfn.IFERROR(VLOOKUP($A264,'The List'!$B1:$AS665,6,FALSE)," ")</f>
        <v>858</v>
      </c>
      <c r="F264" t="s" s="124">
        <f>_xlfn.IFERROR(VLOOKUP($A264,'The List'!$B1:$AS665,8,FALSE)," ")</f>
        <v>858</v>
      </c>
      <c r="G264" t="s" s="124">
        <f>_xlfn.IFERROR(VLOOKUP($A264,'The List'!$B1:$AS665,10,FALSE)," ")</f>
        <v>858</v>
      </c>
      <c r="H264" s="77"/>
      <c r="I264" t="s" s="125">
        <f>_xlfn.IFERROR(VLOOKUP($A264,'The List'!$B1:$AS665,16,FALSE)," ")</f>
        <v>858</v>
      </c>
      <c r="J264" t="s" s="125">
        <f>_xlfn.IFERROR(VLOOKUP($A264,'The List'!$B1:$AS665,17,FALSE)," ")</f>
        <v>858</v>
      </c>
      <c r="K264" t="s" s="125">
        <f>_xlfn.IFERROR(VLOOKUP($A264,'The List'!$B1:$AS665,18,FALSE)," ")</f>
        <v>858</v>
      </c>
      <c r="L264" t="s" s="125">
        <f>_xlfn.IFERROR(VLOOKUP($A264,'The List'!$B1:$AS665,19,FALSE)," ")</f>
        <v>858</v>
      </c>
      <c r="M264" t="s" s="125">
        <f>_xlfn.IFERROR(VLOOKUP($A264,'The List'!$B1:$AS665,20,FALSE)," ")</f>
        <v>858</v>
      </c>
      <c r="N264" t="s" s="125">
        <f>_xlfn.IFERROR(VLOOKUP($A264,'The List'!$B1:$AS665,21,FALSE)," ")</f>
        <v>858</v>
      </c>
      <c r="O264" t="s" s="125">
        <f>_xlfn.IFERROR(VLOOKUP($A264,'The List'!$B1:$AS665,22,FALSE)," ")</f>
        <v>858</v>
      </c>
      <c r="P264" t="s" s="125">
        <f>_xlfn.IFERROR(VLOOKUP($A264,'The List'!$B1:$AS665,23,FALSE)," ")</f>
        <v>858</v>
      </c>
      <c r="Q264" t="s" s="125">
        <f>_xlfn.IFERROR(VLOOKUP($A264,'The List'!$B1:$AS665,24,FALSE)," ")</f>
        <v>858</v>
      </c>
      <c r="R264" t="s" s="125">
        <f>_xlfn.IFERROR(VLOOKUP($A264,'The List'!$B1:$AS665,25,FALSE)," ")</f>
        <v>858</v>
      </c>
      <c r="S264" t="s" s="125">
        <f>_xlfn.IFERROR(VLOOKUP($A264,'The List'!$B1:$AS665,26,FALSE)," ")</f>
        <v>858</v>
      </c>
      <c r="T264" t="s" s="125">
        <f>_xlfn.IFERROR(VLOOKUP($A264,'The List'!$B1:$AS665,27,FALSE)," ")</f>
        <v>858</v>
      </c>
      <c r="U264" t="s" s="125">
        <f>_xlfn.IFERROR(VLOOKUP($A264,'The List'!$B1:$AS665,28,FALSE)," ")</f>
        <v>858</v>
      </c>
      <c r="V264" t="s" s="125">
        <f>_xlfn.IFERROR(VLOOKUP($A264,'The List'!$B1:$AS665,29,FALSE)," ")</f>
        <v>858</v>
      </c>
      <c r="W264" t="s" s="125">
        <f>_xlfn.IFERROR(VLOOKUP($A264,'The List'!$B1:$AS665,30,FALSE)," ")</f>
        <v>858</v>
      </c>
      <c r="X264" t="s" s="125">
        <f>_xlfn.IFERROR(VLOOKUP($A264,'The List'!$B1:$AS665,31,FALSE)," ")</f>
        <v>858</v>
      </c>
      <c r="Y264" t="s" s="125">
        <f>_xlfn.IFERROR(VLOOKUP($A264,'The List'!$B1:$AS665,32,FALSE)," ")</f>
        <v>858</v>
      </c>
      <c r="Z264" t="s" s="125">
        <f>_xlfn.IFERROR(VLOOKUP($A264,'The List'!$B1:$AS665,33,FALSE)," ")</f>
        <v>858</v>
      </c>
      <c r="AA264" s="120"/>
      <c r="AB264" s="121"/>
      <c r="AC264" s="121"/>
      <c r="AD264" s="121"/>
      <c r="AE264" s="121"/>
      <c r="AF264" s="144"/>
    </row>
    <row r="265" ht="21.25" customHeight="1">
      <c r="A265" s="50"/>
      <c r="B265" t="s" s="117">
        <f>_xlfn.IFERROR(VLOOKUP($A265,'The List'!$B1:$AS665,3,FALSE)," ")</f>
        <v>858</v>
      </c>
      <c r="C265" t="s" s="123">
        <f>_xlfn.IFERROR(VLOOKUP($A265,'The List'!$B1:$AS665,4,FALSE)," ")</f>
        <v>858</v>
      </c>
      <c r="D265" t="s" s="86">
        <f>_xlfn.IFERROR(VLOOKUP($A265,'The List'!$B1:$AS665,5,FALSE)," ")</f>
        <v>858</v>
      </c>
      <c r="E265" t="s" s="86">
        <f>_xlfn.IFERROR(VLOOKUP($A265,'The List'!$B1:$AS665,6,FALSE)," ")</f>
        <v>858</v>
      </c>
      <c r="F265" t="s" s="124">
        <f>_xlfn.IFERROR(VLOOKUP($A265,'The List'!$B1:$AS665,8,FALSE)," ")</f>
        <v>858</v>
      </c>
      <c r="G265" t="s" s="124">
        <f>_xlfn.IFERROR(VLOOKUP($A265,'The List'!$B1:$AS665,10,FALSE)," ")</f>
        <v>858</v>
      </c>
      <c r="H265" s="77"/>
      <c r="I265" t="s" s="125">
        <f>_xlfn.IFERROR(VLOOKUP($A265,'The List'!$B1:$AS665,16,FALSE)," ")</f>
        <v>858</v>
      </c>
      <c r="J265" t="s" s="125">
        <f>_xlfn.IFERROR(VLOOKUP($A265,'The List'!$B1:$AS665,17,FALSE)," ")</f>
        <v>858</v>
      </c>
      <c r="K265" t="s" s="125">
        <f>_xlfn.IFERROR(VLOOKUP($A265,'The List'!$B1:$AS665,18,FALSE)," ")</f>
        <v>858</v>
      </c>
      <c r="L265" t="s" s="125">
        <f>_xlfn.IFERROR(VLOOKUP($A265,'The List'!$B1:$AS665,19,FALSE)," ")</f>
        <v>858</v>
      </c>
      <c r="M265" t="s" s="125">
        <f>_xlfn.IFERROR(VLOOKUP($A265,'The List'!$B1:$AS665,20,FALSE)," ")</f>
        <v>858</v>
      </c>
      <c r="N265" t="s" s="125">
        <f>_xlfn.IFERROR(VLOOKUP($A265,'The List'!$B1:$AS665,21,FALSE)," ")</f>
        <v>858</v>
      </c>
      <c r="O265" t="s" s="125">
        <f>_xlfn.IFERROR(VLOOKUP($A265,'The List'!$B1:$AS665,22,FALSE)," ")</f>
        <v>858</v>
      </c>
      <c r="P265" t="s" s="125">
        <f>_xlfn.IFERROR(VLOOKUP($A265,'The List'!$B1:$AS665,23,FALSE)," ")</f>
        <v>858</v>
      </c>
      <c r="Q265" t="s" s="125">
        <f>_xlfn.IFERROR(VLOOKUP($A265,'The List'!$B1:$AS665,24,FALSE)," ")</f>
        <v>858</v>
      </c>
      <c r="R265" t="s" s="125">
        <f>_xlfn.IFERROR(VLOOKUP($A265,'The List'!$B1:$AS665,25,FALSE)," ")</f>
        <v>858</v>
      </c>
      <c r="S265" t="s" s="125">
        <f>_xlfn.IFERROR(VLOOKUP($A265,'The List'!$B1:$AS665,26,FALSE)," ")</f>
        <v>858</v>
      </c>
      <c r="T265" t="s" s="125">
        <f>_xlfn.IFERROR(VLOOKUP($A265,'The List'!$B1:$AS665,27,FALSE)," ")</f>
        <v>858</v>
      </c>
      <c r="U265" t="s" s="125">
        <f>_xlfn.IFERROR(VLOOKUP($A265,'The List'!$B1:$AS665,28,FALSE)," ")</f>
        <v>858</v>
      </c>
      <c r="V265" t="s" s="125">
        <f>_xlfn.IFERROR(VLOOKUP($A265,'The List'!$B1:$AS665,29,FALSE)," ")</f>
        <v>858</v>
      </c>
      <c r="W265" t="s" s="125">
        <f>_xlfn.IFERROR(VLOOKUP($A265,'The List'!$B1:$AS665,30,FALSE)," ")</f>
        <v>858</v>
      </c>
      <c r="X265" t="s" s="125">
        <f>_xlfn.IFERROR(VLOOKUP($A265,'The List'!$B1:$AS665,31,FALSE)," ")</f>
        <v>858</v>
      </c>
      <c r="Y265" t="s" s="125">
        <f>_xlfn.IFERROR(VLOOKUP($A265,'The List'!$B1:$AS665,32,FALSE)," ")</f>
        <v>858</v>
      </c>
      <c r="Z265" t="s" s="125">
        <f>_xlfn.IFERROR(VLOOKUP($A265,'The List'!$B1:$AS665,33,FALSE)," ")</f>
        <v>858</v>
      </c>
      <c r="AA265" s="120"/>
      <c r="AB265" s="121"/>
      <c r="AC265" s="121"/>
      <c r="AD265" s="121"/>
      <c r="AE265" s="121"/>
      <c r="AF265" s="144"/>
    </row>
    <row r="266" ht="21.25" customHeight="1">
      <c r="A266" s="50"/>
      <c r="B266" t="s" s="117">
        <f>_xlfn.IFERROR(VLOOKUP($A266,'The List'!$B1:$AS665,3,FALSE)," ")</f>
        <v>858</v>
      </c>
      <c r="C266" t="s" s="123">
        <f>_xlfn.IFERROR(VLOOKUP($A266,'The List'!$B1:$AS665,4,FALSE)," ")</f>
        <v>858</v>
      </c>
      <c r="D266" t="s" s="86">
        <f>_xlfn.IFERROR(VLOOKUP($A266,'The List'!$B1:$AS665,5,FALSE)," ")</f>
        <v>858</v>
      </c>
      <c r="E266" t="s" s="86">
        <f>_xlfn.IFERROR(VLOOKUP($A266,'The List'!$B1:$AS665,6,FALSE)," ")</f>
        <v>858</v>
      </c>
      <c r="F266" t="s" s="124">
        <f>_xlfn.IFERROR(VLOOKUP($A266,'The List'!$B1:$AS665,8,FALSE)," ")</f>
        <v>858</v>
      </c>
      <c r="G266" t="s" s="124">
        <f>_xlfn.IFERROR(VLOOKUP($A266,'The List'!$B1:$AS665,10,FALSE)," ")</f>
        <v>858</v>
      </c>
      <c r="H266" s="77"/>
      <c r="I266" t="s" s="125">
        <f>_xlfn.IFERROR(VLOOKUP($A266,'The List'!$B1:$AS665,16,FALSE)," ")</f>
        <v>858</v>
      </c>
      <c r="J266" t="s" s="125">
        <f>_xlfn.IFERROR(VLOOKUP($A266,'The List'!$B1:$AS665,17,FALSE)," ")</f>
        <v>858</v>
      </c>
      <c r="K266" t="s" s="125">
        <f>_xlfn.IFERROR(VLOOKUP($A266,'The List'!$B1:$AS665,18,FALSE)," ")</f>
        <v>858</v>
      </c>
      <c r="L266" t="s" s="125">
        <f>_xlfn.IFERROR(VLOOKUP($A266,'The List'!$B1:$AS665,19,FALSE)," ")</f>
        <v>858</v>
      </c>
      <c r="M266" t="s" s="125">
        <f>_xlfn.IFERROR(VLOOKUP($A266,'The List'!$B1:$AS665,20,FALSE)," ")</f>
        <v>858</v>
      </c>
      <c r="N266" t="s" s="125">
        <f>_xlfn.IFERROR(VLOOKUP($A266,'The List'!$B1:$AS665,21,FALSE)," ")</f>
        <v>858</v>
      </c>
      <c r="O266" t="s" s="125">
        <f>_xlfn.IFERROR(VLOOKUP($A266,'The List'!$B1:$AS665,22,FALSE)," ")</f>
        <v>858</v>
      </c>
      <c r="P266" t="s" s="125">
        <f>_xlfn.IFERROR(VLOOKUP($A266,'The List'!$B1:$AS665,23,FALSE)," ")</f>
        <v>858</v>
      </c>
      <c r="Q266" t="s" s="125">
        <f>_xlfn.IFERROR(VLOOKUP($A266,'The List'!$B1:$AS665,24,FALSE)," ")</f>
        <v>858</v>
      </c>
      <c r="R266" t="s" s="125">
        <f>_xlfn.IFERROR(VLOOKUP($A266,'The List'!$B1:$AS665,25,FALSE)," ")</f>
        <v>858</v>
      </c>
      <c r="S266" t="s" s="125">
        <f>_xlfn.IFERROR(VLOOKUP($A266,'The List'!$B1:$AS665,26,FALSE)," ")</f>
        <v>858</v>
      </c>
      <c r="T266" t="s" s="125">
        <f>_xlfn.IFERROR(VLOOKUP($A266,'The List'!$B1:$AS665,27,FALSE)," ")</f>
        <v>858</v>
      </c>
      <c r="U266" t="s" s="125">
        <f>_xlfn.IFERROR(VLOOKUP($A266,'The List'!$B1:$AS665,28,FALSE)," ")</f>
        <v>858</v>
      </c>
      <c r="V266" t="s" s="125">
        <f>_xlfn.IFERROR(VLOOKUP($A266,'The List'!$B1:$AS665,29,FALSE)," ")</f>
        <v>858</v>
      </c>
      <c r="W266" t="s" s="125">
        <f>_xlfn.IFERROR(VLOOKUP($A266,'The List'!$B1:$AS665,30,FALSE)," ")</f>
        <v>858</v>
      </c>
      <c r="X266" t="s" s="125">
        <f>_xlfn.IFERROR(VLOOKUP($A266,'The List'!$B1:$AS665,31,FALSE)," ")</f>
        <v>858</v>
      </c>
      <c r="Y266" t="s" s="125">
        <f>_xlfn.IFERROR(VLOOKUP($A266,'The List'!$B1:$AS665,32,FALSE)," ")</f>
        <v>858</v>
      </c>
      <c r="Z266" t="s" s="125">
        <f>_xlfn.IFERROR(VLOOKUP($A266,'The List'!$B1:$AS665,33,FALSE)," ")</f>
        <v>858</v>
      </c>
      <c r="AA266" s="120"/>
      <c r="AB266" s="121"/>
      <c r="AC266" s="121"/>
      <c r="AD266" s="121"/>
      <c r="AE266" s="121"/>
      <c r="AF266" s="144"/>
    </row>
    <row r="267" ht="21.25" customHeight="1">
      <c r="A267" s="50"/>
      <c r="B267" t="s" s="126">
        <f>_xlfn.IFERROR(VLOOKUP($A267,'The List'!$B1:$AS665,3,FALSE)," ")</f>
        <v>858</v>
      </c>
      <c r="C267" t="s" s="128">
        <f>_xlfn.IFERROR(VLOOKUP($A267,'The List'!$B1:$AS665,4,FALSE)," ")</f>
        <v>858</v>
      </c>
      <c r="D267" t="s" s="86">
        <f>_xlfn.IFERROR(VLOOKUP($A267,'The List'!$B1:$AS665,5,FALSE)," ")</f>
        <v>858</v>
      </c>
      <c r="E267" t="s" s="86">
        <f>_xlfn.IFERROR(VLOOKUP($A267,'The List'!$B1:$AS665,6,FALSE)," ")</f>
        <v>858</v>
      </c>
      <c r="F267" t="s" s="124">
        <f>_xlfn.IFERROR(VLOOKUP($A267,'The List'!$B1:$AS665,8,FALSE)," ")</f>
        <v>858</v>
      </c>
      <c r="G267" t="s" s="124">
        <f>_xlfn.IFERROR(VLOOKUP($A267,'The List'!$B1:$AS665,10,FALSE)," ")</f>
        <v>858</v>
      </c>
      <c r="H267" s="77"/>
      <c r="I267" t="s" s="125">
        <f>_xlfn.IFERROR(VLOOKUP($A267,'The List'!$B1:$AS665,16,FALSE)," ")</f>
        <v>858</v>
      </c>
      <c r="J267" t="s" s="125">
        <f>_xlfn.IFERROR(VLOOKUP($A267,'The List'!$B1:$AS665,17,FALSE)," ")</f>
        <v>858</v>
      </c>
      <c r="K267" t="s" s="125">
        <f>_xlfn.IFERROR(VLOOKUP($A267,'The List'!$B1:$AS665,18,FALSE)," ")</f>
        <v>858</v>
      </c>
      <c r="L267" t="s" s="125">
        <f>_xlfn.IFERROR(VLOOKUP($A267,'The List'!$B1:$AS665,19,FALSE)," ")</f>
        <v>858</v>
      </c>
      <c r="M267" t="s" s="125">
        <f>_xlfn.IFERROR(VLOOKUP($A267,'The List'!$B1:$AS665,20,FALSE)," ")</f>
        <v>858</v>
      </c>
      <c r="N267" t="s" s="125">
        <f>_xlfn.IFERROR(VLOOKUP($A267,'The List'!$B1:$AS665,21,FALSE)," ")</f>
        <v>858</v>
      </c>
      <c r="O267" t="s" s="125">
        <f>_xlfn.IFERROR(VLOOKUP($A267,'The List'!$B1:$AS665,22,FALSE)," ")</f>
        <v>858</v>
      </c>
      <c r="P267" t="s" s="125">
        <f>_xlfn.IFERROR(VLOOKUP($A267,'The List'!$B1:$AS665,23,FALSE)," ")</f>
        <v>858</v>
      </c>
      <c r="Q267" t="s" s="125">
        <f>_xlfn.IFERROR(VLOOKUP($A267,'The List'!$B1:$AS665,24,FALSE)," ")</f>
        <v>858</v>
      </c>
      <c r="R267" t="s" s="125">
        <f>_xlfn.IFERROR(VLOOKUP($A267,'The List'!$B1:$AS665,25,FALSE)," ")</f>
        <v>858</v>
      </c>
      <c r="S267" t="s" s="125">
        <f>_xlfn.IFERROR(VLOOKUP($A267,'The List'!$B1:$AS665,26,FALSE)," ")</f>
        <v>858</v>
      </c>
      <c r="T267" t="s" s="125">
        <f>_xlfn.IFERROR(VLOOKUP($A267,'The List'!$B1:$AS665,27,FALSE)," ")</f>
        <v>858</v>
      </c>
      <c r="U267" t="s" s="125">
        <f>_xlfn.IFERROR(VLOOKUP($A267,'The List'!$B1:$AS665,28,FALSE)," ")</f>
        <v>858</v>
      </c>
      <c r="V267" t="s" s="125">
        <f>_xlfn.IFERROR(VLOOKUP($A267,'The List'!$B1:$AS665,29,FALSE)," ")</f>
        <v>858</v>
      </c>
      <c r="W267" t="s" s="125">
        <f>_xlfn.IFERROR(VLOOKUP($A267,'The List'!$B1:$AS665,30,FALSE)," ")</f>
        <v>858</v>
      </c>
      <c r="X267" t="s" s="125">
        <f>_xlfn.IFERROR(VLOOKUP($A267,'The List'!$B1:$AS665,31,FALSE)," ")</f>
        <v>858</v>
      </c>
      <c r="Y267" t="s" s="125">
        <f>_xlfn.IFERROR(VLOOKUP($A267,'The List'!$B1:$AS665,32,FALSE)," ")</f>
        <v>858</v>
      </c>
      <c r="Z267" t="s" s="125">
        <f>_xlfn.IFERROR(VLOOKUP($A267,'The List'!$B1:$AS665,33,FALSE)," ")</f>
        <v>858</v>
      </c>
      <c r="AA267" s="120"/>
      <c r="AB267" s="121"/>
      <c r="AC267" s="121"/>
      <c r="AD267" s="121"/>
      <c r="AE267" s="121"/>
      <c r="AF267" s="144"/>
    </row>
    <row r="268" ht="21.25" customHeight="1">
      <c r="A268" s="50"/>
      <c r="B268" t="s" s="126">
        <f>_xlfn.IFERROR(VLOOKUP($A268,'The List'!$B1:$AS665,3,FALSE)," ")</f>
        <v>858</v>
      </c>
      <c r="C268" t="s" s="128">
        <f>_xlfn.IFERROR(VLOOKUP($A268,'The List'!$B1:$AS665,4,FALSE)," ")</f>
        <v>858</v>
      </c>
      <c r="D268" t="s" s="86">
        <f>_xlfn.IFERROR(VLOOKUP($A268,'The List'!$B1:$AS665,5,FALSE)," ")</f>
        <v>858</v>
      </c>
      <c r="E268" t="s" s="86">
        <f>_xlfn.IFERROR(VLOOKUP($A268,'The List'!$B1:$AS665,6,FALSE)," ")</f>
        <v>858</v>
      </c>
      <c r="F268" t="s" s="124">
        <f>_xlfn.IFERROR(VLOOKUP($A268,'The List'!$B1:$AS665,8,FALSE)," ")</f>
        <v>858</v>
      </c>
      <c r="G268" t="s" s="124">
        <f>_xlfn.IFERROR(VLOOKUP($A268,'The List'!$B1:$AS665,10,FALSE)," ")</f>
        <v>858</v>
      </c>
      <c r="H268" s="77"/>
      <c r="I268" t="s" s="125">
        <f>_xlfn.IFERROR(VLOOKUP($A268,'The List'!$B1:$AS665,16,FALSE)," ")</f>
        <v>858</v>
      </c>
      <c r="J268" t="s" s="125">
        <f>_xlfn.IFERROR(VLOOKUP($A268,'The List'!$B1:$AS665,17,FALSE)," ")</f>
        <v>858</v>
      </c>
      <c r="K268" t="s" s="125">
        <f>_xlfn.IFERROR(VLOOKUP($A268,'The List'!$B1:$AS665,18,FALSE)," ")</f>
        <v>858</v>
      </c>
      <c r="L268" t="s" s="125">
        <f>_xlfn.IFERROR(VLOOKUP($A268,'The List'!$B1:$AS665,19,FALSE)," ")</f>
        <v>858</v>
      </c>
      <c r="M268" t="s" s="125">
        <f>_xlfn.IFERROR(VLOOKUP($A268,'The List'!$B1:$AS665,20,FALSE)," ")</f>
        <v>858</v>
      </c>
      <c r="N268" t="s" s="125">
        <f>_xlfn.IFERROR(VLOOKUP($A268,'The List'!$B1:$AS665,21,FALSE)," ")</f>
        <v>858</v>
      </c>
      <c r="O268" t="s" s="125">
        <f>_xlfn.IFERROR(VLOOKUP($A268,'The List'!$B1:$AS665,22,FALSE)," ")</f>
        <v>858</v>
      </c>
      <c r="P268" t="s" s="125">
        <f>_xlfn.IFERROR(VLOOKUP($A268,'The List'!$B1:$AS665,23,FALSE)," ")</f>
        <v>858</v>
      </c>
      <c r="Q268" t="s" s="125">
        <f>_xlfn.IFERROR(VLOOKUP($A268,'The List'!$B1:$AS665,24,FALSE)," ")</f>
        <v>858</v>
      </c>
      <c r="R268" t="s" s="125">
        <f>_xlfn.IFERROR(VLOOKUP($A268,'The List'!$B1:$AS665,25,FALSE)," ")</f>
        <v>858</v>
      </c>
      <c r="S268" t="s" s="125">
        <f>_xlfn.IFERROR(VLOOKUP($A268,'The List'!$B1:$AS665,26,FALSE)," ")</f>
        <v>858</v>
      </c>
      <c r="T268" t="s" s="125">
        <f>_xlfn.IFERROR(VLOOKUP($A268,'The List'!$B1:$AS665,27,FALSE)," ")</f>
        <v>858</v>
      </c>
      <c r="U268" t="s" s="125">
        <f>_xlfn.IFERROR(VLOOKUP($A268,'The List'!$B1:$AS665,28,FALSE)," ")</f>
        <v>858</v>
      </c>
      <c r="V268" t="s" s="125">
        <f>_xlfn.IFERROR(VLOOKUP($A268,'The List'!$B1:$AS665,29,FALSE)," ")</f>
        <v>858</v>
      </c>
      <c r="W268" t="s" s="125">
        <f>_xlfn.IFERROR(VLOOKUP($A268,'The List'!$B1:$AS665,30,FALSE)," ")</f>
        <v>858</v>
      </c>
      <c r="X268" t="s" s="125">
        <f>_xlfn.IFERROR(VLOOKUP($A268,'The List'!$B1:$AS665,31,FALSE)," ")</f>
        <v>858</v>
      </c>
      <c r="Y268" t="s" s="125">
        <f>_xlfn.IFERROR(VLOOKUP($A268,'The List'!$B1:$AS665,32,FALSE)," ")</f>
        <v>858</v>
      </c>
      <c r="Z268" t="s" s="125">
        <f>_xlfn.IFERROR(VLOOKUP($A268,'The List'!$B1:$AS665,33,FALSE)," ")</f>
        <v>858</v>
      </c>
      <c r="AA268" s="120"/>
      <c r="AB268" s="121"/>
      <c r="AC268" s="121"/>
      <c r="AD268" s="121"/>
      <c r="AE268" s="121"/>
      <c r="AF268" s="144"/>
    </row>
    <row r="269" ht="21.25" customHeight="1">
      <c r="A269" s="50"/>
      <c r="B269" t="s" s="126">
        <f>_xlfn.IFERROR(VLOOKUP($A269,'The List'!$B1:$AS665,3,FALSE)," ")</f>
        <v>858</v>
      </c>
      <c r="C269" t="s" s="128">
        <f>_xlfn.IFERROR(VLOOKUP($A269,'The List'!$B1:$AS665,4,FALSE)," ")</f>
        <v>858</v>
      </c>
      <c r="D269" t="s" s="86">
        <f>_xlfn.IFERROR(VLOOKUP($A269,'The List'!$B1:$AS665,5,FALSE)," ")</f>
        <v>858</v>
      </c>
      <c r="E269" t="s" s="86">
        <f>_xlfn.IFERROR(VLOOKUP($A269,'The List'!$B1:$AS665,6,FALSE)," ")</f>
        <v>858</v>
      </c>
      <c r="F269" t="s" s="124">
        <f>_xlfn.IFERROR(VLOOKUP($A269,'The List'!$B1:$AS665,8,FALSE)," ")</f>
        <v>858</v>
      </c>
      <c r="G269" t="s" s="124">
        <f>_xlfn.IFERROR(VLOOKUP($A269,'The List'!$B1:$AS665,10,FALSE)," ")</f>
        <v>858</v>
      </c>
      <c r="H269" s="77"/>
      <c r="I269" t="s" s="125">
        <f>_xlfn.IFERROR(VLOOKUP($A269,'The List'!$B1:$AS665,16,FALSE)," ")</f>
        <v>858</v>
      </c>
      <c r="J269" t="s" s="125">
        <f>_xlfn.IFERROR(VLOOKUP($A269,'The List'!$B1:$AS665,17,FALSE)," ")</f>
        <v>858</v>
      </c>
      <c r="K269" t="s" s="125">
        <f>_xlfn.IFERROR(VLOOKUP($A269,'The List'!$B1:$AS665,18,FALSE)," ")</f>
        <v>858</v>
      </c>
      <c r="L269" t="s" s="125">
        <f>_xlfn.IFERROR(VLOOKUP($A269,'The List'!$B1:$AS665,19,FALSE)," ")</f>
        <v>858</v>
      </c>
      <c r="M269" t="s" s="125">
        <f>_xlfn.IFERROR(VLOOKUP($A269,'The List'!$B1:$AS665,20,FALSE)," ")</f>
        <v>858</v>
      </c>
      <c r="N269" t="s" s="125">
        <f>_xlfn.IFERROR(VLOOKUP($A269,'The List'!$B1:$AS665,21,FALSE)," ")</f>
        <v>858</v>
      </c>
      <c r="O269" t="s" s="125">
        <f>_xlfn.IFERROR(VLOOKUP($A269,'The List'!$B1:$AS665,22,FALSE)," ")</f>
        <v>858</v>
      </c>
      <c r="P269" t="s" s="125">
        <f>_xlfn.IFERROR(VLOOKUP($A269,'The List'!$B1:$AS665,23,FALSE)," ")</f>
        <v>858</v>
      </c>
      <c r="Q269" t="s" s="125">
        <f>_xlfn.IFERROR(VLOOKUP($A269,'The List'!$B1:$AS665,24,FALSE)," ")</f>
        <v>858</v>
      </c>
      <c r="R269" t="s" s="125">
        <f>_xlfn.IFERROR(VLOOKUP($A269,'The List'!$B1:$AS665,25,FALSE)," ")</f>
        <v>858</v>
      </c>
      <c r="S269" t="s" s="125">
        <f>_xlfn.IFERROR(VLOOKUP($A269,'The List'!$B1:$AS665,26,FALSE)," ")</f>
        <v>858</v>
      </c>
      <c r="T269" t="s" s="125">
        <f>_xlfn.IFERROR(VLOOKUP($A269,'The List'!$B1:$AS665,27,FALSE)," ")</f>
        <v>858</v>
      </c>
      <c r="U269" t="s" s="125">
        <f>_xlfn.IFERROR(VLOOKUP($A269,'The List'!$B1:$AS665,28,FALSE)," ")</f>
        <v>858</v>
      </c>
      <c r="V269" t="s" s="125">
        <f>_xlfn.IFERROR(VLOOKUP($A269,'The List'!$B1:$AS665,29,FALSE)," ")</f>
        <v>858</v>
      </c>
      <c r="W269" t="s" s="125">
        <f>_xlfn.IFERROR(VLOOKUP($A269,'The List'!$B1:$AS665,30,FALSE)," ")</f>
        <v>858</v>
      </c>
      <c r="X269" t="s" s="125">
        <f>_xlfn.IFERROR(VLOOKUP($A269,'The List'!$B1:$AS665,31,FALSE)," ")</f>
        <v>858</v>
      </c>
      <c r="Y269" t="s" s="125">
        <f>_xlfn.IFERROR(VLOOKUP($A269,'The List'!$B1:$AS665,32,FALSE)," ")</f>
        <v>858</v>
      </c>
      <c r="Z269" t="s" s="125">
        <f>_xlfn.IFERROR(VLOOKUP($A269,'The List'!$B1:$AS665,33,FALSE)," ")</f>
        <v>858</v>
      </c>
      <c r="AA269" s="120"/>
      <c r="AB269" s="121"/>
      <c r="AC269" s="121"/>
      <c r="AD269" s="121"/>
      <c r="AE269" s="121"/>
      <c r="AF269" s="144"/>
    </row>
    <row r="270" ht="21.25" customHeight="1">
      <c r="A270" s="50"/>
      <c r="B270" t="s" s="126">
        <f>_xlfn.IFERROR(VLOOKUP($A270,'The List'!$B1:$AS665,3,FALSE)," ")</f>
        <v>858</v>
      </c>
      <c r="C270" t="s" s="128">
        <f>_xlfn.IFERROR(VLOOKUP($A270,'The List'!$B1:$AS665,4,FALSE)," ")</f>
        <v>858</v>
      </c>
      <c r="D270" t="s" s="86">
        <f>_xlfn.IFERROR(VLOOKUP($A270,'The List'!$B1:$AS665,5,FALSE)," ")</f>
        <v>858</v>
      </c>
      <c r="E270" t="s" s="86">
        <f>_xlfn.IFERROR(VLOOKUP($A270,'The List'!$B1:$AS665,6,FALSE)," ")</f>
        <v>858</v>
      </c>
      <c r="F270" t="s" s="124">
        <f>_xlfn.IFERROR(VLOOKUP($A270,'The List'!$B1:$AS665,8,FALSE)," ")</f>
        <v>858</v>
      </c>
      <c r="G270" t="s" s="124">
        <f>_xlfn.IFERROR(VLOOKUP($A270,'The List'!$B1:$AS665,10,FALSE)," ")</f>
        <v>858</v>
      </c>
      <c r="H270" s="77"/>
      <c r="I270" t="s" s="125">
        <f>_xlfn.IFERROR(VLOOKUP($A270,'The List'!$B1:$AS665,16,FALSE)," ")</f>
        <v>858</v>
      </c>
      <c r="J270" t="s" s="125">
        <f>_xlfn.IFERROR(VLOOKUP($A270,'The List'!$B1:$AS665,17,FALSE)," ")</f>
        <v>858</v>
      </c>
      <c r="K270" t="s" s="125">
        <f>_xlfn.IFERROR(VLOOKUP($A270,'The List'!$B1:$AS665,18,FALSE)," ")</f>
        <v>858</v>
      </c>
      <c r="L270" t="s" s="125">
        <f>_xlfn.IFERROR(VLOOKUP($A270,'The List'!$B1:$AS665,19,FALSE)," ")</f>
        <v>858</v>
      </c>
      <c r="M270" t="s" s="125">
        <f>_xlfn.IFERROR(VLOOKUP($A270,'The List'!$B1:$AS665,20,FALSE)," ")</f>
        <v>858</v>
      </c>
      <c r="N270" t="s" s="125">
        <f>_xlfn.IFERROR(VLOOKUP($A270,'The List'!$B1:$AS665,21,FALSE)," ")</f>
        <v>858</v>
      </c>
      <c r="O270" t="s" s="125">
        <f>_xlfn.IFERROR(VLOOKUP($A270,'The List'!$B1:$AS665,22,FALSE)," ")</f>
        <v>858</v>
      </c>
      <c r="P270" t="s" s="125">
        <f>_xlfn.IFERROR(VLOOKUP($A270,'The List'!$B1:$AS665,23,FALSE)," ")</f>
        <v>858</v>
      </c>
      <c r="Q270" t="s" s="125">
        <f>_xlfn.IFERROR(VLOOKUP($A270,'The List'!$B1:$AS665,24,FALSE)," ")</f>
        <v>858</v>
      </c>
      <c r="R270" t="s" s="125">
        <f>_xlfn.IFERROR(VLOOKUP($A270,'The List'!$B1:$AS665,25,FALSE)," ")</f>
        <v>858</v>
      </c>
      <c r="S270" t="s" s="125">
        <f>_xlfn.IFERROR(VLOOKUP($A270,'The List'!$B1:$AS665,26,FALSE)," ")</f>
        <v>858</v>
      </c>
      <c r="T270" t="s" s="125">
        <f>_xlfn.IFERROR(VLOOKUP($A270,'The List'!$B1:$AS665,27,FALSE)," ")</f>
        <v>858</v>
      </c>
      <c r="U270" t="s" s="125">
        <f>_xlfn.IFERROR(VLOOKUP($A270,'The List'!$B1:$AS665,28,FALSE)," ")</f>
        <v>858</v>
      </c>
      <c r="V270" t="s" s="125">
        <f>_xlfn.IFERROR(VLOOKUP($A270,'The List'!$B1:$AS665,29,FALSE)," ")</f>
        <v>858</v>
      </c>
      <c r="W270" t="s" s="125">
        <f>_xlfn.IFERROR(VLOOKUP($A270,'The List'!$B1:$AS665,30,FALSE)," ")</f>
        <v>858</v>
      </c>
      <c r="X270" t="s" s="125">
        <f>_xlfn.IFERROR(VLOOKUP($A270,'The List'!$B1:$AS665,31,FALSE)," ")</f>
        <v>858</v>
      </c>
      <c r="Y270" t="s" s="125">
        <f>_xlfn.IFERROR(VLOOKUP($A270,'The List'!$B1:$AS665,32,FALSE)," ")</f>
        <v>858</v>
      </c>
      <c r="Z270" t="s" s="125">
        <f>_xlfn.IFERROR(VLOOKUP($A270,'The List'!$B1:$AS665,33,FALSE)," ")</f>
        <v>858</v>
      </c>
      <c r="AA270" s="120"/>
      <c r="AB270" s="121"/>
      <c r="AC270" s="121"/>
      <c r="AD270" s="121"/>
      <c r="AE270" s="121"/>
      <c r="AF270" s="144"/>
    </row>
    <row r="271" ht="21.25" customHeight="1">
      <c r="A271" s="50"/>
      <c r="B271" t="s" s="129">
        <f>_xlfn.IFERROR(VLOOKUP($A271,'The List'!$B1:$AS665,3,FALSE)," ")</f>
        <v>858</v>
      </c>
      <c r="C271" t="s" s="131">
        <f>_xlfn.IFERROR(VLOOKUP($A271,'The List'!$B1:$AS665,4,FALSE)," ")</f>
        <v>858</v>
      </c>
      <c r="D271" t="s" s="86">
        <f>_xlfn.IFERROR(VLOOKUP($A271,'The List'!$B1:$AS665,5,FALSE)," ")</f>
        <v>858</v>
      </c>
      <c r="E271" t="s" s="86">
        <f>_xlfn.IFERROR(VLOOKUP($A271,'The List'!$B1:$AS665,6,FALSE)," ")</f>
        <v>858</v>
      </c>
      <c r="F271" t="s" s="124">
        <f>_xlfn.IFERROR(VLOOKUP($A271,'The List'!$B1:$AS665,8,FALSE)," ")</f>
        <v>858</v>
      </c>
      <c r="G271" t="s" s="124">
        <f>_xlfn.IFERROR(VLOOKUP($A271,'The List'!$B1:$AS665,10,FALSE)," ")</f>
        <v>858</v>
      </c>
      <c r="H271" s="77"/>
      <c r="I271" t="s" s="125">
        <f>_xlfn.IFERROR(VLOOKUP($A271,'The List'!$B1:$AS665,16,FALSE)," ")</f>
        <v>858</v>
      </c>
      <c r="J271" t="s" s="125">
        <f>_xlfn.IFERROR(VLOOKUP($A271,'The List'!$B1:$AS665,17,FALSE)," ")</f>
        <v>858</v>
      </c>
      <c r="K271" t="s" s="125">
        <f>_xlfn.IFERROR(VLOOKUP($A271,'The List'!$B1:$AS665,18,FALSE)," ")</f>
        <v>858</v>
      </c>
      <c r="L271" t="s" s="125">
        <f>_xlfn.IFERROR(VLOOKUP($A271,'The List'!$B1:$AS665,19,FALSE)," ")</f>
        <v>858</v>
      </c>
      <c r="M271" t="s" s="125">
        <f>_xlfn.IFERROR(VLOOKUP($A271,'The List'!$B1:$AS665,20,FALSE)," ")</f>
        <v>858</v>
      </c>
      <c r="N271" t="s" s="125">
        <f>_xlfn.IFERROR(VLOOKUP($A271,'The List'!$B1:$AS665,21,FALSE)," ")</f>
        <v>858</v>
      </c>
      <c r="O271" t="s" s="125">
        <f>_xlfn.IFERROR(VLOOKUP($A271,'The List'!$B1:$AS665,22,FALSE)," ")</f>
        <v>858</v>
      </c>
      <c r="P271" t="s" s="125">
        <f>_xlfn.IFERROR(VLOOKUP($A271,'The List'!$B1:$AS665,23,FALSE)," ")</f>
        <v>858</v>
      </c>
      <c r="Q271" t="s" s="125">
        <f>_xlfn.IFERROR(VLOOKUP($A271,'The List'!$B1:$AS665,24,FALSE)," ")</f>
        <v>858</v>
      </c>
      <c r="R271" t="s" s="125">
        <f>_xlfn.IFERROR(VLOOKUP($A271,'The List'!$B1:$AS665,25,FALSE)," ")</f>
        <v>858</v>
      </c>
      <c r="S271" t="s" s="125">
        <f>_xlfn.IFERROR(VLOOKUP($A271,'The List'!$B1:$AS665,26,FALSE)," ")</f>
        <v>858</v>
      </c>
      <c r="T271" t="s" s="125">
        <f>_xlfn.IFERROR(VLOOKUP($A271,'The List'!$B1:$AS665,27,FALSE)," ")</f>
        <v>858</v>
      </c>
      <c r="U271" t="s" s="125">
        <f>_xlfn.IFERROR(VLOOKUP($A271,'The List'!$B1:$AS665,28,FALSE)," ")</f>
        <v>858</v>
      </c>
      <c r="V271" t="s" s="125">
        <f>_xlfn.IFERROR(VLOOKUP($A271,'The List'!$B1:$AS665,29,FALSE)," ")</f>
        <v>858</v>
      </c>
      <c r="W271" t="s" s="125">
        <f>_xlfn.IFERROR(VLOOKUP($A271,'The List'!$B1:$AS665,30,FALSE)," ")</f>
        <v>858</v>
      </c>
      <c r="X271" t="s" s="125">
        <f>_xlfn.IFERROR(VLOOKUP($A271,'The List'!$B1:$AS665,31,FALSE)," ")</f>
        <v>858</v>
      </c>
      <c r="Y271" t="s" s="125">
        <f>_xlfn.IFERROR(VLOOKUP($A271,'The List'!$B1:$AS665,32,FALSE)," ")</f>
        <v>858</v>
      </c>
      <c r="Z271" t="s" s="125">
        <f>_xlfn.IFERROR(VLOOKUP($A271,'The List'!$B1:$AS665,33,FALSE)," ")</f>
        <v>858</v>
      </c>
      <c r="AA271" s="120"/>
      <c r="AB271" s="121"/>
      <c r="AC271" s="121"/>
      <c r="AD271" s="121"/>
      <c r="AE271" s="121"/>
      <c r="AF271" s="144"/>
    </row>
    <row r="272" ht="21.25" customHeight="1">
      <c r="A272" s="50"/>
      <c r="B272" t="s" s="129">
        <f>_xlfn.IFERROR(VLOOKUP($A272,'The List'!$B1:$AS665,3,FALSE)," ")</f>
        <v>858</v>
      </c>
      <c r="C272" t="s" s="131">
        <f>_xlfn.IFERROR(VLOOKUP($A272,'The List'!$B1:$AS665,4,FALSE)," ")</f>
        <v>858</v>
      </c>
      <c r="D272" t="s" s="86">
        <f>_xlfn.IFERROR(VLOOKUP($A272,'The List'!$B1:$AS665,5,FALSE)," ")</f>
        <v>858</v>
      </c>
      <c r="E272" t="s" s="86">
        <f>_xlfn.IFERROR(VLOOKUP($A272,'The List'!$B1:$AS665,6,FALSE)," ")</f>
        <v>858</v>
      </c>
      <c r="F272" t="s" s="124">
        <f>_xlfn.IFERROR(VLOOKUP($A272,'The List'!$B1:$AS665,8,FALSE)," ")</f>
        <v>858</v>
      </c>
      <c r="G272" t="s" s="124">
        <f>_xlfn.IFERROR(VLOOKUP($A272,'The List'!$B1:$AS665,10,FALSE)," ")</f>
        <v>858</v>
      </c>
      <c r="H272" s="77"/>
      <c r="I272" t="s" s="125">
        <f>_xlfn.IFERROR(VLOOKUP($A272,'The List'!$B1:$AS665,16,FALSE)," ")</f>
        <v>858</v>
      </c>
      <c r="J272" t="s" s="125">
        <f>_xlfn.IFERROR(VLOOKUP($A272,'The List'!$B1:$AS665,17,FALSE)," ")</f>
        <v>858</v>
      </c>
      <c r="K272" t="s" s="125">
        <f>_xlfn.IFERROR(VLOOKUP($A272,'The List'!$B1:$AS665,18,FALSE)," ")</f>
        <v>858</v>
      </c>
      <c r="L272" t="s" s="125">
        <f>_xlfn.IFERROR(VLOOKUP($A272,'The List'!$B1:$AS665,19,FALSE)," ")</f>
        <v>858</v>
      </c>
      <c r="M272" t="s" s="125">
        <f>_xlfn.IFERROR(VLOOKUP($A272,'The List'!$B1:$AS665,20,FALSE)," ")</f>
        <v>858</v>
      </c>
      <c r="N272" t="s" s="125">
        <f>_xlfn.IFERROR(VLOOKUP($A272,'The List'!$B1:$AS665,21,FALSE)," ")</f>
        <v>858</v>
      </c>
      <c r="O272" t="s" s="125">
        <f>_xlfn.IFERROR(VLOOKUP($A272,'The List'!$B1:$AS665,22,FALSE)," ")</f>
        <v>858</v>
      </c>
      <c r="P272" t="s" s="125">
        <f>_xlfn.IFERROR(VLOOKUP($A272,'The List'!$B1:$AS665,23,FALSE)," ")</f>
        <v>858</v>
      </c>
      <c r="Q272" t="s" s="125">
        <f>_xlfn.IFERROR(VLOOKUP($A272,'The List'!$B1:$AS665,24,FALSE)," ")</f>
        <v>858</v>
      </c>
      <c r="R272" t="s" s="125">
        <f>_xlfn.IFERROR(VLOOKUP($A272,'The List'!$B1:$AS665,25,FALSE)," ")</f>
        <v>858</v>
      </c>
      <c r="S272" t="s" s="125">
        <f>_xlfn.IFERROR(VLOOKUP($A272,'The List'!$B1:$AS665,26,FALSE)," ")</f>
        <v>858</v>
      </c>
      <c r="T272" t="s" s="125">
        <f>_xlfn.IFERROR(VLOOKUP($A272,'The List'!$B1:$AS665,27,FALSE)," ")</f>
        <v>858</v>
      </c>
      <c r="U272" t="s" s="125">
        <f>_xlfn.IFERROR(VLOOKUP($A272,'The List'!$B1:$AS665,28,FALSE)," ")</f>
        <v>858</v>
      </c>
      <c r="V272" t="s" s="125">
        <f>_xlfn.IFERROR(VLOOKUP($A272,'The List'!$B1:$AS665,29,FALSE)," ")</f>
        <v>858</v>
      </c>
      <c r="W272" t="s" s="125">
        <f>_xlfn.IFERROR(VLOOKUP($A272,'The List'!$B1:$AS665,30,FALSE)," ")</f>
        <v>858</v>
      </c>
      <c r="X272" t="s" s="125">
        <f>_xlfn.IFERROR(VLOOKUP($A272,'The List'!$B1:$AS665,31,FALSE)," ")</f>
        <v>858</v>
      </c>
      <c r="Y272" t="s" s="125">
        <f>_xlfn.IFERROR(VLOOKUP($A272,'The List'!$B1:$AS665,32,FALSE)," ")</f>
        <v>858</v>
      </c>
      <c r="Z272" t="s" s="125">
        <f>_xlfn.IFERROR(VLOOKUP($A272,'The List'!$B1:$AS665,33,FALSE)," ")</f>
        <v>858</v>
      </c>
      <c r="AA272" s="120"/>
      <c r="AB272" s="121"/>
      <c r="AC272" s="121"/>
      <c r="AD272" s="121"/>
      <c r="AE272" s="121"/>
      <c r="AF272" s="144"/>
    </row>
    <row r="273" ht="21.25" customHeight="1">
      <c r="A273" s="50"/>
      <c r="B273" t="s" s="129">
        <f>_xlfn.IFERROR(VLOOKUP($A273,'The List'!$B1:$AS665,3,FALSE)," ")</f>
        <v>858</v>
      </c>
      <c r="C273" t="s" s="131">
        <f>_xlfn.IFERROR(VLOOKUP($A273,'The List'!$B1:$AS665,4,FALSE)," ")</f>
        <v>858</v>
      </c>
      <c r="D273" t="s" s="86">
        <f>_xlfn.IFERROR(VLOOKUP($A273,'The List'!$B1:$AS665,5,FALSE)," ")</f>
        <v>858</v>
      </c>
      <c r="E273" t="s" s="86">
        <f>_xlfn.IFERROR(VLOOKUP($A273,'The List'!$B1:$AS665,6,FALSE)," ")</f>
        <v>858</v>
      </c>
      <c r="F273" t="s" s="124">
        <f>_xlfn.IFERROR(VLOOKUP($A273,'The List'!$B1:$AS665,8,FALSE)," ")</f>
        <v>858</v>
      </c>
      <c r="G273" t="s" s="124">
        <f>_xlfn.IFERROR(VLOOKUP($A273,'The List'!$B1:$AS665,10,FALSE)," ")</f>
        <v>858</v>
      </c>
      <c r="H273" s="77"/>
      <c r="I273" t="s" s="125">
        <f>_xlfn.IFERROR(VLOOKUP($A273,'The List'!$B1:$AS665,16,FALSE)," ")</f>
        <v>858</v>
      </c>
      <c r="J273" t="s" s="125">
        <f>_xlfn.IFERROR(VLOOKUP($A273,'The List'!$B1:$AS665,17,FALSE)," ")</f>
        <v>858</v>
      </c>
      <c r="K273" t="s" s="125">
        <f>_xlfn.IFERROR(VLOOKUP($A273,'The List'!$B1:$AS665,18,FALSE)," ")</f>
        <v>858</v>
      </c>
      <c r="L273" t="s" s="125">
        <f>_xlfn.IFERROR(VLOOKUP($A273,'The List'!$B1:$AS665,19,FALSE)," ")</f>
        <v>858</v>
      </c>
      <c r="M273" t="s" s="125">
        <f>_xlfn.IFERROR(VLOOKUP($A273,'The List'!$B1:$AS665,20,FALSE)," ")</f>
        <v>858</v>
      </c>
      <c r="N273" t="s" s="125">
        <f>_xlfn.IFERROR(VLOOKUP($A273,'The List'!$B1:$AS665,21,FALSE)," ")</f>
        <v>858</v>
      </c>
      <c r="O273" t="s" s="125">
        <f>_xlfn.IFERROR(VLOOKUP($A273,'The List'!$B1:$AS665,22,FALSE)," ")</f>
        <v>858</v>
      </c>
      <c r="P273" t="s" s="125">
        <f>_xlfn.IFERROR(VLOOKUP($A273,'The List'!$B1:$AS665,23,FALSE)," ")</f>
        <v>858</v>
      </c>
      <c r="Q273" t="s" s="125">
        <f>_xlfn.IFERROR(VLOOKUP($A273,'The List'!$B1:$AS665,24,FALSE)," ")</f>
        <v>858</v>
      </c>
      <c r="R273" t="s" s="125">
        <f>_xlfn.IFERROR(VLOOKUP($A273,'The List'!$B1:$AS665,25,FALSE)," ")</f>
        <v>858</v>
      </c>
      <c r="S273" t="s" s="125">
        <f>_xlfn.IFERROR(VLOOKUP($A273,'The List'!$B1:$AS665,26,FALSE)," ")</f>
        <v>858</v>
      </c>
      <c r="T273" t="s" s="125">
        <f>_xlfn.IFERROR(VLOOKUP($A273,'The List'!$B1:$AS665,27,FALSE)," ")</f>
        <v>858</v>
      </c>
      <c r="U273" t="s" s="125">
        <f>_xlfn.IFERROR(VLOOKUP($A273,'The List'!$B1:$AS665,28,FALSE)," ")</f>
        <v>858</v>
      </c>
      <c r="V273" t="s" s="125">
        <f>_xlfn.IFERROR(VLOOKUP($A273,'The List'!$B1:$AS665,29,FALSE)," ")</f>
        <v>858</v>
      </c>
      <c r="W273" t="s" s="125">
        <f>_xlfn.IFERROR(VLOOKUP($A273,'The List'!$B1:$AS665,30,FALSE)," ")</f>
        <v>858</v>
      </c>
      <c r="X273" t="s" s="125">
        <f>_xlfn.IFERROR(VLOOKUP($A273,'The List'!$B1:$AS665,31,FALSE)," ")</f>
        <v>858</v>
      </c>
      <c r="Y273" t="s" s="125">
        <f>_xlfn.IFERROR(VLOOKUP($A273,'The List'!$B1:$AS665,32,FALSE)," ")</f>
        <v>858</v>
      </c>
      <c r="Z273" t="s" s="125">
        <f>_xlfn.IFERROR(VLOOKUP($A273,'The List'!$B1:$AS665,33,FALSE)," ")</f>
        <v>858</v>
      </c>
      <c r="AA273" s="120"/>
      <c r="AB273" s="121"/>
      <c r="AC273" s="121"/>
      <c r="AD273" s="121"/>
      <c r="AE273" s="121"/>
      <c r="AF273" s="144"/>
    </row>
    <row r="274" ht="21.25" customHeight="1">
      <c r="A274" s="50"/>
      <c r="B274" t="s" s="129">
        <f>_xlfn.IFERROR(VLOOKUP($A274,'The List'!$B1:$AS665,3,FALSE)," ")</f>
        <v>858</v>
      </c>
      <c r="C274" t="s" s="131">
        <f>_xlfn.IFERROR(VLOOKUP($A274,'The List'!$B1:$AS665,4,FALSE)," ")</f>
        <v>858</v>
      </c>
      <c r="D274" t="s" s="86">
        <f>_xlfn.IFERROR(VLOOKUP($A274,'The List'!$B1:$AS665,5,FALSE)," ")</f>
        <v>858</v>
      </c>
      <c r="E274" t="s" s="86">
        <f>_xlfn.IFERROR(VLOOKUP($A274,'The List'!$B1:$AS665,6,FALSE)," ")</f>
        <v>858</v>
      </c>
      <c r="F274" t="s" s="124">
        <f>_xlfn.IFERROR(VLOOKUP($A274,'The List'!$B1:$AS665,8,FALSE)," ")</f>
        <v>858</v>
      </c>
      <c r="G274" t="s" s="124">
        <f>_xlfn.IFERROR(VLOOKUP($A274,'The List'!$B1:$AS665,10,FALSE)," ")</f>
        <v>858</v>
      </c>
      <c r="H274" s="77"/>
      <c r="I274" t="s" s="125">
        <f>_xlfn.IFERROR(VLOOKUP($A274,'The List'!$B1:$AS665,16,FALSE)," ")</f>
        <v>858</v>
      </c>
      <c r="J274" t="s" s="125">
        <f>_xlfn.IFERROR(VLOOKUP($A274,'The List'!$B1:$AS665,17,FALSE)," ")</f>
        <v>858</v>
      </c>
      <c r="K274" t="s" s="125">
        <f>_xlfn.IFERROR(VLOOKUP($A274,'The List'!$B1:$AS665,18,FALSE)," ")</f>
        <v>858</v>
      </c>
      <c r="L274" t="s" s="125">
        <f>_xlfn.IFERROR(VLOOKUP($A274,'The List'!$B1:$AS665,19,FALSE)," ")</f>
        <v>858</v>
      </c>
      <c r="M274" t="s" s="125">
        <f>_xlfn.IFERROR(VLOOKUP($A274,'The List'!$B1:$AS665,20,FALSE)," ")</f>
        <v>858</v>
      </c>
      <c r="N274" t="s" s="125">
        <f>_xlfn.IFERROR(VLOOKUP($A274,'The List'!$B1:$AS665,21,FALSE)," ")</f>
        <v>858</v>
      </c>
      <c r="O274" t="s" s="125">
        <f>_xlfn.IFERROR(VLOOKUP($A274,'The List'!$B1:$AS665,22,FALSE)," ")</f>
        <v>858</v>
      </c>
      <c r="P274" t="s" s="125">
        <f>_xlfn.IFERROR(VLOOKUP($A274,'The List'!$B1:$AS665,23,FALSE)," ")</f>
        <v>858</v>
      </c>
      <c r="Q274" t="s" s="125">
        <f>_xlfn.IFERROR(VLOOKUP($A274,'The List'!$B1:$AS665,24,FALSE)," ")</f>
        <v>858</v>
      </c>
      <c r="R274" t="s" s="125">
        <f>_xlfn.IFERROR(VLOOKUP($A274,'The List'!$B1:$AS665,25,FALSE)," ")</f>
        <v>858</v>
      </c>
      <c r="S274" t="s" s="125">
        <f>_xlfn.IFERROR(VLOOKUP($A274,'The List'!$B1:$AS665,26,FALSE)," ")</f>
        <v>858</v>
      </c>
      <c r="T274" t="s" s="125">
        <f>_xlfn.IFERROR(VLOOKUP($A274,'The List'!$B1:$AS665,27,FALSE)," ")</f>
        <v>858</v>
      </c>
      <c r="U274" t="s" s="125">
        <f>_xlfn.IFERROR(VLOOKUP($A274,'The List'!$B1:$AS665,28,FALSE)," ")</f>
        <v>858</v>
      </c>
      <c r="V274" t="s" s="125">
        <f>_xlfn.IFERROR(VLOOKUP($A274,'The List'!$B1:$AS665,29,FALSE)," ")</f>
        <v>858</v>
      </c>
      <c r="W274" t="s" s="125">
        <f>_xlfn.IFERROR(VLOOKUP($A274,'The List'!$B1:$AS665,30,FALSE)," ")</f>
        <v>858</v>
      </c>
      <c r="X274" t="s" s="125">
        <f>_xlfn.IFERROR(VLOOKUP($A274,'The List'!$B1:$AS665,31,FALSE)," ")</f>
        <v>858</v>
      </c>
      <c r="Y274" t="s" s="125">
        <f>_xlfn.IFERROR(VLOOKUP($A274,'The List'!$B1:$AS665,32,FALSE)," ")</f>
        <v>858</v>
      </c>
      <c r="Z274" t="s" s="125">
        <f>_xlfn.IFERROR(VLOOKUP($A274,'The List'!$B1:$AS665,33,FALSE)," ")</f>
        <v>858</v>
      </c>
      <c r="AA274" s="120"/>
      <c r="AB274" s="121"/>
      <c r="AC274" s="121"/>
      <c r="AD274" s="121"/>
      <c r="AE274" s="121"/>
      <c r="AF274" s="144"/>
    </row>
    <row r="275" ht="21.25" customHeight="1">
      <c r="A275" s="50"/>
      <c r="B275" t="s" s="132">
        <f>_xlfn.IFERROR(VLOOKUP($A275,'The List'!$B1:$AS665,3,FALSE)," ")</f>
        <v>858</v>
      </c>
      <c r="C275" t="s" s="134">
        <f>_xlfn.IFERROR(VLOOKUP($A275,'The List'!$B1:$AS665,4,FALSE)," ")</f>
        <v>858</v>
      </c>
      <c r="D275" t="s" s="86">
        <f>_xlfn.IFERROR(VLOOKUP($A275,'The List'!$B1:$AS665,5,FALSE)," ")</f>
        <v>858</v>
      </c>
      <c r="E275" t="s" s="86">
        <f>_xlfn.IFERROR(VLOOKUP($A275,'The List'!$B1:$AS665,6,FALSE)," ")</f>
        <v>858</v>
      </c>
      <c r="F275" t="s" s="124">
        <f>_xlfn.IFERROR(VLOOKUP($A275,'The List'!$B1:$AS665,8,FALSE)," ")</f>
        <v>858</v>
      </c>
      <c r="G275" t="s" s="124">
        <f>_xlfn.IFERROR(VLOOKUP($A275,'The List'!$B1:$AS665,10,FALSE)," ")</f>
        <v>858</v>
      </c>
      <c r="H275" s="77"/>
      <c r="I275" t="s" s="125">
        <f>_xlfn.IFERROR(VLOOKUP($A275,'The List'!$B1:$AS665,16,FALSE)," ")</f>
        <v>858</v>
      </c>
      <c r="J275" t="s" s="125">
        <f>_xlfn.IFERROR(VLOOKUP($A275,'The List'!$B1:$AS665,17,FALSE)," ")</f>
        <v>858</v>
      </c>
      <c r="K275" t="s" s="125">
        <f>_xlfn.IFERROR(VLOOKUP($A275,'The List'!$B1:$AS665,18,FALSE)," ")</f>
        <v>858</v>
      </c>
      <c r="L275" t="s" s="125">
        <f>_xlfn.IFERROR(VLOOKUP($A275,'The List'!$B1:$AS665,19,FALSE)," ")</f>
        <v>858</v>
      </c>
      <c r="M275" t="s" s="125">
        <f>_xlfn.IFERROR(VLOOKUP($A275,'The List'!$B1:$AS665,20,FALSE)," ")</f>
        <v>858</v>
      </c>
      <c r="N275" t="s" s="125">
        <f>_xlfn.IFERROR(VLOOKUP($A275,'The List'!$B1:$AS665,21,FALSE)," ")</f>
        <v>858</v>
      </c>
      <c r="O275" t="s" s="125">
        <f>_xlfn.IFERROR(VLOOKUP($A275,'The List'!$B1:$AS665,22,FALSE)," ")</f>
        <v>858</v>
      </c>
      <c r="P275" t="s" s="125">
        <f>_xlfn.IFERROR(VLOOKUP($A275,'The List'!$B1:$AS665,23,FALSE)," ")</f>
        <v>858</v>
      </c>
      <c r="Q275" t="s" s="125">
        <f>_xlfn.IFERROR(VLOOKUP($A275,'The List'!$B1:$AS665,24,FALSE)," ")</f>
        <v>858</v>
      </c>
      <c r="R275" t="s" s="125">
        <f>_xlfn.IFERROR(VLOOKUP($A275,'The List'!$B1:$AS665,25,FALSE)," ")</f>
        <v>858</v>
      </c>
      <c r="S275" t="s" s="125">
        <f>_xlfn.IFERROR(VLOOKUP($A275,'The List'!$B1:$AS665,26,FALSE)," ")</f>
        <v>858</v>
      </c>
      <c r="T275" t="s" s="125">
        <f>_xlfn.IFERROR(VLOOKUP($A275,'The List'!$B1:$AS665,27,FALSE)," ")</f>
        <v>858</v>
      </c>
      <c r="U275" t="s" s="125">
        <f>_xlfn.IFERROR(VLOOKUP($A275,'The List'!$B1:$AS665,28,FALSE)," ")</f>
        <v>858</v>
      </c>
      <c r="V275" t="s" s="125">
        <f>_xlfn.IFERROR(VLOOKUP($A275,'The List'!$B1:$AS665,29,FALSE)," ")</f>
        <v>858</v>
      </c>
      <c r="W275" t="s" s="125">
        <f>_xlfn.IFERROR(VLOOKUP($A275,'The List'!$B1:$AS665,30,FALSE)," ")</f>
        <v>858</v>
      </c>
      <c r="X275" t="s" s="125">
        <f>_xlfn.IFERROR(VLOOKUP($A275,'The List'!$B1:$AS665,31,FALSE)," ")</f>
        <v>858</v>
      </c>
      <c r="Y275" t="s" s="125">
        <f>_xlfn.IFERROR(VLOOKUP($A275,'The List'!$B1:$AS665,32,FALSE)," ")</f>
        <v>858</v>
      </c>
      <c r="Z275" t="s" s="125">
        <f>_xlfn.IFERROR(VLOOKUP($A275,'The List'!$B1:$AS665,33,FALSE)," ")</f>
        <v>858</v>
      </c>
      <c r="AA275" s="120"/>
      <c r="AB275" s="121"/>
      <c r="AC275" s="121"/>
      <c r="AD275" s="121"/>
      <c r="AE275" s="121"/>
      <c r="AF275" s="144"/>
    </row>
    <row r="276" ht="21.25" customHeight="1">
      <c r="A276" s="50"/>
      <c r="B276" t="s" s="132">
        <f>_xlfn.IFERROR(VLOOKUP($A276,'The List'!$B1:$AS665,3,FALSE)," ")</f>
        <v>858</v>
      </c>
      <c r="C276" t="s" s="134">
        <f>_xlfn.IFERROR(VLOOKUP($A276,'The List'!$B1:$AS665,4,FALSE)," ")</f>
        <v>858</v>
      </c>
      <c r="D276" t="s" s="86">
        <f>_xlfn.IFERROR(VLOOKUP($A276,'The List'!$B1:$AS665,5,FALSE)," ")</f>
        <v>858</v>
      </c>
      <c r="E276" t="s" s="86">
        <f>_xlfn.IFERROR(VLOOKUP($A276,'The List'!$B1:$AS665,6,FALSE)," ")</f>
        <v>858</v>
      </c>
      <c r="F276" t="s" s="124">
        <f>_xlfn.IFERROR(VLOOKUP($A276,'The List'!$B1:$AS665,8,FALSE)," ")</f>
        <v>858</v>
      </c>
      <c r="G276" t="s" s="124">
        <f>_xlfn.IFERROR(VLOOKUP($A276,'The List'!$B1:$AS665,10,FALSE)," ")</f>
        <v>858</v>
      </c>
      <c r="H276" s="77"/>
      <c r="I276" t="s" s="125">
        <f>_xlfn.IFERROR(VLOOKUP($A276,'The List'!$B1:$AS665,16,FALSE)," ")</f>
        <v>858</v>
      </c>
      <c r="J276" t="s" s="125">
        <f>_xlfn.IFERROR(VLOOKUP($A276,'The List'!$B1:$AS665,17,FALSE)," ")</f>
        <v>858</v>
      </c>
      <c r="K276" t="s" s="125">
        <f>_xlfn.IFERROR(VLOOKUP($A276,'The List'!$B1:$AS665,18,FALSE)," ")</f>
        <v>858</v>
      </c>
      <c r="L276" t="s" s="125">
        <f>_xlfn.IFERROR(VLOOKUP($A276,'The List'!$B1:$AS665,19,FALSE)," ")</f>
        <v>858</v>
      </c>
      <c r="M276" t="s" s="125">
        <f>_xlfn.IFERROR(VLOOKUP($A276,'The List'!$B1:$AS665,20,FALSE)," ")</f>
        <v>858</v>
      </c>
      <c r="N276" t="s" s="125">
        <f>_xlfn.IFERROR(VLOOKUP($A276,'The List'!$B1:$AS665,21,FALSE)," ")</f>
        <v>858</v>
      </c>
      <c r="O276" t="s" s="125">
        <f>_xlfn.IFERROR(VLOOKUP($A276,'The List'!$B1:$AS665,22,FALSE)," ")</f>
        <v>858</v>
      </c>
      <c r="P276" t="s" s="125">
        <f>_xlfn.IFERROR(VLOOKUP($A276,'The List'!$B1:$AS665,23,FALSE)," ")</f>
        <v>858</v>
      </c>
      <c r="Q276" t="s" s="125">
        <f>_xlfn.IFERROR(VLOOKUP($A276,'The List'!$B1:$AS665,24,FALSE)," ")</f>
        <v>858</v>
      </c>
      <c r="R276" t="s" s="125">
        <f>_xlfn.IFERROR(VLOOKUP($A276,'The List'!$B1:$AS665,25,FALSE)," ")</f>
        <v>858</v>
      </c>
      <c r="S276" t="s" s="125">
        <f>_xlfn.IFERROR(VLOOKUP($A276,'The List'!$B1:$AS665,26,FALSE)," ")</f>
        <v>858</v>
      </c>
      <c r="T276" t="s" s="125">
        <f>_xlfn.IFERROR(VLOOKUP($A276,'The List'!$B1:$AS665,27,FALSE)," ")</f>
        <v>858</v>
      </c>
      <c r="U276" t="s" s="125">
        <f>_xlfn.IFERROR(VLOOKUP($A276,'The List'!$B1:$AS665,28,FALSE)," ")</f>
        <v>858</v>
      </c>
      <c r="V276" t="s" s="125">
        <f>_xlfn.IFERROR(VLOOKUP($A276,'The List'!$B1:$AS665,29,FALSE)," ")</f>
        <v>858</v>
      </c>
      <c r="W276" t="s" s="125">
        <f>_xlfn.IFERROR(VLOOKUP($A276,'The List'!$B1:$AS665,30,FALSE)," ")</f>
        <v>858</v>
      </c>
      <c r="X276" t="s" s="125">
        <f>_xlfn.IFERROR(VLOOKUP($A276,'The List'!$B1:$AS665,31,FALSE)," ")</f>
        <v>858</v>
      </c>
      <c r="Y276" t="s" s="125">
        <f>_xlfn.IFERROR(VLOOKUP($A276,'The List'!$B1:$AS665,32,FALSE)," ")</f>
        <v>858</v>
      </c>
      <c r="Z276" t="s" s="125">
        <f>_xlfn.IFERROR(VLOOKUP($A276,'The List'!$B1:$AS665,33,FALSE)," ")</f>
        <v>858</v>
      </c>
      <c r="AA276" s="120"/>
      <c r="AB276" s="121"/>
      <c r="AC276" s="121"/>
      <c r="AD276" s="121"/>
      <c r="AE276" s="121"/>
      <c r="AF276" s="144"/>
    </row>
    <row r="277" ht="21.25" customHeight="1">
      <c r="A277" s="50"/>
      <c r="B277" t="s" s="132">
        <f>_xlfn.IFERROR(VLOOKUP($A277,'The List'!$B1:$AS665,3,FALSE)," ")</f>
        <v>858</v>
      </c>
      <c r="C277" t="s" s="134">
        <f>_xlfn.IFERROR(VLOOKUP($A277,'The List'!$B1:$AS665,4,FALSE)," ")</f>
        <v>858</v>
      </c>
      <c r="D277" t="s" s="86">
        <f>_xlfn.IFERROR(VLOOKUP($A277,'The List'!$B1:$AS665,5,FALSE)," ")</f>
        <v>858</v>
      </c>
      <c r="E277" t="s" s="86">
        <f>_xlfn.IFERROR(VLOOKUP($A277,'The List'!$B1:$AS665,6,FALSE)," ")</f>
        <v>858</v>
      </c>
      <c r="F277" t="s" s="124">
        <f>_xlfn.IFERROR(VLOOKUP($A277,'The List'!$B1:$AS665,8,FALSE)," ")</f>
        <v>858</v>
      </c>
      <c r="G277" t="s" s="124">
        <f>_xlfn.IFERROR(VLOOKUP($A277,'The List'!$B1:$AS665,10,FALSE)," ")</f>
        <v>858</v>
      </c>
      <c r="H277" s="77"/>
      <c r="I277" t="s" s="125">
        <f>_xlfn.IFERROR(VLOOKUP($A277,'The List'!$B1:$AS665,16,FALSE)," ")</f>
        <v>858</v>
      </c>
      <c r="J277" t="s" s="125">
        <f>_xlfn.IFERROR(VLOOKUP($A277,'The List'!$B1:$AS665,17,FALSE)," ")</f>
        <v>858</v>
      </c>
      <c r="K277" t="s" s="125">
        <f>_xlfn.IFERROR(VLOOKUP($A277,'The List'!$B1:$AS665,18,FALSE)," ")</f>
        <v>858</v>
      </c>
      <c r="L277" t="s" s="125">
        <f>_xlfn.IFERROR(VLOOKUP($A277,'The List'!$B1:$AS665,19,FALSE)," ")</f>
        <v>858</v>
      </c>
      <c r="M277" t="s" s="125">
        <f>_xlfn.IFERROR(VLOOKUP($A277,'The List'!$B1:$AS665,20,FALSE)," ")</f>
        <v>858</v>
      </c>
      <c r="N277" t="s" s="125">
        <f>_xlfn.IFERROR(VLOOKUP($A277,'The List'!$B1:$AS665,21,FALSE)," ")</f>
        <v>858</v>
      </c>
      <c r="O277" t="s" s="125">
        <f>_xlfn.IFERROR(VLOOKUP($A277,'The List'!$B1:$AS665,22,FALSE)," ")</f>
        <v>858</v>
      </c>
      <c r="P277" t="s" s="125">
        <f>_xlfn.IFERROR(VLOOKUP($A277,'The List'!$B1:$AS665,23,FALSE)," ")</f>
        <v>858</v>
      </c>
      <c r="Q277" t="s" s="125">
        <f>_xlfn.IFERROR(VLOOKUP($A277,'The List'!$B1:$AS665,24,FALSE)," ")</f>
        <v>858</v>
      </c>
      <c r="R277" t="s" s="125">
        <f>_xlfn.IFERROR(VLOOKUP($A277,'The List'!$B1:$AS665,25,FALSE)," ")</f>
        <v>858</v>
      </c>
      <c r="S277" t="s" s="125">
        <f>_xlfn.IFERROR(VLOOKUP($A277,'The List'!$B1:$AS665,26,FALSE)," ")</f>
        <v>858</v>
      </c>
      <c r="T277" t="s" s="125">
        <f>_xlfn.IFERROR(VLOOKUP($A277,'The List'!$B1:$AS665,27,FALSE)," ")</f>
        <v>858</v>
      </c>
      <c r="U277" t="s" s="125">
        <f>_xlfn.IFERROR(VLOOKUP($A277,'The List'!$B1:$AS665,28,FALSE)," ")</f>
        <v>858</v>
      </c>
      <c r="V277" t="s" s="125">
        <f>_xlfn.IFERROR(VLOOKUP($A277,'The List'!$B1:$AS665,29,FALSE)," ")</f>
        <v>858</v>
      </c>
      <c r="W277" t="s" s="125">
        <f>_xlfn.IFERROR(VLOOKUP($A277,'The List'!$B1:$AS665,30,FALSE)," ")</f>
        <v>858</v>
      </c>
      <c r="X277" t="s" s="125">
        <f>_xlfn.IFERROR(VLOOKUP($A277,'The List'!$B1:$AS665,31,FALSE)," ")</f>
        <v>858</v>
      </c>
      <c r="Y277" t="s" s="125">
        <f>_xlfn.IFERROR(VLOOKUP($A277,'The List'!$B1:$AS665,32,FALSE)," ")</f>
        <v>858</v>
      </c>
      <c r="Z277" t="s" s="125">
        <f>_xlfn.IFERROR(VLOOKUP($A277,'The List'!$B1:$AS665,33,FALSE)," ")</f>
        <v>858</v>
      </c>
      <c r="AA277" s="120"/>
      <c r="AB277" s="121"/>
      <c r="AC277" s="121"/>
      <c r="AD277" s="121"/>
      <c r="AE277" s="121"/>
      <c r="AF277" s="144"/>
    </row>
    <row r="278" ht="21.25" customHeight="1">
      <c r="A278" s="50"/>
      <c r="B278" t="s" s="132">
        <f>_xlfn.IFERROR(VLOOKUP($A278,'The List'!$B1:$AS665,3,FALSE)," ")</f>
        <v>858</v>
      </c>
      <c r="C278" t="s" s="134">
        <f>_xlfn.IFERROR(VLOOKUP($A278,'The List'!$B1:$AS665,4,FALSE)," ")</f>
        <v>858</v>
      </c>
      <c r="D278" t="s" s="86">
        <f>_xlfn.IFERROR(VLOOKUP($A278,'The List'!$B1:$AS665,5,FALSE)," ")</f>
        <v>858</v>
      </c>
      <c r="E278" t="s" s="86">
        <f>_xlfn.IFERROR(VLOOKUP($A278,'The List'!$B1:$AS665,6,FALSE)," ")</f>
        <v>858</v>
      </c>
      <c r="F278" t="s" s="124">
        <f>_xlfn.IFERROR(VLOOKUP($A278,'The List'!$B1:$AS665,8,FALSE)," ")</f>
        <v>858</v>
      </c>
      <c r="G278" t="s" s="124">
        <f>_xlfn.IFERROR(VLOOKUP($A278,'The List'!$B1:$AS665,10,FALSE)," ")</f>
        <v>858</v>
      </c>
      <c r="H278" s="77"/>
      <c r="I278" t="s" s="125">
        <f>_xlfn.IFERROR(VLOOKUP($A278,'The List'!$B1:$AS665,16,FALSE)," ")</f>
        <v>858</v>
      </c>
      <c r="J278" t="s" s="125">
        <f>_xlfn.IFERROR(VLOOKUP($A278,'The List'!$B1:$AS665,17,FALSE)," ")</f>
        <v>858</v>
      </c>
      <c r="K278" t="s" s="125">
        <f>_xlfn.IFERROR(VLOOKUP($A278,'The List'!$B1:$AS665,18,FALSE)," ")</f>
        <v>858</v>
      </c>
      <c r="L278" t="s" s="125">
        <f>_xlfn.IFERROR(VLOOKUP($A278,'The List'!$B1:$AS665,19,FALSE)," ")</f>
        <v>858</v>
      </c>
      <c r="M278" t="s" s="125">
        <f>_xlfn.IFERROR(VLOOKUP($A278,'The List'!$B1:$AS665,20,FALSE)," ")</f>
        <v>858</v>
      </c>
      <c r="N278" t="s" s="125">
        <f>_xlfn.IFERROR(VLOOKUP($A278,'The List'!$B1:$AS665,21,FALSE)," ")</f>
        <v>858</v>
      </c>
      <c r="O278" t="s" s="125">
        <f>_xlfn.IFERROR(VLOOKUP($A278,'The List'!$B1:$AS665,22,FALSE)," ")</f>
        <v>858</v>
      </c>
      <c r="P278" t="s" s="125">
        <f>_xlfn.IFERROR(VLOOKUP($A278,'The List'!$B1:$AS665,23,FALSE)," ")</f>
        <v>858</v>
      </c>
      <c r="Q278" t="s" s="125">
        <f>_xlfn.IFERROR(VLOOKUP($A278,'The List'!$B1:$AS665,24,FALSE)," ")</f>
        <v>858</v>
      </c>
      <c r="R278" t="s" s="125">
        <f>_xlfn.IFERROR(VLOOKUP($A278,'The List'!$B1:$AS665,25,FALSE)," ")</f>
        <v>858</v>
      </c>
      <c r="S278" t="s" s="125">
        <f>_xlfn.IFERROR(VLOOKUP($A278,'The List'!$B1:$AS665,26,FALSE)," ")</f>
        <v>858</v>
      </c>
      <c r="T278" t="s" s="125">
        <f>_xlfn.IFERROR(VLOOKUP($A278,'The List'!$B1:$AS665,27,FALSE)," ")</f>
        <v>858</v>
      </c>
      <c r="U278" t="s" s="125">
        <f>_xlfn.IFERROR(VLOOKUP($A278,'The List'!$B1:$AS665,28,FALSE)," ")</f>
        <v>858</v>
      </c>
      <c r="V278" t="s" s="125">
        <f>_xlfn.IFERROR(VLOOKUP($A278,'The List'!$B1:$AS665,29,FALSE)," ")</f>
        <v>858</v>
      </c>
      <c r="W278" t="s" s="125">
        <f>_xlfn.IFERROR(VLOOKUP($A278,'The List'!$B1:$AS665,30,FALSE)," ")</f>
        <v>858</v>
      </c>
      <c r="X278" t="s" s="125">
        <f>_xlfn.IFERROR(VLOOKUP($A278,'The List'!$B1:$AS665,31,FALSE)," ")</f>
        <v>858</v>
      </c>
      <c r="Y278" t="s" s="125">
        <f>_xlfn.IFERROR(VLOOKUP($A278,'The List'!$B1:$AS665,32,FALSE)," ")</f>
        <v>858</v>
      </c>
      <c r="Z278" t="s" s="125">
        <f>_xlfn.IFERROR(VLOOKUP($A278,'The List'!$B1:$AS665,33,FALSE)," ")</f>
        <v>858</v>
      </c>
      <c r="AA278" s="120"/>
      <c r="AB278" s="121"/>
      <c r="AC278" s="121"/>
      <c r="AD278" s="121"/>
      <c r="AE278" s="121"/>
      <c r="AF278" s="144"/>
    </row>
    <row r="279" ht="21.25" customHeight="1">
      <c r="A279" s="50"/>
      <c r="B279" t="s" s="132">
        <f>_xlfn.IFERROR(VLOOKUP($A279,'The List'!$B1:$AS665,3,FALSE)," ")</f>
        <v>858</v>
      </c>
      <c r="C279" t="s" s="134">
        <f>_xlfn.IFERROR(VLOOKUP($A279,'The List'!$B1:$AS665,4,FALSE)," ")</f>
        <v>858</v>
      </c>
      <c r="D279" t="s" s="86">
        <f>_xlfn.IFERROR(VLOOKUP($A279,'The List'!$B1:$AS665,5,FALSE)," ")</f>
        <v>858</v>
      </c>
      <c r="E279" t="s" s="86">
        <f>_xlfn.IFERROR(VLOOKUP($A279,'The List'!$B1:$AS665,6,FALSE)," ")</f>
        <v>858</v>
      </c>
      <c r="F279" t="s" s="124">
        <f>_xlfn.IFERROR(VLOOKUP($A279,'The List'!$B1:$AS665,8,FALSE)," ")</f>
        <v>858</v>
      </c>
      <c r="G279" t="s" s="124">
        <f>_xlfn.IFERROR(VLOOKUP($A279,'The List'!$B1:$AS665,10,FALSE)," ")</f>
        <v>858</v>
      </c>
      <c r="H279" s="77"/>
      <c r="I279" t="s" s="125">
        <f>_xlfn.IFERROR(VLOOKUP($A279,'The List'!$B1:$AS665,16,FALSE)," ")</f>
        <v>858</v>
      </c>
      <c r="J279" t="s" s="125">
        <f>_xlfn.IFERROR(VLOOKUP($A279,'The List'!$B1:$AS665,17,FALSE)," ")</f>
        <v>858</v>
      </c>
      <c r="K279" t="s" s="125">
        <f>_xlfn.IFERROR(VLOOKUP($A279,'The List'!$B1:$AS665,18,FALSE)," ")</f>
        <v>858</v>
      </c>
      <c r="L279" t="s" s="125">
        <f>_xlfn.IFERROR(VLOOKUP($A279,'The List'!$B1:$AS665,19,FALSE)," ")</f>
        <v>858</v>
      </c>
      <c r="M279" t="s" s="125">
        <f>_xlfn.IFERROR(VLOOKUP($A279,'The List'!$B1:$AS665,20,FALSE)," ")</f>
        <v>858</v>
      </c>
      <c r="N279" t="s" s="125">
        <f>_xlfn.IFERROR(VLOOKUP($A279,'The List'!$B1:$AS665,21,FALSE)," ")</f>
        <v>858</v>
      </c>
      <c r="O279" t="s" s="125">
        <f>_xlfn.IFERROR(VLOOKUP($A279,'The List'!$B1:$AS665,22,FALSE)," ")</f>
        <v>858</v>
      </c>
      <c r="P279" t="s" s="125">
        <f>_xlfn.IFERROR(VLOOKUP($A279,'The List'!$B1:$AS665,23,FALSE)," ")</f>
        <v>858</v>
      </c>
      <c r="Q279" t="s" s="125">
        <f>_xlfn.IFERROR(VLOOKUP($A279,'The List'!$B1:$AS665,24,FALSE)," ")</f>
        <v>858</v>
      </c>
      <c r="R279" t="s" s="125">
        <f>_xlfn.IFERROR(VLOOKUP($A279,'The List'!$B1:$AS665,25,FALSE)," ")</f>
        <v>858</v>
      </c>
      <c r="S279" t="s" s="125">
        <f>_xlfn.IFERROR(VLOOKUP($A279,'The List'!$B1:$AS665,26,FALSE)," ")</f>
        <v>858</v>
      </c>
      <c r="T279" t="s" s="125">
        <f>_xlfn.IFERROR(VLOOKUP($A279,'The List'!$B1:$AS665,27,FALSE)," ")</f>
        <v>858</v>
      </c>
      <c r="U279" t="s" s="125">
        <f>_xlfn.IFERROR(VLOOKUP($A279,'The List'!$B1:$AS665,28,FALSE)," ")</f>
        <v>858</v>
      </c>
      <c r="V279" t="s" s="125">
        <f>_xlfn.IFERROR(VLOOKUP($A279,'The List'!$B1:$AS665,29,FALSE)," ")</f>
        <v>858</v>
      </c>
      <c r="W279" t="s" s="125">
        <f>_xlfn.IFERROR(VLOOKUP($A279,'The List'!$B1:$AS665,30,FALSE)," ")</f>
        <v>858</v>
      </c>
      <c r="X279" t="s" s="125">
        <f>_xlfn.IFERROR(VLOOKUP($A279,'The List'!$B1:$AS665,31,FALSE)," ")</f>
        <v>858</v>
      </c>
      <c r="Y279" t="s" s="125">
        <f>_xlfn.IFERROR(VLOOKUP($A279,'The List'!$B1:$AS665,32,FALSE)," ")</f>
        <v>858</v>
      </c>
      <c r="Z279" t="s" s="125">
        <f>_xlfn.IFERROR(VLOOKUP($A279,'The List'!$B1:$AS665,33,FALSE)," ")</f>
        <v>858</v>
      </c>
      <c r="AA279" s="120"/>
      <c r="AB279" s="121"/>
      <c r="AC279" s="121"/>
      <c r="AD279" s="121"/>
      <c r="AE279" s="121"/>
      <c r="AF279" s="144"/>
    </row>
    <row r="280" ht="21.25" customHeight="1">
      <c r="A280" s="50"/>
      <c r="B280" t="s" s="132">
        <f>_xlfn.IFERROR(VLOOKUP($A280,'The List'!$B1:$AS665,3,FALSE)," ")</f>
        <v>858</v>
      </c>
      <c r="C280" t="s" s="134">
        <f>_xlfn.IFERROR(VLOOKUP($A280,'The List'!$B1:$AS665,4,FALSE)," ")</f>
        <v>858</v>
      </c>
      <c r="D280" t="s" s="86">
        <f>_xlfn.IFERROR(VLOOKUP($A280,'The List'!$B1:$AS665,5,FALSE)," ")</f>
        <v>858</v>
      </c>
      <c r="E280" t="s" s="86">
        <f>_xlfn.IFERROR(VLOOKUP($A280,'The List'!$B1:$AS665,6,FALSE)," ")</f>
        <v>858</v>
      </c>
      <c r="F280" t="s" s="124">
        <f>_xlfn.IFERROR(VLOOKUP($A280,'The List'!$B1:$AS665,8,FALSE)," ")</f>
        <v>858</v>
      </c>
      <c r="G280" t="s" s="124">
        <f>_xlfn.IFERROR(VLOOKUP($A280,'The List'!$B1:$AS665,10,FALSE)," ")</f>
        <v>858</v>
      </c>
      <c r="H280" s="77"/>
      <c r="I280" t="s" s="125">
        <f>_xlfn.IFERROR(VLOOKUP($A280,'The List'!$B1:$AS665,16,FALSE)," ")</f>
        <v>858</v>
      </c>
      <c r="J280" t="s" s="125">
        <f>_xlfn.IFERROR(VLOOKUP($A280,'The List'!$B1:$AS665,17,FALSE)," ")</f>
        <v>858</v>
      </c>
      <c r="K280" t="s" s="125">
        <f>_xlfn.IFERROR(VLOOKUP($A280,'The List'!$B1:$AS665,18,FALSE)," ")</f>
        <v>858</v>
      </c>
      <c r="L280" t="s" s="125">
        <f>_xlfn.IFERROR(VLOOKUP($A280,'The List'!$B1:$AS665,19,FALSE)," ")</f>
        <v>858</v>
      </c>
      <c r="M280" t="s" s="125">
        <f>_xlfn.IFERROR(VLOOKUP($A280,'The List'!$B1:$AS665,20,FALSE)," ")</f>
        <v>858</v>
      </c>
      <c r="N280" t="s" s="125">
        <f>_xlfn.IFERROR(VLOOKUP($A280,'The List'!$B1:$AS665,21,FALSE)," ")</f>
        <v>858</v>
      </c>
      <c r="O280" t="s" s="125">
        <f>_xlfn.IFERROR(VLOOKUP($A280,'The List'!$B1:$AS665,22,FALSE)," ")</f>
        <v>858</v>
      </c>
      <c r="P280" t="s" s="125">
        <f>_xlfn.IFERROR(VLOOKUP($A280,'The List'!$B1:$AS665,23,FALSE)," ")</f>
        <v>858</v>
      </c>
      <c r="Q280" t="s" s="125">
        <f>_xlfn.IFERROR(VLOOKUP($A280,'The List'!$B1:$AS665,24,FALSE)," ")</f>
        <v>858</v>
      </c>
      <c r="R280" t="s" s="125">
        <f>_xlfn.IFERROR(VLOOKUP($A280,'The List'!$B1:$AS665,25,FALSE)," ")</f>
        <v>858</v>
      </c>
      <c r="S280" t="s" s="125">
        <f>_xlfn.IFERROR(VLOOKUP($A280,'The List'!$B1:$AS665,26,FALSE)," ")</f>
        <v>858</v>
      </c>
      <c r="T280" t="s" s="125">
        <f>_xlfn.IFERROR(VLOOKUP($A280,'The List'!$B1:$AS665,27,FALSE)," ")</f>
        <v>858</v>
      </c>
      <c r="U280" t="s" s="125">
        <f>_xlfn.IFERROR(VLOOKUP($A280,'The List'!$B1:$AS665,28,FALSE)," ")</f>
        <v>858</v>
      </c>
      <c r="V280" t="s" s="125">
        <f>_xlfn.IFERROR(VLOOKUP($A280,'The List'!$B1:$AS665,29,FALSE)," ")</f>
        <v>858</v>
      </c>
      <c r="W280" t="s" s="125">
        <f>_xlfn.IFERROR(VLOOKUP($A280,'The List'!$B1:$AS665,30,FALSE)," ")</f>
        <v>858</v>
      </c>
      <c r="X280" t="s" s="125">
        <f>_xlfn.IFERROR(VLOOKUP($A280,'The List'!$B1:$AS665,31,FALSE)," ")</f>
        <v>858</v>
      </c>
      <c r="Y280" t="s" s="125">
        <f>_xlfn.IFERROR(VLOOKUP($A280,'The List'!$B1:$AS665,32,FALSE)," ")</f>
        <v>858</v>
      </c>
      <c r="Z280" t="s" s="125">
        <f>_xlfn.IFERROR(VLOOKUP($A280,'The List'!$B1:$AS665,33,FALSE)," ")</f>
        <v>858</v>
      </c>
      <c r="AA280" s="120"/>
      <c r="AB280" s="121"/>
      <c r="AC280" s="121"/>
      <c r="AD280" s="121"/>
      <c r="AE280" s="121"/>
      <c r="AF280" s="144"/>
    </row>
    <row r="281" ht="21.25" customHeight="1">
      <c r="A281" s="50"/>
      <c r="B281" t="s" s="132">
        <f>_xlfn.IFERROR(VLOOKUP($A281,'The List'!$B1:$AS665,3,FALSE)," ")</f>
        <v>858</v>
      </c>
      <c r="C281" t="s" s="134">
        <f>_xlfn.IFERROR(VLOOKUP($A281,'The List'!$B1:$AS665,4,FALSE)," ")</f>
        <v>858</v>
      </c>
      <c r="D281" t="s" s="86">
        <f>_xlfn.IFERROR(VLOOKUP($A281,'The List'!$B1:$AS665,5,FALSE)," ")</f>
        <v>858</v>
      </c>
      <c r="E281" t="s" s="86">
        <f>_xlfn.IFERROR(VLOOKUP($A281,'The List'!$B1:$AS665,6,FALSE)," ")</f>
        <v>858</v>
      </c>
      <c r="F281" t="s" s="124">
        <f>_xlfn.IFERROR(VLOOKUP($A281,'The List'!$B1:$AS665,8,FALSE)," ")</f>
        <v>858</v>
      </c>
      <c r="G281" t="s" s="124">
        <f>_xlfn.IFERROR(VLOOKUP($A281,'The List'!$B1:$AS665,10,FALSE)," ")</f>
        <v>858</v>
      </c>
      <c r="H281" s="77"/>
      <c r="I281" t="s" s="125">
        <f>_xlfn.IFERROR(VLOOKUP($A281,'The List'!$B1:$AS665,16,FALSE)," ")</f>
        <v>858</v>
      </c>
      <c r="J281" t="s" s="125">
        <f>_xlfn.IFERROR(VLOOKUP($A281,'The List'!$B1:$AS665,17,FALSE)," ")</f>
        <v>858</v>
      </c>
      <c r="K281" t="s" s="125">
        <f>_xlfn.IFERROR(VLOOKUP($A281,'The List'!$B1:$AS665,18,FALSE)," ")</f>
        <v>858</v>
      </c>
      <c r="L281" t="s" s="125">
        <f>_xlfn.IFERROR(VLOOKUP($A281,'The List'!$B1:$AS665,19,FALSE)," ")</f>
        <v>858</v>
      </c>
      <c r="M281" t="s" s="125">
        <f>_xlfn.IFERROR(VLOOKUP($A281,'The List'!$B1:$AS665,20,FALSE)," ")</f>
        <v>858</v>
      </c>
      <c r="N281" t="s" s="125">
        <f>_xlfn.IFERROR(VLOOKUP($A281,'The List'!$B1:$AS665,21,FALSE)," ")</f>
        <v>858</v>
      </c>
      <c r="O281" t="s" s="125">
        <f>_xlfn.IFERROR(VLOOKUP($A281,'The List'!$B1:$AS665,22,FALSE)," ")</f>
        <v>858</v>
      </c>
      <c r="P281" t="s" s="125">
        <f>_xlfn.IFERROR(VLOOKUP($A281,'The List'!$B1:$AS665,23,FALSE)," ")</f>
        <v>858</v>
      </c>
      <c r="Q281" t="s" s="125">
        <f>_xlfn.IFERROR(VLOOKUP($A281,'The List'!$B1:$AS665,24,FALSE)," ")</f>
        <v>858</v>
      </c>
      <c r="R281" t="s" s="125">
        <f>_xlfn.IFERROR(VLOOKUP($A281,'The List'!$B1:$AS665,25,FALSE)," ")</f>
        <v>858</v>
      </c>
      <c r="S281" t="s" s="125">
        <f>_xlfn.IFERROR(VLOOKUP($A281,'The List'!$B1:$AS665,26,FALSE)," ")</f>
        <v>858</v>
      </c>
      <c r="T281" t="s" s="125">
        <f>_xlfn.IFERROR(VLOOKUP($A281,'The List'!$B1:$AS665,27,FALSE)," ")</f>
        <v>858</v>
      </c>
      <c r="U281" t="s" s="125">
        <f>_xlfn.IFERROR(VLOOKUP($A281,'The List'!$B1:$AS665,28,FALSE)," ")</f>
        <v>858</v>
      </c>
      <c r="V281" t="s" s="125">
        <f>_xlfn.IFERROR(VLOOKUP($A281,'The List'!$B1:$AS665,29,FALSE)," ")</f>
        <v>858</v>
      </c>
      <c r="W281" t="s" s="125">
        <f>_xlfn.IFERROR(VLOOKUP($A281,'The List'!$B1:$AS665,30,FALSE)," ")</f>
        <v>858</v>
      </c>
      <c r="X281" t="s" s="125">
        <f>_xlfn.IFERROR(VLOOKUP($A281,'The List'!$B1:$AS665,31,FALSE)," ")</f>
        <v>858</v>
      </c>
      <c r="Y281" t="s" s="125">
        <f>_xlfn.IFERROR(VLOOKUP($A281,'The List'!$B1:$AS665,32,FALSE)," ")</f>
        <v>858</v>
      </c>
      <c r="Z281" t="s" s="125">
        <f>_xlfn.IFERROR(VLOOKUP($A281,'The List'!$B1:$AS665,33,FALSE)," ")</f>
        <v>858</v>
      </c>
      <c r="AA281" s="120"/>
      <c r="AB281" s="121"/>
      <c r="AC281" s="121"/>
      <c r="AD281" s="121"/>
      <c r="AE281" s="121"/>
      <c r="AF281" s="144"/>
    </row>
    <row r="282" ht="21.25" customHeight="1">
      <c r="A282" s="137"/>
      <c r="B282" t="s" s="138">
        <f>_xlfn.IFERROR(VLOOKUP($A282,'The List'!$B1:$AS665,3,FALSE)," ")</f>
        <v>858</v>
      </c>
      <c r="C282" t="s" s="139">
        <f>_xlfn.IFERROR(VLOOKUP($A282,'The List'!$B1:$AS665,4,FALSE)," ")</f>
        <v>858</v>
      </c>
      <c r="D282" t="s" s="140">
        <f>_xlfn.IFERROR(VLOOKUP($A282,'The List'!$B1:$AS665,5,FALSE)," ")</f>
        <v>858</v>
      </c>
      <c r="E282" t="s" s="140">
        <f>_xlfn.IFERROR(VLOOKUP($A282,'The List'!$B1:$AS665,6,FALSE)," ")</f>
        <v>858</v>
      </c>
      <c r="F282" t="s" s="141">
        <f>_xlfn.IFERROR(VLOOKUP($A282,'The List'!$B1:$AS665,8,FALSE)," ")</f>
        <v>858</v>
      </c>
      <c r="G282" t="s" s="141">
        <f>_xlfn.IFERROR(VLOOKUP($A282,'The List'!$B1:$AS665,10,FALSE)," ")</f>
        <v>858</v>
      </c>
      <c r="H282" s="142"/>
      <c r="I282" t="s" s="143">
        <f>_xlfn.IFERROR(VLOOKUP($A282,'The List'!$B1:$AS665,16,FALSE)," ")</f>
        <v>858</v>
      </c>
      <c r="J282" t="s" s="143">
        <f>_xlfn.IFERROR(VLOOKUP($A282,'The List'!$B1:$AS665,17,FALSE)," ")</f>
        <v>858</v>
      </c>
      <c r="K282" t="s" s="143">
        <f>_xlfn.IFERROR(VLOOKUP($A282,'The List'!$B1:$AS665,18,FALSE)," ")</f>
        <v>858</v>
      </c>
      <c r="L282" t="s" s="143">
        <f>_xlfn.IFERROR(VLOOKUP($A282,'The List'!$B1:$AS665,19,FALSE)," ")</f>
        <v>858</v>
      </c>
      <c r="M282" t="s" s="143">
        <f>_xlfn.IFERROR(VLOOKUP($A282,'The List'!$B1:$AS665,20,FALSE)," ")</f>
        <v>858</v>
      </c>
      <c r="N282" t="s" s="143">
        <f>_xlfn.IFERROR(VLOOKUP($A282,'The List'!$B1:$AS665,21,FALSE)," ")</f>
        <v>858</v>
      </c>
      <c r="O282" t="s" s="143">
        <f>_xlfn.IFERROR(VLOOKUP($A282,'The List'!$B1:$AS665,22,FALSE)," ")</f>
        <v>858</v>
      </c>
      <c r="P282" t="s" s="143">
        <f>_xlfn.IFERROR(VLOOKUP($A282,'The List'!$B1:$AS665,23,FALSE)," ")</f>
        <v>858</v>
      </c>
      <c r="Q282" t="s" s="143">
        <f>_xlfn.IFERROR(VLOOKUP($A282,'The List'!$B1:$AS665,24,FALSE)," ")</f>
        <v>858</v>
      </c>
      <c r="R282" t="s" s="143">
        <f>_xlfn.IFERROR(VLOOKUP($A282,'The List'!$B1:$AS665,25,FALSE)," ")</f>
        <v>858</v>
      </c>
      <c r="S282" t="s" s="143">
        <f>_xlfn.IFERROR(VLOOKUP($A282,'The List'!$B1:$AS665,26,FALSE)," ")</f>
        <v>858</v>
      </c>
      <c r="T282" t="s" s="143">
        <f>_xlfn.IFERROR(VLOOKUP($A282,'The List'!$B1:$AS665,27,FALSE)," ")</f>
        <v>858</v>
      </c>
      <c r="U282" t="s" s="143">
        <f>_xlfn.IFERROR(VLOOKUP($A282,'The List'!$B1:$AS665,28,FALSE)," ")</f>
        <v>858</v>
      </c>
      <c r="V282" t="s" s="143">
        <f>_xlfn.IFERROR(VLOOKUP($A282,'The List'!$B1:$AS665,29,FALSE)," ")</f>
        <v>858</v>
      </c>
      <c r="W282" t="s" s="143">
        <f>_xlfn.IFERROR(VLOOKUP($A282,'The List'!$B1:$AS665,30,FALSE)," ")</f>
        <v>858</v>
      </c>
      <c r="X282" t="s" s="143">
        <f>_xlfn.IFERROR(VLOOKUP($A282,'The List'!$B1:$AS665,31,FALSE)," ")</f>
        <v>858</v>
      </c>
      <c r="Y282" t="s" s="143">
        <f>_xlfn.IFERROR(VLOOKUP($A282,'The List'!$B1:$AS665,32,FALSE)," ")</f>
        <v>858</v>
      </c>
      <c r="Z282" t="s" s="143">
        <f>_xlfn.IFERROR(VLOOKUP($A282,'The List'!$B1:$AS665,33,FALSE)," ")</f>
        <v>858</v>
      </c>
      <c r="AA282" s="120"/>
      <c r="AB282" s="121"/>
      <c r="AC282" s="121"/>
      <c r="AD282" s="121"/>
      <c r="AE282" s="121"/>
      <c r="AF282" s="144"/>
    </row>
    <row r="283" ht="21.25" customHeight="1">
      <c r="A283" s="145"/>
      <c r="B283" s="146"/>
      <c r="C283" s="147"/>
      <c r="D283" s="148"/>
      <c r="E283" t="s" s="193">
        <f>_xlfn.IFERROR(AVERAGE(E263:E282)," ")</f>
        <v>858</v>
      </c>
      <c r="F283" s="150">
        <f>SUM(F263:F282)</f>
        <v>0</v>
      </c>
      <c r="G283" s="150">
        <f>SUM(G263:G282)</f>
        <v>0</v>
      </c>
      <c r="H283" s="151"/>
      <c r="I283" s="152">
        <f>SUM(I263:I282)</f>
        <v>0</v>
      </c>
      <c r="J283" s="151">
        <f>AVERAGE(J263:J282)</f>
      </c>
      <c r="K283" s="152">
        <f>SUM(K263:K282)</f>
        <v>0</v>
      </c>
      <c r="L283" s="152">
        <f>SUM(L263:L282)</f>
        <v>0</v>
      </c>
      <c r="M283" s="152">
        <f>SUM(M263:M282)</f>
        <v>0</v>
      </c>
      <c r="N283" s="152">
        <f>SUM(N263:N282)</f>
        <v>0</v>
      </c>
      <c r="O283" s="152">
        <f>SUM(O263:O282)</f>
        <v>0</v>
      </c>
      <c r="P283" s="152">
        <f>SUM(P263:P282)</f>
        <v>0</v>
      </c>
      <c r="Q283" s="152">
        <f>SUM(Q263:Q282)</f>
        <v>0</v>
      </c>
      <c r="R283" s="152">
        <f>SUM(R263:R282)</f>
        <v>0</v>
      </c>
      <c r="S283" s="152">
        <f>SUM(S263:S282)</f>
        <v>0</v>
      </c>
      <c r="T283" s="152">
        <f>SUM(T263:T282)</f>
        <v>0</v>
      </c>
      <c r="U283" s="152">
        <f>SUM(U263:U282)</f>
        <v>0</v>
      </c>
      <c r="V283" s="152">
        <f>SUM(V263:V282)</f>
        <v>0</v>
      </c>
      <c r="W283" s="152">
        <f>SUM(W263:W282)</f>
        <v>0</v>
      </c>
      <c r="X283" s="152">
        <f>SUM(X263:X282)</f>
        <v>0</v>
      </c>
      <c r="Y283" s="152">
        <f>SUM(Y263:Y282)</f>
        <v>0</v>
      </c>
      <c r="Z283" s="153">
        <f>_xlfn.IFERROR(X283/(X283+Y283),0)</f>
        <v>0</v>
      </c>
      <c r="AA283" s="120"/>
      <c r="AB283" s="154"/>
      <c r="AC283" s="154"/>
      <c r="AD283" s="154"/>
      <c r="AE283" s="154"/>
      <c r="AF283" s="155"/>
    </row>
    <row r="284" ht="21.25" customHeight="1">
      <c r="A284" s="156"/>
      <c r="B284" s="157"/>
      <c r="C284" s="158"/>
      <c r="D284" s="13"/>
      <c r="E284" s="13"/>
      <c r="F284" s="159"/>
      <c r="G284" s="160"/>
      <c r="H284" s="161"/>
      <c r="I284" s="162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1"/>
      <c r="AC284" s="121"/>
      <c r="AD284" s="121"/>
      <c r="AE284" s="121"/>
      <c r="AF284" s="144"/>
    </row>
    <row r="285" ht="21.25" customHeight="1">
      <c r="A285" t="s" s="163">
        <v>89</v>
      </c>
      <c r="B285" t="s" s="164">
        <v>91</v>
      </c>
      <c r="C285" s="31"/>
      <c r="D285" t="s" s="164">
        <v>92</v>
      </c>
      <c r="E285" t="s" s="164">
        <v>93</v>
      </c>
      <c r="F285" t="s" s="165">
        <v>95</v>
      </c>
      <c r="G285" t="s" s="165">
        <v>97</v>
      </c>
      <c r="H285" s="166"/>
      <c r="I285" t="s" s="167">
        <v>102</v>
      </c>
      <c r="J285" t="s" s="167">
        <v>118</v>
      </c>
      <c r="K285" t="s" s="167">
        <v>119</v>
      </c>
      <c r="L285" t="s" s="167">
        <v>120</v>
      </c>
      <c r="M285" t="s" s="167">
        <v>121</v>
      </c>
      <c r="N285" t="s" s="167">
        <v>122</v>
      </c>
      <c r="O285" t="s" s="167">
        <v>123</v>
      </c>
      <c r="P285" t="s" s="167">
        <v>124</v>
      </c>
      <c r="Q285" t="s" s="167">
        <v>125</v>
      </c>
      <c r="R285" s="120"/>
      <c r="S285" s="120"/>
      <c r="T285" s="120"/>
      <c r="U285" t="s" s="164">
        <v>876</v>
      </c>
      <c r="V285" s="166"/>
      <c r="W285" s="166"/>
      <c r="X285" t="s" s="164">
        <v>877</v>
      </c>
      <c r="Y285" s="166"/>
      <c r="Z285" s="166"/>
      <c r="AA285" s="120"/>
      <c r="AB285" s="120"/>
      <c r="AC285" s="120"/>
      <c r="AD285" s="120"/>
      <c r="AE285" s="120"/>
      <c r="AF285" s="168"/>
    </row>
    <row r="286" ht="21.25" customHeight="1">
      <c r="A286" s="194"/>
      <c r="B286" t="s" s="170">
        <f>_xlfn.IFERROR(VLOOKUP($A286,'The List'!$B1:$AS665,3,FALSE)," ")</f>
        <v>858</v>
      </c>
      <c r="C286" t="s" s="195">
        <f>_xlfn.IFERROR(VLOOKUP($A286,'The List'!$B1:$AS665,4,FALSE)," ")</f>
        <v>858</v>
      </c>
      <c r="D286" t="s" s="72">
        <f>_xlfn.IFERROR(VLOOKUP($A286,'The List'!$B1:$AS665,5,FALSE)," ")</f>
        <v>858</v>
      </c>
      <c r="E286" t="s" s="72">
        <f>_xlfn.IFERROR(VLOOKUP($A286,'The List'!$B1:$AS665,6,FALSE)," ")</f>
        <v>858</v>
      </c>
      <c r="F286" t="s" s="196">
        <f>_xlfn.IFERROR(VLOOKUP($A286,'The List'!$B1:$AS665,8,FALSE)," ")</f>
        <v>858</v>
      </c>
      <c r="G286" t="s" s="196">
        <f>_xlfn.IFERROR(VLOOKUP($A286,'The List'!$B1:$AS665,10,FALSE)," ")</f>
        <v>858</v>
      </c>
      <c r="H286" s="174"/>
      <c r="I286" t="s" s="197">
        <f>_xlfn.IFERROR(VLOOKUP($A286,'The List'!$B1:$AS665,35,FALSE)," ")</f>
        <v>858</v>
      </c>
      <c r="J286" t="s" s="197">
        <f>_xlfn.IFERROR(VLOOKUP($A286,'The List'!$B1:$AS665,36,FALSE)," ")</f>
        <v>858</v>
      </c>
      <c r="K286" t="s" s="197">
        <f>_xlfn.IFERROR(VLOOKUP($A286,'The List'!$B1:$AS665,37,FALSE)," ")</f>
        <v>858</v>
      </c>
      <c r="L286" t="s" s="197">
        <f>_xlfn.IFERROR(VLOOKUP($A286,'The List'!$B1:$AS665,38,FALSE)," ")</f>
        <v>858</v>
      </c>
      <c r="M286" t="s" s="197">
        <f>_xlfn.IFERROR(VLOOKUP($A286,'The List'!$B1:$AS665,39,FALSE)," ")</f>
        <v>858</v>
      </c>
      <c r="N286" t="s" s="197">
        <f>_xlfn.IFERROR(VLOOKUP($A286,'The List'!$B1:$AS665,40,FALSE)," ")</f>
        <v>858</v>
      </c>
      <c r="O286" t="s" s="197">
        <f>_xlfn.IFERROR(VLOOKUP($A286,'The List'!$B1:$AS665,41,FALSE)," ")</f>
        <v>858</v>
      </c>
      <c r="P286" t="s" s="197">
        <f>_xlfn.IFERROR(VLOOKUP($A286,'The List'!$B1:$AS665,42,FALSE)," ")</f>
        <v>858</v>
      </c>
      <c r="Q286" t="s" s="197">
        <f>_xlfn.IFERROR(VLOOKUP($A286,'The List'!$B1:$AS665,43,FALSE)," ")</f>
        <v>858</v>
      </c>
      <c r="R286" s="120"/>
      <c r="S286" s="120"/>
      <c r="T286" t="s" s="178">
        <f>A262</f>
        <v>888</v>
      </c>
      <c r="U286" s="179">
        <f>F283+F289</f>
        <v>0</v>
      </c>
      <c r="V286" s="31"/>
      <c r="W286" s="31"/>
      <c r="X286" s="179">
        <f>G289+G283</f>
        <v>0</v>
      </c>
      <c r="Y286" s="31"/>
      <c r="Z286" s="31"/>
      <c r="AA286" s="120"/>
      <c r="AB286" s="120"/>
      <c r="AC286" s="120"/>
      <c r="AD286" s="120"/>
      <c r="AE286" s="120"/>
      <c r="AF286" s="168"/>
    </row>
    <row r="287" ht="21.25" customHeight="1">
      <c r="A287" s="50"/>
      <c r="B287" t="s" s="180">
        <f>_xlfn.IFERROR(VLOOKUP($A287,'The List'!$B1:$AS665,3,FALSE)," ")</f>
        <v>858</v>
      </c>
      <c r="C287" t="s" s="181">
        <f>_xlfn.IFERROR(VLOOKUP($A287,'The List'!$B1:$AS665,4,FALSE)," ")</f>
        <v>858</v>
      </c>
      <c r="D287" t="s" s="86">
        <f>_xlfn.IFERROR(VLOOKUP($A287,'The List'!$B1:$AS665,5,FALSE)," ")</f>
        <v>858</v>
      </c>
      <c r="E287" t="s" s="86">
        <f>_xlfn.IFERROR(VLOOKUP($A287,'The List'!$B1:$AS665,6,FALSE)," ")</f>
        <v>858</v>
      </c>
      <c r="F287" t="s" s="124">
        <f>_xlfn.IFERROR(VLOOKUP($A287,'The List'!$B1:$AS665,8,FALSE)," ")</f>
        <v>858</v>
      </c>
      <c r="G287" t="s" s="124">
        <f>_xlfn.IFERROR(VLOOKUP($A287,'The List'!$B1:$AS665,10,FALSE)," ")</f>
        <v>858</v>
      </c>
      <c r="H287" s="77"/>
      <c r="I287" t="s" s="125">
        <f>_xlfn.IFERROR(VLOOKUP($A287,'The List'!$B1:$AS665,35,FALSE)," ")</f>
        <v>858</v>
      </c>
      <c r="J287" t="s" s="125">
        <f>_xlfn.IFERROR(VLOOKUP($A287,'The List'!$B1:$AS665,36,FALSE)," ")</f>
        <v>858</v>
      </c>
      <c r="K287" t="s" s="125">
        <f>_xlfn.IFERROR(VLOOKUP($A287,'The List'!$B1:$AS665,37,FALSE)," ")</f>
        <v>858</v>
      </c>
      <c r="L287" t="s" s="125">
        <f>_xlfn.IFERROR(VLOOKUP($A287,'The List'!$B1:$AS665,38,FALSE)," ")</f>
        <v>858</v>
      </c>
      <c r="M287" t="s" s="125">
        <f>_xlfn.IFERROR(VLOOKUP($A287,'The List'!$B1:$AS665,39,FALSE)," ")</f>
        <v>858</v>
      </c>
      <c r="N287" t="s" s="125">
        <f>_xlfn.IFERROR(VLOOKUP($A287,'The List'!$B1:$AS665,40,FALSE)," ")</f>
        <v>858</v>
      </c>
      <c r="O287" t="s" s="125">
        <f>_xlfn.IFERROR(VLOOKUP($A287,'The List'!$B1:$AS665,41,FALSE)," ")</f>
        <v>858</v>
      </c>
      <c r="P287" t="s" s="125">
        <f>_xlfn.IFERROR(VLOOKUP($A287,'The List'!$B1:$AS665,42,FALSE)," ")</f>
        <v>858</v>
      </c>
      <c r="Q287" t="s" s="125">
        <f>_xlfn.IFERROR(VLOOKUP($A287,'The List'!$B1:$AS665,43,FALSE)," ")</f>
        <v>858</v>
      </c>
      <c r="R287" s="120"/>
      <c r="S287" s="120"/>
      <c r="T287" s="120"/>
      <c r="U287" s="31"/>
      <c r="V287" s="31"/>
      <c r="W287" s="31"/>
      <c r="X287" s="31"/>
      <c r="Y287" s="31"/>
      <c r="Z287" s="31"/>
      <c r="AA287" s="120"/>
      <c r="AB287" s="120"/>
      <c r="AC287" s="120"/>
      <c r="AD287" s="120"/>
      <c r="AE287" s="120"/>
      <c r="AF287" s="168"/>
    </row>
    <row r="288" ht="21.25" customHeight="1">
      <c r="A288" s="137"/>
      <c r="B288" t="s" s="182">
        <f>_xlfn.IFERROR(VLOOKUP($A288,'The List'!$B1:$AS665,3,FALSE)," ")</f>
        <v>858</v>
      </c>
      <c r="C288" t="s" s="183">
        <f>_xlfn.IFERROR(VLOOKUP($A288,'The List'!$B1:$AS665,4,FALSE)," ")</f>
        <v>858</v>
      </c>
      <c r="D288" t="s" s="140">
        <f>_xlfn.IFERROR(VLOOKUP($A288,'The List'!$B1:$AS665,5,FALSE)," ")</f>
        <v>858</v>
      </c>
      <c r="E288" t="s" s="140">
        <f>_xlfn.IFERROR(VLOOKUP($A288,'The List'!$B1:$AS665,6,FALSE)," ")</f>
        <v>858</v>
      </c>
      <c r="F288" t="s" s="141">
        <f>_xlfn.IFERROR(VLOOKUP($A288,'The List'!$B1:$AS665,8,FALSE)," ")</f>
        <v>858</v>
      </c>
      <c r="G288" t="s" s="141">
        <f>_xlfn.IFERROR(VLOOKUP($A288,'The List'!$B1:$AS665,10,FALSE)," ")</f>
        <v>858</v>
      </c>
      <c r="H288" s="142"/>
      <c r="I288" t="s" s="143">
        <f>_xlfn.IFERROR(VLOOKUP($A288,'The List'!$B1:$AS665,35,FALSE)," ")</f>
        <v>858</v>
      </c>
      <c r="J288" t="s" s="143">
        <f>_xlfn.IFERROR(VLOOKUP($A288,'The List'!$B1:$AS665,36,FALSE)," ")</f>
        <v>858</v>
      </c>
      <c r="K288" t="s" s="143">
        <f>_xlfn.IFERROR(VLOOKUP($A288,'The List'!$B1:$AS665,37,FALSE)," ")</f>
        <v>858</v>
      </c>
      <c r="L288" t="s" s="143">
        <f>_xlfn.IFERROR(VLOOKUP($A288,'The List'!$B1:$AS665,38,FALSE)," ")</f>
        <v>858</v>
      </c>
      <c r="M288" t="s" s="143">
        <f>_xlfn.IFERROR(VLOOKUP($A288,'The List'!$B1:$AS665,39,FALSE)," ")</f>
        <v>858</v>
      </c>
      <c r="N288" t="s" s="143">
        <f>_xlfn.IFERROR(VLOOKUP($A288,'The List'!$B1:$AS665,40,FALSE)," ")</f>
        <v>858</v>
      </c>
      <c r="O288" t="s" s="143">
        <f>_xlfn.IFERROR(VLOOKUP($A288,'The List'!$B1:$AS665,41,FALSE)," ")</f>
        <v>858</v>
      </c>
      <c r="P288" t="s" s="143">
        <f>_xlfn.IFERROR(VLOOKUP($A288,'The List'!$B1:$AS665,42,FALSE)," ")</f>
        <v>858</v>
      </c>
      <c r="Q288" t="s" s="143">
        <f>_xlfn.IFERROR(VLOOKUP($A288,'The List'!$B1:$AS665,43,FALSE)," ")</f>
        <v>858</v>
      </c>
      <c r="R288" s="120"/>
      <c r="S288" s="120"/>
      <c r="T288" s="120"/>
      <c r="U288" s="31"/>
      <c r="V288" s="31"/>
      <c r="W288" s="31"/>
      <c r="X288" s="31"/>
      <c r="Y288" s="31"/>
      <c r="Z288" s="31"/>
      <c r="AA288" s="120"/>
      <c r="AB288" s="120"/>
      <c r="AC288" s="120"/>
      <c r="AD288" s="120"/>
      <c r="AE288" s="120"/>
      <c r="AF288" s="168"/>
    </row>
    <row r="289" ht="21.25" customHeight="1">
      <c r="A289" s="145"/>
      <c r="B289" s="146"/>
      <c r="C289" s="147"/>
      <c r="D289" s="148"/>
      <c r="E289" t="s" s="193">
        <f>_xlfn.IFERROR(AVERAGE(E286:E288)," ")</f>
        <v>858</v>
      </c>
      <c r="F289" s="150">
        <f>SUM(F286:F288)</f>
        <v>0</v>
      </c>
      <c r="G289" s="150">
        <f>SUM(G286:G288)</f>
        <v>0</v>
      </c>
      <c r="H289" s="151"/>
      <c r="I289" s="152">
        <f>SUM(I286:I288)</f>
        <v>0</v>
      </c>
      <c r="J289" s="151">
        <f>SUM(J286:J288)</f>
        <v>0</v>
      </c>
      <c r="K289" s="152">
        <f>SUM(K286:K288)</f>
        <v>0</v>
      </c>
      <c r="L289" s="152">
        <f>SUM(L286:L288)</f>
        <v>0</v>
      </c>
      <c r="M289" s="152">
        <f>SUM(M286:M288)</f>
        <v>0</v>
      </c>
      <c r="N289" s="152">
        <f>SUM(N286:N288)</f>
        <v>0</v>
      </c>
      <c r="O289" s="152">
        <f>SUM(O286:O288)</f>
        <v>0</v>
      </c>
      <c r="P289" s="184">
        <f>1-(O289/(N289+O289))</f>
      </c>
      <c r="Q289" s="185">
        <f>O289/I289</f>
      </c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  <c r="AB289" s="120"/>
      <c r="AC289" s="120"/>
      <c r="AD289" s="120"/>
      <c r="AE289" s="120"/>
      <c r="AF289" s="168"/>
    </row>
    <row r="290" ht="70.75" customHeight="1">
      <c r="A290" s="156"/>
      <c r="B290" s="157"/>
      <c r="C290" s="158"/>
      <c r="D290" s="13"/>
      <c r="E290" s="13"/>
      <c r="F290" s="159"/>
      <c r="G290" s="160"/>
      <c r="H290" s="161"/>
      <c r="I290" s="162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1"/>
      <c r="AB290" s="121"/>
      <c r="AC290" s="121"/>
      <c r="AD290" s="121"/>
      <c r="AE290" s="121"/>
      <c r="AF290" s="144"/>
    </row>
    <row r="291" ht="21.25" customHeight="1">
      <c r="A291" t="s" s="186">
        <v>869</v>
      </c>
      <c r="B291" t="s" s="187">
        <v>91</v>
      </c>
      <c r="C291" s="45"/>
      <c r="D291" t="s" s="187">
        <v>92</v>
      </c>
      <c r="E291" t="s" s="187">
        <v>93</v>
      </c>
      <c r="F291" t="s" s="188">
        <v>95</v>
      </c>
      <c r="G291" t="s" s="188">
        <v>97</v>
      </c>
      <c r="H291" s="189"/>
      <c r="I291" t="s" s="190">
        <v>102</v>
      </c>
      <c r="J291" t="s" s="190">
        <v>55</v>
      </c>
      <c r="K291" t="s" s="190">
        <v>103</v>
      </c>
      <c r="L291" t="s" s="190">
        <v>104</v>
      </c>
      <c r="M291" t="s" s="190">
        <v>105</v>
      </c>
      <c r="N291" t="s" s="190">
        <v>106</v>
      </c>
      <c r="O291" t="s" s="190">
        <v>107</v>
      </c>
      <c r="P291" t="s" s="190">
        <v>63</v>
      </c>
      <c r="Q291" t="s" s="190">
        <v>108</v>
      </c>
      <c r="R291" t="s" s="190">
        <v>109</v>
      </c>
      <c r="S291" t="s" s="190">
        <v>110</v>
      </c>
      <c r="T291" t="s" s="190">
        <v>111</v>
      </c>
      <c r="U291" t="s" s="190">
        <v>112</v>
      </c>
      <c r="V291" t="s" s="190">
        <v>113</v>
      </c>
      <c r="W291" t="s" s="190">
        <v>114</v>
      </c>
      <c r="X291" t="s" s="190">
        <v>115</v>
      </c>
      <c r="Y291" t="s" s="190">
        <v>116</v>
      </c>
      <c r="Z291" t="s" s="190">
        <v>117</v>
      </c>
      <c r="AA291" s="120"/>
      <c r="AB291" s="191"/>
      <c r="AC291" s="191"/>
      <c r="AD291" s="191"/>
      <c r="AE291" s="191"/>
      <c r="AF291" s="192"/>
    </row>
    <row r="292" ht="21.25" customHeight="1">
      <c r="A292" s="50"/>
      <c r="B292" t="s" s="117">
        <f>_xlfn.IFERROR(VLOOKUP($A292,'The List'!$B1:$AS665,3,FALSE)," ")</f>
        <v>858</v>
      </c>
      <c r="C292" t="s" s="123">
        <f>_xlfn.IFERROR(VLOOKUP($A292,'The List'!$B1:$AS665,4,FALSE)," ")</f>
        <v>858</v>
      </c>
      <c r="D292" t="s" s="86">
        <f>_xlfn.IFERROR(VLOOKUP($A292,'The List'!$B1:$AS665,5,FALSE)," ")</f>
        <v>858</v>
      </c>
      <c r="E292" t="s" s="86">
        <f>_xlfn.IFERROR(VLOOKUP($A292,'The List'!$B1:$AS665,6,FALSE)," ")</f>
        <v>858</v>
      </c>
      <c r="F292" t="s" s="124">
        <f>_xlfn.IFERROR(VLOOKUP($A292,'The List'!$B1:$AS665,8,FALSE)," ")</f>
        <v>858</v>
      </c>
      <c r="G292" t="s" s="124">
        <f>_xlfn.IFERROR(VLOOKUP($A292,'The List'!$B1:$AS665,10,FALSE)," ")</f>
        <v>858</v>
      </c>
      <c r="H292" s="77"/>
      <c r="I292" t="s" s="125">
        <f>_xlfn.IFERROR(VLOOKUP($A292,'The List'!$B1:$AS665,16,FALSE)," ")</f>
        <v>858</v>
      </c>
      <c r="J292" t="s" s="125">
        <f>_xlfn.IFERROR(VLOOKUP($A292,'The List'!$B1:$AS665,17,FALSE)," ")</f>
        <v>858</v>
      </c>
      <c r="K292" t="s" s="125">
        <f>_xlfn.IFERROR(VLOOKUP($A292,'The List'!$B1:$AS665,18,FALSE)," ")</f>
        <v>858</v>
      </c>
      <c r="L292" t="s" s="125">
        <f>_xlfn.IFERROR(VLOOKUP($A292,'The List'!$B1:$AS665,19,FALSE)," ")</f>
        <v>858</v>
      </c>
      <c r="M292" t="s" s="125">
        <f>_xlfn.IFERROR(VLOOKUP($A292,'The List'!$B1:$AS665,20,FALSE)," ")</f>
        <v>858</v>
      </c>
      <c r="N292" t="s" s="125">
        <f>_xlfn.IFERROR(VLOOKUP($A292,'The List'!$B1:$AS665,21,FALSE)," ")</f>
        <v>858</v>
      </c>
      <c r="O292" t="s" s="125">
        <f>_xlfn.IFERROR(VLOOKUP($A292,'The List'!$B1:$AS665,22,FALSE)," ")</f>
        <v>858</v>
      </c>
      <c r="P292" t="s" s="125">
        <f>_xlfn.IFERROR(VLOOKUP($A292,'The List'!$B1:$AS665,23,FALSE)," ")</f>
        <v>858</v>
      </c>
      <c r="Q292" t="s" s="125">
        <f>_xlfn.IFERROR(VLOOKUP($A292,'The List'!$B1:$AS665,24,FALSE)," ")</f>
        <v>858</v>
      </c>
      <c r="R292" t="s" s="125">
        <f>_xlfn.IFERROR(VLOOKUP($A292,'The List'!$B1:$AS665,25,FALSE)," ")</f>
        <v>858</v>
      </c>
      <c r="S292" t="s" s="125">
        <f>_xlfn.IFERROR(VLOOKUP($A292,'The List'!$B1:$AS665,26,FALSE)," ")</f>
        <v>858</v>
      </c>
      <c r="T292" t="s" s="125">
        <f>_xlfn.IFERROR(VLOOKUP($A292,'The List'!$B1:$AS665,27,FALSE)," ")</f>
        <v>858</v>
      </c>
      <c r="U292" t="s" s="125">
        <f>_xlfn.IFERROR(VLOOKUP($A292,'The List'!$B1:$AS665,28,FALSE)," ")</f>
        <v>858</v>
      </c>
      <c r="V292" t="s" s="125">
        <f>_xlfn.IFERROR(VLOOKUP($A292,'The List'!$B1:$AS665,29,FALSE)," ")</f>
        <v>858</v>
      </c>
      <c r="W292" t="s" s="125">
        <f>_xlfn.IFERROR(VLOOKUP($A292,'The List'!$B1:$AS665,30,FALSE)," ")</f>
        <v>858</v>
      </c>
      <c r="X292" t="s" s="125">
        <f>_xlfn.IFERROR(VLOOKUP($A292,'The List'!$B1:$AS665,31,FALSE)," ")</f>
        <v>858</v>
      </c>
      <c r="Y292" t="s" s="125">
        <f>_xlfn.IFERROR(VLOOKUP($A292,'The List'!$B1:$AS665,32,FALSE)," ")</f>
        <v>858</v>
      </c>
      <c r="Z292" t="s" s="125">
        <f>_xlfn.IFERROR(VLOOKUP($A292,'The List'!$B1:$AS665,33,FALSE)," ")</f>
        <v>858</v>
      </c>
      <c r="AA292" s="120"/>
      <c r="AB292" s="121"/>
      <c r="AC292" s="121"/>
      <c r="AD292" s="121"/>
      <c r="AE292" s="121"/>
      <c r="AF292" s="144"/>
    </row>
    <row r="293" ht="21.25" customHeight="1">
      <c r="A293" s="50"/>
      <c r="B293" t="s" s="117">
        <f>_xlfn.IFERROR(VLOOKUP($A293,'The List'!$B1:$AS665,3,FALSE)," ")</f>
        <v>858</v>
      </c>
      <c r="C293" t="s" s="123">
        <f>_xlfn.IFERROR(VLOOKUP($A293,'The List'!$B1:$AS665,4,FALSE)," ")</f>
        <v>858</v>
      </c>
      <c r="D293" t="s" s="86">
        <f>_xlfn.IFERROR(VLOOKUP($A293,'The List'!$B1:$AS665,5,FALSE)," ")</f>
        <v>858</v>
      </c>
      <c r="E293" t="s" s="86">
        <f>_xlfn.IFERROR(VLOOKUP($A293,'The List'!$B1:$AS665,6,FALSE)," ")</f>
        <v>858</v>
      </c>
      <c r="F293" t="s" s="124">
        <f>_xlfn.IFERROR(VLOOKUP($A293,'The List'!$B1:$AS665,8,FALSE)," ")</f>
        <v>858</v>
      </c>
      <c r="G293" t="s" s="124">
        <f>_xlfn.IFERROR(VLOOKUP($A293,'The List'!$B1:$AS665,10,FALSE)," ")</f>
        <v>858</v>
      </c>
      <c r="H293" s="77"/>
      <c r="I293" t="s" s="125">
        <f>_xlfn.IFERROR(VLOOKUP($A293,'The List'!$B1:$AS665,16,FALSE)," ")</f>
        <v>858</v>
      </c>
      <c r="J293" t="s" s="125">
        <f>_xlfn.IFERROR(VLOOKUP($A293,'The List'!$B1:$AS665,17,FALSE)," ")</f>
        <v>858</v>
      </c>
      <c r="K293" t="s" s="125">
        <f>_xlfn.IFERROR(VLOOKUP($A293,'The List'!$B1:$AS665,18,FALSE)," ")</f>
        <v>858</v>
      </c>
      <c r="L293" t="s" s="125">
        <f>_xlfn.IFERROR(VLOOKUP($A293,'The List'!$B1:$AS665,19,FALSE)," ")</f>
        <v>858</v>
      </c>
      <c r="M293" t="s" s="125">
        <f>_xlfn.IFERROR(VLOOKUP($A293,'The List'!$B1:$AS665,20,FALSE)," ")</f>
        <v>858</v>
      </c>
      <c r="N293" t="s" s="125">
        <f>_xlfn.IFERROR(VLOOKUP($A293,'The List'!$B1:$AS665,21,FALSE)," ")</f>
        <v>858</v>
      </c>
      <c r="O293" t="s" s="125">
        <f>_xlfn.IFERROR(VLOOKUP($A293,'The List'!$B1:$AS665,22,FALSE)," ")</f>
        <v>858</v>
      </c>
      <c r="P293" t="s" s="125">
        <f>_xlfn.IFERROR(VLOOKUP($A293,'The List'!$B1:$AS665,23,FALSE)," ")</f>
        <v>858</v>
      </c>
      <c r="Q293" t="s" s="125">
        <f>_xlfn.IFERROR(VLOOKUP($A293,'The List'!$B1:$AS665,24,FALSE)," ")</f>
        <v>858</v>
      </c>
      <c r="R293" t="s" s="125">
        <f>_xlfn.IFERROR(VLOOKUP($A293,'The List'!$B1:$AS665,25,FALSE)," ")</f>
        <v>858</v>
      </c>
      <c r="S293" t="s" s="125">
        <f>_xlfn.IFERROR(VLOOKUP($A293,'The List'!$B1:$AS665,26,FALSE)," ")</f>
        <v>858</v>
      </c>
      <c r="T293" t="s" s="125">
        <f>_xlfn.IFERROR(VLOOKUP($A293,'The List'!$B1:$AS665,27,FALSE)," ")</f>
        <v>858</v>
      </c>
      <c r="U293" t="s" s="125">
        <f>_xlfn.IFERROR(VLOOKUP($A293,'The List'!$B1:$AS665,28,FALSE)," ")</f>
        <v>858</v>
      </c>
      <c r="V293" t="s" s="125">
        <f>_xlfn.IFERROR(VLOOKUP($A293,'The List'!$B1:$AS665,29,FALSE)," ")</f>
        <v>858</v>
      </c>
      <c r="W293" t="s" s="125">
        <f>_xlfn.IFERROR(VLOOKUP($A293,'The List'!$B1:$AS665,30,FALSE)," ")</f>
        <v>858</v>
      </c>
      <c r="X293" t="s" s="125">
        <f>_xlfn.IFERROR(VLOOKUP($A293,'The List'!$B1:$AS665,31,FALSE)," ")</f>
        <v>858</v>
      </c>
      <c r="Y293" t="s" s="125">
        <f>_xlfn.IFERROR(VLOOKUP($A293,'The List'!$B1:$AS665,32,FALSE)," ")</f>
        <v>858</v>
      </c>
      <c r="Z293" t="s" s="125">
        <f>_xlfn.IFERROR(VLOOKUP($A293,'The List'!$B1:$AS665,33,FALSE)," ")</f>
        <v>858</v>
      </c>
      <c r="AA293" s="120"/>
      <c r="AB293" s="121"/>
      <c r="AC293" s="121"/>
      <c r="AD293" s="121"/>
      <c r="AE293" s="121"/>
      <c r="AF293" s="144"/>
    </row>
    <row r="294" ht="21.25" customHeight="1">
      <c r="A294" s="50"/>
      <c r="B294" t="s" s="117">
        <f>_xlfn.IFERROR(VLOOKUP($A294,'The List'!$B1:$AS665,3,FALSE)," ")</f>
        <v>858</v>
      </c>
      <c r="C294" t="s" s="123">
        <f>_xlfn.IFERROR(VLOOKUP($A294,'The List'!$B1:$AS665,4,FALSE)," ")</f>
        <v>858</v>
      </c>
      <c r="D294" t="s" s="86">
        <f>_xlfn.IFERROR(VLOOKUP($A294,'The List'!$B1:$AS665,5,FALSE)," ")</f>
        <v>858</v>
      </c>
      <c r="E294" t="s" s="86">
        <f>_xlfn.IFERROR(VLOOKUP($A294,'The List'!$B1:$AS665,6,FALSE)," ")</f>
        <v>858</v>
      </c>
      <c r="F294" t="s" s="124">
        <f>_xlfn.IFERROR(VLOOKUP($A294,'The List'!$B1:$AS665,8,FALSE)," ")</f>
        <v>858</v>
      </c>
      <c r="G294" t="s" s="124">
        <f>_xlfn.IFERROR(VLOOKUP($A294,'The List'!$B1:$AS665,10,FALSE)," ")</f>
        <v>858</v>
      </c>
      <c r="H294" s="77"/>
      <c r="I294" t="s" s="125">
        <f>_xlfn.IFERROR(VLOOKUP($A294,'The List'!$B1:$AS665,16,FALSE)," ")</f>
        <v>858</v>
      </c>
      <c r="J294" t="s" s="125">
        <f>_xlfn.IFERROR(VLOOKUP($A294,'The List'!$B1:$AS665,17,FALSE)," ")</f>
        <v>858</v>
      </c>
      <c r="K294" t="s" s="125">
        <f>_xlfn.IFERROR(VLOOKUP($A294,'The List'!$B1:$AS665,18,FALSE)," ")</f>
        <v>858</v>
      </c>
      <c r="L294" t="s" s="125">
        <f>_xlfn.IFERROR(VLOOKUP($A294,'The List'!$B1:$AS665,19,FALSE)," ")</f>
        <v>858</v>
      </c>
      <c r="M294" t="s" s="125">
        <f>_xlfn.IFERROR(VLOOKUP($A294,'The List'!$B1:$AS665,20,FALSE)," ")</f>
        <v>858</v>
      </c>
      <c r="N294" t="s" s="125">
        <f>_xlfn.IFERROR(VLOOKUP($A294,'The List'!$B1:$AS665,21,FALSE)," ")</f>
        <v>858</v>
      </c>
      <c r="O294" t="s" s="125">
        <f>_xlfn.IFERROR(VLOOKUP($A294,'The List'!$B1:$AS665,22,FALSE)," ")</f>
        <v>858</v>
      </c>
      <c r="P294" t="s" s="125">
        <f>_xlfn.IFERROR(VLOOKUP($A294,'The List'!$B1:$AS665,23,FALSE)," ")</f>
        <v>858</v>
      </c>
      <c r="Q294" t="s" s="125">
        <f>_xlfn.IFERROR(VLOOKUP($A294,'The List'!$B1:$AS665,24,FALSE)," ")</f>
        <v>858</v>
      </c>
      <c r="R294" t="s" s="125">
        <f>_xlfn.IFERROR(VLOOKUP($A294,'The List'!$B1:$AS665,25,FALSE)," ")</f>
        <v>858</v>
      </c>
      <c r="S294" t="s" s="125">
        <f>_xlfn.IFERROR(VLOOKUP($A294,'The List'!$B1:$AS665,26,FALSE)," ")</f>
        <v>858</v>
      </c>
      <c r="T294" t="s" s="125">
        <f>_xlfn.IFERROR(VLOOKUP($A294,'The List'!$B1:$AS665,27,FALSE)," ")</f>
        <v>858</v>
      </c>
      <c r="U294" t="s" s="125">
        <f>_xlfn.IFERROR(VLOOKUP($A294,'The List'!$B1:$AS665,28,FALSE)," ")</f>
        <v>858</v>
      </c>
      <c r="V294" t="s" s="125">
        <f>_xlfn.IFERROR(VLOOKUP($A294,'The List'!$B1:$AS665,29,FALSE)," ")</f>
        <v>858</v>
      </c>
      <c r="W294" t="s" s="125">
        <f>_xlfn.IFERROR(VLOOKUP($A294,'The List'!$B1:$AS665,30,FALSE)," ")</f>
        <v>858</v>
      </c>
      <c r="X294" t="s" s="125">
        <f>_xlfn.IFERROR(VLOOKUP($A294,'The List'!$B1:$AS665,31,FALSE)," ")</f>
        <v>858</v>
      </c>
      <c r="Y294" t="s" s="125">
        <f>_xlfn.IFERROR(VLOOKUP($A294,'The List'!$B1:$AS665,32,FALSE)," ")</f>
        <v>858</v>
      </c>
      <c r="Z294" t="s" s="125">
        <f>_xlfn.IFERROR(VLOOKUP($A294,'The List'!$B1:$AS665,33,FALSE)," ")</f>
        <v>858</v>
      </c>
      <c r="AA294" s="120"/>
      <c r="AB294" s="121"/>
      <c r="AC294" s="121"/>
      <c r="AD294" s="121"/>
      <c r="AE294" s="121"/>
      <c r="AF294" s="144"/>
    </row>
    <row r="295" ht="21.25" customHeight="1">
      <c r="A295" s="50"/>
      <c r="B295" t="s" s="117">
        <f>_xlfn.IFERROR(VLOOKUP($A295,'The List'!$B1:$AS665,3,FALSE)," ")</f>
        <v>858</v>
      </c>
      <c r="C295" t="s" s="123">
        <f>_xlfn.IFERROR(VLOOKUP($A295,'The List'!$B1:$AS665,4,FALSE)," ")</f>
        <v>858</v>
      </c>
      <c r="D295" t="s" s="86">
        <f>_xlfn.IFERROR(VLOOKUP($A295,'The List'!$B1:$AS665,5,FALSE)," ")</f>
        <v>858</v>
      </c>
      <c r="E295" t="s" s="86">
        <f>_xlfn.IFERROR(VLOOKUP($A295,'The List'!$B1:$AS665,6,FALSE)," ")</f>
        <v>858</v>
      </c>
      <c r="F295" t="s" s="124">
        <f>_xlfn.IFERROR(VLOOKUP($A295,'The List'!$B1:$AS665,8,FALSE)," ")</f>
        <v>858</v>
      </c>
      <c r="G295" t="s" s="124">
        <f>_xlfn.IFERROR(VLOOKUP($A295,'The List'!$B1:$AS665,10,FALSE)," ")</f>
        <v>858</v>
      </c>
      <c r="H295" s="77"/>
      <c r="I295" t="s" s="125">
        <f>_xlfn.IFERROR(VLOOKUP($A295,'The List'!$B1:$AS665,16,FALSE)," ")</f>
        <v>858</v>
      </c>
      <c r="J295" t="s" s="125">
        <f>_xlfn.IFERROR(VLOOKUP($A295,'The List'!$B1:$AS665,17,FALSE)," ")</f>
        <v>858</v>
      </c>
      <c r="K295" t="s" s="125">
        <f>_xlfn.IFERROR(VLOOKUP($A295,'The List'!$B1:$AS665,18,FALSE)," ")</f>
        <v>858</v>
      </c>
      <c r="L295" t="s" s="125">
        <f>_xlfn.IFERROR(VLOOKUP($A295,'The List'!$B1:$AS665,19,FALSE)," ")</f>
        <v>858</v>
      </c>
      <c r="M295" t="s" s="125">
        <f>_xlfn.IFERROR(VLOOKUP($A295,'The List'!$B1:$AS665,20,FALSE)," ")</f>
        <v>858</v>
      </c>
      <c r="N295" t="s" s="125">
        <f>_xlfn.IFERROR(VLOOKUP($A295,'The List'!$B1:$AS665,21,FALSE)," ")</f>
        <v>858</v>
      </c>
      <c r="O295" t="s" s="125">
        <f>_xlfn.IFERROR(VLOOKUP($A295,'The List'!$B1:$AS665,22,FALSE)," ")</f>
        <v>858</v>
      </c>
      <c r="P295" t="s" s="125">
        <f>_xlfn.IFERROR(VLOOKUP($A295,'The List'!$B1:$AS665,23,FALSE)," ")</f>
        <v>858</v>
      </c>
      <c r="Q295" t="s" s="125">
        <f>_xlfn.IFERROR(VLOOKUP($A295,'The List'!$B1:$AS665,24,FALSE)," ")</f>
        <v>858</v>
      </c>
      <c r="R295" t="s" s="125">
        <f>_xlfn.IFERROR(VLOOKUP($A295,'The List'!$B1:$AS665,25,FALSE)," ")</f>
        <v>858</v>
      </c>
      <c r="S295" t="s" s="125">
        <f>_xlfn.IFERROR(VLOOKUP($A295,'The List'!$B1:$AS665,26,FALSE)," ")</f>
        <v>858</v>
      </c>
      <c r="T295" t="s" s="125">
        <f>_xlfn.IFERROR(VLOOKUP($A295,'The List'!$B1:$AS665,27,FALSE)," ")</f>
        <v>858</v>
      </c>
      <c r="U295" t="s" s="125">
        <f>_xlfn.IFERROR(VLOOKUP($A295,'The List'!$B1:$AS665,28,FALSE)," ")</f>
        <v>858</v>
      </c>
      <c r="V295" t="s" s="125">
        <f>_xlfn.IFERROR(VLOOKUP($A295,'The List'!$B1:$AS665,29,FALSE)," ")</f>
        <v>858</v>
      </c>
      <c r="W295" t="s" s="125">
        <f>_xlfn.IFERROR(VLOOKUP($A295,'The List'!$B1:$AS665,30,FALSE)," ")</f>
        <v>858</v>
      </c>
      <c r="X295" t="s" s="125">
        <f>_xlfn.IFERROR(VLOOKUP($A295,'The List'!$B1:$AS665,31,FALSE)," ")</f>
        <v>858</v>
      </c>
      <c r="Y295" t="s" s="125">
        <f>_xlfn.IFERROR(VLOOKUP($A295,'The List'!$B1:$AS665,32,FALSE)," ")</f>
        <v>858</v>
      </c>
      <c r="Z295" t="s" s="125">
        <f>_xlfn.IFERROR(VLOOKUP($A295,'The List'!$B1:$AS665,33,FALSE)," ")</f>
        <v>858</v>
      </c>
      <c r="AA295" s="120"/>
      <c r="AB295" s="121"/>
      <c r="AC295" s="121"/>
      <c r="AD295" s="121"/>
      <c r="AE295" s="121"/>
      <c r="AF295" s="144"/>
    </row>
    <row r="296" ht="21.25" customHeight="1">
      <c r="A296" s="50"/>
      <c r="B296" t="s" s="126">
        <f>_xlfn.IFERROR(VLOOKUP($A296,'The List'!$B1:$AS665,3,FALSE)," ")</f>
        <v>858</v>
      </c>
      <c r="C296" t="s" s="128">
        <f>_xlfn.IFERROR(VLOOKUP($A296,'The List'!$B1:$AS665,4,FALSE)," ")</f>
        <v>858</v>
      </c>
      <c r="D296" t="s" s="86">
        <f>_xlfn.IFERROR(VLOOKUP($A296,'The List'!$B1:$AS665,5,FALSE)," ")</f>
        <v>858</v>
      </c>
      <c r="E296" t="s" s="86">
        <f>_xlfn.IFERROR(VLOOKUP($A296,'The List'!$B1:$AS665,6,FALSE)," ")</f>
        <v>858</v>
      </c>
      <c r="F296" t="s" s="124">
        <f>_xlfn.IFERROR(VLOOKUP($A296,'The List'!$B1:$AS665,8,FALSE)," ")</f>
        <v>858</v>
      </c>
      <c r="G296" t="s" s="124">
        <f>_xlfn.IFERROR(VLOOKUP($A296,'The List'!$B1:$AS665,10,FALSE)," ")</f>
        <v>858</v>
      </c>
      <c r="H296" s="77"/>
      <c r="I296" t="s" s="125">
        <f>_xlfn.IFERROR(VLOOKUP($A296,'The List'!$B1:$AS665,16,FALSE)," ")</f>
        <v>858</v>
      </c>
      <c r="J296" t="s" s="125">
        <f>_xlfn.IFERROR(VLOOKUP($A296,'The List'!$B1:$AS665,17,FALSE)," ")</f>
        <v>858</v>
      </c>
      <c r="K296" t="s" s="125">
        <f>_xlfn.IFERROR(VLOOKUP($A296,'The List'!$B1:$AS665,18,FALSE)," ")</f>
        <v>858</v>
      </c>
      <c r="L296" t="s" s="125">
        <f>_xlfn.IFERROR(VLOOKUP($A296,'The List'!$B1:$AS665,19,FALSE)," ")</f>
        <v>858</v>
      </c>
      <c r="M296" t="s" s="125">
        <f>_xlfn.IFERROR(VLOOKUP($A296,'The List'!$B1:$AS665,20,FALSE)," ")</f>
        <v>858</v>
      </c>
      <c r="N296" t="s" s="125">
        <f>_xlfn.IFERROR(VLOOKUP($A296,'The List'!$B1:$AS665,21,FALSE)," ")</f>
        <v>858</v>
      </c>
      <c r="O296" t="s" s="125">
        <f>_xlfn.IFERROR(VLOOKUP($A296,'The List'!$B1:$AS665,22,FALSE)," ")</f>
        <v>858</v>
      </c>
      <c r="P296" t="s" s="125">
        <f>_xlfn.IFERROR(VLOOKUP($A296,'The List'!$B1:$AS665,23,FALSE)," ")</f>
        <v>858</v>
      </c>
      <c r="Q296" t="s" s="125">
        <f>_xlfn.IFERROR(VLOOKUP($A296,'The List'!$B1:$AS665,24,FALSE)," ")</f>
        <v>858</v>
      </c>
      <c r="R296" t="s" s="125">
        <f>_xlfn.IFERROR(VLOOKUP($A296,'The List'!$B1:$AS665,25,FALSE)," ")</f>
        <v>858</v>
      </c>
      <c r="S296" t="s" s="125">
        <f>_xlfn.IFERROR(VLOOKUP($A296,'The List'!$B1:$AS665,26,FALSE)," ")</f>
        <v>858</v>
      </c>
      <c r="T296" t="s" s="125">
        <f>_xlfn.IFERROR(VLOOKUP($A296,'The List'!$B1:$AS665,27,FALSE)," ")</f>
        <v>858</v>
      </c>
      <c r="U296" t="s" s="125">
        <f>_xlfn.IFERROR(VLOOKUP($A296,'The List'!$B1:$AS665,28,FALSE)," ")</f>
        <v>858</v>
      </c>
      <c r="V296" t="s" s="125">
        <f>_xlfn.IFERROR(VLOOKUP($A296,'The List'!$B1:$AS665,29,FALSE)," ")</f>
        <v>858</v>
      </c>
      <c r="W296" t="s" s="125">
        <f>_xlfn.IFERROR(VLOOKUP($A296,'The List'!$B1:$AS665,30,FALSE)," ")</f>
        <v>858</v>
      </c>
      <c r="X296" t="s" s="125">
        <f>_xlfn.IFERROR(VLOOKUP($A296,'The List'!$B1:$AS665,31,FALSE)," ")</f>
        <v>858</v>
      </c>
      <c r="Y296" t="s" s="125">
        <f>_xlfn.IFERROR(VLOOKUP($A296,'The List'!$B1:$AS665,32,FALSE)," ")</f>
        <v>858</v>
      </c>
      <c r="Z296" t="s" s="125">
        <f>_xlfn.IFERROR(VLOOKUP($A296,'The List'!$B1:$AS665,33,FALSE)," ")</f>
        <v>858</v>
      </c>
      <c r="AA296" s="120"/>
      <c r="AB296" s="121"/>
      <c r="AC296" s="121"/>
      <c r="AD296" s="121"/>
      <c r="AE296" s="121"/>
      <c r="AF296" s="144"/>
    </row>
    <row r="297" ht="21.25" customHeight="1">
      <c r="A297" s="50"/>
      <c r="B297" t="s" s="126">
        <f>_xlfn.IFERROR(VLOOKUP($A297,'The List'!$B1:$AS665,3,FALSE)," ")</f>
        <v>858</v>
      </c>
      <c r="C297" t="s" s="128">
        <f>_xlfn.IFERROR(VLOOKUP($A297,'The List'!$B1:$AS665,4,FALSE)," ")</f>
        <v>858</v>
      </c>
      <c r="D297" t="s" s="86">
        <f>_xlfn.IFERROR(VLOOKUP($A297,'The List'!$B1:$AS665,5,FALSE)," ")</f>
        <v>858</v>
      </c>
      <c r="E297" t="s" s="86">
        <f>_xlfn.IFERROR(VLOOKUP($A297,'The List'!$B1:$AS665,6,FALSE)," ")</f>
        <v>858</v>
      </c>
      <c r="F297" t="s" s="124">
        <f>_xlfn.IFERROR(VLOOKUP($A297,'The List'!$B1:$AS665,8,FALSE)," ")</f>
        <v>858</v>
      </c>
      <c r="G297" t="s" s="124">
        <f>_xlfn.IFERROR(VLOOKUP($A297,'The List'!$B1:$AS665,10,FALSE)," ")</f>
        <v>858</v>
      </c>
      <c r="H297" s="77"/>
      <c r="I297" t="s" s="125">
        <f>_xlfn.IFERROR(VLOOKUP($A297,'The List'!$B1:$AS665,16,FALSE)," ")</f>
        <v>858</v>
      </c>
      <c r="J297" t="s" s="125">
        <f>_xlfn.IFERROR(VLOOKUP($A297,'The List'!$B1:$AS665,17,FALSE)," ")</f>
        <v>858</v>
      </c>
      <c r="K297" t="s" s="125">
        <f>_xlfn.IFERROR(VLOOKUP($A297,'The List'!$B1:$AS665,18,FALSE)," ")</f>
        <v>858</v>
      </c>
      <c r="L297" t="s" s="125">
        <f>_xlfn.IFERROR(VLOOKUP($A297,'The List'!$B1:$AS665,19,FALSE)," ")</f>
        <v>858</v>
      </c>
      <c r="M297" t="s" s="125">
        <f>_xlfn.IFERROR(VLOOKUP($A297,'The List'!$B1:$AS665,20,FALSE)," ")</f>
        <v>858</v>
      </c>
      <c r="N297" t="s" s="125">
        <f>_xlfn.IFERROR(VLOOKUP($A297,'The List'!$B1:$AS665,21,FALSE)," ")</f>
        <v>858</v>
      </c>
      <c r="O297" t="s" s="125">
        <f>_xlfn.IFERROR(VLOOKUP($A297,'The List'!$B1:$AS665,22,FALSE)," ")</f>
        <v>858</v>
      </c>
      <c r="P297" t="s" s="125">
        <f>_xlfn.IFERROR(VLOOKUP($A297,'The List'!$B1:$AS665,23,FALSE)," ")</f>
        <v>858</v>
      </c>
      <c r="Q297" t="s" s="125">
        <f>_xlfn.IFERROR(VLOOKUP($A297,'The List'!$B1:$AS665,24,FALSE)," ")</f>
        <v>858</v>
      </c>
      <c r="R297" t="s" s="125">
        <f>_xlfn.IFERROR(VLOOKUP($A297,'The List'!$B1:$AS665,25,FALSE)," ")</f>
        <v>858</v>
      </c>
      <c r="S297" t="s" s="125">
        <f>_xlfn.IFERROR(VLOOKUP($A297,'The List'!$B1:$AS665,26,FALSE)," ")</f>
        <v>858</v>
      </c>
      <c r="T297" t="s" s="125">
        <f>_xlfn.IFERROR(VLOOKUP($A297,'The List'!$B1:$AS665,27,FALSE)," ")</f>
        <v>858</v>
      </c>
      <c r="U297" t="s" s="125">
        <f>_xlfn.IFERROR(VLOOKUP($A297,'The List'!$B1:$AS665,28,FALSE)," ")</f>
        <v>858</v>
      </c>
      <c r="V297" t="s" s="125">
        <f>_xlfn.IFERROR(VLOOKUP($A297,'The List'!$B1:$AS665,29,FALSE)," ")</f>
        <v>858</v>
      </c>
      <c r="W297" t="s" s="125">
        <f>_xlfn.IFERROR(VLOOKUP($A297,'The List'!$B1:$AS665,30,FALSE)," ")</f>
        <v>858</v>
      </c>
      <c r="X297" t="s" s="125">
        <f>_xlfn.IFERROR(VLOOKUP($A297,'The List'!$B1:$AS665,31,FALSE)," ")</f>
        <v>858</v>
      </c>
      <c r="Y297" t="s" s="125">
        <f>_xlfn.IFERROR(VLOOKUP($A297,'The List'!$B1:$AS665,32,FALSE)," ")</f>
        <v>858</v>
      </c>
      <c r="Z297" t="s" s="125">
        <f>_xlfn.IFERROR(VLOOKUP($A297,'The List'!$B1:$AS665,33,FALSE)," ")</f>
        <v>858</v>
      </c>
      <c r="AA297" s="120"/>
      <c r="AB297" s="121"/>
      <c r="AC297" s="121"/>
      <c r="AD297" s="121"/>
      <c r="AE297" s="121"/>
      <c r="AF297" s="144"/>
    </row>
    <row r="298" ht="21.25" customHeight="1">
      <c r="A298" s="50"/>
      <c r="B298" t="s" s="126">
        <f>_xlfn.IFERROR(VLOOKUP($A298,'The List'!$B1:$AS665,3,FALSE)," ")</f>
        <v>858</v>
      </c>
      <c r="C298" t="s" s="128">
        <f>_xlfn.IFERROR(VLOOKUP($A298,'The List'!$B1:$AS665,4,FALSE)," ")</f>
        <v>858</v>
      </c>
      <c r="D298" t="s" s="86">
        <f>_xlfn.IFERROR(VLOOKUP($A298,'The List'!$B1:$AS665,5,FALSE)," ")</f>
        <v>858</v>
      </c>
      <c r="E298" t="s" s="86">
        <f>_xlfn.IFERROR(VLOOKUP($A298,'The List'!$B1:$AS665,6,FALSE)," ")</f>
        <v>858</v>
      </c>
      <c r="F298" t="s" s="124">
        <f>_xlfn.IFERROR(VLOOKUP($A298,'The List'!$B1:$AS665,8,FALSE)," ")</f>
        <v>858</v>
      </c>
      <c r="G298" t="s" s="124">
        <f>_xlfn.IFERROR(VLOOKUP($A298,'The List'!$B1:$AS665,10,FALSE)," ")</f>
        <v>858</v>
      </c>
      <c r="H298" s="77"/>
      <c r="I298" t="s" s="125">
        <f>_xlfn.IFERROR(VLOOKUP($A298,'The List'!$B1:$AS665,16,FALSE)," ")</f>
        <v>858</v>
      </c>
      <c r="J298" t="s" s="125">
        <f>_xlfn.IFERROR(VLOOKUP($A298,'The List'!$B1:$AS665,17,FALSE)," ")</f>
        <v>858</v>
      </c>
      <c r="K298" t="s" s="125">
        <f>_xlfn.IFERROR(VLOOKUP($A298,'The List'!$B1:$AS665,18,FALSE)," ")</f>
        <v>858</v>
      </c>
      <c r="L298" t="s" s="125">
        <f>_xlfn.IFERROR(VLOOKUP($A298,'The List'!$B1:$AS665,19,FALSE)," ")</f>
        <v>858</v>
      </c>
      <c r="M298" t="s" s="125">
        <f>_xlfn.IFERROR(VLOOKUP($A298,'The List'!$B1:$AS665,20,FALSE)," ")</f>
        <v>858</v>
      </c>
      <c r="N298" t="s" s="125">
        <f>_xlfn.IFERROR(VLOOKUP($A298,'The List'!$B1:$AS665,21,FALSE)," ")</f>
        <v>858</v>
      </c>
      <c r="O298" t="s" s="125">
        <f>_xlfn.IFERROR(VLOOKUP($A298,'The List'!$B1:$AS665,22,FALSE)," ")</f>
        <v>858</v>
      </c>
      <c r="P298" t="s" s="125">
        <f>_xlfn.IFERROR(VLOOKUP($A298,'The List'!$B1:$AS665,23,FALSE)," ")</f>
        <v>858</v>
      </c>
      <c r="Q298" t="s" s="125">
        <f>_xlfn.IFERROR(VLOOKUP($A298,'The List'!$B1:$AS665,24,FALSE)," ")</f>
        <v>858</v>
      </c>
      <c r="R298" t="s" s="125">
        <f>_xlfn.IFERROR(VLOOKUP($A298,'The List'!$B1:$AS665,25,FALSE)," ")</f>
        <v>858</v>
      </c>
      <c r="S298" t="s" s="125">
        <f>_xlfn.IFERROR(VLOOKUP($A298,'The List'!$B1:$AS665,26,FALSE)," ")</f>
        <v>858</v>
      </c>
      <c r="T298" t="s" s="125">
        <f>_xlfn.IFERROR(VLOOKUP($A298,'The List'!$B1:$AS665,27,FALSE)," ")</f>
        <v>858</v>
      </c>
      <c r="U298" t="s" s="125">
        <f>_xlfn.IFERROR(VLOOKUP($A298,'The List'!$B1:$AS665,28,FALSE)," ")</f>
        <v>858</v>
      </c>
      <c r="V298" t="s" s="125">
        <f>_xlfn.IFERROR(VLOOKUP($A298,'The List'!$B1:$AS665,29,FALSE)," ")</f>
        <v>858</v>
      </c>
      <c r="W298" t="s" s="125">
        <f>_xlfn.IFERROR(VLOOKUP($A298,'The List'!$B1:$AS665,30,FALSE)," ")</f>
        <v>858</v>
      </c>
      <c r="X298" t="s" s="125">
        <f>_xlfn.IFERROR(VLOOKUP($A298,'The List'!$B1:$AS665,31,FALSE)," ")</f>
        <v>858</v>
      </c>
      <c r="Y298" t="s" s="125">
        <f>_xlfn.IFERROR(VLOOKUP($A298,'The List'!$B1:$AS665,32,FALSE)," ")</f>
        <v>858</v>
      </c>
      <c r="Z298" t="s" s="125">
        <f>_xlfn.IFERROR(VLOOKUP($A298,'The List'!$B1:$AS665,33,FALSE)," ")</f>
        <v>858</v>
      </c>
      <c r="AA298" s="120"/>
      <c r="AB298" s="121"/>
      <c r="AC298" s="121"/>
      <c r="AD298" s="121"/>
      <c r="AE298" s="121"/>
      <c r="AF298" s="144"/>
    </row>
    <row r="299" ht="21.25" customHeight="1">
      <c r="A299" s="50"/>
      <c r="B299" t="s" s="126">
        <f>_xlfn.IFERROR(VLOOKUP($A299,'The List'!$B1:$AS665,3,FALSE)," ")</f>
        <v>858</v>
      </c>
      <c r="C299" t="s" s="128">
        <f>_xlfn.IFERROR(VLOOKUP($A299,'The List'!$B1:$AS665,4,FALSE)," ")</f>
        <v>858</v>
      </c>
      <c r="D299" t="s" s="86">
        <f>_xlfn.IFERROR(VLOOKUP($A299,'The List'!$B1:$AS665,5,FALSE)," ")</f>
        <v>858</v>
      </c>
      <c r="E299" t="s" s="86">
        <f>_xlfn.IFERROR(VLOOKUP($A299,'The List'!$B1:$AS665,6,FALSE)," ")</f>
        <v>858</v>
      </c>
      <c r="F299" t="s" s="124">
        <f>_xlfn.IFERROR(VLOOKUP($A299,'The List'!$B1:$AS665,8,FALSE)," ")</f>
        <v>858</v>
      </c>
      <c r="G299" t="s" s="124">
        <f>_xlfn.IFERROR(VLOOKUP($A299,'The List'!$B1:$AS665,10,FALSE)," ")</f>
        <v>858</v>
      </c>
      <c r="H299" s="77"/>
      <c r="I299" t="s" s="125">
        <f>_xlfn.IFERROR(VLOOKUP($A299,'The List'!$B1:$AS665,16,FALSE)," ")</f>
        <v>858</v>
      </c>
      <c r="J299" t="s" s="125">
        <f>_xlfn.IFERROR(VLOOKUP($A299,'The List'!$B1:$AS665,17,FALSE)," ")</f>
        <v>858</v>
      </c>
      <c r="K299" t="s" s="125">
        <f>_xlfn.IFERROR(VLOOKUP($A299,'The List'!$B1:$AS665,18,FALSE)," ")</f>
        <v>858</v>
      </c>
      <c r="L299" t="s" s="125">
        <f>_xlfn.IFERROR(VLOOKUP($A299,'The List'!$B1:$AS665,19,FALSE)," ")</f>
        <v>858</v>
      </c>
      <c r="M299" t="s" s="125">
        <f>_xlfn.IFERROR(VLOOKUP($A299,'The List'!$B1:$AS665,20,FALSE)," ")</f>
        <v>858</v>
      </c>
      <c r="N299" t="s" s="125">
        <f>_xlfn.IFERROR(VLOOKUP($A299,'The List'!$B1:$AS665,21,FALSE)," ")</f>
        <v>858</v>
      </c>
      <c r="O299" t="s" s="125">
        <f>_xlfn.IFERROR(VLOOKUP($A299,'The List'!$B1:$AS665,22,FALSE)," ")</f>
        <v>858</v>
      </c>
      <c r="P299" t="s" s="125">
        <f>_xlfn.IFERROR(VLOOKUP($A299,'The List'!$B1:$AS665,23,FALSE)," ")</f>
        <v>858</v>
      </c>
      <c r="Q299" t="s" s="125">
        <f>_xlfn.IFERROR(VLOOKUP($A299,'The List'!$B1:$AS665,24,FALSE)," ")</f>
        <v>858</v>
      </c>
      <c r="R299" t="s" s="125">
        <f>_xlfn.IFERROR(VLOOKUP($A299,'The List'!$B1:$AS665,25,FALSE)," ")</f>
        <v>858</v>
      </c>
      <c r="S299" t="s" s="125">
        <f>_xlfn.IFERROR(VLOOKUP($A299,'The List'!$B1:$AS665,26,FALSE)," ")</f>
        <v>858</v>
      </c>
      <c r="T299" t="s" s="125">
        <f>_xlfn.IFERROR(VLOOKUP($A299,'The List'!$B1:$AS665,27,FALSE)," ")</f>
        <v>858</v>
      </c>
      <c r="U299" t="s" s="125">
        <f>_xlfn.IFERROR(VLOOKUP($A299,'The List'!$B1:$AS665,28,FALSE)," ")</f>
        <v>858</v>
      </c>
      <c r="V299" t="s" s="125">
        <f>_xlfn.IFERROR(VLOOKUP($A299,'The List'!$B1:$AS665,29,FALSE)," ")</f>
        <v>858</v>
      </c>
      <c r="W299" t="s" s="125">
        <f>_xlfn.IFERROR(VLOOKUP($A299,'The List'!$B1:$AS665,30,FALSE)," ")</f>
        <v>858</v>
      </c>
      <c r="X299" t="s" s="125">
        <f>_xlfn.IFERROR(VLOOKUP($A299,'The List'!$B1:$AS665,31,FALSE)," ")</f>
        <v>858</v>
      </c>
      <c r="Y299" t="s" s="125">
        <f>_xlfn.IFERROR(VLOOKUP($A299,'The List'!$B1:$AS665,32,FALSE)," ")</f>
        <v>858</v>
      </c>
      <c r="Z299" t="s" s="125">
        <f>_xlfn.IFERROR(VLOOKUP($A299,'The List'!$B1:$AS665,33,FALSE)," ")</f>
        <v>858</v>
      </c>
      <c r="AA299" s="120"/>
      <c r="AB299" s="121"/>
      <c r="AC299" s="121"/>
      <c r="AD299" s="121"/>
      <c r="AE299" s="121"/>
      <c r="AF299" s="144"/>
    </row>
    <row r="300" ht="21.25" customHeight="1">
      <c r="A300" s="50"/>
      <c r="B300" t="s" s="129">
        <f>_xlfn.IFERROR(VLOOKUP($A300,'The List'!$B1:$AS665,3,FALSE)," ")</f>
        <v>858</v>
      </c>
      <c r="C300" t="s" s="131">
        <f>_xlfn.IFERROR(VLOOKUP($A300,'The List'!$B1:$AS665,4,FALSE)," ")</f>
        <v>858</v>
      </c>
      <c r="D300" t="s" s="86">
        <f>_xlfn.IFERROR(VLOOKUP($A300,'The List'!$B1:$AS665,5,FALSE)," ")</f>
        <v>858</v>
      </c>
      <c r="E300" t="s" s="86">
        <f>_xlfn.IFERROR(VLOOKUP($A300,'The List'!$B1:$AS665,6,FALSE)," ")</f>
        <v>858</v>
      </c>
      <c r="F300" t="s" s="124">
        <f>_xlfn.IFERROR(VLOOKUP($A300,'The List'!$B1:$AS665,8,FALSE)," ")</f>
        <v>858</v>
      </c>
      <c r="G300" t="s" s="124">
        <f>_xlfn.IFERROR(VLOOKUP($A300,'The List'!$B1:$AS665,10,FALSE)," ")</f>
        <v>858</v>
      </c>
      <c r="H300" s="77"/>
      <c r="I300" t="s" s="125">
        <f>_xlfn.IFERROR(VLOOKUP($A300,'The List'!$B1:$AS665,16,FALSE)," ")</f>
        <v>858</v>
      </c>
      <c r="J300" t="s" s="125">
        <f>_xlfn.IFERROR(VLOOKUP($A300,'The List'!$B1:$AS665,17,FALSE)," ")</f>
        <v>858</v>
      </c>
      <c r="K300" t="s" s="125">
        <f>_xlfn.IFERROR(VLOOKUP($A300,'The List'!$B1:$AS665,18,FALSE)," ")</f>
        <v>858</v>
      </c>
      <c r="L300" t="s" s="125">
        <f>_xlfn.IFERROR(VLOOKUP($A300,'The List'!$B1:$AS665,19,FALSE)," ")</f>
        <v>858</v>
      </c>
      <c r="M300" t="s" s="125">
        <f>_xlfn.IFERROR(VLOOKUP($A300,'The List'!$B1:$AS665,20,FALSE)," ")</f>
        <v>858</v>
      </c>
      <c r="N300" t="s" s="125">
        <f>_xlfn.IFERROR(VLOOKUP($A300,'The List'!$B1:$AS665,21,FALSE)," ")</f>
        <v>858</v>
      </c>
      <c r="O300" t="s" s="125">
        <f>_xlfn.IFERROR(VLOOKUP($A300,'The List'!$B1:$AS665,22,FALSE)," ")</f>
        <v>858</v>
      </c>
      <c r="P300" t="s" s="125">
        <f>_xlfn.IFERROR(VLOOKUP($A300,'The List'!$B1:$AS665,23,FALSE)," ")</f>
        <v>858</v>
      </c>
      <c r="Q300" t="s" s="125">
        <f>_xlfn.IFERROR(VLOOKUP($A300,'The List'!$B1:$AS665,24,FALSE)," ")</f>
        <v>858</v>
      </c>
      <c r="R300" t="s" s="125">
        <f>_xlfn.IFERROR(VLOOKUP($A300,'The List'!$B1:$AS665,25,FALSE)," ")</f>
        <v>858</v>
      </c>
      <c r="S300" t="s" s="125">
        <f>_xlfn.IFERROR(VLOOKUP($A300,'The List'!$B1:$AS665,26,FALSE)," ")</f>
        <v>858</v>
      </c>
      <c r="T300" t="s" s="125">
        <f>_xlfn.IFERROR(VLOOKUP($A300,'The List'!$B1:$AS665,27,FALSE)," ")</f>
        <v>858</v>
      </c>
      <c r="U300" t="s" s="125">
        <f>_xlfn.IFERROR(VLOOKUP($A300,'The List'!$B1:$AS665,28,FALSE)," ")</f>
        <v>858</v>
      </c>
      <c r="V300" t="s" s="125">
        <f>_xlfn.IFERROR(VLOOKUP($A300,'The List'!$B1:$AS665,29,FALSE)," ")</f>
        <v>858</v>
      </c>
      <c r="W300" t="s" s="125">
        <f>_xlfn.IFERROR(VLOOKUP($A300,'The List'!$B1:$AS665,30,FALSE)," ")</f>
        <v>858</v>
      </c>
      <c r="X300" t="s" s="125">
        <f>_xlfn.IFERROR(VLOOKUP($A300,'The List'!$B1:$AS665,31,FALSE)," ")</f>
        <v>858</v>
      </c>
      <c r="Y300" t="s" s="125">
        <f>_xlfn.IFERROR(VLOOKUP($A300,'The List'!$B1:$AS665,32,FALSE)," ")</f>
        <v>858</v>
      </c>
      <c r="Z300" t="s" s="125">
        <f>_xlfn.IFERROR(VLOOKUP($A300,'The List'!$B1:$AS665,33,FALSE)," ")</f>
        <v>858</v>
      </c>
      <c r="AA300" s="120"/>
      <c r="AB300" s="121"/>
      <c r="AC300" s="121"/>
      <c r="AD300" s="121"/>
      <c r="AE300" s="121"/>
      <c r="AF300" s="144"/>
    </row>
    <row r="301" ht="21.25" customHeight="1">
      <c r="A301" s="50"/>
      <c r="B301" t="s" s="129">
        <f>_xlfn.IFERROR(VLOOKUP($A301,'The List'!$B1:$AS665,3,FALSE)," ")</f>
        <v>858</v>
      </c>
      <c r="C301" t="s" s="131">
        <f>_xlfn.IFERROR(VLOOKUP($A301,'The List'!$B1:$AS665,4,FALSE)," ")</f>
        <v>858</v>
      </c>
      <c r="D301" t="s" s="86">
        <f>_xlfn.IFERROR(VLOOKUP($A301,'The List'!$B1:$AS665,5,FALSE)," ")</f>
        <v>858</v>
      </c>
      <c r="E301" t="s" s="86">
        <f>_xlfn.IFERROR(VLOOKUP($A301,'The List'!$B1:$AS665,6,FALSE)," ")</f>
        <v>858</v>
      </c>
      <c r="F301" t="s" s="124">
        <f>_xlfn.IFERROR(VLOOKUP($A301,'The List'!$B1:$AS665,8,FALSE)," ")</f>
        <v>858</v>
      </c>
      <c r="G301" t="s" s="124">
        <f>_xlfn.IFERROR(VLOOKUP($A301,'The List'!$B1:$AS665,10,FALSE)," ")</f>
        <v>858</v>
      </c>
      <c r="H301" s="77"/>
      <c r="I301" t="s" s="125">
        <f>_xlfn.IFERROR(VLOOKUP($A301,'The List'!$B1:$AS665,16,FALSE)," ")</f>
        <v>858</v>
      </c>
      <c r="J301" t="s" s="125">
        <f>_xlfn.IFERROR(VLOOKUP($A301,'The List'!$B1:$AS665,17,FALSE)," ")</f>
        <v>858</v>
      </c>
      <c r="K301" t="s" s="125">
        <f>_xlfn.IFERROR(VLOOKUP($A301,'The List'!$B1:$AS665,18,FALSE)," ")</f>
        <v>858</v>
      </c>
      <c r="L301" t="s" s="125">
        <f>_xlfn.IFERROR(VLOOKUP($A301,'The List'!$B1:$AS665,19,FALSE)," ")</f>
        <v>858</v>
      </c>
      <c r="M301" t="s" s="125">
        <f>_xlfn.IFERROR(VLOOKUP($A301,'The List'!$B1:$AS665,20,FALSE)," ")</f>
        <v>858</v>
      </c>
      <c r="N301" t="s" s="125">
        <f>_xlfn.IFERROR(VLOOKUP($A301,'The List'!$B1:$AS665,21,FALSE)," ")</f>
        <v>858</v>
      </c>
      <c r="O301" t="s" s="125">
        <f>_xlfn.IFERROR(VLOOKUP($A301,'The List'!$B1:$AS665,22,FALSE)," ")</f>
        <v>858</v>
      </c>
      <c r="P301" t="s" s="125">
        <f>_xlfn.IFERROR(VLOOKUP($A301,'The List'!$B1:$AS665,23,FALSE)," ")</f>
        <v>858</v>
      </c>
      <c r="Q301" t="s" s="125">
        <f>_xlfn.IFERROR(VLOOKUP($A301,'The List'!$B1:$AS665,24,FALSE)," ")</f>
        <v>858</v>
      </c>
      <c r="R301" t="s" s="125">
        <f>_xlfn.IFERROR(VLOOKUP($A301,'The List'!$B1:$AS665,25,FALSE)," ")</f>
        <v>858</v>
      </c>
      <c r="S301" t="s" s="125">
        <f>_xlfn.IFERROR(VLOOKUP($A301,'The List'!$B1:$AS665,26,FALSE)," ")</f>
        <v>858</v>
      </c>
      <c r="T301" t="s" s="125">
        <f>_xlfn.IFERROR(VLOOKUP($A301,'The List'!$B1:$AS665,27,FALSE)," ")</f>
        <v>858</v>
      </c>
      <c r="U301" t="s" s="125">
        <f>_xlfn.IFERROR(VLOOKUP($A301,'The List'!$B1:$AS665,28,FALSE)," ")</f>
        <v>858</v>
      </c>
      <c r="V301" t="s" s="125">
        <f>_xlfn.IFERROR(VLOOKUP($A301,'The List'!$B1:$AS665,29,FALSE)," ")</f>
        <v>858</v>
      </c>
      <c r="W301" t="s" s="125">
        <f>_xlfn.IFERROR(VLOOKUP($A301,'The List'!$B1:$AS665,30,FALSE)," ")</f>
        <v>858</v>
      </c>
      <c r="X301" t="s" s="125">
        <f>_xlfn.IFERROR(VLOOKUP($A301,'The List'!$B1:$AS665,31,FALSE)," ")</f>
        <v>858</v>
      </c>
      <c r="Y301" t="s" s="125">
        <f>_xlfn.IFERROR(VLOOKUP($A301,'The List'!$B1:$AS665,32,FALSE)," ")</f>
        <v>858</v>
      </c>
      <c r="Z301" t="s" s="125">
        <f>_xlfn.IFERROR(VLOOKUP($A301,'The List'!$B1:$AS665,33,FALSE)," ")</f>
        <v>858</v>
      </c>
      <c r="AA301" s="120"/>
      <c r="AB301" s="121"/>
      <c r="AC301" s="121"/>
      <c r="AD301" s="121"/>
      <c r="AE301" s="121"/>
      <c r="AF301" s="144"/>
    </row>
    <row r="302" ht="21.25" customHeight="1">
      <c r="A302" s="50"/>
      <c r="B302" t="s" s="129">
        <f>_xlfn.IFERROR(VLOOKUP($A302,'The List'!$B1:$AS665,3,FALSE)," ")</f>
        <v>858</v>
      </c>
      <c r="C302" t="s" s="131">
        <f>_xlfn.IFERROR(VLOOKUP($A302,'The List'!$B1:$AS665,4,FALSE)," ")</f>
        <v>858</v>
      </c>
      <c r="D302" t="s" s="86">
        <f>_xlfn.IFERROR(VLOOKUP($A302,'The List'!$B1:$AS665,5,FALSE)," ")</f>
        <v>858</v>
      </c>
      <c r="E302" t="s" s="86">
        <f>_xlfn.IFERROR(VLOOKUP($A302,'The List'!$B1:$AS665,6,FALSE)," ")</f>
        <v>858</v>
      </c>
      <c r="F302" t="s" s="124">
        <f>_xlfn.IFERROR(VLOOKUP($A302,'The List'!$B1:$AS665,8,FALSE)," ")</f>
        <v>858</v>
      </c>
      <c r="G302" t="s" s="124">
        <f>_xlfn.IFERROR(VLOOKUP($A302,'The List'!$B1:$AS665,10,FALSE)," ")</f>
        <v>858</v>
      </c>
      <c r="H302" s="77"/>
      <c r="I302" t="s" s="125">
        <f>_xlfn.IFERROR(VLOOKUP($A302,'The List'!$B1:$AS665,16,FALSE)," ")</f>
        <v>858</v>
      </c>
      <c r="J302" t="s" s="125">
        <f>_xlfn.IFERROR(VLOOKUP($A302,'The List'!$B1:$AS665,17,FALSE)," ")</f>
        <v>858</v>
      </c>
      <c r="K302" t="s" s="125">
        <f>_xlfn.IFERROR(VLOOKUP($A302,'The List'!$B1:$AS665,18,FALSE)," ")</f>
        <v>858</v>
      </c>
      <c r="L302" t="s" s="125">
        <f>_xlfn.IFERROR(VLOOKUP($A302,'The List'!$B1:$AS665,19,FALSE)," ")</f>
        <v>858</v>
      </c>
      <c r="M302" t="s" s="125">
        <f>_xlfn.IFERROR(VLOOKUP($A302,'The List'!$B1:$AS665,20,FALSE)," ")</f>
        <v>858</v>
      </c>
      <c r="N302" t="s" s="125">
        <f>_xlfn.IFERROR(VLOOKUP($A302,'The List'!$B1:$AS665,21,FALSE)," ")</f>
        <v>858</v>
      </c>
      <c r="O302" t="s" s="125">
        <f>_xlfn.IFERROR(VLOOKUP($A302,'The List'!$B1:$AS665,22,FALSE)," ")</f>
        <v>858</v>
      </c>
      <c r="P302" t="s" s="125">
        <f>_xlfn.IFERROR(VLOOKUP($A302,'The List'!$B1:$AS665,23,FALSE)," ")</f>
        <v>858</v>
      </c>
      <c r="Q302" t="s" s="125">
        <f>_xlfn.IFERROR(VLOOKUP($A302,'The List'!$B1:$AS665,24,FALSE)," ")</f>
        <v>858</v>
      </c>
      <c r="R302" t="s" s="125">
        <f>_xlfn.IFERROR(VLOOKUP($A302,'The List'!$B1:$AS665,25,FALSE)," ")</f>
        <v>858</v>
      </c>
      <c r="S302" t="s" s="125">
        <f>_xlfn.IFERROR(VLOOKUP($A302,'The List'!$B1:$AS665,26,FALSE)," ")</f>
        <v>858</v>
      </c>
      <c r="T302" t="s" s="125">
        <f>_xlfn.IFERROR(VLOOKUP($A302,'The List'!$B1:$AS665,27,FALSE)," ")</f>
        <v>858</v>
      </c>
      <c r="U302" t="s" s="125">
        <f>_xlfn.IFERROR(VLOOKUP($A302,'The List'!$B1:$AS665,28,FALSE)," ")</f>
        <v>858</v>
      </c>
      <c r="V302" t="s" s="125">
        <f>_xlfn.IFERROR(VLOOKUP($A302,'The List'!$B1:$AS665,29,FALSE)," ")</f>
        <v>858</v>
      </c>
      <c r="W302" t="s" s="125">
        <f>_xlfn.IFERROR(VLOOKUP($A302,'The List'!$B1:$AS665,30,FALSE)," ")</f>
        <v>858</v>
      </c>
      <c r="X302" t="s" s="125">
        <f>_xlfn.IFERROR(VLOOKUP($A302,'The List'!$B1:$AS665,31,FALSE)," ")</f>
        <v>858</v>
      </c>
      <c r="Y302" t="s" s="125">
        <f>_xlfn.IFERROR(VLOOKUP($A302,'The List'!$B1:$AS665,32,FALSE)," ")</f>
        <v>858</v>
      </c>
      <c r="Z302" t="s" s="125">
        <f>_xlfn.IFERROR(VLOOKUP($A302,'The List'!$B1:$AS665,33,FALSE)," ")</f>
        <v>858</v>
      </c>
      <c r="AA302" s="120"/>
      <c r="AB302" s="121"/>
      <c r="AC302" s="121"/>
      <c r="AD302" s="121"/>
      <c r="AE302" s="121"/>
      <c r="AF302" s="144"/>
    </row>
    <row r="303" ht="21.25" customHeight="1">
      <c r="A303" s="50"/>
      <c r="B303" t="s" s="129">
        <f>_xlfn.IFERROR(VLOOKUP($A303,'The List'!$B1:$AS665,3,FALSE)," ")</f>
        <v>858</v>
      </c>
      <c r="C303" t="s" s="131">
        <f>_xlfn.IFERROR(VLOOKUP($A303,'The List'!$B1:$AS665,4,FALSE)," ")</f>
        <v>858</v>
      </c>
      <c r="D303" t="s" s="86">
        <f>_xlfn.IFERROR(VLOOKUP($A303,'The List'!$B1:$AS665,5,FALSE)," ")</f>
        <v>858</v>
      </c>
      <c r="E303" t="s" s="86">
        <f>_xlfn.IFERROR(VLOOKUP($A303,'The List'!$B1:$AS665,6,FALSE)," ")</f>
        <v>858</v>
      </c>
      <c r="F303" t="s" s="124">
        <f>_xlfn.IFERROR(VLOOKUP($A303,'The List'!$B1:$AS665,8,FALSE)," ")</f>
        <v>858</v>
      </c>
      <c r="G303" t="s" s="124">
        <f>_xlfn.IFERROR(VLOOKUP($A303,'The List'!$B1:$AS665,10,FALSE)," ")</f>
        <v>858</v>
      </c>
      <c r="H303" s="77"/>
      <c r="I303" t="s" s="125">
        <f>_xlfn.IFERROR(VLOOKUP($A303,'The List'!$B1:$AS665,16,FALSE)," ")</f>
        <v>858</v>
      </c>
      <c r="J303" t="s" s="125">
        <f>_xlfn.IFERROR(VLOOKUP($A303,'The List'!$B1:$AS665,17,FALSE)," ")</f>
        <v>858</v>
      </c>
      <c r="K303" t="s" s="125">
        <f>_xlfn.IFERROR(VLOOKUP($A303,'The List'!$B1:$AS665,18,FALSE)," ")</f>
        <v>858</v>
      </c>
      <c r="L303" t="s" s="125">
        <f>_xlfn.IFERROR(VLOOKUP($A303,'The List'!$B1:$AS665,19,FALSE)," ")</f>
        <v>858</v>
      </c>
      <c r="M303" t="s" s="125">
        <f>_xlfn.IFERROR(VLOOKUP($A303,'The List'!$B1:$AS665,20,FALSE)," ")</f>
        <v>858</v>
      </c>
      <c r="N303" t="s" s="125">
        <f>_xlfn.IFERROR(VLOOKUP($A303,'The List'!$B1:$AS665,21,FALSE)," ")</f>
        <v>858</v>
      </c>
      <c r="O303" t="s" s="125">
        <f>_xlfn.IFERROR(VLOOKUP($A303,'The List'!$B1:$AS665,22,FALSE)," ")</f>
        <v>858</v>
      </c>
      <c r="P303" t="s" s="125">
        <f>_xlfn.IFERROR(VLOOKUP($A303,'The List'!$B1:$AS665,23,FALSE)," ")</f>
        <v>858</v>
      </c>
      <c r="Q303" t="s" s="125">
        <f>_xlfn.IFERROR(VLOOKUP($A303,'The List'!$B1:$AS665,24,FALSE)," ")</f>
        <v>858</v>
      </c>
      <c r="R303" t="s" s="125">
        <f>_xlfn.IFERROR(VLOOKUP($A303,'The List'!$B1:$AS665,25,FALSE)," ")</f>
        <v>858</v>
      </c>
      <c r="S303" t="s" s="125">
        <f>_xlfn.IFERROR(VLOOKUP($A303,'The List'!$B1:$AS665,26,FALSE)," ")</f>
        <v>858</v>
      </c>
      <c r="T303" t="s" s="125">
        <f>_xlfn.IFERROR(VLOOKUP($A303,'The List'!$B1:$AS665,27,FALSE)," ")</f>
        <v>858</v>
      </c>
      <c r="U303" t="s" s="125">
        <f>_xlfn.IFERROR(VLOOKUP($A303,'The List'!$B1:$AS665,28,FALSE)," ")</f>
        <v>858</v>
      </c>
      <c r="V303" t="s" s="125">
        <f>_xlfn.IFERROR(VLOOKUP($A303,'The List'!$B1:$AS665,29,FALSE)," ")</f>
        <v>858</v>
      </c>
      <c r="W303" t="s" s="125">
        <f>_xlfn.IFERROR(VLOOKUP($A303,'The List'!$B1:$AS665,30,FALSE)," ")</f>
        <v>858</v>
      </c>
      <c r="X303" t="s" s="125">
        <f>_xlfn.IFERROR(VLOOKUP($A303,'The List'!$B1:$AS665,31,FALSE)," ")</f>
        <v>858</v>
      </c>
      <c r="Y303" t="s" s="125">
        <f>_xlfn.IFERROR(VLOOKUP($A303,'The List'!$B1:$AS665,32,FALSE)," ")</f>
        <v>858</v>
      </c>
      <c r="Z303" t="s" s="125">
        <f>_xlfn.IFERROR(VLOOKUP($A303,'The List'!$B1:$AS665,33,FALSE)," ")</f>
        <v>858</v>
      </c>
      <c r="AA303" s="120"/>
      <c r="AB303" s="121"/>
      <c r="AC303" s="121"/>
      <c r="AD303" s="121"/>
      <c r="AE303" s="121"/>
      <c r="AF303" s="144"/>
    </row>
    <row r="304" ht="21.25" customHeight="1">
      <c r="A304" s="50"/>
      <c r="B304" t="s" s="132">
        <f>_xlfn.IFERROR(VLOOKUP($A304,'The List'!$B1:$AS665,3,FALSE)," ")</f>
        <v>858</v>
      </c>
      <c r="C304" t="s" s="134">
        <f>_xlfn.IFERROR(VLOOKUP($A304,'The List'!$B1:$AS665,4,FALSE)," ")</f>
        <v>858</v>
      </c>
      <c r="D304" t="s" s="86">
        <f>_xlfn.IFERROR(VLOOKUP($A304,'The List'!$B1:$AS665,5,FALSE)," ")</f>
        <v>858</v>
      </c>
      <c r="E304" t="s" s="86">
        <f>_xlfn.IFERROR(VLOOKUP($A304,'The List'!$B1:$AS665,6,FALSE)," ")</f>
        <v>858</v>
      </c>
      <c r="F304" t="s" s="124">
        <f>_xlfn.IFERROR(VLOOKUP($A304,'The List'!$B1:$AS665,8,FALSE)," ")</f>
        <v>858</v>
      </c>
      <c r="G304" t="s" s="124">
        <f>_xlfn.IFERROR(VLOOKUP($A304,'The List'!$B1:$AS665,10,FALSE)," ")</f>
        <v>858</v>
      </c>
      <c r="H304" s="77"/>
      <c r="I304" t="s" s="125">
        <f>_xlfn.IFERROR(VLOOKUP($A304,'The List'!$B1:$AS665,16,FALSE)," ")</f>
        <v>858</v>
      </c>
      <c r="J304" t="s" s="125">
        <f>_xlfn.IFERROR(VLOOKUP($A304,'The List'!$B1:$AS665,17,FALSE)," ")</f>
        <v>858</v>
      </c>
      <c r="K304" t="s" s="125">
        <f>_xlfn.IFERROR(VLOOKUP($A304,'The List'!$B1:$AS665,18,FALSE)," ")</f>
        <v>858</v>
      </c>
      <c r="L304" t="s" s="125">
        <f>_xlfn.IFERROR(VLOOKUP($A304,'The List'!$B1:$AS665,19,FALSE)," ")</f>
        <v>858</v>
      </c>
      <c r="M304" t="s" s="125">
        <f>_xlfn.IFERROR(VLOOKUP($A304,'The List'!$B1:$AS665,20,FALSE)," ")</f>
        <v>858</v>
      </c>
      <c r="N304" t="s" s="125">
        <f>_xlfn.IFERROR(VLOOKUP($A304,'The List'!$B1:$AS665,21,FALSE)," ")</f>
        <v>858</v>
      </c>
      <c r="O304" t="s" s="125">
        <f>_xlfn.IFERROR(VLOOKUP($A304,'The List'!$B1:$AS665,22,FALSE)," ")</f>
        <v>858</v>
      </c>
      <c r="P304" t="s" s="125">
        <f>_xlfn.IFERROR(VLOOKUP($A304,'The List'!$B1:$AS665,23,FALSE)," ")</f>
        <v>858</v>
      </c>
      <c r="Q304" t="s" s="125">
        <f>_xlfn.IFERROR(VLOOKUP($A304,'The List'!$B1:$AS665,24,FALSE)," ")</f>
        <v>858</v>
      </c>
      <c r="R304" t="s" s="125">
        <f>_xlfn.IFERROR(VLOOKUP($A304,'The List'!$B1:$AS665,25,FALSE)," ")</f>
        <v>858</v>
      </c>
      <c r="S304" t="s" s="125">
        <f>_xlfn.IFERROR(VLOOKUP($A304,'The List'!$B1:$AS665,26,FALSE)," ")</f>
        <v>858</v>
      </c>
      <c r="T304" t="s" s="125">
        <f>_xlfn.IFERROR(VLOOKUP($A304,'The List'!$B1:$AS665,27,FALSE)," ")</f>
        <v>858</v>
      </c>
      <c r="U304" t="s" s="125">
        <f>_xlfn.IFERROR(VLOOKUP($A304,'The List'!$B1:$AS665,28,FALSE)," ")</f>
        <v>858</v>
      </c>
      <c r="V304" t="s" s="125">
        <f>_xlfn.IFERROR(VLOOKUP($A304,'The List'!$B1:$AS665,29,FALSE)," ")</f>
        <v>858</v>
      </c>
      <c r="W304" t="s" s="125">
        <f>_xlfn.IFERROR(VLOOKUP($A304,'The List'!$B1:$AS665,30,FALSE)," ")</f>
        <v>858</v>
      </c>
      <c r="X304" t="s" s="125">
        <f>_xlfn.IFERROR(VLOOKUP($A304,'The List'!$B1:$AS665,31,FALSE)," ")</f>
        <v>858</v>
      </c>
      <c r="Y304" t="s" s="125">
        <f>_xlfn.IFERROR(VLOOKUP($A304,'The List'!$B1:$AS665,32,FALSE)," ")</f>
        <v>858</v>
      </c>
      <c r="Z304" t="s" s="125">
        <f>_xlfn.IFERROR(VLOOKUP($A304,'The List'!$B1:$AS665,33,FALSE)," ")</f>
        <v>858</v>
      </c>
      <c r="AA304" s="120"/>
      <c r="AB304" s="121"/>
      <c r="AC304" s="121"/>
      <c r="AD304" s="121"/>
      <c r="AE304" s="121"/>
      <c r="AF304" s="144"/>
    </row>
    <row r="305" ht="21.25" customHeight="1">
      <c r="A305" s="50"/>
      <c r="B305" t="s" s="132">
        <f>_xlfn.IFERROR(VLOOKUP($A305,'The List'!$B1:$AS665,3,FALSE)," ")</f>
        <v>858</v>
      </c>
      <c r="C305" t="s" s="134">
        <f>_xlfn.IFERROR(VLOOKUP($A305,'The List'!$B1:$AS665,4,FALSE)," ")</f>
        <v>858</v>
      </c>
      <c r="D305" t="s" s="86">
        <f>_xlfn.IFERROR(VLOOKUP($A305,'The List'!$B1:$AS665,5,FALSE)," ")</f>
        <v>858</v>
      </c>
      <c r="E305" t="s" s="86">
        <f>_xlfn.IFERROR(VLOOKUP($A305,'The List'!$B1:$AS665,6,FALSE)," ")</f>
        <v>858</v>
      </c>
      <c r="F305" t="s" s="124">
        <f>_xlfn.IFERROR(VLOOKUP($A305,'The List'!$B1:$AS665,8,FALSE)," ")</f>
        <v>858</v>
      </c>
      <c r="G305" t="s" s="124">
        <f>_xlfn.IFERROR(VLOOKUP($A305,'The List'!$B1:$AS665,10,FALSE)," ")</f>
        <v>858</v>
      </c>
      <c r="H305" s="77"/>
      <c r="I305" t="s" s="125">
        <f>_xlfn.IFERROR(VLOOKUP($A305,'The List'!$B1:$AS665,16,FALSE)," ")</f>
        <v>858</v>
      </c>
      <c r="J305" t="s" s="125">
        <f>_xlfn.IFERROR(VLOOKUP($A305,'The List'!$B1:$AS665,17,FALSE)," ")</f>
        <v>858</v>
      </c>
      <c r="K305" t="s" s="125">
        <f>_xlfn.IFERROR(VLOOKUP($A305,'The List'!$B1:$AS665,18,FALSE)," ")</f>
        <v>858</v>
      </c>
      <c r="L305" t="s" s="125">
        <f>_xlfn.IFERROR(VLOOKUP($A305,'The List'!$B1:$AS665,19,FALSE)," ")</f>
        <v>858</v>
      </c>
      <c r="M305" t="s" s="125">
        <f>_xlfn.IFERROR(VLOOKUP($A305,'The List'!$B1:$AS665,20,FALSE)," ")</f>
        <v>858</v>
      </c>
      <c r="N305" t="s" s="125">
        <f>_xlfn.IFERROR(VLOOKUP($A305,'The List'!$B1:$AS665,21,FALSE)," ")</f>
        <v>858</v>
      </c>
      <c r="O305" t="s" s="125">
        <f>_xlfn.IFERROR(VLOOKUP($A305,'The List'!$B1:$AS665,22,FALSE)," ")</f>
        <v>858</v>
      </c>
      <c r="P305" t="s" s="125">
        <f>_xlfn.IFERROR(VLOOKUP($A305,'The List'!$B1:$AS665,23,FALSE)," ")</f>
        <v>858</v>
      </c>
      <c r="Q305" t="s" s="125">
        <f>_xlfn.IFERROR(VLOOKUP($A305,'The List'!$B1:$AS665,24,FALSE)," ")</f>
        <v>858</v>
      </c>
      <c r="R305" t="s" s="125">
        <f>_xlfn.IFERROR(VLOOKUP($A305,'The List'!$B1:$AS665,25,FALSE)," ")</f>
        <v>858</v>
      </c>
      <c r="S305" t="s" s="125">
        <f>_xlfn.IFERROR(VLOOKUP($A305,'The List'!$B1:$AS665,26,FALSE)," ")</f>
        <v>858</v>
      </c>
      <c r="T305" t="s" s="125">
        <f>_xlfn.IFERROR(VLOOKUP($A305,'The List'!$B1:$AS665,27,FALSE)," ")</f>
        <v>858</v>
      </c>
      <c r="U305" t="s" s="125">
        <f>_xlfn.IFERROR(VLOOKUP($A305,'The List'!$B1:$AS665,28,FALSE)," ")</f>
        <v>858</v>
      </c>
      <c r="V305" t="s" s="125">
        <f>_xlfn.IFERROR(VLOOKUP($A305,'The List'!$B1:$AS665,29,FALSE)," ")</f>
        <v>858</v>
      </c>
      <c r="W305" t="s" s="125">
        <f>_xlfn.IFERROR(VLOOKUP($A305,'The List'!$B1:$AS665,30,FALSE)," ")</f>
        <v>858</v>
      </c>
      <c r="X305" t="s" s="125">
        <f>_xlfn.IFERROR(VLOOKUP($A305,'The List'!$B1:$AS665,31,FALSE)," ")</f>
        <v>858</v>
      </c>
      <c r="Y305" t="s" s="125">
        <f>_xlfn.IFERROR(VLOOKUP($A305,'The List'!$B1:$AS665,32,FALSE)," ")</f>
        <v>858</v>
      </c>
      <c r="Z305" t="s" s="125">
        <f>_xlfn.IFERROR(VLOOKUP($A305,'The List'!$B1:$AS665,33,FALSE)," ")</f>
        <v>858</v>
      </c>
      <c r="AA305" s="120"/>
      <c r="AB305" s="121"/>
      <c r="AC305" s="121"/>
      <c r="AD305" s="121"/>
      <c r="AE305" s="121"/>
      <c r="AF305" s="144"/>
    </row>
    <row r="306" ht="21.25" customHeight="1">
      <c r="A306" s="50"/>
      <c r="B306" t="s" s="132">
        <f>_xlfn.IFERROR(VLOOKUP($A306,'The List'!$B1:$AS665,3,FALSE)," ")</f>
        <v>858</v>
      </c>
      <c r="C306" t="s" s="134">
        <f>_xlfn.IFERROR(VLOOKUP($A306,'The List'!$B1:$AS665,4,FALSE)," ")</f>
        <v>858</v>
      </c>
      <c r="D306" t="s" s="86">
        <f>_xlfn.IFERROR(VLOOKUP($A306,'The List'!$B1:$AS665,5,FALSE)," ")</f>
        <v>858</v>
      </c>
      <c r="E306" t="s" s="86">
        <f>_xlfn.IFERROR(VLOOKUP($A306,'The List'!$B1:$AS665,6,FALSE)," ")</f>
        <v>858</v>
      </c>
      <c r="F306" t="s" s="124">
        <f>_xlfn.IFERROR(VLOOKUP($A306,'The List'!$B1:$AS665,8,FALSE)," ")</f>
        <v>858</v>
      </c>
      <c r="G306" t="s" s="124">
        <f>_xlfn.IFERROR(VLOOKUP($A306,'The List'!$B1:$AS665,10,FALSE)," ")</f>
        <v>858</v>
      </c>
      <c r="H306" s="77"/>
      <c r="I306" t="s" s="125">
        <f>_xlfn.IFERROR(VLOOKUP($A306,'The List'!$B1:$AS665,16,FALSE)," ")</f>
        <v>858</v>
      </c>
      <c r="J306" t="s" s="125">
        <f>_xlfn.IFERROR(VLOOKUP($A306,'The List'!$B1:$AS665,17,FALSE)," ")</f>
        <v>858</v>
      </c>
      <c r="K306" t="s" s="125">
        <f>_xlfn.IFERROR(VLOOKUP($A306,'The List'!$B1:$AS665,18,FALSE)," ")</f>
        <v>858</v>
      </c>
      <c r="L306" t="s" s="125">
        <f>_xlfn.IFERROR(VLOOKUP($A306,'The List'!$B1:$AS665,19,FALSE)," ")</f>
        <v>858</v>
      </c>
      <c r="M306" t="s" s="125">
        <f>_xlfn.IFERROR(VLOOKUP($A306,'The List'!$B1:$AS665,20,FALSE)," ")</f>
        <v>858</v>
      </c>
      <c r="N306" t="s" s="125">
        <f>_xlfn.IFERROR(VLOOKUP($A306,'The List'!$B1:$AS665,21,FALSE)," ")</f>
        <v>858</v>
      </c>
      <c r="O306" t="s" s="125">
        <f>_xlfn.IFERROR(VLOOKUP($A306,'The List'!$B1:$AS665,22,FALSE)," ")</f>
        <v>858</v>
      </c>
      <c r="P306" t="s" s="125">
        <f>_xlfn.IFERROR(VLOOKUP($A306,'The List'!$B1:$AS665,23,FALSE)," ")</f>
        <v>858</v>
      </c>
      <c r="Q306" t="s" s="125">
        <f>_xlfn.IFERROR(VLOOKUP($A306,'The List'!$B1:$AS665,24,FALSE)," ")</f>
        <v>858</v>
      </c>
      <c r="R306" t="s" s="125">
        <f>_xlfn.IFERROR(VLOOKUP($A306,'The List'!$B1:$AS665,25,FALSE)," ")</f>
        <v>858</v>
      </c>
      <c r="S306" t="s" s="125">
        <f>_xlfn.IFERROR(VLOOKUP($A306,'The List'!$B1:$AS665,26,FALSE)," ")</f>
        <v>858</v>
      </c>
      <c r="T306" t="s" s="125">
        <f>_xlfn.IFERROR(VLOOKUP($A306,'The List'!$B1:$AS665,27,FALSE)," ")</f>
        <v>858</v>
      </c>
      <c r="U306" t="s" s="125">
        <f>_xlfn.IFERROR(VLOOKUP($A306,'The List'!$B1:$AS665,28,FALSE)," ")</f>
        <v>858</v>
      </c>
      <c r="V306" t="s" s="125">
        <f>_xlfn.IFERROR(VLOOKUP($A306,'The List'!$B1:$AS665,29,FALSE)," ")</f>
        <v>858</v>
      </c>
      <c r="W306" t="s" s="125">
        <f>_xlfn.IFERROR(VLOOKUP($A306,'The List'!$B1:$AS665,30,FALSE)," ")</f>
        <v>858</v>
      </c>
      <c r="X306" t="s" s="125">
        <f>_xlfn.IFERROR(VLOOKUP($A306,'The List'!$B1:$AS665,31,FALSE)," ")</f>
        <v>858</v>
      </c>
      <c r="Y306" t="s" s="125">
        <f>_xlfn.IFERROR(VLOOKUP($A306,'The List'!$B1:$AS665,32,FALSE)," ")</f>
        <v>858</v>
      </c>
      <c r="Z306" t="s" s="125">
        <f>_xlfn.IFERROR(VLOOKUP($A306,'The List'!$B1:$AS665,33,FALSE)," ")</f>
        <v>858</v>
      </c>
      <c r="AA306" s="120"/>
      <c r="AB306" s="121"/>
      <c r="AC306" s="121"/>
      <c r="AD306" s="121"/>
      <c r="AE306" s="121"/>
      <c r="AF306" s="144"/>
    </row>
    <row r="307" ht="21.25" customHeight="1">
      <c r="A307" s="50"/>
      <c r="B307" t="s" s="132">
        <f>_xlfn.IFERROR(VLOOKUP($A307,'The List'!$B1:$AS665,3,FALSE)," ")</f>
        <v>858</v>
      </c>
      <c r="C307" t="s" s="134">
        <f>_xlfn.IFERROR(VLOOKUP($A307,'The List'!$B1:$AS665,4,FALSE)," ")</f>
        <v>858</v>
      </c>
      <c r="D307" t="s" s="86">
        <f>_xlfn.IFERROR(VLOOKUP($A307,'The List'!$B1:$AS665,5,FALSE)," ")</f>
        <v>858</v>
      </c>
      <c r="E307" t="s" s="86">
        <f>_xlfn.IFERROR(VLOOKUP($A307,'The List'!$B1:$AS665,6,FALSE)," ")</f>
        <v>858</v>
      </c>
      <c r="F307" t="s" s="124">
        <f>_xlfn.IFERROR(VLOOKUP($A307,'The List'!$B1:$AS665,8,FALSE)," ")</f>
        <v>858</v>
      </c>
      <c r="G307" t="s" s="124">
        <f>_xlfn.IFERROR(VLOOKUP($A307,'The List'!$B1:$AS665,10,FALSE)," ")</f>
        <v>858</v>
      </c>
      <c r="H307" s="77"/>
      <c r="I307" t="s" s="125">
        <f>_xlfn.IFERROR(VLOOKUP($A307,'The List'!$B1:$AS665,16,FALSE)," ")</f>
        <v>858</v>
      </c>
      <c r="J307" t="s" s="125">
        <f>_xlfn.IFERROR(VLOOKUP($A307,'The List'!$B1:$AS665,17,FALSE)," ")</f>
        <v>858</v>
      </c>
      <c r="K307" t="s" s="125">
        <f>_xlfn.IFERROR(VLOOKUP($A307,'The List'!$B1:$AS665,18,FALSE)," ")</f>
        <v>858</v>
      </c>
      <c r="L307" t="s" s="125">
        <f>_xlfn.IFERROR(VLOOKUP($A307,'The List'!$B1:$AS665,19,FALSE)," ")</f>
        <v>858</v>
      </c>
      <c r="M307" t="s" s="125">
        <f>_xlfn.IFERROR(VLOOKUP($A307,'The List'!$B1:$AS665,20,FALSE)," ")</f>
        <v>858</v>
      </c>
      <c r="N307" t="s" s="125">
        <f>_xlfn.IFERROR(VLOOKUP($A307,'The List'!$B1:$AS665,21,FALSE)," ")</f>
        <v>858</v>
      </c>
      <c r="O307" t="s" s="125">
        <f>_xlfn.IFERROR(VLOOKUP($A307,'The List'!$B1:$AS665,22,FALSE)," ")</f>
        <v>858</v>
      </c>
      <c r="P307" t="s" s="125">
        <f>_xlfn.IFERROR(VLOOKUP($A307,'The List'!$B1:$AS665,23,FALSE)," ")</f>
        <v>858</v>
      </c>
      <c r="Q307" t="s" s="125">
        <f>_xlfn.IFERROR(VLOOKUP($A307,'The List'!$B1:$AS665,24,FALSE)," ")</f>
        <v>858</v>
      </c>
      <c r="R307" t="s" s="125">
        <f>_xlfn.IFERROR(VLOOKUP($A307,'The List'!$B1:$AS665,25,FALSE)," ")</f>
        <v>858</v>
      </c>
      <c r="S307" t="s" s="125">
        <f>_xlfn.IFERROR(VLOOKUP($A307,'The List'!$B1:$AS665,26,FALSE)," ")</f>
        <v>858</v>
      </c>
      <c r="T307" t="s" s="125">
        <f>_xlfn.IFERROR(VLOOKUP($A307,'The List'!$B1:$AS665,27,FALSE)," ")</f>
        <v>858</v>
      </c>
      <c r="U307" t="s" s="125">
        <f>_xlfn.IFERROR(VLOOKUP($A307,'The List'!$B1:$AS665,28,FALSE)," ")</f>
        <v>858</v>
      </c>
      <c r="V307" t="s" s="125">
        <f>_xlfn.IFERROR(VLOOKUP($A307,'The List'!$B1:$AS665,29,FALSE)," ")</f>
        <v>858</v>
      </c>
      <c r="W307" t="s" s="125">
        <f>_xlfn.IFERROR(VLOOKUP($A307,'The List'!$B1:$AS665,30,FALSE)," ")</f>
        <v>858</v>
      </c>
      <c r="X307" t="s" s="125">
        <f>_xlfn.IFERROR(VLOOKUP($A307,'The List'!$B1:$AS665,31,FALSE)," ")</f>
        <v>858</v>
      </c>
      <c r="Y307" t="s" s="125">
        <f>_xlfn.IFERROR(VLOOKUP($A307,'The List'!$B1:$AS665,32,FALSE)," ")</f>
        <v>858</v>
      </c>
      <c r="Z307" t="s" s="125">
        <f>_xlfn.IFERROR(VLOOKUP($A307,'The List'!$B1:$AS665,33,FALSE)," ")</f>
        <v>858</v>
      </c>
      <c r="AA307" s="120"/>
      <c r="AB307" s="121"/>
      <c r="AC307" s="121"/>
      <c r="AD307" s="121"/>
      <c r="AE307" s="121"/>
      <c r="AF307" s="144"/>
    </row>
    <row r="308" ht="21.25" customHeight="1">
      <c r="A308" s="50"/>
      <c r="B308" t="s" s="132">
        <f>_xlfn.IFERROR(VLOOKUP($A308,'The List'!$B1:$AS665,3,FALSE)," ")</f>
        <v>858</v>
      </c>
      <c r="C308" t="s" s="134">
        <f>_xlfn.IFERROR(VLOOKUP($A308,'The List'!$B1:$AS665,4,FALSE)," ")</f>
        <v>858</v>
      </c>
      <c r="D308" t="s" s="86">
        <f>_xlfn.IFERROR(VLOOKUP($A308,'The List'!$B1:$AS665,5,FALSE)," ")</f>
        <v>858</v>
      </c>
      <c r="E308" t="s" s="86">
        <f>_xlfn.IFERROR(VLOOKUP($A308,'The List'!$B1:$AS665,6,FALSE)," ")</f>
        <v>858</v>
      </c>
      <c r="F308" t="s" s="124">
        <f>_xlfn.IFERROR(VLOOKUP($A308,'The List'!$B1:$AS665,8,FALSE)," ")</f>
        <v>858</v>
      </c>
      <c r="G308" t="s" s="124">
        <f>_xlfn.IFERROR(VLOOKUP($A308,'The List'!$B1:$AS665,10,FALSE)," ")</f>
        <v>858</v>
      </c>
      <c r="H308" s="77"/>
      <c r="I308" t="s" s="125">
        <f>_xlfn.IFERROR(VLOOKUP($A308,'The List'!$B1:$AS665,16,FALSE)," ")</f>
        <v>858</v>
      </c>
      <c r="J308" t="s" s="125">
        <f>_xlfn.IFERROR(VLOOKUP($A308,'The List'!$B1:$AS665,17,FALSE)," ")</f>
        <v>858</v>
      </c>
      <c r="K308" t="s" s="125">
        <f>_xlfn.IFERROR(VLOOKUP($A308,'The List'!$B1:$AS665,18,FALSE)," ")</f>
        <v>858</v>
      </c>
      <c r="L308" t="s" s="125">
        <f>_xlfn.IFERROR(VLOOKUP($A308,'The List'!$B1:$AS665,19,FALSE)," ")</f>
        <v>858</v>
      </c>
      <c r="M308" t="s" s="125">
        <f>_xlfn.IFERROR(VLOOKUP($A308,'The List'!$B1:$AS665,20,FALSE)," ")</f>
        <v>858</v>
      </c>
      <c r="N308" t="s" s="125">
        <f>_xlfn.IFERROR(VLOOKUP($A308,'The List'!$B1:$AS665,21,FALSE)," ")</f>
        <v>858</v>
      </c>
      <c r="O308" t="s" s="125">
        <f>_xlfn.IFERROR(VLOOKUP($A308,'The List'!$B1:$AS665,22,FALSE)," ")</f>
        <v>858</v>
      </c>
      <c r="P308" t="s" s="125">
        <f>_xlfn.IFERROR(VLOOKUP($A308,'The List'!$B1:$AS665,23,FALSE)," ")</f>
        <v>858</v>
      </c>
      <c r="Q308" t="s" s="125">
        <f>_xlfn.IFERROR(VLOOKUP($A308,'The List'!$B1:$AS665,24,FALSE)," ")</f>
        <v>858</v>
      </c>
      <c r="R308" t="s" s="125">
        <f>_xlfn.IFERROR(VLOOKUP($A308,'The List'!$B1:$AS665,25,FALSE)," ")</f>
        <v>858</v>
      </c>
      <c r="S308" t="s" s="125">
        <f>_xlfn.IFERROR(VLOOKUP($A308,'The List'!$B1:$AS665,26,FALSE)," ")</f>
        <v>858</v>
      </c>
      <c r="T308" t="s" s="125">
        <f>_xlfn.IFERROR(VLOOKUP($A308,'The List'!$B1:$AS665,27,FALSE)," ")</f>
        <v>858</v>
      </c>
      <c r="U308" t="s" s="125">
        <f>_xlfn.IFERROR(VLOOKUP($A308,'The List'!$B1:$AS665,28,FALSE)," ")</f>
        <v>858</v>
      </c>
      <c r="V308" t="s" s="125">
        <f>_xlfn.IFERROR(VLOOKUP($A308,'The List'!$B1:$AS665,29,FALSE)," ")</f>
        <v>858</v>
      </c>
      <c r="W308" t="s" s="125">
        <f>_xlfn.IFERROR(VLOOKUP($A308,'The List'!$B1:$AS665,30,FALSE)," ")</f>
        <v>858</v>
      </c>
      <c r="X308" t="s" s="125">
        <f>_xlfn.IFERROR(VLOOKUP($A308,'The List'!$B1:$AS665,31,FALSE)," ")</f>
        <v>858</v>
      </c>
      <c r="Y308" t="s" s="125">
        <f>_xlfn.IFERROR(VLOOKUP($A308,'The List'!$B1:$AS665,32,FALSE)," ")</f>
        <v>858</v>
      </c>
      <c r="Z308" t="s" s="125">
        <f>_xlfn.IFERROR(VLOOKUP($A308,'The List'!$B1:$AS665,33,FALSE)," ")</f>
        <v>858</v>
      </c>
      <c r="AA308" s="120"/>
      <c r="AB308" s="121"/>
      <c r="AC308" s="121"/>
      <c r="AD308" s="121"/>
      <c r="AE308" s="121"/>
      <c r="AF308" s="144"/>
    </row>
    <row r="309" ht="21.25" customHeight="1">
      <c r="A309" s="50"/>
      <c r="B309" t="s" s="132">
        <f>_xlfn.IFERROR(VLOOKUP($A309,'The List'!$B1:$AS665,3,FALSE)," ")</f>
        <v>858</v>
      </c>
      <c r="C309" t="s" s="134">
        <f>_xlfn.IFERROR(VLOOKUP($A309,'The List'!$B1:$AS665,4,FALSE)," ")</f>
        <v>858</v>
      </c>
      <c r="D309" t="s" s="86">
        <f>_xlfn.IFERROR(VLOOKUP($A309,'The List'!$B1:$AS665,5,FALSE)," ")</f>
        <v>858</v>
      </c>
      <c r="E309" t="s" s="86">
        <f>_xlfn.IFERROR(VLOOKUP($A309,'The List'!$B1:$AS665,6,FALSE)," ")</f>
        <v>858</v>
      </c>
      <c r="F309" t="s" s="124">
        <f>_xlfn.IFERROR(VLOOKUP($A309,'The List'!$B1:$AS665,8,FALSE)," ")</f>
        <v>858</v>
      </c>
      <c r="G309" t="s" s="124">
        <f>_xlfn.IFERROR(VLOOKUP($A309,'The List'!$B1:$AS665,10,FALSE)," ")</f>
        <v>858</v>
      </c>
      <c r="H309" s="77"/>
      <c r="I309" t="s" s="125">
        <f>_xlfn.IFERROR(VLOOKUP($A309,'The List'!$B1:$AS665,16,FALSE)," ")</f>
        <v>858</v>
      </c>
      <c r="J309" t="s" s="125">
        <f>_xlfn.IFERROR(VLOOKUP($A309,'The List'!$B1:$AS665,17,FALSE)," ")</f>
        <v>858</v>
      </c>
      <c r="K309" t="s" s="125">
        <f>_xlfn.IFERROR(VLOOKUP($A309,'The List'!$B1:$AS665,18,FALSE)," ")</f>
        <v>858</v>
      </c>
      <c r="L309" t="s" s="125">
        <f>_xlfn.IFERROR(VLOOKUP($A309,'The List'!$B1:$AS665,19,FALSE)," ")</f>
        <v>858</v>
      </c>
      <c r="M309" t="s" s="125">
        <f>_xlfn.IFERROR(VLOOKUP($A309,'The List'!$B1:$AS665,20,FALSE)," ")</f>
        <v>858</v>
      </c>
      <c r="N309" t="s" s="125">
        <f>_xlfn.IFERROR(VLOOKUP($A309,'The List'!$B1:$AS665,21,FALSE)," ")</f>
        <v>858</v>
      </c>
      <c r="O309" t="s" s="125">
        <f>_xlfn.IFERROR(VLOOKUP($A309,'The List'!$B1:$AS665,22,FALSE)," ")</f>
        <v>858</v>
      </c>
      <c r="P309" t="s" s="125">
        <f>_xlfn.IFERROR(VLOOKUP($A309,'The List'!$B1:$AS665,23,FALSE)," ")</f>
        <v>858</v>
      </c>
      <c r="Q309" t="s" s="125">
        <f>_xlfn.IFERROR(VLOOKUP($A309,'The List'!$B1:$AS665,24,FALSE)," ")</f>
        <v>858</v>
      </c>
      <c r="R309" t="s" s="125">
        <f>_xlfn.IFERROR(VLOOKUP($A309,'The List'!$B1:$AS665,25,FALSE)," ")</f>
        <v>858</v>
      </c>
      <c r="S309" t="s" s="125">
        <f>_xlfn.IFERROR(VLOOKUP($A309,'The List'!$B1:$AS665,26,FALSE)," ")</f>
        <v>858</v>
      </c>
      <c r="T309" t="s" s="125">
        <f>_xlfn.IFERROR(VLOOKUP($A309,'The List'!$B1:$AS665,27,FALSE)," ")</f>
        <v>858</v>
      </c>
      <c r="U309" t="s" s="125">
        <f>_xlfn.IFERROR(VLOOKUP($A309,'The List'!$B1:$AS665,28,FALSE)," ")</f>
        <v>858</v>
      </c>
      <c r="V309" t="s" s="125">
        <f>_xlfn.IFERROR(VLOOKUP($A309,'The List'!$B1:$AS665,29,FALSE)," ")</f>
        <v>858</v>
      </c>
      <c r="W309" t="s" s="125">
        <f>_xlfn.IFERROR(VLOOKUP($A309,'The List'!$B1:$AS665,30,FALSE)," ")</f>
        <v>858</v>
      </c>
      <c r="X309" t="s" s="125">
        <f>_xlfn.IFERROR(VLOOKUP($A309,'The List'!$B1:$AS665,31,FALSE)," ")</f>
        <v>858</v>
      </c>
      <c r="Y309" t="s" s="125">
        <f>_xlfn.IFERROR(VLOOKUP($A309,'The List'!$B1:$AS665,32,FALSE)," ")</f>
        <v>858</v>
      </c>
      <c r="Z309" t="s" s="125">
        <f>_xlfn.IFERROR(VLOOKUP($A309,'The List'!$B1:$AS665,33,FALSE)," ")</f>
        <v>858</v>
      </c>
      <c r="AA309" s="120"/>
      <c r="AB309" s="121"/>
      <c r="AC309" s="121"/>
      <c r="AD309" s="121"/>
      <c r="AE309" s="121"/>
      <c r="AF309" s="144"/>
    </row>
    <row r="310" ht="21.25" customHeight="1">
      <c r="A310" s="50"/>
      <c r="B310" t="s" s="132">
        <f>_xlfn.IFERROR(VLOOKUP($A310,'The List'!$B1:$AS665,3,FALSE)," ")</f>
        <v>858</v>
      </c>
      <c r="C310" t="s" s="134">
        <f>_xlfn.IFERROR(VLOOKUP($A310,'The List'!$B1:$AS665,4,FALSE)," ")</f>
        <v>858</v>
      </c>
      <c r="D310" t="s" s="86">
        <f>_xlfn.IFERROR(VLOOKUP($A310,'The List'!$B1:$AS665,5,FALSE)," ")</f>
        <v>858</v>
      </c>
      <c r="E310" t="s" s="86">
        <f>_xlfn.IFERROR(VLOOKUP($A310,'The List'!$B1:$AS665,6,FALSE)," ")</f>
        <v>858</v>
      </c>
      <c r="F310" t="s" s="124">
        <f>_xlfn.IFERROR(VLOOKUP($A310,'The List'!$B1:$AS665,8,FALSE)," ")</f>
        <v>858</v>
      </c>
      <c r="G310" t="s" s="124">
        <f>_xlfn.IFERROR(VLOOKUP($A310,'The List'!$B1:$AS665,10,FALSE)," ")</f>
        <v>858</v>
      </c>
      <c r="H310" s="77"/>
      <c r="I310" t="s" s="125">
        <f>_xlfn.IFERROR(VLOOKUP($A310,'The List'!$B1:$AS665,16,FALSE)," ")</f>
        <v>858</v>
      </c>
      <c r="J310" t="s" s="125">
        <f>_xlfn.IFERROR(VLOOKUP($A310,'The List'!$B1:$AS665,17,FALSE)," ")</f>
        <v>858</v>
      </c>
      <c r="K310" t="s" s="125">
        <f>_xlfn.IFERROR(VLOOKUP($A310,'The List'!$B1:$AS665,18,FALSE)," ")</f>
        <v>858</v>
      </c>
      <c r="L310" t="s" s="125">
        <f>_xlfn.IFERROR(VLOOKUP($A310,'The List'!$B1:$AS665,19,FALSE)," ")</f>
        <v>858</v>
      </c>
      <c r="M310" t="s" s="125">
        <f>_xlfn.IFERROR(VLOOKUP($A310,'The List'!$B1:$AS665,20,FALSE)," ")</f>
        <v>858</v>
      </c>
      <c r="N310" t="s" s="125">
        <f>_xlfn.IFERROR(VLOOKUP($A310,'The List'!$B1:$AS665,21,FALSE)," ")</f>
        <v>858</v>
      </c>
      <c r="O310" t="s" s="125">
        <f>_xlfn.IFERROR(VLOOKUP($A310,'The List'!$B1:$AS665,22,FALSE)," ")</f>
        <v>858</v>
      </c>
      <c r="P310" t="s" s="125">
        <f>_xlfn.IFERROR(VLOOKUP($A310,'The List'!$B1:$AS665,23,FALSE)," ")</f>
        <v>858</v>
      </c>
      <c r="Q310" t="s" s="125">
        <f>_xlfn.IFERROR(VLOOKUP($A310,'The List'!$B1:$AS665,24,FALSE)," ")</f>
        <v>858</v>
      </c>
      <c r="R310" t="s" s="125">
        <f>_xlfn.IFERROR(VLOOKUP($A310,'The List'!$B1:$AS665,25,FALSE)," ")</f>
        <v>858</v>
      </c>
      <c r="S310" t="s" s="125">
        <f>_xlfn.IFERROR(VLOOKUP($A310,'The List'!$B1:$AS665,26,FALSE)," ")</f>
        <v>858</v>
      </c>
      <c r="T310" t="s" s="125">
        <f>_xlfn.IFERROR(VLOOKUP($A310,'The List'!$B1:$AS665,27,FALSE)," ")</f>
        <v>858</v>
      </c>
      <c r="U310" t="s" s="125">
        <f>_xlfn.IFERROR(VLOOKUP($A310,'The List'!$B1:$AS665,28,FALSE)," ")</f>
        <v>858</v>
      </c>
      <c r="V310" t="s" s="125">
        <f>_xlfn.IFERROR(VLOOKUP($A310,'The List'!$B1:$AS665,29,FALSE)," ")</f>
        <v>858</v>
      </c>
      <c r="W310" t="s" s="125">
        <f>_xlfn.IFERROR(VLOOKUP($A310,'The List'!$B1:$AS665,30,FALSE)," ")</f>
        <v>858</v>
      </c>
      <c r="X310" t="s" s="125">
        <f>_xlfn.IFERROR(VLOOKUP($A310,'The List'!$B1:$AS665,31,FALSE)," ")</f>
        <v>858</v>
      </c>
      <c r="Y310" t="s" s="125">
        <f>_xlfn.IFERROR(VLOOKUP($A310,'The List'!$B1:$AS665,32,FALSE)," ")</f>
        <v>858</v>
      </c>
      <c r="Z310" t="s" s="125">
        <f>_xlfn.IFERROR(VLOOKUP($A310,'The List'!$B1:$AS665,33,FALSE)," ")</f>
        <v>858</v>
      </c>
      <c r="AA310" s="120"/>
      <c r="AB310" s="121"/>
      <c r="AC310" s="121"/>
      <c r="AD310" s="121"/>
      <c r="AE310" s="121"/>
      <c r="AF310" s="144"/>
    </row>
    <row r="311" ht="21.25" customHeight="1">
      <c r="A311" s="137"/>
      <c r="B311" t="s" s="138">
        <f>_xlfn.IFERROR(VLOOKUP($A311,'The List'!$B1:$AS665,3,FALSE)," ")</f>
        <v>858</v>
      </c>
      <c r="C311" t="s" s="139">
        <f>_xlfn.IFERROR(VLOOKUP($A311,'The List'!$B1:$AS665,4,FALSE)," ")</f>
        <v>858</v>
      </c>
      <c r="D311" t="s" s="140">
        <f>_xlfn.IFERROR(VLOOKUP($A311,'The List'!$B1:$AS665,5,FALSE)," ")</f>
        <v>858</v>
      </c>
      <c r="E311" t="s" s="140">
        <f>_xlfn.IFERROR(VLOOKUP($A311,'The List'!$B1:$AS665,6,FALSE)," ")</f>
        <v>858</v>
      </c>
      <c r="F311" t="s" s="141">
        <f>_xlfn.IFERROR(VLOOKUP($A311,'The List'!$B1:$AS665,8,FALSE)," ")</f>
        <v>858</v>
      </c>
      <c r="G311" t="s" s="141">
        <f>_xlfn.IFERROR(VLOOKUP($A311,'The List'!$B1:$AS665,10,FALSE)," ")</f>
        <v>858</v>
      </c>
      <c r="H311" s="142"/>
      <c r="I311" t="s" s="143">
        <f>_xlfn.IFERROR(VLOOKUP($A311,'The List'!$B1:$AS665,16,FALSE)," ")</f>
        <v>858</v>
      </c>
      <c r="J311" t="s" s="143">
        <f>_xlfn.IFERROR(VLOOKUP($A311,'The List'!$B1:$AS665,17,FALSE)," ")</f>
        <v>858</v>
      </c>
      <c r="K311" t="s" s="143">
        <f>_xlfn.IFERROR(VLOOKUP($A311,'The List'!$B1:$AS665,18,FALSE)," ")</f>
        <v>858</v>
      </c>
      <c r="L311" t="s" s="143">
        <f>_xlfn.IFERROR(VLOOKUP($A311,'The List'!$B1:$AS665,19,FALSE)," ")</f>
        <v>858</v>
      </c>
      <c r="M311" t="s" s="143">
        <f>_xlfn.IFERROR(VLOOKUP($A311,'The List'!$B1:$AS665,20,FALSE)," ")</f>
        <v>858</v>
      </c>
      <c r="N311" t="s" s="143">
        <f>_xlfn.IFERROR(VLOOKUP($A311,'The List'!$B1:$AS665,21,FALSE)," ")</f>
        <v>858</v>
      </c>
      <c r="O311" t="s" s="143">
        <f>_xlfn.IFERROR(VLOOKUP($A311,'The List'!$B1:$AS665,22,FALSE)," ")</f>
        <v>858</v>
      </c>
      <c r="P311" t="s" s="143">
        <f>_xlfn.IFERROR(VLOOKUP($A311,'The List'!$B1:$AS665,23,FALSE)," ")</f>
        <v>858</v>
      </c>
      <c r="Q311" t="s" s="143">
        <f>_xlfn.IFERROR(VLOOKUP($A311,'The List'!$B1:$AS665,24,FALSE)," ")</f>
        <v>858</v>
      </c>
      <c r="R311" t="s" s="143">
        <f>_xlfn.IFERROR(VLOOKUP($A311,'The List'!$B1:$AS665,25,FALSE)," ")</f>
        <v>858</v>
      </c>
      <c r="S311" t="s" s="143">
        <f>_xlfn.IFERROR(VLOOKUP($A311,'The List'!$B1:$AS665,26,FALSE)," ")</f>
        <v>858</v>
      </c>
      <c r="T311" t="s" s="143">
        <f>_xlfn.IFERROR(VLOOKUP($A311,'The List'!$B1:$AS665,27,FALSE)," ")</f>
        <v>858</v>
      </c>
      <c r="U311" t="s" s="143">
        <f>_xlfn.IFERROR(VLOOKUP($A311,'The List'!$B1:$AS665,28,FALSE)," ")</f>
        <v>858</v>
      </c>
      <c r="V311" t="s" s="143">
        <f>_xlfn.IFERROR(VLOOKUP($A311,'The List'!$B1:$AS665,29,FALSE)," ")</f>
        <v>858</v>
      </c>
      <c r="W311" t="s" s="143">
        <f>_xlfn.IFERROR(VLOOKUP($A311,'The List'!$B1:$AS665,30,FALSE)," ")</f>
        <v>858</v>
      </c>
      <c r="X311" t="s" s="143">
        <f>_xlfn.IFERROR(VLOOKUP($A311,'The List'!$B1:$AS665,31,FALSE)," ")</f>
        <v>858</v>
      </c>
      <c r="Y311" t="s" s="143">
        <f>_xlfn.IFERROR(VLOOKUP($A311,'The List'!$B1:$AS665,32,FALSE)," ")</f>
        <v>858</v>
      </c>
      <c r="Z311" t="s" s="143">
        <f>_xlfn.IFERROR(VLOOKUP($A311,'The List'!$B1:$AS665,33,FALSE)," ")</f>
        <v>858</v>
      </c>
      <c r="AA311" s="120"/>
      <c r="AB311" s="121"/>
      <c r="AC311" s="121"/>
      <c r="AD311" s="121"/>
      <c r="AE311" s="121"/>
      <c r="AF311" s="144"/>
    </row>
    <row r="312" ht="21.25" customHeight="1">
      <c r="A312" s="145"/>
      <c r="B312" s="146"/>
      <c r="C312" s="147"/>
      <c r="D312" s="148"/>
      <c r="E312" t="s" s="193">
        <f>_xlfn.IFERROR(AVERAGE(E292:E311)," ")</f>
        <v>858</v>
      </c>
      <c r="F312" s="150">
        <f>SUM(F292:F311)</f>
        <v>0</v>
      </c>
      <c r="G312" s="150">
        <f>SUM(G292:G311)</f>
        <v>0</v>
      </c>
      <c r="H312" s="151"/>
      <c r="I312" s="152">
        <f>SUM(I292:I311)</f>
        <v>0</v>
      </c>
      <c r="J312" s="151">
        <f>AVERAGE(J292:J311)</f>
      </c>
      <c r="K312" s="152">
        <f>SUM(K292:K311)</f>
        <v>0</v>
      </c>
      <c r="L312" s="152">
        <f>SUM(L292:L311)</f>
        <v>0</v>
      </c>
      <c r="M312" s="152">
        <f>SUM(M292:M311)</f>
        <v>0</v>
      </c>
      <c r="N312" s="152">
        <f>SUM(N292:N311)</f>
        <v>0</v>
      </c>
      <c r="O312" s="152">
        <f>SUM(O292:O311)</f>
        <v>0</v>
      </c>
      <c r="P312" s="152">
        <f>SUM(P292:P311)</f>
        <v>0</v>
      </c>
      <c r="Q312" s="152">
        <f>SUM(Q292:Q311)</f>
        <v>0</v>
      </c>
      <c r="R312" s="152">
        <f>SUM(R292:R311)</f>
        <v>0</v>
      </c>
      <c r="S312" s="152">
        <f>SUM(S292:S311)</f>
        <v>0</v>
      </c>
      <c r="T312" s="152">
        <f>SUM(T292:T311)</f>
        <v>0</v>
      </c>
      <c r="U312" s="152">
        <f>SUM(U292:U311)</f>
        <v>0</v>
      </c>
      <c r="V312" s="152">
        <f>SUM(V292:V311)</f>
        <v>0</v>
      </c>
      <c r="W312" s="152">
        <f>SUM(W292:W311)</f>
        <v>0</v>
      </c>
      <c r="X312" s="152">
        <f>SUM(X292:X311)</f>
        <v>0</v>
      </c>
      <c r="Y312" s="152">
        <f>SUM(Y292:Y311)</f>
        <v>0</v>
      </c>
      <c r="Z312" s="153">
        <f>_xlfn.IFERROR(X312/(X312+Y312),0)</f>
        <v>0</v>
      </c>
      <c r="AA312" s="120"/>
      <c r="AB312" s="154"/>
      <c r="AC312" s="154"/>
      <c r="AD312" s="154"/>
      <c r="AE312" s="154"/>
      <c r="AF312" s="155"/>
    </row>
    <row r="313" ht="21.25" customHeight="1">
      <c r="A313" s="156"/>
      <c r="B313" s="157"/>
      <c r="C313" s="158"/>
      <c r="D313" s="13"/>
      <c r="E313" s="13"/>
      <c r="F313" s="159"/>
      <c r="G313" s="160"/>
      <c r="H313" s="161"/>
      <c r="I313" s="162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  <c r="AB313" s="121"/>
      <c r="AC313" s="121"/>
      <c r="AD313" s="121"/>
      <c r="AE313" s="121"/>
      <c r="AF313" s="144"/>
    </row>
    <row r="314" ht="21.25" customHeight="1">
      <c r="A314" t="s" s="163">
        <v>89</v>
      </c>
      <c r="B314" t="s" s="164">
        <v>91</v>
      </c>
      <c r="C314" s="31"/>
      <c r="D314" t="s" s="164">
        <v>92</v>
      </c>
      <c r="E314" t="s" s="164">
        <v>93</v>
      </c>
      <c r="F314" t="s" s="165">
        <v>95</v>
      </c>
      <c r="G314" t="s" s="165">
        <v>97</v>
      </c>
      <c r="H314" s="166"/>
      <c r="I314" t="s" s="167">
        <v>102</v>
      </c>
      <c r="J314" t="s" s="167">
        <v>118</v>
      </c>
      <c r="K314" t="s" s="167">
        <v>119</v>
      </c>
      <c r="L314" t="s" s="167">
        <v>120</v>
      </c>
      <c r="M314" t="s" s="167">
        <v>121</v>
      </c>
      <c r="N314" t="s" s="167">
        <v>122</v>
      </c>
      <c r="O314" t="s" s="167">
        <v>123</v>
      </c>
      <c r="P314" t="s" s="167">
        <v>124</v>
      </c>
      <c r="Q314" t="s" s="167">
        <v>125</v>
      </c>
      <c r="R314" s="120"/>
      <c r="S314" s="120"/>
      <c r="T314" s="120"/>
      <c r="U314" t="s" s="164">
        <v>876</v>
      </c>
      <c r="V314" s="166"/>
      <c r="W314" s="166"/>
      <c r="X314" t="s" s="164">
        <v>877</v>
      </c>
      <c r="Y314" s="166"/>
      <c r="Z314" s="166"/>
      <c r="AA314" s="120"/>
      <c r="AB314" s="120"/>
      <c r="AC314" s="120"/>
      <c r="AD314" s="120"/>
      <c r="AE314" s="120"/>
      <c r="AF314" s="168"/>
    </row>
    <row r="315" ht="21.25" customHeight="1">
      <c r="A315" s="194"/>
      <c r="B315" t="s" s="170">
        <f>_xlfn.IFERROR(VLOOKUP($A315,'The List'!$B1:$AS665,3,FALSE)," ")</f>
        <v>858</v>
      </c>
      <c r="C315" t="s" s="195">
        <f>_xlfn.IFERROR(VLOOKUP($A315,'The List'!$B1:$AS665,4,FALSE)," ")</f>
        <v>858</v>
      </c>
      <c r="D315" t="s" s="72">
        <f>_xlfn.IFERROR(VLOOKUP($A315,'The List'!$B1:$AS665,5,FALSE)," ")</f>
        <v>858</v>
      </c>
      <c r="E315" t="s" s="72">
        <f>_xlfn.IFERROR(VLOOKUP($A315,'The List'!$B1:$AS665,6,FALSE)," ")</f>
        <v>858</v>
      </c>
      <c r="F315" t="s" s="196">
        <f>_xlfn.IFERROR(VLOOKUP($A315,'The List'!$B1:$AS665,8,FALSE)," ")</f>
        <v>858</v>
      </c>
      <c r="G315" t="s" s="196">
        <f>_xlfn.IFERROR(VLOOKUP($A315,'The List'!$B1:$AS665,10,FALSE)," ")</f>
        <v>858</v>
      </c>
      <c r="H315" s="174"/>
      <c r="I315" t="s" s="197">
        <f>_xlfn.IFERROR(VLOOKUP($A315,'The List'!$B1:$AS665,35,FALSE)," ")</f>
        <v>858</v>
      </c>
      <c r="J315" t="s" s="197">
        <f>_xlfn.IFERROR(VLOOKUP($A315,'The List'!$B1:$AS665,36,FALSE)," ")</f>
        <v>858</v>
      </c>
      <c r="K315" t="s" s="197">
        <f>_xlfn.IFERROR(VLOOKUP($A315,'The List'!$B1:$AS665,37,FALSE)," ")</f>
        <v>858</v>
      </c>
      <c r="L315" t="s" s="197">
        <f>_xlfn.IFERROR(VLOOKUP($A315,'The List'!$B1:$AS665,38,FALSE)," ")</f>
        <v>858</v>
      </c>
      <c r="M315" t="s" s="197">
        <f>_xlfn.IFERROR(VLOOKUP($A315,'The List'!$B1:$AS665,39,FALSE)," ")</f>
        <v>858</v>
      </c>
      <c r="N315" t="s" s="197">
        <f>_xlfn.IFERROR(VLOOKUP($A315,'The List'!$B1:$AS665,40,FALSE)," ")</f>
        <v>858</v>
      </c>
      <c r="O315" t="s" s="197">
        <f>_xlfn.IFERROR(VLOOKUP($A315,'The List'!$B1:$AS665,41,FALSE)," ")</f>
        <v>858</v>
      </c>
      <c r="P315" t="s" s="197">
        <f>_xlfn.IFERROR(VLOOKUP($A315,'The List'!$B1:$AS665,42,FALSE)," ")</f>
        <v>858</v>
      </c>
      <c r="Q315" t="s" s="197">
        <f>_xlfn.IFERROR(VLOOKUP($A315,'The List'!$B1:$AS665,43,FALSE)," ")</f>
        <v>858</v>
      </c>
      <c r="R315" s="120"/>
      <c r="S315" s="120"/>
      <c r="T315" t="s" s="178">
        <f>A291</f>
        <v>889</v>
      </c>
      <c r="U315" s="179">
        <f>F312+F318</f>
        <v>0</v>
      </c>
      <c r="V315" s="31"/>
      <c r="W315" s="31"/>
      <c r="X315" s="179">
        <f>G318+G312</f>
        <v>0</v>
      </c>
      <c r="Y315" s="31"/>
      <c r="Z315" s="31"/>
      <c r="AA315" s="120"/>
      <c r="AB315" s="120"/>
      <c r="AC315" s="120"/>
      <c r="AD315" s="120"/>
      <c r="AE315" s="120"/>
      <c r="AF315" s="168"/>
    </row>
    <row r="316" ht="21.25" customHeight="1">
      <c r="A316" s="50"/>
      <c r="B316" t="s" s="180">
        <f>_xlfn.IFERROR(VLOOKUP($A316,'The List'!$B1:$AS665,3,FALSE)," ")</f>
        <v>858</v>
      </c>
      <c r="C316" t="s" s="181">
        <f>_xlfn.IFERROR(VLOOKUP($A316,'The List'!$B1:$AS665,4,FALSE)," ")</f>
        <v>858</v>
      </c>
      <c r="D316" t="s" s="86">
        <f>_xlfn.IFERROR(VLOOKUP($A316,'The List'!$B1:$AS665,5,FALSE)," ")</f>
        <v>858</v>
      </c>
      <c r="E316" t="s" s="86">
        <f>_xlfn.IFERROR(VLOOKUP($A316,'The List'!$B1:$AS665,6,FALSE)," ")</f>
        <v>858</v>
      </c>
      <c r="F316" t="s" s="124">
        <f>_xlfn.IFERROR(VLOOKUP($A316,'The List'!$B1:$AS665,8,FALSE)," ")</f>
        <v>858</v>
      </c>
      <c r="G316" t="s" s="124">
        <f>_xlfn.IFERROR(VLOOKUP($A316,'The List'!$B1:$AS665,10,FALSE)," ")</f>
        <v>858</v>
      </c>
      <c r="H316" s="77"/>
      <c r="I316" t="s" s="125">
        <f>_xlfn.IFERROR(VLOOKUP($A316,'The List'!$B1:$AS665,35,FALSE)," ")</f>
        <v>858</v>
      </c>
      <c r="J316" t="s" s="125">
        <f>_xlfn.IFERROR(VLOOKUP($A316,'The List'!$B1:$AS665,36,FALSE)," ")</f>
        <v>858</v>
      </c>
      <c r="K316" t="s" s="125">
        <f>_xlfn.IFERROR(VLOOKUP($A316,'The List'!$B1:$AS665,37,FALSE)," ")</f>
        <v>858</v>
      </c>
      <c r="L316" t="s" s="125">
        <f>_xlfn.IFERROR(VLOOKUP($A316,'The List'!$B1:$AS665,38,FALSE)," ")</f>
        <v>858</v>
      </c>
      <c r="M316" t="s" s="125">
        <f>_xlfn.IFERROR(VLOOKUP($A316,'The List'!$B1:$AS665,39,FALSE)," ")</f>
        <v>858</v>
      </c>
      <c r="N316" t="s" s="125">
        <f>_xlfn.IFERROR(VLOOKUP($A316,'The List'!$B1:$AS665,40,FALSE)," ")</f>
        <v>858</v>
      </c>
      <c r="O316" t="s" s="125">
        <f>_xlfn.IFERROR(VLOOKUP($A316,'The List'!$B1:$AS665,41,FALSE)," ")</f>
        <v>858</v>
      </c>
      <c r="P316" t="s" s="125">
        <f>_xlfn.IFERROR(VLOOKUP($A316,'The List'!$B1:$AS665,42,FALSE)," ")</f>
        <v>858</v>
      </c>
      <c r="Q316" t="s" s="125">
        <f>_xlfn.IFERROR(VLOOKUP($A316,'The List'!$B1:$AS665,43,FALSE)," ")</f>
        <v>858</v>
      </c>
      <c r="R316" s="120"/>
      <c r="S316" s="120"/>
      <c r="T316" s="120"/>
      <c r="U316" s="31"/>
      <c r="V316" s="31"/>
      <c r="W316" s="31"/>
      <c r="X316" s="31"/>
      <c r="Y316" s="31"/>
      <c r="Z316" s="31"/>
      <c r="AA316" s="120"/>
      <c r="AB316" s="120"/>
      <c r="AC316" s="120"/>
      <c r="AD316" s="120"/>
      <c r="AE316" s="120"/>
      <c r="AF316" s="168"/>
    </row>
    <row r="317" ht="21.25" customHeight="1">
      <c r="A317" s="137"/>
      <c r="B317" t="s" s="182">
        <f>_xlfn.IFERROR(VLOOKUP($A317,'The List'!$B1:$AS665,3,FALSE)," ")</f>
        <v>858</v>
      </c>
      <c r="C317" t="s" s="183">
        <f>_xlfn.IFERROR(VLOOKUP($A317,'The List'!$B1:$AS665,4,FALSE)," ")</f>
        <v>858</v>
      </c>
      <c r="D317" t="s" s="140">
        <f>_xlfn.IFERROR(VLOOKUP($A317,'The List'!$B1:$AS665,5,FALSE)," ")</f>
        <v>858</v>
      </c>
      <c r="E317" t="s" s="140">
        <f>_xlfn.IFERROR(VLOOKUP($A317,'The List'!$B1:$AS665,6,FALSE)," ")</f>
        <v>858</v>
      </c>
      <c r="F317" t="s" s="141">
        <f>_xlfn.IFERROR(VLOOKUP($A317,'The List'!$B1:$AS665,8,FALSE)," ")</f>
        <v>858</v>
      </c>
      <c r="G317" t="s" s="141">
        <f>_xlfn.IFERROR(VLOOKUP($A317,'The List'!$B1:$AS665,10,FALSE)," ")</f>
        <v>858</v>
      </c>
      <c r="H317" s="142"/>
      <c r="I317" t="s" s="143">
        <f>_xlfn.IFERROR(VLOOKUP($A317,'The List'!$B1:$AS665,35,FALSE)," ")</f>
        <v>858</v>
      </c>
      <c r="J317" t="s" s="143">
        <f>_xlfn.IFERROR(VLOOKUP($A317,'The List'!$B1:$AS665,36,FALSE)," ")</f>
        <v>858</v>
      </c>
      <c r="K317" t="s" s="143">
        <f>_xlfn.IFERROR(VLOOKUP($A317,'The List'!$B1:$AS665,37,FALSE)," ")</f>
        <v>858</v>
      </c>
      <c r="L317" t="s" s="143">
        <f>_xlfn.IFERROR(VLOOKUP($A317,'The List'!$B1:$AS665,38,FALSE)," ")</f>
        <v>858</v>
      </c>
      <c r="M317" t="s" s="143">
        <f>_xlfn.IFERROR(VLOOKUP($A317,'The List'!$B1:$AS665,39,FALSE)," ")</f>
        <v>858</v>
      </c>
      <c r="N317" t="s" s="143">
        <f>_xlfn.IFERROR(VLOOKUP($A317,'The List'!$B1:$AS665,40,FALSE)," ")</f>
        <v>858</v>
      </c>
      <c r="O317" t="s" s="143">
        <f>_xlfn.IFERROR(VLOOKUP($A317,'The List'!$B1:$AS665,41,FALSE)," ")</f>
        <v>858</v>
      </c>
      <c r="P317" t="s" s="143">
        <f>_xlfn.IFERROR(VLOOKUP($A317,'The List'!$B1:$AS665,42,FALSE)," ")</f>
        <v>858</v>
      </c>
      <c r="Q317" t="s" s="143">
        <f>_xlfn.IFERROR(VLOOKUP($A317,'The List'!$B1:$AS665,43,FALSE)," ")</f>
        <v>858</v>
      </c>
      <c r="R317" s="120"/>
      <c r="S317" s="120"/>
      <c r="T317" s="120"/>
      <c r="U317" s="31"/>
      <c r="V317" s="31"/>
      <c r="W317" s="31"/>
      <c r="X317" s="31"/>
      <c r="Y317" s="31"/>
      <c r="Z317" s="31"/>
      <c r="AA317" s="120"/>
      <c r="AB317" s="120"/>
      <c r="AC317" s="120"/>
      <c r="AD317" s="120"/>
      <c r="AE317" s="120"/>
      <c r="AF317" s="168"/>
    </row>
    <row r="318" ht="21.25" customHeight="1">
      <c r="A318" s="145"/>
      <c r="B318" s="146"/>
      <c r="C318" s="147"/>
      <c r="D318" s="148"/>
      <c r="E318" t="s" s="193">
        <f>_xlfn.IFERROR(AVERAGE(E315:E317)," ")</f>
        <v>858</v>
      </c>
      <c r="F318" s="150">
        <f>SUM(F315:F317)</f>
        <v>0</v>
      </c>
      <c r="G318" s="150">
        <f>SUM(G315:G317)</f>
        <v>0</v>
      </c>
      <c r="H318" s="151"/>
      <c r="I318" s="152">
        <f>SUM(I315:I317)</f>
        <v>0</v>
      </c>
      <c r="J318" s="151">
        <f>SUM(J315:J317)</f>
        <v>0</v>
      </c>
      <c r="K318" s="152">
        <f>SUM(K315:K317)</f>
        <v>0</v>
      </c>
      <c r="L318" s="152">
        <f>SUM(L315:L317)</f>
        <v>0</v>
      </c>
      <c r="M318" s="152">
        <f>SUM(M315:M317)</f>
        <v>0</v>
      </c>
      <c r="N318" s="152">
        <f>SUM(N315:N317)</f>
        <v>0</v>
      </c>
      <c r="O318" s="152">
        <f>SUM(O315:O317)</f>
        <v>0</v>
      </c>
      <c r="P318" s="184">
        <f>1-(O318/(N318+O318))</f>
      </c>
      <c r="Q318" s="185">
        <f>O318/I318</f>
      </c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  <c r="AB318" s="120"/>
      <c r="AC318" s="120"/>
      <c r="AD318" s="120"/>
      <c r="AE318" s="120"/>
      <c r="AF318" s="168"/>
    </row>
    <row r="319" ht="70.75" customHeight="1">
      <c r="A319" s="156"/>
      <c r="B319" s="157"/>
      <c r="C319" s="158"/>
      <c r="D319" s="13"/>
      <c r="E319" s="13"/>
      <c r="F319" s="159"/>
      <c r="G319" s="160"/>
      <c r="H319" s="161"/>
      <c r="I319" s="162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1"/>
      <c r="AB319" s="121"/>
      <c r="AC319" s="121"/>
      <c r="AD319" s="121"/>
      <c r="AE319" s="121"/>
      <c r="AF319" s="144"/>
    </row>
    <row r="320" ht="21.25" customHeight="1">
      <c r="A320" t="s" s="186">
        <v>870</v>
      </c>
      <c r="B320" t="s" s="187">
        <v>91</v>
      </c>
      <c r="C320" s="45"/>
      <c r="D320" t="s" s="187">
        <v>92</v>
      </c>
      <c r="E320" t="s" s="187">
        <v>93</v>
      </c>
      <c r="F320" t="s" s="188">
        <v>95</v>
      </c>
      <c r="G320" t="s" s="188">
        <v>97</v>
      </c>
      <c r="H320" s="189"/>
      <c r="I320" t="s" s="190">
        <v>102</v>
      </c>
      <c r="J320" t="s" s="190">
        <v>55</v>
      </c>
      <c r="K320" t="s" s="190">
        <v>103</v>
      </c>
      <c r="L320" t="s" s="190">
        <v>104</v>
      </c>
      <c r="M320" t="s" s="190">
        <v>105</v>
      </c>
      <c r="N320" t="s" s="190">
        <v>106</v>
      </c>
      <c r="O320" t="s" s="190">
        <v>107</v>
      </c>
      <c r="P320" t="s" s="190">
        <v>63</v>
      </c>
      <c r="Q320" t="s" s="190">
        <v>108</v>
      </c>
      <c r="R320" t="s" s="190">
        <v>109</v>
      </c>
      <c r="S320" t="s" s="190">
        <v>110</v>
      </c>
      <c r="T320" t="s" s="190">
        <v>111</v>
      </c>
      <c r="U320" t="s" s="190">
        <v>112</v>
      </c>
      <c r="V320" t="s" s="190">
        <v>113</v>
      </c>
      <c r="W320" t="s" s="190">
        <v>114</v>
      </c>
      <c r="X320" t="s" s="190">
        <v>115</v>
      </c>
      <c r="Y320" t="s" s="190">
        <v>116</v>
      </c>
      <c r="Z320" t="s" s="190">
        <v>117</v>
      </c>
      <c r="AA320" s="120"/>
      <c r="AB320" s="191"/>
      <c r="AC320" s="191"/>
      <c r="AD320" s="191"/>
      <c r="AE320" s="191"/>
      <c r="AF320" s="192"/>
    </row>
    <row r="321" ht="21.25" customHeight="1">
      <c r="A321" s="50"/>
      <c r="B321" t="s" s="117">
        <f>_xlfn.IFERROR(VLOOKUP($A321,'The List'!$B1:$AS665,3,FALSE)," ")</f>
        <v>858</v>
      </c>
      <c r="C321" t="s" s="123">
        <f>_xlfn.IFERROR(VLOOKUP($A321,'The List'!$B1:$AS665,4,FALSE)," ")</f>
        <v>858</v>
      </c>
      <c r="D321" t="s" s="86">
        <f>_xlfn.IFERROR(VLOOKUP($A321,'The List'!$B1:$AS665,5,FALSE)," ")</f>
        <v>858</v>
      </c>
      <c r="E321" t="s" s="86">
        <f>_xlfn.IFERROR(VLOOKUP($A321,'The List'!$B1:$AS665,6,FALSE)," ")</f>
        <v>858</v>
      </c>
      <c r="F321" t="s" s="124">
        <f>_xlfn.IFERROR(VLOOKUP($A321,'The List'!$B1:$AS665,8,FALSE)," ")</f>
        <v>858</v>
      </c>
      <c r="G321" t="s" s="124">
        <f>_xlfn.IFERROR(VLOOKUP($A321,'The List'!$B1:$AS665,10,FALSE)," ")</f>
        <v>858</v>
      </c>
      <c r="H321" s="77"/>
      <c r="I321" t="s" s="125">
        <f>_xlfn.IFERROR(VLOOKUP($A321,'The List'!$B1:$AS665,16,FALSE)," ")</f>
        <v>858</v>
      </c>
      <c r="J321" t="s" s="125">
        <f>_xlfn.IFERROR(VLOOKUP($A321,'The List'!$B1:$AS665,17,FALSE)," ")</f>
        <v>858</v>
      </c>
      <c r="K321" t="s" s="125">
        <f>_xlfn.IFERROR(VLOOKUP($A321,'The List'!$B1:$AS665,18,FALSE)," ")</f>
        <v>858</v>
      </c>
      <c r="L321" t="s" s="125">
        <f>_xlfn.IFERROR(VLOOKUP($A321,'The List'!$B1:$AS665,19,FALSE)," ")</f>
        <v>858</v>
      </c>
      <c r="M321" t="s" s="125">
        <f>_xlfn.IFERROR(VLOOKUP($A321,'The List'!$B1:$AS665,20,FALSE)," ")</f>
        <v>858</v>
      </c>
      <c r="N321" t="s" s="125">
        <f>_xlfn.IFERROR(VLOOKUP($A321,'The List'!$B1:$AS665,21,FALSE)," ")</f>
        <v>858</v>
      </c>
      <c r="O321" t="s" s="125">
        <f>_xlfn.IFERROR(VLOOKUP($A321,'The List'!$B1:$AS665,22,FALSE)," ")</f>
        <v>858</v>
      </c>
      <c r="P321" t="s" s="125">
        <f>_xlfn.IFERROR(VLOOKUP($A321,'The List'!$B1:$AS665,23,FALSE)," ")</f>
        <v>858</v>
      </c>
      <c r="Q321" t="s" s="125">
        <f>_xlfn.IFERROR(VLOOKUP($A321,'The List'!$B1:$AS665,24,FALSE)," ")</f>
        <v>858</v>
      </c>
      <c r="R321" t="s" s="125">
        <f>_xlfn.IFERROR(VLOOKUP($A321,'The List'!$B1:$AS665,25,FALSE)," ")</f>
        <v>858</v>
      </c>
      <c r="S321" t="s" s="125">
        <f>_xlfn.IFERROR(VLOOKUP($A321,'The List'!$B1:$AS665,26,FALSE)," ")</f>
        <v>858</v>
      </c>
      <c r="T321" t="s" s="125">
        <f>_xlfn.IFERROR(VLOOKUP($A321,'The List'!$B1:$AS665,27,FALSE)," ")</f>
        <v>858</v>
      </c>
      <c r="U321" t="s" s="125">
        <f>_xlfn.IFERROR(VLOOKUP($A321,'The List'!$B1:$AS665,28,FALSE)," ")</f>
        <v>858</v>
      </c>
      <c r="V321" t="s" s="125">
        <f>_xlfn.IFERROR(VLOOKUP($A321,'The List'!$B1:$AS665,29,FALSE)," ")</f>
        <v>858</v>
      </c>
      <c r="W321" t="s" s="125">
        <f>_xlfn.IFERROR(VLOOKUP($A321,'The List'!$B1:$AS665,30,FALSE)," ")</f>
        <v>858</v>
      </c>
      <c r="X321" t="s" s="125">
        <f>_xlfn.IFERROR(VLOOKUP($A321,'The List'!$B1:$AS665,31,FALSE)," ")</f>
        <v>858</v>
      </c>
      <c r="Y321" t="s" s="125">
        <f>_xlfn.IFERROR(VLOOKUP($A321,'The List'!$B1:$AS665,32,FALSE)," ")</f>
        <v>858</v>
      </c>
      <c r="Z321" t="s" s="125">
        <f>_xlfn.IFERROR(VLOOKUP($A321,'The List'!$B1:$AS665,33,FALSE)," ")</f>
        <v>858</v>
      </c>
      <c r="AA321" s="120"/>
      <c r="AB321" s="121"/>
      <c r="AC321" s="121"/>
      <c r="AD321" s="121"/>
      <c r="AE321" s="121"/>
      <c r="AF321" s="144"/>
    </row>
    <row r="322" ht="21.25" customHeight="1">
      <c r="A322" s="50"/>
      <c r="B322" t="s" s="117">
        <f>_xlfn.IFERROR(VLOOKUP($A322,'The List'!$B1:$AS665,3,FALSE)," ")</f>
        <v>858</v>
      </c>
      <c r="C322" t="s" s="123">
        <f>_xlfn.IFERROR(VLOOKUP($A322,'The List'!$B1:$AS665,4,FALSE)," ")</f>
        <v>858</v>
      </c>
      <c r="D322" t="s" s="86">
        <f>_xlfn.IFERROR(VLOOKUP($A322,'The List'!$B1:$AS665,5,FALSE)," ")</f>
        <v>858</v>
      </c>
      <c r="E322" t="s" s="86">
        <f>_xlfn.IFERROR(VLOOKUP($A322,'The List'!$B1:$AS665,6,FALSE)," ")</f>
        <v>858</v>
      </c>
      <c r="F322" t="s" s="124">
        <f>_xlfn.IFERROR(VLOOKUP($A322,'The List'!$B1:$AS665,8,FALSE)," ")</f>
        <v>858</v>
      </c>
      <c r="G322" t="s" s="124">
        <f>_xlfn.IFERROR(VLOOKUP($A322,'The List'!$B1:$AS665,10,FALSE)," ")</f>
        <v>858</v>
      </c>
      <c r="H322" s="77"/>
      <c r="I322" t="s" s="125">
        <f>_xlfn.IFERROR(VLOOKUP($A322,'The List'!$B1:$AS665,16,FALSE)," ")</f>
        <v>858</v>
      </c>
      <c r="J322" t="s" s="125">
        <f>_xlfn.IFERROR(VLOOKUP($A322,'The List'!$B1:$AS665,17,FALSE)," ")</f>
        <v>858</v>
      </c>
      <c r="K322" t="s" s="125">
        <f>_xlfn.IFERROR(VLOOKUP($A322,'The List'!$B1:$AS665,18,FALSE)," ")</f>
        <v>858</v>
      </c>
      <c r="L322" t="s" s="125">
        <f>_xlfn.IFERROR(VLOOKUP($A322,'The List'!$B1:$AS665,19,FALSE)," ")</f>
        <v>858</v>
      </c>
      <c r="M322" t="s" s="125">
        <f>_xlfn.IFERROR(VLOOKUP($A322,'The List'!$B1:$AS665,20,FALSE)," ")</f>
        <v>858</v>
      </c>
      <c r="N322" t="s" s="125">
        <f>_xlfn.IFERROR(VLOOKUP($A322,'The List'!$B1:$AS665,21,FALSE)," ")</f>
        <v>858</v>
      </c>
      <c r="O322" t="s" s="125">
        <f>_xlfn.IFERROR(VLOOKUP($A322,'The List'!$B1:$AS665,22,FALSE)," ")</f>
        <v>858</v>
      </c>
      <c r="P322" t="s" s="125">
        <f>_xlfn.IFERROR(VLOOKUP($A322,'The List'!$B1:$AS665,23,FALSE)," ")</f>
        <v>858</v>
      </c>
      <c r="Q322" t="s" s="125">
        <f>_xlfn.IFERROR(VLOOKUP($A322,'The List'!$B1:$AS665,24,FALSE)," ")</f>
        <v>858</v>
      </c>
      <c r="R322" t="s" s="125">
        <f>_xlfn.IFERROR(VLOOKUP($A322,'The List'!$B1:$AS665,25,FALSE)," ")</f>
        <v>858</v>
      </c>
      <c r="S322" t="s" s="125">
        <f>_xlfn.IFERROR(VLOOKUP($A322,'The List'!$B1:$AS665,26,FALSE)," ")</f>
        <v>858</v>
      </c>
      <c r="T322" t="s" s="125">
        <f>_xlfn.IFERROR(VLOOKUP($A322,'The List'!$B1:$AS665,27,FALSE)," ")</f>
        <v>858</v>
      </c>
      <c r="U322" t="s" s="125">
        <f>_xlfn.IFERROR(VLOOKUP($A322,'The List'!$B1:$AS665,28,FALSE)," ")</f>
        <v>858</v>
      </c>
      <c r="V322" t="s" s="125">
        <f>_xlfn.IFERROR(VLOOKUP($A322,'The List'!$B1:$AS665,29,FALSE)," ")</f>
        <v>858</v>
      </c>
      <c r="W322" t="s" s="125">
        <f>_xlfn.IFERROR(VLOOKUP($A322,'The List'!$B1:$AS665,30,FALSE)," ")</f>
        <v>858</v>
      </c>
      <c r="X322" t="s" s="125">
        <f>_xlfn.IFERROR(VLOOKUP($A322,'The List'!$B1:$AS665,31,FALSE)," ")</f>
        <v>858</v>
      </c>
      <c r="Y322" t="s" s="125">
        <f>_xlfn.IFERROR(VLOOKUP($A322,'The List'!$B1:$AS665,32,FALSE)," ")</f>
        <v>858</v>
      </c>
      <c r="Z322" t="s" s="125">
        <f>_xlfn.IFERROR(VLOOKUP($A322,'The List'!$B1:$AS665,33,FALSE)," ")</f>
        <v>858</v>
      </c>
      <c r="AA322" s="120"/>
      <c r="AB322" s="121"/>
      <c r="AC322" s="121"/>
      <c r="AD322" s="121"/>
      <c r="AE322" s="121"/>
      <c r="AF322" s="144"/>
    </row>
    <row r="323" ht="21.25" customHeight="1">
      <c r="A323" s="50"/>
      <c r="B323" t="s" s="117">
        <f>_xlfn.IFERROR(VLOOKUP($A323,'The List'!$B1:$AS665,3,FALSE)," ")</f>
        <v>858</v>
      </c>
      <c r="C323" t="s" s="123">
        <f>_xlfn.IFERROR(VLOOKUP($A323,'The List'!$B1:$AS665,4,FALSE)," ")</f>
        <v>858</v>
      </c>
      <c r="D323" t="s" s="86">
        <f>_xlfn.IFERROR(VLOOKUP($A323,'The List'!$B1:$AS665,5,FALSE)," ")</f>
        <v>858</v>
      </c>
      <c r="E323" t="s" s="86">
        <f>_xlfn.IFERROR(VLOOKUP($A323,'The List'!$B1:$AS665,6,FALSE)," ")</f>
        <v>858</v>
      </c>
      <c r="F323" t="s" s="124">
        <f>_xlfn.IFERROR(VLOOKUP($A323,'The List'!$B1:$AS665,8,FALSE)," ")</f>
        <v>858</v>
      </c>
      <c r="G323" t="s" s="124">
        <f>_xlfn.IFERROR(VLOOKUP($A323,'The List'!$B1:$AS665,10,FALSE)," ")</f>
        <v>858</v>
      </c>
      <c r="H323" s="77"/>
      <c r="I323" t="s" s="125">
        <f>_xlfn.IFERROR(VLOOKUP($A323,'The List'!$B1:$AS665,16,FALSE)," ")</f>
        <v>858</v>
      </c>
      <c r="J323" t="s" s="125">
        <f>_xlfn.IFERROR(VLOOKUP($A323,'The List'!$B1:$AS665,17,FALSE)," ")</f>
        <v>858</v>
      </c>
      <c r="K323" t="s" s="125">
        <f>_xlfn.IFERROR(VLOOKUP($A323,'The List'!$B1:$AS665,18,FALSE)," ")</f>
        <v>858</v>
      </c>
      <c r="L323" t="s" s="125">
        <f>_xlfn.IFERROR(VLOOKUP($A323,'The List'!$B1:$AS665,19,FALSE)," ")</f>
        <v>858</v>
      </c>
      <c r="M323" t="s" s="125">
        <f>_xlfn.IFERROR(VLOOKUP($A323,'The List'!$B1:$AS665,20,FALSE)," ")</f>
        <v>858</v>
      </c>
      <c r="N323" t="s" s="125">
        <f>_xlfn.IFERROR(VLOOKUP($A323,'The List'!$B1:$AS665,21,FALSE)," ")</f>
        <v>858</v>
      </c>
      <c r="O323" t="s" s="125">
        <f>_xlfn.IFERROR(VLOOKUP($A323,'The List'!$B1:$AS665,22,FALSE)," ")</f>
        <v>858</v>
      </c>
      <c r="P323" t="s" s="125">
        <f>_xlfn.IFERROR(VLOOKUP($A323,'The List'!$B1:$AS665,23,FALSE)," ")</f>
        <v>858</v>
      </c>
      <c r="Q323" t="s" s="125">
        <f>_xlfn.IFERROR(VLOOKUP($A323,'The List'!$B1:$AS665,24,FALSE)," ")</f>
        <v>858</v>
      </c>
      <c r="R323" t="s" s="125">
        <f>_xlfn.IFERROR(VLOOKUP($A323,'The List'!$B1:$AS665,25,FALSE)," ")</f>
        <v>858</v>
      </c>
      <c r="S323" t="s" s="125">
        <f>_xlfn.IFERROR(VLOOKUP($A323,'The List'!$B1:$AS665,26,FALSE)," ")</f>
        <v>858</v>
      </c>
      <c r="T323" t="s" s="125">
        <f>_xlfn.IFERROR(VLOOKUP($A323,'The List'!$B1:$AS665,27,FALSE)," ")</f>
        <v>858</v>
      </c>
      <c r="U323" t="s" s="125">
        <f>_xlfn.IFERROR(VLOOKUP($A323,'The List'!$B1:$AS665,28,FALSE)," ")</f>
        <v>858</v>
      </c>
      <c r="V323" t="s" s="125">
        <f>_xlfn.IFERROR(VLOOKUP($A323,'The List'!$B1:$AS665,29,FALSE)," ")</f>
        <v>858</v>
      </c>
      <c r="W323" t="s" s="125">
        <f>_xlfn.IFERROR(VLOOKUP($A323,'The List'!$B1:$AS665,30,FALSE)," ")</f>
        <v>858</v>
      </c>
      <c r="X323" t="s" s="125">
        <f>_xlfn.IFERROR(VLOOKUP($A323,'The List'!$B1:$AS665,31,FALSE)," ")</f>
        <v>858</v>
      </c>
      <c r="Y323" t="s" s="125">
        <f>_xlfn.IFERROR(VLOOKUP($A323,'The List'!$B1:$AS665,32,FALSE)," ")</f>
        <v>858</v>
      </c>
      <c r="Z323" t="s" s="125">
        <f>_xlfn.IFERROR(VLOOKUP($A323,'The List'!$B1:$AS665,33,FALSE)," ")</f>
        <v>858</v>
      </c>
      <c r="AA323" s="120"/>
      <c r="AB323" s="121"/>
      <c r="AC323" s="121"/>
      <c r="AD323" s="121"/>
      <c r="AE323" s="121"/>
      <c r="AF323" s="144"/>
    </row>
    <row r="324" ht="21.25" customHeight="1">
      <c r="A324" s="50"/>
      <c r="B324" t="s" s="117">
        <f>_xlfn.IFERROR(VLOOKUP($A324,'The List'!$B1:$AS665,3,FALSE)," ")</f>
        <v>858</v>
      </c>
      <c r="C324" t="s" s="123">
        <f>_xlfn.IFERROR(VLOOKUP($A324,'The List'!$B1:$AS665,4,FALSE)," ")</f>
        <v>858</v>
      </c>
      <c r="D324" t="s" s="86">
        <f>_xlfn.IFERROR(VLOOKUP($A324,'The List'!$B1:$AS665,5,FALSE)," ")</f>
        <v>858</v>
      </c>
      <c r="E324" t="s" s="86">
        <f>_xlfn.IFERROR(VLOOKUP($A324,'The List'!$B1:$AS665,6,FALSE)," ")</f>
        <v>858</v>
      </c>
      <c r="F324" t="s" s="124">
        <f>_xlfn.IFERROR(VLOOKUP($A324,'The List'!$B1:$AS665,8,FALSE)," ")</f>
        <v>858</v>
      </c>
      <c r="G324" t="s" s="124">
        <f>_xlfn.IFERROR(VLOOKUP($A324,'The List'!$B1:$AS665,10,FALSE)," ")</f>
        <v>858</v>
      </c>
      <c r="H324" s="77"/>
      <c r="I324" t="s" s="125">
        <f>_xlfn.IFERROR(VLOOKUP($A324,'The List'!$B1:$AS665,16,FALSE)," ")</f>
        <v>858</v>
      </c>
      <c r="J324" t="s" s="125">
        <f>_xlfn.IFERROR(VLOOKUP($A324,'The List'!$B1:$AS665,17,FALSE)," ")</f>
        <v>858</v>
      </c>
      <c r="K324" t="s" s="125">
        <f>_xlfn.IFERROR(VLOOKUP($A324,'The List'!$B1:$AS665,18,FALSE)," ")</f>
        <v>858</v>
      </c>
      <c r="L324" t="s" s="125">
        <f>_xlfn.IFERROR(VLOOKUP($A324,'The List'!$B1:$AS665,19,FALSE)," ")</f>
        <v>858</v>
      </c>
      <c r="M324" t="s" s="125">
        <f>_xlfn.IFERROR(VLOOKUP($A324,'The List'!$B1:$AS665,20,FALSE)," ")</f>
        <v>858</v>
      </c>
      <c r="N324" t="s" s="125">
        <f>_xlfn.IFERROR(VLOOKUP($A324,'The List'!$B1:$AS665,21,FALSE)," ")</f>
        <v>858</v>
      </c>
      <c r="O324" t="s" s="125">
        <f>_xlfn.IFERROR(VLOOKUP($A324,'The List'!$B1:$AS665,22,FALSE)," ")</f>
        <v>858</v>
      </c>
      <c r="P324" t="s" s="125">
        <f>_xlfn.IFERROR(VLOOKUP($A324,'The List'!$B1:$AS665,23,FALSE)," ")</f>
        <v>858</v>
      </c>
      <c r="Q324" t="s" s="125">
        <f>_xlfn.IFERROR(VLOOKUP($A324,'The List'!$B1:$AS665,24,FALSE)," ")</f>
        <v>858</v>
      </c>
      <c r="R324" t="s" s="125">
        <f>_xlfn.IFERROR(VLOOKUP($A324,'The List'!$B1:$AS665,25,FALSE)," ")</f>
        <v>858</v>
      </c>
      <c r="S324" t="s" s="125">
        <f>_xlfn.IFERROR(VLOOKUP($A324,'The List'!$B1:$AS665,26,FALSE)," ")</f>
        <v>858</v>
      </c>
      <c r="T324" t="s" s="125">
        <f>_xlfn.IFERROR(VLOOKUP($A324,'The List'!$B1:$AS665,27,FALSE)," ")</f>
        <v>858</v>
      </c>
      <c r="U324" t="s" s="125">
        <f>_xlfn.IFERROR(VLOOKUP($A324,'The List'!$B1:$AS665,28,FALSE)," ")</f>
        <v>858</v>
      </c>
      <c r="V324" t="s" s="125">
        <f>_xlfn.IFERROR(VLOOKUP($A324,'The List'!$B1:$AS665,29,FALSE)," ")</f>
        <v>858</v>
      </c>
      <c r="W324" t="s" s="125">
        <f>_xlfn.IFERROR(VLOOKUP($A324,'The List'!$B1:$AS665,30,FALSE)," ")</f>
        <v>858</v>
      </c>
      <c r="X324" t="s" s="125">
        <f>_xlfn.IFERROR(VLOOKUP($A324,'The List'!$B1:$AS665,31,FALSE)," ")</f>
        <v>858</v>
      </c>
      <c r="Y324" t="s" s="125">
        <f>_xlfn.IFERROR(VLOOKUP($A324,'The List'!$B1:$AS665,32,FALSE)," ")</f>
        <v>858</v>
      </c>
      <c r="Z324" t="s" s="125">
        <f>_xlfn.IFERROR(VLOOKUP($A324,'The List'!$B1:$AS665,33,FALSE)," ")</f>
        <v>858</v>
      </c>
      <c r="AA324" s="120"/>
      <c r="AB324" s="121"/>
      <c r="AC324" s="121"/>
      <c r="AD324" s="121"/>
      <c r="AE324" s="121"/>
      <c r="AF324" s="144"/>
    </row>
    <row r="325" ht="21.25" customHeight="1">
      <c r="A325" s="50"/>
      <c r="B325" t="s" s="126">
        <f>_xlfn.IFERROR(VLOOKUP($A325,'The List'!$B1:$AS665,3,FALSE)," ")</f>
        <v>858</v>
      </c>
      <c r="C325" t="s" s="128">
        <f>_xlfn.IFERROR(VLOOKUP($A325,'The List'!$B1:$AS665,4,FALSE)," ")</f>
        <v>858</v>
      </c>
      <c r="D325" t="s" s="86">
        <f>_xlfn.IFERROR(VLOOKUP($A325,'The List'!$B1:$AS665,5,FALSE)," ")</f>
        <v>858</v>
      </c>
      <c r="E325" t="s" s="86">
        <f>_xlfn.IFERROR(VLOOKUP($A325,'The List'!$B1:$AS665,6,FALSE)," ")</f>
        <v>858</v>
      </c>
      <c r="F325" t="s" s="124">
        <f>_xlfn.IFERROR(VLOOKUP($A325,'The List'!$B1:$AS665,8,FALSE)," ")</f>
        <v>858</v>
      </c>
      <c r="G325" t="s" s="124">
        <f>_xlfn.IFERROR(VLOOKUP($A325,'The List'!$B1:$AS665,10,FALSE)," ")</f>
        <v>858</v>
      </c>
      <c r="H325" s="77"/>
      <c r="I325" t="s" s="125">
        <f>_xlfn.IFERROR(VLOOKUP($A325,'The List'!$B1:$AS665,16,FALSE)," ")</f>
        <v>858</v>
      </c>
      <c r="J325" t="s" s="125">
        <f>_xlfn.IFERROR(VLOOKUP($A325,'The List'!$B1:$AS665,17,FALSE)," ")</f>
        <v>858</v>
      </c>
      <c r="K325" t="s" s="125">
        <f>_xlfn.IFERROR(VLOOKUP($A325,'The List'!$B1:$AS665,18,FALSE)," ")</f>
        <v>858</v>
      </c>
      <c r="L325" t="s" s="125">
        <f>_xlfn.IFERROR(VLOOKUP($A325,'The List'!$B1:$AS665,19,FALSE)," ")</f>
        <v>858</v>
      </c>
      <c r="M325" t="s" s="125">
        <f>_xlfn.IFERROR(VLOOKUP($A325,'The List'!$B1:$AS665,20,FALSE)," ")</f>
        <v>858</v>
      </c>
      <c r="N325" t="s" s="125">
        <f>_xlfn.IFERROR(VLOOKUP($A325,'The List'!$B1:$AS665,21,FALSE)," ")</f>
        <v>858</v>
      </c>
      <c r="O325" t="s" s="125">
        <f>_xlfn.IFERROR(VLOOKUP($A325,'The List'!$B1:$AS665,22,FALSE)," ")</f>
        <v>858</v>
      </c>
      <c r="P325" t="s" s="125">
        <f>_xlfn.IFERROR(VLOOKUP($A325,'The List'!$B1:$AS665,23,FALSE)," ")</f>
        <v>858</v>
      </c>
      <c r="Q325" t="s" s="125">
        <f>_xlfn.IFERROR(VLOOKUP($A325,'The List'!$B1:$AS665,24,FALSE)," ")</f>
        <v>858</v>
      </c>
      <c r="R325" t="s" s="125">
        <f>_xlfn.IFERROR(VLOOKUP($A325,'The List'!$B1:$AS665,25,FALSE)," ")</f>
        <v>858</v>
      </c>
      <c r="S325" t="s" s="125">
        <f>_xlfn.IFERROR(VLOOKUP($A325,'The List'!$B1:$AS665,26,FALSE)," ")</f>
        <v>858</v>
      </c>
      <c r="T325" t="s" s="125">
        <f>_xlfn.IFERROR(VLOOKUP($A325,'The List'!$B1:$AS665,27,FALSE)," ")</f>
        <v>858</v>
      </c>
      <c r="U325" t="s" s="125">
        <f>_xlfn.IFERROR(VLOOKUP($A325,'The List'!$B1:$AS665,28,FALSE)," ")</f>
        <v>858</v>
      </c>
      <c r="V325" t="s" s="125">
        <f>_xlfn.IFERROR(VLOOKUP($A325,'The List'!$B1:$AS665,29,FALSE)," ")</f>
        <v>858</v>
      </c>
      <c r="W325" t="s" s="125">
        <f>_xlfn.IFERROR(VLOOKUP($A325,'The List'!$B1:$AS665,30,FALSE)," ")</f>
        <v>858</v>
      </c>
      <c r="X325" t="s" s="125">
        <f>_xlfn.IFERROR(VLOOKUP($A325,'The List'!$B1:$AS665,31,FALSE)," ")</f>
        <v>858</v>
      </c>
      <c r="Y325" t="s" s="125">
        <f>_xlfn.IFERROR(VLOOKUP($A325,'The List'!$B1:$AS665,32,FALSE)," ")</f>
        <v>858</v>
      </c>
      <c r="Z325" t="s" s="125">
        <f>_xlfn.IFERROR(VLOOKUP($A325,'The List'!$B1:$AS665,33,FALSE)," ")</f>
        <v>858</v>
      </c>
      <c r="AA325" s="120"/>
      <c r="AB325" s="121"/>
      <c r="AC325" s="121"/>
      <c r="AD325" s="121"/>
      <c r="AE325" s="121"/>
      <c r="AF325" s="144"/>
    </row>
    <row r="326" ht="21.25" customHeight="1">
      <c r="A326" s="50"/>
      <c r="B326" t="s" s="126">
        <f>_xlfn.IFERROR(VLOOKUP($A326,'The List'!$B1:$AS665,3,FALSE)," ")</f>
        <v>858</v>
      </c>
      <c r="C326" t="s" s="128">
        <f>_xlfn.IFERROR(VLOOKUP($A326,'The List'!$B1:$AS665,4,FALSE)," ")</f>
        <v>858</v>
      </c>
      <c r="D326" t="s" s="86">
        <f>_xlfn.IFERROR(VLOOKUP($A326,'The List'!$B1:$AS665,5,FALSE)," ")</f>
        <v>858</v>
      </c>
      <c r="E326" t="s" s="86">
        <f>_xlfn.IFERROR(VLOOKUP($A326,'The List'!$B1:$AS665,6,FALSE)," ")</f>
        <v>858</v>
      </c>
      <c r="F326" t="s" s="124">
        <f>_xlfn.IFERROR(VLOOKUP($A326,'The List'!$B1:$AS665,8,FALSE)," ")</f>
        <v>858</v>
      </c>
      <c r="G326" t="s" s="124">
        <f>_xlfn.IFERROR(VLOOKUP($A326,'The List'!$B1:$AS665,10,FALSE)," ")</f>
        <v>858</v>
      </c>
      <c r="H326" s="77"/>
      <c r="I326" t="s" s="125">
        <f>_xlfn.IFERROR(VLOOKUP($A326,'The List'!$B1:$AS665,16,FALSE)," ")</f>
        <v>858</v>
      </c>
      <c r="J326" t="s" s="125">
        <f>_xlfn.IFERROR(VLOOKUP($A326,'The List'!$B1:$AS665,17,FALSE)," ")</f>
        <v>858</v>
      </c>
      <c r="K326" t="s" s="125">
        <f>_xlfn.IFERROR(VLOOKUP($A326,'The List'!$B1:$AS665,18,FALSE)," ")</f>
        <v>858</v>
      </c>
      <c r="L326" t="s" s="125">
        <f>_xlfn.IFERROR(VLOOKUP($A326,'The List'!$B1:$AS665,19,FALSE)," ")</f>
        <v>858</v>
      </c>
      <c r="M326" t="s" s="125">
        <f>_xlfn.IFERROR(VLOOKUP($A326,'The List'!$B1:$AS665,20,FALSE)," ")</f>
        <v>858</v>
      </c>
      <c r="N326" t="s" s="125">
        <f>_xlfn.IFERROR(VLOOKUP($A326,'The List'!$B1:$AS665,21,FALSE)," ")</f>
        <v>858</v>
      </c>
      <c r="O326" t="s" s="125">
        <f>_xlfn.IFERROR(VLOOKUP($A326,'The List'!$B1:$AS665,22,FALSE)," ")</f>
        <v>858</v>
      </c>
      <c r="P326" t="s" s="125">
        <f>_xlfn.IFERROR(VLOOKUP($A326,'The List'!$B1:$AS665,23,FALSE)," ")</f>
        <v>858</v>
      </c>
      <c r="Q326" t="s" s="125">
        <f>_xlfn.IFERROR(VLOOKUP($A326,'The List'!$B1:$AS665,24,FALSE)," ")</f>
        <v>858</v>
      </c>
      <c r="R326" t="s" s="125">
        <f>_xlfn.IFERROR(VLOOKUP($A326,'The List'!$B1:$AS665,25,FALSE)," ")</f>
        <v>858</v>
      </c>
      <c r="S326" t="s" s="125">
        <f>_xlfn.IFERROR(VLOOKUP($A326,'The List'!$B1:$AS665,26,FALSE)," ")</f>
        <v>858</v>
      </c>
      <c r="T326" t="s" s="125">
        <f>_xlfn.IFERROR(VLOOKUP($A326,'The List'!$B1:$AS665,27,FALSE)," ")</f>
        <v>858</v>
      </c>
      <c r="U326" t="s" s="125">
        <f>_xlfn.IFERROR(VLOOKUP($A326,'The List'!$B1:$AS665,28,FALSE)," ")</f>
        <v>858</v>
      </c>
      <c r="V326" t="s" s="125">
        <f>_xlfn.IFERROR(VLOOKUP($A326,'The List'!$B1:$AS665,29,FALSE)," ")</f>
        <v>858</v>
      </c>
      <c r="W326" t="s" s="125">
        <f>_xlfn.IFERROR(VLOOKUP($A326,'The List'!$B1:$AS665,30,FALSE)," ")</f>
        <v>858</v>
      </c>
      <c r="X326" t="s" s="125">
        <f>_xlfn.IFERROR(VLOOKUP($A326,'The List'!$B1:$AS665,31,FALSE)," ")</f>
        <v>858</v>
      </c>
      <c r="Y326" t="s" s="125">
        <f>_xlfn.IFERROR(VLOOKUP($A326,'The List'!$B1:$AS665,32,FALSE)," ")</f>
        <v>858</v>
      </c>
      <c r="Z326" t="s" s="125">
        <f>_xlfn.IFERROR(VLOOKUP($A326,'The List'!$B1:$AS665,33,FALSE)," ")</f>
        <v>858</v>
      </c>
      <c r="AA326" s="120"/>
      <c r="AB326" s="121"/>
      <c r="AC326" s="121"/>
      <c r="AD326" s="121"/>
      <c r="AE326" s="121"/>
      <c r="AF326" s="144"/>
    </row>
    <row r="327" ht="21.25" customHeight="1">
      <c r="A327" s="50"/>
      <c r="B327" t="s" s="126">
        <f>_xlfn.IFERROR(VLOOKUP($A327,'The List'!$B1:$AS665,3,FALSE)," ")</f>
        <v>858</v>
      </c>
      <c r="C327" t="s" s="128">
        <f>_xlfn.IFERROR(VLOOKUP($A327,'The List'!$B1:$AS665,4,FALSE)," ")</f>
        <v>858</v>
      </c>
      <c r="D327" t="s" s="86">
        <f>_xlfn.IFERROR(VLOOKUP($A327,'The List'!$B1:$AS665,5,FALSE)," ")</f>
        <v>858</v>
      </c>
      <c r="E327" t="s" s="86">
        <f>_xlfn.IFERROR(VLOOKUP($A327,'The List'!$B1:$AS665,6,FALSE)," ")</f>
        <v>858</v>
      </c>
      <c r="F327" t="s" s="124">
        <f>_xlfn.IFERROR(VLOOKUP($A327,'The List'!$B1:$AS665,8,FALSE)," ")</f>
        <v>858</v>
      </c>
      <c r="G327" t="s" s="124">
        <f>_xlfn.IFERROR(VLOOKUP($A327,'The List'!$B1:$AS665,10,FALSE)," ")</f>
        <v>858</v>
      </c>
      <c r="H327" s="77"/>
      <c r="I327" t="s" s="125">
        <f>_xlfn.IFERROR(VLOOKUP($A327,'The List'!$B1:$AS665,16,FALSE)," ")</f>
        <v>858</v>
      </c>
      <c r="J327" t="s" s="125">
        <f>_xlfn.IFERROR(VLOOKUP($A327,'The List'!$B1:$AS665,17,FALSE)," ")</f>
        <v>858</v>
      </c>
      <c r="K327" t="s" s="125">
        <f>_xlfn.IFERROR(VLOOKUP($A327,'The List'!$B1:$AS665,18,FALSE)," ")</f>
        <v>858</v>
      </c>
      <c r="L327" t="s" s="125">
        <f>_xlfn.IFERROR(VLOOKUP($A327,'The List'!$B1:$AS665,19,FALSE)," ")</f>
        <v>858</v>
      </c>
      <c r="M327" t="s" s="125">
        <f>_xlfn.IFERROR(VLOOKUP($A327,'The List'!$B1:$AS665,20,FALSE)," ")</f>
        <v>858</v>
      </c>
      <c r="N327" t="s" s="125">
        <f>_xlfn.IFERROR(VLOOKUP($A327,'The List'!$B1:$AS665,21,FALSE)," ")</f>
        <v>858</v>
      </c>
      <c r="O327" t="s" s="125">
        <f>_xlfn.IFERROR(VLOOKUP($A327,'The List'!$B1:$AS665,22,FALSE)," ")</f>
        <v>858</v>
      </c>
      <c r="P327" t="s" s="125">
        <f>_xlfn.IFERROR(VLOOKUP($A327,'The List'!$B1:$AS665,23,FALSE)," ")</f>
        <v>858</v>
      </c>
      <c r="Q327" t="s" s="125">
        <f>_xlfn.IFERROR(VLOOKUP($A327,'The List'!$B1:$AS665,24,FALSE)," ")</f>
        <v>858</v>
      </c>
      <c r="R327" t="s" s="125">
        <f>_xlfn.IFERROR(VLOOKUP($A327,'The List'!$B1:$AS665,25,FALSE)," ")</f>
        <v>858</v>
      </c>
      <c r="S327" t="s" s="125">
        <f>_xlfn.IFERROR(VLOOKUP($A327,'The List'!$B1:$AS665,26,FALSE)," ")</f>
        <v>858</v>
      </c>
      <c r="T327" t="s" s="125">
        <f>_xlfn.IFERROR(VLOOKUP($A327,'The List'!$B1:$AS665,27,FALSE)," ")</f>
        <v>858</v>
      </c>
      <c r="U327" t="s" s="125">
        <f>_xlfn.IFERROR(VLOOKUP($A327,'The List'!$B1:$AS665,28,FALSE)," ")</f>
        <v>858</v>
      </c>
      <c r="V327" t="s" s="125">
        <f>_xlfn.IFERROR(VLOOKUP($A327,'The List'!$B1:$AS665,29,FALSE)," ")</f>
        <v>858</v>
      </c>
      <c r="W327" t="s" s="125">
        <f>_xlfn.IFERROR(VLOOKUP($A327,'The List'!$B1:$AS665,30,FALSE)," ")</f>
        <v>858</v>
      </c>
      <c r="X327" t="s" s="125">
        <f>_xlfn.IFERROR(VLOOKUP($A327,'The List'!$B1:$AS665,31,FALSE)," ")</f>
        <v>858</v>
      </c>
      <c r="Y327" t="s" s="125">
        <f>_xlfn.IFERROR(VLOOKUP($A327,'The List'!$B1:$AS665,32,FALSE)," ")</f>
        <v>858</v>
      </c>
      <c r="Z327" t="s" s="125">
        <f>_xlfn.IFERROR(VLOOKUP($A327,'The List'!$B1:$AS665,33,FALSE)," ")</f>
        <v>858</v>
      </c>
      <c r="AA327" s="120"/>
      <c r="AB327" s="121"/>
      <c r="AC327" s="121"/>
      <c r="AD327" s="121"/>
      <c r="AE327" s="121"/>
      <c r="AF327" s="144"/>
    </row>
    <row r="328" ht="21.25" customHeight="1">
      <c r="A328" s="50"/>
      <c r="B328" t="s" s="126">
        <f>_xlfn.IFERROR(VLOOKUP($A328,'The List'!$B1:$AS665,3,FALSE)," ")</f>
        <v>858</v>
      </c>
      <c r="C328" t="s" s="128">
        <f>_xlfn.IFERROR(VLOOKUP($A328,'The List'!$B1:$AS665,4,FALSE)," ")</f>
        <v>858</v>
      </c>
      <c r="D328" t="s" s="86">
        <f>_xlfn.IFERROR(VLOOKUP($A328,'The List'!$B1:$AS665,5,FALSE)," ")</f>
        <v>858</v>
      </c>
      <c r="E328" t="s" s="86">
        <f>_xlfn.IFERROR(VLOOKUP($A328,'The List'!$B1:$AS665,6,FALSE)," ")</f>
        <v>858</v>
      </c>
      <c r="F328" t="s" s="124">
        <f>_xlfn.IFERROR(VLOOKUP($A328,'The List'!$B1:$AS665,8,FALSE)," ")</f>
        <v>858</v>
      </c>
      <c r="G328" t="s" s="124">
        <f>_xlfn.IFERROR(VLOOKUP($A328,'The List'!$B1:$AS665,10,FALSE)," ")</f>
        <v>858</v>
      </c>
      <c r="H328" s="77"/>
      <c r="I328" t="s" s="125">
        <f>_xlfn.IFERROR(VLOOKUP($A328,'The List'!$B1:$AS665,16,FALSE)," ")</f>
        <v>858</v>
      </c>
      <c r="J328" t="s" s="125">
        <f>_xlfn.IFERROR(VLOOKUP($A328,'The List'!$B1:$AS665,17,FALSE)," ")</f>
        <v>858</v>
      </c>
      <c r="K328" t="s" s="125">
        <f>_xlfn.IFERROR(VLOOKUP($A328,'The List'!$B1:$AS665,18,FALSE)," ")</f>
        <v>858</v>
      </c>
      <c r="L328" t="s" s="125">
        <f>_xlfn.IFERROR(VLOOKUP($A328,'The List'!$B1:$AS665,19,FALSE)," ")</f>
        <v>858</v>
      </c>
      <c r="M328" t="s" s="125">
        <f>_xlfn.IFERROR(VLOOKUP($A328,'The List'!$B1:$AS665,20,FALSE)," ")</f>
        <v>858</v>
      </c>
      <c r="N328" t="s" s="125">
        <f>_xlfn.IFERROR(VLOOKUP($A328,'The List'!$B1:$AS665,21,FALSE)," ")</f>
        <v>858</v>
      </c>
      <c r="O328" t="s" s="125">
        <f>_xlfn.IFERROR(VLOOKUP($A328,'The List'!$B1:$AS665,22,FALSE)," ")</f>
        <v>858</v>
      </c>
      <c r="P328" t="s" s="125">
        <f>_xlfn.IFERROR(VLOOKUP($A328,'The List'!$B1:$AS665,23,FALSE)," ")</f>
        <v>858</v>
      </c>
      <c r="Q328" t="s" s="125">
        <f>_xlfn.IFERROR(VLOOKUP($A328,'The List'!$B1:$AS665,24,FALSE)," ")</f>
        <v>858</v>
      </c>
      <c r="R328" t="s" s="125">
        <f>_xlfn.IFERROR(VLOOKUP($A328,'The List'!$B1:$AS665,25,FALSE)," ")</f>
        <v>858</v>
      </c>
      <c r="S328" t="s" s="125">
        <f>_xlfn.IFERROR(VLOOKUP($A328,'The List'!$B1:$AS665,26,FALSE)," ")</f>
        <v>858</v>
      </c>
      <c r="T328" t="s" s="125">
        <f>_xlfn.IFERROR(VLOOKUP($A328,'The List'!$B1:$AS665,27,FALSE)," ")</f>
        <v>858</v>
      </c>
      <c r="U328" t="s" s="125">
        <f>_xlfn.IFERROR(VLOOKUP($A328,'The List'!$B1:$AS665,28,FALSE)," ")</f>
        <v>858</v>
      </c>
      <c r="V328" t="s" s="125">
        <f>_xlfn.IFERROR(VLOOKUP($A328,'The List'!$B1:$AS665,29,FALSE)," ")</f>
        <v>858</v>
      </c>
      <c r="W328" t="s" s="125">
        <f>_xlfn.IFERROR(VLOOKUP($A328,'The List'!$B1:$AS665,30,FALSE)," ")</f>
        <v>858</v>
      </c>
      <c r="X328" t="s" s="125">
        <f>_xlfn.IFERROR(VLOOKUP($A328,'The List'!$B1:$AS665,31,FALSE)," ")</f>
        <v>858</v>
      </c>
      <c r="Y328" t="s" s="125">
        <f>_xlfn.IFERROR(VLOOKUP($A328,'The List'!$B1:$AS665,32,FALSE)," ")</f>
        <v>858</v>
      </c>
      <c r="Z328" t="s" s="125">
        <f>_xlfn.IFERROR(VLOOKUP($A328,'The List'!$B1:$AS665,33,FALSE)," ")</f>
        <v>858</v>
      </c>
      <c r="AA328" s="120"/>
      <c r="AB328" s="121"/>
      <c r="AC328" s="121"/>
      <c r="AD328" s="121"/>
      <c r="AE328" s="121"/>
      <c r="AF328" s="144"/>
    </row>
    <row r="329" ht="21.25" customHeight="1">
      <c r="A329" s="50"/>
      <c r="B329" t="s" s="129">
        <f>_xlfn.IFERROR(VLOOKUP($A329,'The List'!$B1:$AS665,3,FALSE)," ")</f>
        <v>858</v>
      </c>
      <c r="C329" t="s" s="131">
        <f>_xlfn.IFERROR(VLOOKUP($A329,'The List'!$B1:$AS665,4,FALSE)," ")</f>
        <v>858</v>
      </c>
      <c r="D329" t="s" s="86">
        <f>_xlfn.IFERROR(VLOOKUP($A329,'The List'!$B1:$AS665,5,FALSE)," ")</f>
        <v>858</v>
      </c>
      <c r="E329" t="s" s="86">
        <f>_xlfn.IFERROR(VLOOKUP($A329,'The List'!$B1:$AS665,6,FALSE)," ")</f>
        <v>858</v>
      </c>
      <c r="F329" t="s" s="124">
        <f>_xlfn.IFERROR(VLOOKUP($A329,'The List'!$B1:$AS665,8,FALSE)," ")</f>
        <v>858</v>
      </c>
      <c r="G329" t="s" s="124">
        <f>_xlfn.IFERROR(VLOOKUP($A329,'The List'!$B1:$AS665,10,FALSE)," ")</f>
        <v>858</v>
      </c>
      <c r="H329" s="77"/>
      <c r="I329" t="s" s="125">
        <f>_xlfn.IFERROR(VLOOKUP($A329,'The List'!$B1:$AS665,16,FALSE)," ")</f>
        <v>858</v>
      </c>
      <c r="J329" t="s" s="125">
        <f>_xlfn.IFERROR(VLOOKUP($A329,'The List'!$B1:$AS665,17,FALSE)," ")</f>
        <v>858</v>
      </c>
      <c r="K329" t="s" s="125">
        <f>_xlfn.IFERROR(VLOOKUP($A329,'The List'!$B1:$AS665,18,FALSE)," ")</f>
        <v>858</v>
      </c>
      <c r="L329" t="s" s="125">
        <f>_xlfn.IFERROR(VLOOKUP($A329,'The List'!$B1:$AS665,19,FALSE)," ")</f>
        <v>858</v>
      </c>
      <c r="M329" t="s" s="125">
        <f>_xlfn.IFERROR(VLOOKUP($A329,'The List'!$B1:$AS665,20,FALSE)," ")</f>
        <v>858</v>
      </c>
      <c r="N329" t="s" s="125">
        <f>_xlfn.IFERROR(VLOOKUP($A329,'The List'!$B1:$AS665,21,FALSE)," ")</f>
        <v>858</v>
      </c>
      <c r="O329" t="s" s="125">
        <f>_xlfn.IFERROR(VLOOKUP($A329,'The List'!$B1:$AS665,22,FALSE)," ")</f>
        <v>858</v>
      </c>
      <c r="P329" t="s" s="125">
        <f>_xlfn.IFERROR(VLOOKUP($A329,'The List'!$B1:$AS665,23,FALSE)," ")</f>
        <v>858</v>
      </c>
      <c r="Q329" t="s" s="125">
        <f>_xlfn.IFERROR(VLOOKUP($A329,'The List'!$B1:$AS665,24,FALSE)," ")</f>
        <v>858</v>
      </c>
      <c r="R329" t="s" s="125">
        <f>_xlfn.IFERROR(VLOOKUP($A329,'The List'!$B1:$AS665,25,FALSE)," ")</f>
        <v>858</v>
      </c>
      <c r="S329" t="s" s="125">
        <f>_xlfn.IFERROR(VLOOKUP($A329,'The List'!$B1:$AS665,26,FALSE)," ")</f>
        <v>858</v>
      </c>
      <c r="T329" t="s" s="125">
        <f>_xlfn.IFERROR(VLOOKUP($A329,'The List'!$B1:$AS665,27,FALSE)," ")</f>
        <v>858</v>
      </c>
      <c r="U329" t="s" s="125">
        <f>_xlfn.IFERROR(VLOOKUP($A329,'The List'!$B1:$AS665,28,FALSE)," ")</f>
        <v>858</v>
      </c>
      <c r="V329" t="s" s="125">
        <f>_xlfn.IFERROR(VLOOKUP($A329,'The List'!$B1:$AS665,29,FALSE)," ")</f>
        <v>858</v>
      </c>
      <c r="W329" t="s" s="125">
        <f>_xlfn.IFERROR(VLOOKUP($A329,'The List'!$B1:$AS665,30,FALSE)," ")</f>
        <v>858</v>
      </c>
      <c r="X329" t="s" s="125">
        <f>_xlfn.IFERROR(VLOOKUP($A329,'The List'!$B1:$AS665,31,FALSE)," ")</f>
        <v>858</v>
      </c>
      <c r="Y329" t="s" s="125">
        <f>_xlfn.IFERROR(VLOOKUP($A329,'The List'!$B1:$AS665,32,FALSE)," ")</f>
        <v>858</v>
      </c>
      <c r="Z329" t="s" s="125">
        <f>_xlfn.IFERROR(VLOOKUP($A329,'The List'!$B1:$AS665,33,FALSE)," ")</f>
        <v>858</v>
      </c>
      <c r="AA329" s="120"/>
      <c r="AB329" s="121"/>
      <c r="AC329" s="121"/>
      <c r="AD329" s="121"/>
      <c r="AE329" s="121"/>
      <c r="AF329" s="144"/>
    </row>
    <row r="330" ht="21.25" customHeight="1">
      <c r="A330" s="50"/>
      <c r="B330" t="s" s="129">
        <f>_xlfn.IFERROR(VLOOKUP($A330,'The List'!$B1:$AS665,3,FALSE)," ")</f>
        <v>858</v>
      </c>
      <c r="C330" t="s" s="131">
        <f>_xlfn.IFERROR(VLOOKUP($A330,'The List'!$B1:$AS665,4,FALSE)," ")</f>
        <v>858</v>
      </c>
      <c r="D330" t="s" s="86">
        <f>_xlfn.IFERROR(VLOOKUP($A330,'The List'!$B1:$AS665,5,FALSE)," ")</f>
        <v>858</v>
      </c>
      <c r="E330" t="s" s="86">
        <f>_xlfn.IFERROR(VLOOKUP($A330,'The List'!$B1:$AS665,6,FALSE)," ")</f>
        <v>858</v>
      </c>
      <c r="F330" t="s" s="124">
        <f>_xlfn.IFERROR(VLOOKUP($A330,'The List'!$B1:$AS665,8,FALSE)," ")</f>
        <v>858</v>
      </c>
      <c r="G330" t="s" s="124">
        <f>_xlfn.IFERROR(VLOOKUP($A330,'The List'!$B1:$AS665,10,FALSE)," ")</f>
        <v>858</v>
      </c>
      <c r="H330" s="77"/>
      <c r="I330" t="s" s="125">
        <f>_xlfn.IFERROR(VLOOKUP($A330,'The List'!$B1:$AS665,16,FALSE)," ")</f>
        <v>858</v>
      </c>
      <c r="J330" t="s" s="125">
        <f>_xlfn.IFERROR(VLOOKUP($A330,'The List'!$B1:$AS665,17,FALSE)," ")</f>
        <v>858</v>
      </c>
      <c r="K330" t="s" s="125">
        <f>_xlfn.IFERROR(VLOOKUP($A330,'The List'!$B1:$AS665,18,FALSE)," ")</f>
        <v>858</v>
      </c>
      <c r="L330" t="s" s="125">
        <f>_xlfn.IFERROR(VLOOKUP($A330,'The List'!$B1:$AS665,19,FALSE)," ")</f>
        <v>858</v>
      </c>
      <c r="M330" t="s" s="125">
        <f>_xlfn.IFERROR(VLOOKUP($A330,'The List'!$B1:$AS665,20,FALSE)," ")</f>
        <v>858</v>
      </c>
      <c r="N330" t="s" s="125">
        <f>_xlfn.IFERROR(VLOOKUP($A330,'The List'!$B1:$AS665,21,FALSE)," ")</f>
        <v>858</v>
      </c>
      <c r="O330" t="s" s="125">
        <f>_xlfn.IFERROR(VLOOKUP($A330,'The List'!$B1:$AS665,22,FALSE)," ")</f>
        <v>858</v>
      </c>
      <c r="P330" t="s" s="125">
        <f>_xlfn.IFERROR(VLOOKUP($A330,'The List'!$B1:$AS665,23,FALSE)," ")</f>
        <v>858</v>
      </c>
      <c r="Q330" t="s" s="125">
        <f>_xlfn.IFERROR(VLOOKUP($A330,'The List'!$B1:$AS665,24,FALSE)," ")</f>
        <v>858</v>
      </c>
      <c r="R330" t="s" s="125">
        <f>_xlfn.IFERROR(VLOOKUP($A330,'The List'!$B1:$AS665,25,FALSE)," ")</f>
        <v>858</v>
      </c>
      <c r="S330" t="s" s="125">
        <f>_xlfn.IFERROR(VLOOKUP($A330,'The List'!$B1:$AS665,26,FALSE)," ")</f>
        <v>858</v>
      </c>
      <c r="T330" t="s" s="125">
        <f>_xlfn.IFERROR(VLOOKUP($A330,'The List'!$B1:$AS665,27,FALSE)," ")</f>
        <v>858</v>
      </c>
      <c r="U330" t="s" s="125">
        <f>_xlfn.IFERROR(VLOOKUP($A330,'The List'!$B1:$AS665,28,FALSE)," ")</f>
        <v>858</v>
      </c>
      <c r="V330" t="s" s="125">
        <f>_xlfn.IFERROR(VLOOKUP($A330,'The List'!$B1:$AS665,29,FALSE)," ")</f>
        <v>858</v>
      </c>
      <c r="W330" t="s" s="125">
        <f>_xlfn.IFERROR(VLOOKUP($A330,'The List'!$B1:$AS665,30,FALSE)," ")</f>
        <v>858</v>
      </c>
      <c r="X330" t="s" s="125">
        <f>_xlfn.IFERROR(VLOOKUP($A330,'The List'!$B1:$AS665,31,FALSE)," ")</f>
        <v>858</v>
      </c>
      <c r="Y330" t="s" s="125">
        <f>_xlfn.IFERROR(VLOOKUP($A330,'The List'!$B1:$AS665,32,FALSE)," ")</f>
        <v>858</v>
      </c>
      <c r="Z330" t="s" s="125">
        <f>_xlfn.IFERROR(VLOOKUP($A330,'The List'!$B1:$AS665,33,FALSE)," ")</f>
        <v>858</v>
      </c>
      <c r="AA330" s="120"/>
      <c r="AB330" s="121"/>
      <c r="AC330" s="121"/>
      <c r="AD330" s="121"/>
      <c r="AE330" s="121"/>
      <c r="AF330" s="144"/>
    </row>
    <row r="331" ht="21.25" customHeight="1">
      <c r="A331" s="50"/>
      <c r="B331" t="s" s="129">
        <f>_xlfn.IFERROR(VLOOKUP($A331,'The List'!$B1:$AS665,3,FALSE)," ")</f>
        <v>858</v>
      </c>
      <c r="C331" t="s" s="131">
        <f>_xlfn.IFERROR(VLOOKUP($A331,'The List'!$B1:$AS665,4,FALSE)," ")</f>
        <v>858</v>
      </c>
      <c r="D331" t="s" s="86">
        <f>_xlfn.IFERROR(VLOOKUP($A331,'The List'!$B1:$AS665,5,FALSE)," ")</f>
        <v>858</v>
      </c>
      <c r="E331" t="s" s="86">
        <f>_xlfn.IFERROR(VLOOKUP($A331,'The List'!$B1:$AS665,6,FALSE)," ")</f>
        <v>858</v>
      </c>
      <c r="F331" t="s" s="124">
        <f>_xlfn.IFERROR(VLOOKUP($A331,'The List'!$B1:$AS665,8,FALSE)," ")</f>
        <v>858</v>
      </c>
      <c r="G331" t="s" s="124">
        <f>_xlfn.IFERROR(VLOOKUP($A331,'The List'!$B1:$AS665,10,FALSE)," ")</f>
        <v>858</v>
      </c>
      <c r="H331" s="77"/>
      <c r="I331" t="s" s="125">
        <f>_xlfn.IFERROR(VLOOKUP($A331,'The List'!$B1:$AS665,16,FALSE)," ")</f>
        <v>858</v>
      </c>
      <c r="J331" t="s" s="125">
        <f>_xlfn.IFERROR(VLOOKUP($A331,'The List'!$B1:$AS665,17,FALSE)," ")</f>
        <v>858</v>
      </c>
      <c r="K331" t="s" s="125">
        <f>_xlfn.IFERROR(VLOOKUP($A331,'The List'!$B1:$AS665,18,FALSE)," ")</f>
        <v>858</v>
      </c>
      <c r="L331" t="s" s="125">
        <f>_xlfn.IFERROR(VLOOKUP($A331,'The List'!$B1:$AS665,19,FALSE)," ")</f>
        <v>858</v>
      </c>
      <c r="M331" t="s" s="125">
        <f>_xlfn.IFERROR(VLOOKUP($A331,'The List'!$B1:$AS665,20,FALSE)," ")</f>
        <v>858</v>
      </c>
      <c r="N331" t="s" s="125">
        <f>_xlfn.IFERROR(VLOOKUP($A331,'The List'!$B1:$AS665,21,FALSE)," ")</f>
        <v>858</v>
      </c>
      <c r="O331" t="s" s="125">
        <f>_xlfn.IFERROR(VLOOKUP($A331,'The List'!$B1:$AS665,22,FALSE)," ")</f>
        <v>858</v>
      </c>
      <c r="P331" t="s" s="125">
        <f>_xlfn.IFERROR(VLOOKUP($A331,'The List'!$B1:$AS665,23,FALSE)," ")</f>
        <v>858</v>
      </c>
      <c r="Q331" t="s" s="125">
        <f>_xlfn.IFERROR(VLOOKUP($A331,'The List'!$B1:$AS665,24,FALSE)," ")</f>
        <v>858</v>
      </c>
      <c r="R331" t="s" s="125">
        <f>_xlfn.IFERROR(VLOOKUP($A331,'The List'!$B1:$AS665,25,FALSE)," ")</f>
        <v>858</v>
      </c>
      <c r="S331" t="s" s="125">
        <f>_xlfn.IFERROR(VLOOKUP($A331,'The List'!$B1:$AS665,26,FALSE)," ")</f>
        <v>858</v>
      </c>
      <c r="T331" t="s" s="125">
        <f>_xlfn.IFERROR(VLOOKUP($A331,'The List'!$B1:$AS665,27,FALSE)," ")</f>
        <v>858</v>
      </c>
      <c r="U331" t="s" s="125">
        <f>_xlfn.IFERROR(VLOOKUP($A331,'The List'!$B1:$AS665,28,FALSE)," ")</f>
        <v>858</v>
      </c>
      <c r="V331" t="s" s="125">
        <f>_xlfn.IFERROR(VLOOKUP($A331,'The List'!$B1:$AS665,29,FALSE)," ")</f>
        <v>858</v>
      </c>
      <c r="W331" t="s" s="125">
        <f>_xlfn.IFERROR(VLOOKUP($A331,'The List'!$B1:$AS665,30,FALSE)," ")</f>
        <v>858</v>
      </c>
      <c r="X331" t="s" s="125">
        <f>_xlfn.IFERROR(VLOOKUP($A331,'The List'!$B1:$AS665,31,FALSE)," ")</f>
        <v>858</v>
      </c>
      <c r="Y331" t="s" s="125">
        <f>_xlfn.IFERROR(VLOOKUP($A331,'The List'!$B1:$AS665,32,FALSE)," ")</f>
        <v>858</v>
      </c>
      <c r="Z331" t="s" s="125">
        <f>_xlfn.IFERROR(VLOOKUP($A331,'The List'!$B1:$AS665,33,FALSE)," ")</f>
        <v>858</v>
      </c>
      <c r="AA331" s="120"/>
      <c r="AB331" s="121"/>
      <c r="AC331" s="121"/>
      <c r="AD331" s="121"/>
      <c r="AE331" s="121"/>
      <c r="AF331" s="144"/>
    </row>
    <row r="332" ht="21.25" customHeight="1">
      <c r="A332" s="50"/>
      <c r="B332" t="s" s="129">
        <f>_xlfn.IFERROR(VLOOKUP($A332,'The List'!$B1:$AS665,3,FALSE)," ")</f>
        <v>858</v>
      </c>
      <c r="C332" t="s" s="131">
        <f>_xlfn.IFERROR(VLOOKUP($A332,'The List'!$B1:$AS665,4,FALSE)," ")</f>
        <v>858</v>
      </c>
      <c r="D332" t="s" s="86">
        <f>_xlfn.IFERROR(VLOOKUP($A332,'The List'!$B1:$AS665,5,FALSE)," ")</f>
        <v>858</v>
      </c>
      <c r="E332" t="s" s="86">
        <f>_xlfn.IFERROR(VLOOKUP($A332,'The List'!$B1:$AS665,6,FALSE)," ")</f>
        <v>858</v>
      </c>
      <c r="F332" t="s" s="124">
        <f>_xlfn.IFERROR(VLOOKUP($A332,'The List'!$B1:$AS665,8,FALSE)," ")</f>
        <v>858</v>
      </c>
      <c r="G332" t="s" s="124">
        <f>_xlfn.IFERROR(VLOOKUP($A332,'The List'!$B1:$AS665,10,FALSE)," ")</f>
        <v>858</v>
      </c>
      <c r="H332" s="77"/>
      <c r="I332" t="s" s="125">
        <f>_xlfn.IFERROR(VLOOKUP($A332,'The List'!$B1:$AS665,16,FALSE)," ")</f>
        <v>858</v>
      </c>
      <c r="J332" t="s" s="125">
        <f>_xlfn.IFERROR(VLOOKUP($A332,'The List'!$B1:$AS665,17,FALSE)," ")</f>
        <v>858</v>
      </c>
      <c r="K332" t="s" s="125">
        <f>_xlfn.IFERROR(VLOOKUP($A332,'The List'!$B1:$AS665,18,FALSE)," ")</f>
        <v>858</v>
      </c>
      <c r="L332" t="s" s="125">
        <f>_xlfn.IFERROR(VLOOKUP($A332,'The List'!$B1:$AS665,19,FALSE)," ")</f>
        <v>858</v>
      </c>
      <c r="M332" t="s" s="125">
        <f>_xlfn.IFERROR(VLOOKUP($A332,'The List'!$B1:$AS665,20,FALSE)," ")</f>
        <v>858</v>
      </c>
      <c r="N332" t="s" s="125">
        <f>_xlfn.IFERROR(VLOOKUP($A332,'The List'!$B1:$AS665,21,FALSE)," ")</f>
        <v>858</v>
      </c>
      <c r="O332" t="s" s="125">
        <f>_xlfn.IFERROR(VLOOKUP($A332,'The List'!$B1:$AS665,22,FALSE)," ")</f>
        <v>858</v>
      </c>
      <c r="P332" t="s" s="125">
        <f>_xlfn.IFERROR(VLOOKUP($A332,'The List'!$B1:$AS665,23,FALSE)," ")</f>
        <v>858</v>
      </c>
      <c r="Q332" t="s" s="125">
        <f>_xlfn.IFERROR(VLOOKUP($A332,'The List'!$B1:$AS665,24,FALSE)," ")</f>
        <v>858</v>
      </c>
      <c r="R332" t="s" s="125">
        <f>_xlfn.IFERROR(VLOOKUP($A332,'The List'!$B1:$AS665,25,FALSE)," ")</f>
        <v>858</v>
      </c>
      <c r="S332" t="s" s="125">
        <f>_xlfn.IFERROR(VLOOKUP($A332,'The List'!$B1:$AS665,26,FALSE)," ")</f>
        <v>858</v>
      </c>
      <c r="T332" t="s" s="125">
        <f>_xlfn.IFERROR(VLOOKUP($A332,'The List'!$B1:$AS665,27,FALSE)," ")</f>
        <v>858</v>
      </c>
      <c r="U332" t="s" s="125">
        <f>_xlfn.IFERROR(VLOOKUP($A332,'The List'!$B1:$AS665,28,FALSE)," ")</f>
        <v>858</v>
      </c>
      <c r="V332" t="s" s="125">
        <f>_xlfn.IFERROR(VLOOKUP($A332,'The List'!$B1:$AS665,29,FALSE)," ")</f>
        <v>858</v>
      </c>
      <c r="W332" t="s" s="125">
        <f>_xlfn.IFERROR(VLOOKUP($A332,'The List'!$B1:$AS665,30,FALSE)," ")</f>
        <v>858</v>
      </c>
      <c r="X332" t="s" s="125">
        <f>_xlfn.IFERROR(VLOOKUP($A332,'The List'!$B1:$AS665,31,FALSE)," ")</f>
        <v>858</v>
      </c>
      <c r="Y332" t="s" s="125">
        <f>_xlfn.IFERROR(VLOOKUP($A332,'The List'!$B1:$AS665,32,FALSE)," ")</f>
        <v>858</v>
      </c>
      <c r="Z332" t="s" s="125">
        <f>_xlfn.IFERROR(VLOOKUP($A332,'The List'!$B1:$AS665,33,FALSE)," ")</f>
        <v>858</v>
      </c>
      <c r="AA332" s="120"/>
      <c r="AB332" s="121"/>
      <c r="AC332" s="121"/>
      <c r="AD332" s="121"/>
      <c r="AE332" s="121"/>
      <c r="AF332" s="144"/>
    </row>
    <row r="333" ht="21.25" customHeight="1">
      <c r="A333" s="50"/>
      <c r="B333" t="s" s="132">
        <f>_xlfn.IFERROR(VLOOKUP($A333,'The List'!$B1:$AS665,3,FALSE)," ")</f>
        <v>858</v>
      </c>
      <c r="C333" t="s" s="134">
        <f>_xlfn.IFERROR(VLOOKUP($A333,'The List'!$B1:$AS665,4,FALSE)," ")</f>
        <v>858</v>
      </c>
      <c r="D333" t="s" s="86">
        <f>_xlfn.IFERROR(VLOOKUP($A333,'The List'!$B1:$AS665,5,FALSE)," ")</f>
        <v>858</v>
      </c>
      <c r="E333" t="s" s="86">
        <f>_xlfn.IFERROR(VLOOKUP($A333,'The List'!$B1:$AS665,6,FALSE)," ")</f>
        <v>858</v>
      </c>
      <c r="F333" t="s" s="124">
        <f>_xlfn.IFERROR(VLOOKUP($A333,'The List'!$B1:$AS665,8,FALSE)," ")</f>
        <v>858</v>
      </c>
      <c r="G333" t="s" s="124">
        <f>_xlfn.IFERROR(VLOOKUP($A333,'The List'!$B1:$AS665,10,FALSE)," ")</f>
        <v>858</v>
      </c>
      <c r="H333" s="77"/>
      <c r="I333" t="s" s="125">
        <f>_xlfn.IFERROR(VLOOKUP($A333,'The List'!$B1:$AS665,16,FALSE)," ")</f>
        <v>858</v>
      </c>
      <c r="J333" t="s" s="125">
        <f>_xlfn.IFERROR(VLOOKUP($A333,'The List'!$B1:$AS665,17,FALSE)," ")</f>
        <v>858</v>
      </c>
      <c r="K333" t="s" s="125">
        <f>_xlfn.IFERROR(VLOOKUP($A333,'The List'!$B1:$AS665,18,FALSE)," ")</f>
        <v>858</v>
      </c>
      <c r="L333" t="s" s="125">
        <f>_xlfn.IFERROR(VLOOKUP($A333,'The List'!$B1:$AS665,19,FALSE)," ")</f>
        <v>858</v>
      </c>
      <c r="M333" t="s" s="125">
        <f>_xlfn.IFERROR(VLOOKUP($A333,'The List'!$B1:$AS665,20,FALSE)," ")</f>
        <v>858</v>
      </c>
      <c r="N333" t="s" s="125">
        <f>_xlfn.IFERROR(VLOOKUP($A333,'The List'!$B1:$AS665,21,FALSE)," ")</f>
        <v>858</v>
      </c>
      <c r="O333" t="s" s="125">
        <f>_xlfn.IFERROR(VLOOKUP($A333,'The List'!$B1:$AS665,22,FALSE)," ")</f>
        <v>858</v>
      </c>
      <c r="P333" t="s" s="125">
        <f>_xlfn.IFERROR(VLOOKUP($A333,'The List'!$B1:$AS665,23,FALSE)," ")</f>
        <v>858</v>
      </c>
      <c r="Q333" t="s" s="125">
        <f>_xlfn.IFERROR(VLOOKUP($A333,'The List'!$B1:$AS665,24,FALSE)," ")</f>
        <v>858</v>
      </c>
      <c r="R333" t="s" s="125">
        <f>_xlfn.IFERROR(VLOOKUP($A333,'The List'!$B1:$AS665,25,FALSE)," ")</f>
        <v>858</v>
      </c>
      <c r="S333" t="s" s="125">
        <f>_xlfn.IFERROR(VLOOKUP($A333,'The List'!$B1:$AS665,26,FALSE)," ")</f>
        <v>858</v>
      </c>
      <c r="T333" t="s" s="125">
        <f>_xlfn.IFERROR(VLOOKUP($A333,'The List'!$B1:$AS665,27,FALSE)," ")</f>
        <v>858</v>
      </c>
      <c r="U333" t="s" s="125">
        <f>_xlfn.IFERROR(VLOOKUP($A333,'The List'!$B1:$AS665,28,FALSE)," ")</f>
        <v>858</v>
      </c>
      <c r="V333" t="s" s="125">
        <f>_xlfn.IFERROR(VLOOKUP($A333,'The List'!$B1:$AS665,29,FALSE)," ")</f>
        <v>858</v>
      </c>
      <c r="W333" t="s" s="125">
        <f>_xlfn.IFERROR(VLOOKUP($A333,'The List'!$B1:$AS665,30,FALSE)," ")</f>
        <v>858</v>
      </c>
      <c r="X333" t="s" s="125">
        <f>_xlfn.IFERROR(VLOOKUP($A333,'The List'!$B1:$AS665,31,FALSE)," ")</f>
        <v>858</v>
      </c>
      <c r="Y333" t="s" s="125">
        <f>_xlfn.IFERROR(VLOOKUP($A333,'The List'!$B1:$AS665,32,FALSE)," ")</f>
        <v>858</v>
      </c>
      <c r="Z333" t="s" s="125">
        <f>_xlfn.IFERROR(VLOOKUP($A333,'The List'!$B1:$AS665,33,FALSE)," ")</f>
        <v>858</v>
      </c>
      <c r="AA333" s="120"/>
      <c r="AB333" s="121"/>
      <c r="AC333" s="121"/>
      <c r="AD333" s="121"/>
      <c r="AE333" s="121"/>
      <c r="AF333" s="144"/>
    </row>
    <row r="334" ht="21.25" customHeight="1">
      <c r="A334" s="50"/>
      <c r="B334" t="s" s="132">
        <f>_xlfn.IFERROR(VLOOKUP($A334,'The List'!$B1:$AS665,3,FALSE)," ")</f>
        <v>858</v>
      </c>
      <c r="C334" t="s" s="134">
        <f>_xlfn.IFERROR(VLOOKUP($A334,'The List'!$B1:$AS665,4,FALSE)," ")</f>
        <v>858</v>
      </c>
      <c r="D334" t="s" s="86">
        <f>_xlfn.IFERROR(VLOOKUP($A334,'The List'!$B1:$AS665,5,FALSE)," ")</f>
        <v>858</v>
      </c>
      <c r="E334" t="s" s="86">
        <f>_xlfn.IFERROR(VLOOKUP($A334,'The List'!$B1:$AS665,6,FALSE)," ")</f>
        <v>858</v>
      </c>
      <c r="F334" t="s" s="124">
        <f>_xlfn.IFERROR(VLOOKUP($A334,'The List'!$B1:$AS665,8,FALSE)," ")</f>
        <v>858</v>
      </c>
      <c r="G334" t="s" s="124">
        <f>_xlfn.IFERROR(VLOOKUP($A334,'The List'!$B1:$AS665,10,FALSE)," ")</f>
        <v>858</v>
      </c>
      <c r="H334" s="77"/>
      <c r="I334" t="s" s="125">
        <f>_xlfn.IFERROR(VLOOKUP($A334,'The List'!$B1:$AS665,16,FALSE)," ")</f>
        <v>858</v>
      </c>
      <c r="J334" t="s" s="125">
        <f>_xlfn.IFERROR(VLOOKUP($A334,'The List'!$B1:$AS665,17,FALSE)," ")</f>
        <v>858</v>
      </c>
      <c r="K334" t="s" s="125">
        <f>_xlfn.IFERROR(VLOOKUP($A334,'The List'!$B1:$AS665,18,FALSE)," ")</f>
        <v>858</v>
      </c>
      <c r="L334" t="s" s="125">
        <f>_xlfn.IFERROR(VLOOKUP($A334,'The List'!$B1:$AS665,19,FALSE)," ")</f>
        <v>858</v>
      </c>
      <c r="M334" t="s" s="125">
        <f>_xlfn.IFERROR(VLOOKUP($A334,'The List'!$B1:$AS665,20,FALSE)," ")</f>
        <v>858</v>
      </c>
      <c r="N334" t="s" s="125">
        <f>_xlfn.IFERROR(VLOOKUP($A334,'The List'!$B1:$AS665,21,FALSE)," ")</f>
        <v>858</v>
      </c>
      <c r="O334" t="s" s="125">
        <f>_xlfn.IFERROR(VLOOKUP($A334,'The List'!$B1:$AS665,22,FALSE)," ")</f>
        <v>858</v>
      </c>
      <c r="P334" t="s" s="125">
        <f>_xlfn.IFERROR(VLOOKUP($A334,'The List'!$B1:$AS665,23,FALSE)," ")</f>
        <v>858</v>
      </c>
      <c r="Q334" t="s" s="125">
        <f>_xlfn.IFERROR(VLOOKUP($A334,'The List'!$B1:$AS665,24,FALSE)," ")</f>
        <v>858</v>
      </c>
      <c r="R334" t="s" s="125">
        <f>_xlfn.IFERROR(VLOOKUP($A334,'The List'!$B1:$AS665,25,FALSE)," ")</f>
        <v>858</v>
      </c>
      <c r="S334" t="s" s="125">
        <f>_xlfn.IFERROR(VLOOKUP($A334,'The List'!$B1:$AS665,26,FALSE)," ")</f>
        <v>858</v>
      </c>
      <c r="T334" t="s" s="125">
        <f>_xlfn.IFERROR(VLOOKUP($A334,'The List'!$B1:$AS665,27,FALSE)," ")</f>
        <v>858</v>
      </c>
      <c r="U334" t="s" s="125">
        <f>_xlfn.IFERROR(VLOOKUP($A334,'The List'!$B1:$AS665,28,FALSE)," ")</f>
        <v>858</v>
      </c>
      <c r="V334" t="s" s="125">
        <f>_xlfn.IFERROR(VLOOKUP($A334,'The List'!$B1:$AS665,29,FALSE)," ")</f>
        <v>858</v>
      </c>
      <c r="W334" t="s" s="125">
        <f>_xlfn.IFERROR(VLOOKUP($A334,'The List'!$B1:$AS665,30,FALSE)," ")</f>
        <v>858</v>
      </c>
      <c r="X334" t="s" s="125">
        <f>_xlfn.IFERROR(VLOOKUP($A334,'The List'!$B1:$AS665,31,FALSE)," ")</f>
        <v>858</v>
      </c>
      <c r="Y334" t="s" s="125">
        <f>_xlfn.IFERROR(VLOOKUP($A334,'The List'!$B1:$AS665,32,FALSE)," ")</f>
        <v>858</v>
      </c>
      <c r="Z334" t="s" s="125">
        <f>_xlfn.IFERROR(VLOOKUP($A334,'The List'!$B1:$AS665,33,FALSE)," ")</f>
        <v>858</v>
      </c>
      <c r="AA334" s="120"/>
      <c r="AB334" s="121"/>
      <c r="AC334" s="121"/>
      <c r="AD334" s="121"/>
      <c r="AE334" s="121"/>
      <c r="AF334" s="144"/>
    </row>
    <row r="335" ht="21.25" customHeight="1">
      <c r="A335" s="50"/>
      <c r="B335" t="s" s="132">
        <f>_xlfn.IFERROR(VLOOKUP($A335,'The List'!$B1:$AS665,3,FALSE)," ")</f>
        <v>858</v>
      </c>
      <c r="C335" t="s" s="134">
        <f>_xlfn.IFERROR(VLOOKUP($A335,'The List'!$B1:$AS665,4,FALSE)," ")</f>
        <v>858</v>
      </c>
      <c r="D335" t="s" s="86">
        <f>_xlfn.IFERROR(VLOOKUP($A335,'The List'!$B1:$AS665,5,FALSE)," ")</f>
        <v>858</v>
      </c>
      <c r="E335" t="s" s="86">
        <f>_xlfn.IFERROR(VLOOKUP($A335,'The List'!$B1:$AS665,6,FALSE)," ")</f>
        <v>858</v>
      </c>
      <c r="F335" t="s" s="124">
        <f>_xlfn.IFERROR(VLOOKUP($A335,'The List'!$B1:$AS665,8,FALSE)," ")</f>
        <v>858</v>
      </c>
      <c r="G335" t="s" s="124">
        <f>_xlfn.IFERROR(VLOOKUP($A335,'The List'!$B1:$AS665,10,FALSE)," ")</f>
        <v>858</v>
      </c>
      <c r="H335" s="77"/>
      <c r="I335" t="s" s="125">
        <f>_xlfn.IFERROR(VLOOKUP($A335,'The List'!$B1:$AS665,16,FALSE)," ")</f>
        <v>858</v>
      </c>
      <c r="J335" t="s" s="125">
        <f>_xlfn.IFERROR(VLOOKUP($A335,'The List'!$B1:$AS665,17,FALSE)," ")</f>
        <v>858</v>
      </c>
      <c r="K335" t="s" s="125">
        <f>_xlfn.IFERROR(VLOOKUP($A335,'The List'!$B1:$AS665,18,FALSE)," ")</f>
        <v>858</v>
      </c>
      <c r="L335" t="s" s="125">
        <f>_xlfn.IFERROR(VLOOKUP($A335,'The List'!$B1:$AS665,19,FALSE)," ")</f>
        <v>858</v>
      </c>
      <c r="M335" t="s" s="125">
        <f>_xlfn.IFERROR(VLOOKUP($A335,'The List'!$B1:$AS665,20,FALSE)," ")</f>
        <v>858</v>
      </c>
      <c r="N335" t="s" s="125">
        <f>_xlfn.IFERROR(VLOOKUP($A335,'The List'!$B1:$AS665,21,FALSE)," ")</f>
        <v>858</v>
      </c>
      <c r="O335" t="s" s="125">
        <f>_xlfn.IFERROR(VLOOKUP($A335,'The List'!$B1:$AS665,22,FALSE)," ")</f>
        <v>858</v>
      </c>
      <c r="P335" t="s" s="125">
        <f>_xlfn.IFERROR(VLOOKUP($A335,'The List'!$B1:$AS665,23,FALSE)," ")</f>
        <v>858</v>
      </c>
      <c r="Q335" t="s" s="125">
        <f>_xlfn.IFERROR(VLOOKUP($A335,'The List'!$B1:$AS665,24,FALSE)," ")</f>
        <v>858</v>
      </c>
      <c r="R335" t="s" s="125">
        <f>_xlfn.IFERROR(VLOOKUP($A335,'The List'!$B1:$AS665,25,FALSE)," ")</f>
        <v>858</v>
      </c>
      <c r="S335" t="s" s="125">
        <f>_xlfn.IFERROR(VLOOKUP($A335,'The List'!$B1:$AS665,26,FALSE)," ")</f>
        <v>858</v>
      </c>
      <c r="T335" t="s" s="125">
        <f>_xlfn.IFERROR(VLOOKUP($A335,'The List'!$B1:$AS665,27,FALSE)," ")</f>
        <v>858</v>
      </c>
      <c r="U335" t="s" s="125">
        <f>_xlfn.IFERROR(VLOOKUP($A335,'The List'!$B1:$AS665,28,FALSE)," ")</f>
        <v>858</v>
      </c>
      <c r="V335" t="s" s="125">
        <f>_xlfn.IFERROR(VLOOKUP($A335,'The List'!$B1:$AS665,29,FALSE)," ")</f>
        <v>858</v>
      </c>
      <c r="W335" t="s" s="125">
        <f>_xlfn.IFERROR(VLOOKUP($A335,'The List'!$B1:$AS665,30,FALSE)," ")</f>
        <v>858</v>
      </c>
      <c r="X335" t="s" s="125">
        <f>_xlfn.IFERROR(VLOOKUP($A335,'The List'!$B1:$AS665,31,FALSE)," ")</f>
        <v>858</v>
      </c>
      <c r="Y335" t="s" s="125">
        <f>_xlfn.IFERROR(VLOOKUP($A335,'The List'!$B1:$AS665,32,FALSE)," ")</f>
        <v>858</v>
      </c>
      <c r="Z335" t="s" s="125">
        <f>_xlfn.IFERROR(VLOOKUP($A335,'The List'!$B1:$AS665,33,FALSE)," ")</f>
        <v>858</v>
      </c>
      <c r="AA335" s="120"/>
      <c r="AB335" s="121"/>
      <c r="AC335" s="121"/>
      <c r="AD335" s="121"/>
      <c r="AE335" s="121"/>
      <c r="AF335" s="144"/>
    </row>
    <row r="336" ht="21.25" customHeight="1">
      <c r="A336" s="50"/>
      <c r="B336" t="s" s="132">
        <f>_xlfn.IFERROR(VLOOKUP($A336,'The List'!$B1:$AS665,3,FALSE)," ")</f>
        <v>858</v>
      </c>
      <c r="C336" t="s" s="134">
        <f>_xlfn.IFERROR(VLOOKUP($A336,'The List'!$B1:$AS665,4,FALSE)," ")</f>
        <v>858</v>
      </c>
      <c r="D336" t="s" s="86">
        <f>_xlfn.IFERROR(VLOOKUP($A336,'The List'!$B1:$AS665,5,FALSE)," ")</f>
        <v>858</v>
      </c>
      <c r="E336" t="s" s="86">
        <f>_xlfn.IFERROR(VLOOKUP($A336,'The List'!$B1:$AS665,6,FALSE)," ")</f>
        <v>858</v>
      </c>
      <c r="F336" t="s" s="124">
        <f>_xlfn.IFERROR(VLOOKUP($A336,'The List'!$B1:$AS665,8,FALSE)," ")</f>
        <v>858</v>
      </c>
      <c r="G336" t="s" s="124">
        <f>_xlfn.IFERROR(VLOOKUP($A336,'The List'!$B1:$AS665,10,FALSE)," ")</f>
        <v>858</v>
      </c>
      <c r="H336" s="77"/>
      <c r="I336" t="s" s="125">
        <f>_xlfn.IFERROR(VLOOKUP($A336,'The List'!$B1:$AS665,16,FALSE)," ")</f>
        <v>858</v>
      </c>
      <c r="J336" t="s" s="125">
        <f>_xlfn.IFERROR(VLOOKUP($A336,'The List'!$B1:$AS665,17,FALSE)," ")</f>
        <v>858</v>
      </c>
      <c r="K336" t="s" s="125">
        <f>_xlfn.IFERROR(VLOOKUP($A336,'The List'!$B1:$AS665,18,FALSE)," ")</f>
        <v>858</v>
      </c>
      <c r="L336" t="s" s="125">
        <f>_xlfn.IFERROR(VLOOKUP($A336,'The List'!$B1:$AS665,19,FALSE)," ")</f>
        <v>858</v>
      </c>
      <c r="M336" t="s" s="125">
        <f>_xlfn.IFERROR(VLOOKUP($A336,'The List'!$B1:$AS665,20,FALSE)," ")</f>
        <v>858</v>
      </c>
      <c r="N336" t="s" s="125">
        <f>_xlfn.IFERROR(VLOOKUP($A336,'The List'!$B1:$AS665,21,FALSE)," ")</f>
        <v>858</v>
      </c>
      <c r="O336" t="s" s="125">
        <f>_xlfn.IFERROR(VLOOKUP($A336,'The List'!$B1:$AS665,22,FALSE)," ")</f>
        <v>858</v>
      </c>
      <c r="P336" t="s" s="125">
        <f>_xlfn.IFERROR(VLOOKUP($A336,'The List'!$B1:$AS665,23,FALSE)," ")</f>
        <v>858</v>
      </c>
      <c r="Q336" t="s" s="125">
        <f>_xlfn.IFERROR(VLOOKUP($A336,'The List'!$B1:$AS665,24,FALSE)," ")</f>
        <v>858</v>
      </c>
      <c r="R336" t="s" s="125">
        <f>_xlfn.IFERROR(VLOOKUP($A336,'The List'!$B1:$AS665,25,FALSE)," ")</f>
        <v>858</v>
      </c>
      <c r="S336" t="s" s="125">
        <f>_xlfn.IFERROR(VLOOKUP($A336,'The List'!$B1:$AS665,26,FALSE)," ")</f>
        <v>858</v>
      </c>
      <c r="T336" t="s" s="125">
        <f>_xlfn.IFERROR(VLOOKUP($A336,'The List'!$B1:$AS665,27,FALSE)," ")</f>
        <v>858</v>
      </c>
      <c r="U336" t="s" s="125">
        <f>_xlfn.IFERROR(VLOOKUP($A336,'The List'!$B1:$AS665,28,FALSE)," ")</f>
        <v>858</v>
      </c>
      <c r="V336" t="s" s="125">
        <f>_xlfn.IFERROR(VLOOKUP($A336,'The List'!$B1:$AS665,29,FALSE)," ")</f>
        <v>858</v>
      </c>
      <c r="W336" t="s" s="125">
        <f>_xlfn.IFERROR(VLOOKUP($A336,'The List'!$B1:$AS665,30,FALSE)," ")</f>
        <v>858</v>
      </c>
      <c r="X336" t="s" s="125">
        <f>_xlfn.IFERROR(VLOOKUP($A336,'The List'!$B1:$AS665,31,FALSE)," ")</f>
        <v>858</v>
      </c>
      <c r="Y336" t="s" s="125">
        <f>_xlfn.IFERROR(VLOOKUP($A336,'The List'!$B1:$AS665,32,FALSE)," ")</f>
        <v>858</v>
      </c>
      <c r="Z336" t="s" s="125">
        <f>_xlfn.IFERROR(VLOOKUP($A336,'The List'!$B1:$AS665,33,FALSE)," ")</f>
        <v>858</v>
      </c>
      <c r="AA336" s="120"/>
      <c r="AB336" s="121"/>
      <c r="AC336" s="121"/>
      <c r="AD336" s="121"/>
      <c r="AE336" s="121"/>
      <c r="AF336" s="144"/>
    </row>
    <row r="337" ht="21.25" customHeight="1">
      <c r="A337" s="50"/>
      <c r="B337" t="s" s="132">
        <f>_xlfn.IFERROR(VLOOKUP($A337,'The List'!$B1:$AS665,3,FALSE)," ")</f>
        <v>858</v>
      </c>
      <c r="C337" t="s" s="134">
        <f>_xlfn.IFERROR(VLOOKUP($A337,'The List'!$B1:$AS665,4,FALSE)," ")</f>
        <v>858</v>
      </c>
      <c r="D337" t="s" s="86">
        <f>_xlfn.IFERROR(VLOOKUP($A337,'The List'!$B1:$AS665,5,FALSE)," ")</f>
        <v>858</v>
      </c>
      <c r="E337" t="s" s="86">
        <f>_xlfn.IFERROR(VLOOKUP($A337,'The List'!$B1:$AS665,6,FALSE)," ")</f>
        <v>858</v>
      </c>
      <c r="F337" t="s" s="124">
        <f>_xlfn.IFERROR(VLOOKUP($A337,'The List'!$B1:$AS665,8,FALSE)," ")</f>
        <v>858</v>
      </c>
      <c r="G337" t="s" s="124">
        <f>_xlfn.IFERROR(VLOOKUP($A337,'The List'!$B1:$AS665,10,FALSE)," ")</f>
        <v>858</v>
      </c>
      <c r="H337" s="77"/>
      <c r="I337" t="s" s="125">
        <f>_xlfn.IFERROR(VLOOKUP($A337,'The List'!$B1:$AS665,16,FALSE)," ")</f>
        <v>858</v>
      </c>
      <c r="J337" t="s" s="125">
        <f>_xlfn.IFERROR(VLOOKUP($A337,'The List'!$B1:$AS665,17,FALSE)," ")</f>
        <v>858</v>
      </c>
      <c r="K337" t="s" s="125">
        <f>_xlfn.IFERROR(VLOOKUP($A337,'The List'!$B1:$AS665,18,FALSE)," ")</f>
        <v>858</v>
      </c>
      <c r="L337" t="s" s="125">
        <f>_xlfn.IFERROR(VLOOKUP($A337,'The List'!$B1:$AS665,19,FALSE)," ")</f>
        <v>858</v>
      </c>
      <c r="M337" t="s" s="125">
        <f>_xlfn.IFERROR(VLOOKUP($A337,'The List'!$B1:$AS665,20,FALSE)," ")</f>
        <v>858</v>
      </c>
      <c r="N337" t="s" s="125">
        <f>_xlfn.IFERROR(VLOOKUP($A337,'The List'!$B1:$AS665,21,FALSE)," ")</f>
        <v>858</v>
      </c>
      <c r="O337" t="s" s="125">
        <f>_xlfn.IFERROR(VLOOKUP($A337,'The List'!$B1:$AS665,22,FALSE)," ")</f>
        <v>858</v>
      </c>
      <c r="P337" t="s" s="125">
        <f>_xlfn.IFERROR(VLOOKUP($A337,'The List'!$B1:$AS665,23,FALSE)," ")</f>
        <v>858</v>
      </c>
      <c r="Q337" t="s" s="125">
        <f>_xlfn.IFERROR(VLOOKUP($A337,'The List'!$B1:$AS665,24,FALSE)," ")</f>
        <v>858</v>
      </c>
      <c r="R337" t="s" s="125">
        <f>_xlfn.IFERROR(VLOOKUP($A337,'The List'!$B1:$AS665,25,FALSE)," ")</f>
        <v>858</v>
      </c>
      <c r="S337" t="s" s="125">
        <f>_xlfn.IFERROR(VLOOKUP($A337,'The List'!$B1:$AS665,26,FALSE)," ")</f>
        <v>858</v>
      </c>
      <c r="T337" t="s" s="125">
        <f>_xlfn.IFERROR(VLOOKUP($A337,'The List'!$B1:$AS665,27,FALSE)," ")</f>
        <v>858</v>
      </c>
      <c r="U337" t="s" s="125">
        <f>_xlfn.IFERROR(VLOOKUP($A337,'The List'!$B1:$AS665,28,FALSE)," ")</f>
        <v>858</v>
      </c>
      <c r="V337" t="s" s="125">
        <f>_xlfn.IFERROR(VLOOKUP($A337,'The List'!$B1:$AS665,29,FALSE)," ")</f>
        <v>858</v>
      </c>
      <c r="W337" t="s" s="125">
        <f>_xlfn.IFERROR(VLOOKUP($A337,'The List'!$B1:$AS665,30,FALSE)," ")</f>
        <v>858</v>
      </c>
      <c r="X337" t="s" s="125">
        <f>_xlfn.IFERROR(VLOOKUP($A337,'The List'!$B1:$AS665,31,FALSE)," ")</f>
        <v>858</v>
      </c>
      <c r="Y337" t="s" s="125">
        <f>_xlfn.IFERROR(VLOOKUP($A337,'The List'!$B1:$AS665,32,FALSE)," ")</f>
        <v>858</v>
      </c>
      <c r="Z337" t="s" s="125">
        <f>_xlfn.IFERROR(VLOOKUP($A337,'The List'!$B1:$AS665,33,FALSE)," ")</f>
        <v>858</v>
      </c>
      <c r="AA337" s="120"/>
      <c r="AB337" s="121"/>
      <c r="AC337" s="121"/>
      <c r="AD337" s="121"/>
      <c r="AE337" s="121"/>
      <c r="AF337" s="144"/>
    </row>
    <row r="338" ht="21.25" customHeight="1">
      <c r="A338" s="50"/>
      <c r="B338" t="s" s="132">
        <f>_xlfn.IFERROR(VLOOKUP($A338,'The List'!$B1:$AS665,3,FALSE)," ")</f>
        <v>858</v>
      </c>
      <c r="C338" t="s" s="134">
        <f>_xlfn.IFERROR(VLOOKUP($A338,'The List'!$B1:$AS665,4,FALSE)," ")</f>
        <v>858</v>
      </c>
      <c r="D338" t="s" s="86">
        <f>_xlfn.IFERROR(VLOOKUP($A338,'The List'!$B1:$AS665,5,FALSE)," ")</f>
        <v>858</v>
      </c>
      <c r="E338" t="s" s="86">
        <f>_xlfn.IFERROR(VLOOKUP($A338,'The List'!$B1:$AS665,6,FALSE)," ")</f>
        <v>858</v>
      </c>
      <c r="F338" t="s" s="124">
        <f>_xlfn.IFERROR(VLOOKUP($A338,'The List'!$B1:$AS665,8,FALSE)," ")</f>
        <v>858</v>
      </c>
      <c r="G338" t="s" s="124">
        <f>_xlfn.IFERROR(VLOOKUP($A338,'The List'!$B1:$AS665,10,FALSE)," ")</f>
        <v>858</v>
      </c>
      <c r="H338" s="77"/>
      <c r="I338" t="s" s="125">
        <f>_xlfn.IFERROR(VLOOKUP($A338,'The List'!$B1:$AS665,16,FALSE)," ")</f>
        <v>858</v>
      </c>
      <c r="J338" t="s" s="125">
        <f>_xlfn.IFERROR(VLOOKUP($A338,'The List'!$B1:$AS665,17,FALSE)," ")</f>
        <v>858</v>
      </c>
      <c r="K338" t="s" s="125">
        <f>_xlfn.IFERROR(VLOOKUP($A338,'The List'!$B1:$AS665,18,FALSE)," ")</f>
        <v>858</v>
      </c>
      <c r="L338" t="s" s="125">
        <f>_xlfn.IFERROR(VLOOKUP($A338,'The List'!$B1:$AS665,19,FALSE)," ")</f>
        <v>858</v>
      </c>
      <c r="M338" t="s" s="125">
        <f>_xlfn.IFERROR(VLOOKUP($A338,'The List'!$B1:$AS665,20,FALSE)," ")</f>
        <v>858</v>
      </c>
      <c r="N338" t="s" s="125">
        <f>_xlfn.IFERROR(VLOOKUP($A338,'The List'!$B1:$AS665,21,FALSE)," ")</f>
        <v>858</v>
      </c>
      <c r="O338" t="s" s="125">
        <f>_xlfn.IFERROR(VLOOKUP($A338,'The List'!$B1:$AS665,22,FALSE)," ")</f>
        <v>858</v>
      </c>
      <c r="P338" t="s" s="125">
        <f>_xlfn.IFERROR(VLOOKUP($A338,'The List'!$B1:$AS665,23,FALSE)," ")</f>
        <v>858</v>
      </c>
      <c r="Q338" t="s" s="125">
        <f>_xlfn.IFERROR(VLOOKUP($A338,'The List'!$B1:$AS665,24,FALSE)," ")</f>
        <v>858</v>
      </c>
      <c r="R338" t="s" s="125">
        <f>_xlfn.IFERROR(VLOOKUP($A338,'The List'!$B1:$AS665,25,FALSE)," ")</f>
        <v>858</v>
      </c>
      <c r="S338" t="s" s="125">
        <f>_xlfn.IFERROR(VLOOKUP($A338,'The List'!$B1:$AS665,26,FALSE)," ")</f>
        <v>858</v>
      </c>
      <c r="T338" t="s" s="125">
        <f>_xlfn.IFERROR(VLOOKUP($A338,'The List'!$B1:$AS665,27,FALSE)," ")</f>
        <v>858</v>
      </c>
      <c r="U338" t="s" s="125">
        <f>_xlfn.IFERROR(VLOOKUP($A338,'The List'!$B1:$AS665,28,FALSE)," ")</f>
        <v>858</v>
      </c>
      <c r="V338" t="s" s="125">
        <f>_xlfn.IFERROR(VLOOKUP($A338,'The List'!$B1:$AS665,29,FALSE)," ")</f>
        <v>858</v>
      </c>
      <c r="W338" t="s" s="125">
        <f>_xlfn.IFERROR(VLOOKUP($A338,'The List'!$B1:$AS665,30,FALSE)," ")</f>
        <v>858</v>
      </c>
      <c r="X338" t="s" s="125">
        <f>_xlfn.IFERROR(VLOOKUP($A338,'The List'!$B1:$AS665,31,FALSE)," ")</f>
        <v>858</v>
      </c>
      <c r="Y338" t="s" s="125">
        <f>_xlfn.IFERROR(VLOOKUP($A338,'The List'!$B1:$AS665,32,FALSE)," ")</f>
        <v>858</v>
      </c>
      <c r="Z338" t="s" s="125">
        <f>_xlfn.IFERROR(VLOOKUP($A338,'The List'!$B1:$AS665,33,FALSE)," ")</f>
        <v>858</v>
      </c>
      <c r="AA338" s="120"/>
      <c r="AB338" s="121"/>
      <c r="AC338" s="121"/>
      <c r="AD338" s="121"/>
      <c r="AE338" s="121"/>
      <c r="AF338" s="144"/>
    </row>
    <row r="339" ht="21.25" customHeight="1">
      <c r="A339" s="50"/>
      <c r="B339" t="s" s="132">
        <f>_xlfn.IFERROR(VLOOKUP($A339,'The List'!$B1:$AS665,3,FALSE)," ")</f>
        <v>858</v>
      </c>
      <c r="C339" t="s" s="134">
        <f>_xlfn.IFERROR(VLOOKUP($A339,'The List'!$B1:$AS665,4,FALSE)," ")</f>
        <v>858</v>
      </c>
      <c r="D339" t="s" s="86">
        <f>_xlfn.IFERROR(VLOOKUP($A339,'The List'!$B1:$AS665,5,FALSE)," ")</f>
        <v>858</v>
      </c>
      <c r="E339" t="s" s="86">
        <f>_xlfn.IFERROR(VLOOKUP($A339,'The List'!$B1:$AS665,6,FALSE)," ")</f>
        <v>858</v>
      </c>
      <c r="F339" t="s" s="124">
        <f>_xlfn.IFERROR(VLOOKUP($A339,'The List'!$B1:$AS665,8,FALSE)," ")</f>
        <v>858</v>
      </c>
      <c r="G339" t="s" s="124">
        <f>_xlfn.IFERROR(VLOOKUP($A339,'The List'!$B1:$AS665,10,FALSE)," ")</f>
        <v>858</v>
      </c>
      <c r="H339" s="77"/>
      <c r="I339" t="s" s="125">
        <f>_xlfn.IFERROR(VLOOKUP($A339,'The List'!$B1:$AS665,16,FALSE)," ")</f>
        <v>858</v>
      </c>
      <c r="J339" t="s" s="125">
        <f>_xlfn.IFERROR(VLOOKUP($A339,'The List'!$B1:$AS665,17,FALSE)," ")</f>
        <v>858</v>
      </c>
      <c r="K339" t="s" s="125">
        <f>_xlfn.IFERROR(VLOOKUP($A339,'The List'!$B1:$AS665,18,FALSE)," ")</f>
        <v>858</v>
      </c>
      <c r="L339" t="s" s="125">
        <f>_xlfn.IFERROR(VLOOKUP($A339,'The List'!$B1:$AS665,19,FALSE)," ")</f>
        <v>858</v>
      </c>
      <c r="M339" t="s" s="125">
        <f>_xlfn.IFERROR(VLOOKUP($A339,'The List'!$B1:$AS665,20,FALSE)," ")</f>
        <v>858</v>
      </c>
      <c r="N339" t="s" s="125">
        <f>_xlfn.IFERROR(VLOOKUP($A339,'The List'!$B1:$AS665,21,FALSE)," ")</f>
        <v>858</v>
      </c>
      <c r="O339" t="s" s="125">
        <f>_xlfn.IFERROR(VLOOKUP($A339,'The List'!$B1:$AS665,22,FALSE)," ")</f>
        <v>858</v>
      </c>
      <c r="P339" t="s" s="125">
        <f>_xlfn.IFERROR(VLOOKUP($A339,'The List'!$B1:$AS665,23,FALSE)," ")</f>
        <v>858</v>
      </c>
      <c r="Q339" t="s" s="125">
        <f>_xlfn.IFERROR(VLOOKUP($A339,'The List'!$B1:$AS665,24,FALSE)," ")</f>
        <v>858</v>
      </c>
      <c r="R339" t="s" s="125">
        <f>_xlfn.IFERROR(VLOOKUP($A339,'The List'!$B1:$AS665,25,FALSE)," ")</f>
        <v>858</v>
      </c>
      <c r="S339" t="s" s="125">
        <f>_xlfn.IFERROR(VLOOKUP($A339,'The List'!$B1:$AS665,26,FALSE)," ")</f>
        <v>858</v>
      </c>
      <c r="T339" t="s" s="125">
        <f>_xlfn.IFERROR(VLOOKUP($A339,'The List'!$B1:$AS665,27,FALSE)," ")</f>
        <v>858</v>
      </c>
      <c r="U339" t="s" s="125">
        <f>_xlfn.IFERROR(VLOOKUP($A339,'The List'!$B1:$AS665,28,FALSE)," ")</f>
        <v>858</v>
      </c>
      <c r="V339" t="s" s="125">
        <f>_xlfn.IFERROR(VLOOKUP($A339,'The List'!$B1:$AS665,29,FALSE)," ")</f>
        <v>858</v>
      </c>
      <c r="W339" t="s" s="125">
        <f>_xlfn.IFERROR(VLOOKUP($A339,'The List'!$B1:$AS665,30,FALSE)," ")</f>
        <v>858</v>
      </c>
      <c r="X339" t="s" s="125">
        <f>_xlfn.IFERROR(VLOOKUP($A339,'The List'!$B1:$AS665,31,FALSE)," ")</f>
        <v>858</v>
      </c>
      <c r="Y339" t="s" s="125">
        <f>_xlfn.IFERROR(VLOOKUP($A339,'The List'!$B1:$AS665,32,FALSE)," ")</f>
        <v>858</v>
      </c>
      <c r="Z339" t="s" s="125">
        <f>_xlfn.IFERROR(VLOOKUP($A339,'The List'!$B1:$AS665,33,FALSE)," ")</f>
        <v>858</v>
      </c>
      <c r="AA339" s="120"/>
      <c r="AB339" s="121"/>
      <c r="AC339" s="121"/>
      <c r="AD339" s="121"/>
      <c r="AE339" s="121"/>
      <c r="AF339" s="144"/>
    </row>
    <row r="340" ht="21.25" customHeight="1">
      <c r="A340" s="137"/>
      <c r="B340" t="s" s="138">
        <f>_xlfn.IFERROR(VLOOKUP($A340,'The List'!$B1:$AS665,3,FALSE)," ")</f>
        <v>858</v>
      </c>
      <c r="C340" t="s" s="139">
        <f>_xlfn.IFERROR(VLOOKUP($A340,'The List'!$B1:$AS665,4,FALSE)," ")</f>
        <v>858</v>
      </c>
      <c r="D340" t="s" s="140">
        <f>_xlfn.IFERROR(VLOOKUP($A340,'The List'!$B1:$AS665,5,FALSE)," ")</f>
        <v>858</v>
      </c>
      <c r="E340" t="s" s="140">
        <f>_xlfn.IFERROR(VLOOKUP($A340,'The List'!$B1:$AS665,6,FALSE)," ")</f>
        <v>858</v>
      </c>
      <c r="F340" t="s" s="141">
        <f>_xlfn.IFERROR(VLOOKUP($A340,'The List'!$B1:$AS665,8,FALSE)," ")</f>
        <v>858</v>
      </c>
      <c r="G340" t="s" s="141">
        <f>_xlfn.IFERROR(VLOOKUP($A340,'The List'!$B1:$AS665,10,FALSE)," ")</f>
        <v>858</v>
      </c>
      <c r="H340" s="142"/>
      <c r="I340" t="s" s="143">
        <f>_xlfn.IFERROR(VLOOKUP($A340,'The List'!$B1:$AS665,16,FALSE)," ")</f>
        <v>858</v>
      </c>
      <c r="J340" t="s" s="143">
        <f>_xlfn.IFERROR(VLOOKUP($A340,'The List'!$B1:$AS665,17,FALSE)," ")</f>
        <v>858</v>
      </c>
      <c r="K340" t="s" s="143">
        <f>_xlfn.IFERROR(VLOOKUP($A340,'The List'!$B1:$AS665,18,FALSE)," ")</f>
        <v>858</v>
      </c>
      <c r="L340" t="s" s="143">
        <f>_xlfn.IFERROR(VLOOKUP($A340,'The List'!$B1:$AS665,19,FALSE)," ")</f>
        <v>858</v>
      </c>
      <c r="M340" t="s" s="143">
        <f>_xlfn.IFERROR(VLOOKUP($A340,'The List'!$B1:$AS665,20,FALSE)," ")</f>
        <v>858</v>
      </c>
      <c r="N340" t="s" s="143">
        <f>_xlfn.IFERROR(VLOOKUP($A340,'The List'!$B1:$AS665,21,FALSE)," ")</f>
        <v>858</v>
      </c>
      <c r="O340" t="s" s="143">
        <f>_xlfn.IFERROR(VLOOKUP($A340,'The List'!$B1:$AS665,22,FALSE)," ")</f>
        <v>858</v>
      </c>
      <c r="P340" t="s" s="143">
        <f>_xlfn.IFERROR(VLOOKUP($A340,'The List'!$B1:$AS665,23,FALSE)," ")</f>
        <v>858</v>
      </c>
      <c r="Q340" t="s" s="143">
        <f>_xlfn.IFERROR(VLOOKUP($A340,'The List'!$B1:$AS665,24,FALSE)," ")</f>
        <v>858</v>
      </c>
      <c r="R340" t="s" s="143">
        <f>_xlfn.IFERROR(VLOOKUP($A340,'The List'!$B1:$AS665,25,FALSE)," ")</f>
        <v>858</v>
      </c>
      <c r="S340" t="s" s="143">
        <f>_xlfn.IFERROR(VLOOKUP($A340,'The List'!$B1:$AS665,26,FALSE)," ")</f>
        <v>858</v>
      </c>
      <c r="T340" t="s" s="143">
        <f>_xlfn.IFERROR(VLOOKUP($A340,'The List'!$B1:$AS665,27,FALSE)," ")</f>
        <v>858</v>
      </c>
      <c r="U340" t="s" s="143">
        <f>_xlfn.IFERROR(VLOOKUP($A340,'The List'!$B1:$AS665,28,FALSE)," ")</f>
        <v>858</v>
      </c>
      <c r="V340" t="s" s="143">
        <f>_xlfn.IFERROR(VLOOKUP($A340,'The List'!$B1:$AS665,29,FALSE)," ")</f>
        <v>858</v>
      </c>
      <c r="W340" t="s" s="143">
        <f>_xlfn.IFERROR(VLOOKUP($A340,'The List'!$B1:$AS665,30,FALSE)," ")</f>
        <v>858</v>
      </c>
      <c r="X340" t="s" s="143">
        <f>_xlfn.IFERROR(VLOOKUP($A340,'The List'!$B1:$AS665,31,FALSE)," ")</f>
        <v>858</v>
      </c>
      <c r="Y340" t="s" s="143">
        <f>_xlfn.IFERROR(VLOOKUP($A340,'The List'!$B1:$AS665,32,FALSE)," ")</f>
        <v>858</v>
      </c>
      <c r="Z340" t="s" s="143">
        <f>_xlfn.IFERROR(VLOOKUP($A340,'The List'!$B1:$AS665,33,FALSE)," ")</f>
        <v>858</v>
      </c>
      <c r="AA340" s="120"/>
      <c r="AB340" s="121"/>
      <c r="AC340" s="121"/>
      <c r="AD340" s="121"/>
      <c r="AE340" s="121"/>
      <c r="AF340" s="144"/>
    </row>
    <row r="341" ht="21.25" customHeight="1">
      <c r="A341" s="145"/>
      <c r="B341" s="146"/>
      <c r="C341" s="147"/>
      <c r="D341" s="148"/>
      <c r="E341" t="s" s="193">
        <f>_xlfn.IFERROR(AVERAGE(E321:E340)," ")</f>
        <v>858</v>
      </c>
      <c r="F341" s="150">
        <f>SUM(F321:F340)</f>
        <v>0</v>
      </c>
      <c r="G341" s="150">
        <f>SUM(G321:G340)</f>
        <v>0</v>
      </c>
      <c r="H341" s="151"/>
      <c r="I341" s="152">
        <f>SUM(I321:I340)</f>
        <v>0</v>
      </c>
      <c r="J341" s="151">
        <f>AVERAGE(J321:J340)</f>
      </c>
      <c r="K341" s="152">
        <f>SUM(K321:K340)</f>
        <v>0</v>
      </c>
      <c r="L341" s="152">
        <f>SUM(L321:L340)</f>
        <v>0</v>
      </c>
      <c r="M341" s="152">
        <f>SUM(M321:M340)</f>
        <v>0</v>
      </c>
      <c r="N341" s="152">
        <f>SUM(N321:N340)</f>
        <v>0</v>
      </c>
      <c r="O341" s="152">
        <f>SUM(O321:O340)</f>
        <v>0</v>
      </c>
      <c r="P341" s="152">
        <f>SUM(P321:P340)</f>
        <v>0</v>
      </c>
      <c r="Q341" s="152">
        <f>SUM(Q321:Q340)</f>
        <v>0</v>
      </c>
      <c r="R341" s="152">
        <f>SUM(R321:R340)</f>
        <v>0</v>
      </c>
      <c r="S341" s="152">
        <f>SUM(S321:S340)</f>
        <v>0</v>
      </c>
      <c r="T341" s="152">
        <f>SUM(T321:T340)</f>
        <v>0</v>
      </c>
      <c r="U341" s="152">
        <f>SUM(U321:U340)</f>
        <v>0</v>
      </c>
      <c r="V341" s="152">
        <f>SUM(V321:V340)</f>
        <v>0</v>
      </c>
      <c r="W341" s="152">
        <f>SUM(W321:W340)</f>
        <v>0</v>
      </c>
      <c r="X341" s="152">
        <f>SUM(X321:X340)</f>
        <v>0</v>
      </c>
      <c r="Y341" s="152">
        <f>SUM(Y321:Y340)</f>
        <v>0</v>
      </c>
      <c r="Z341" s="153">
        <f>_xlfn.IFERROR(X341/(X341+Y341),0)</f>
        <v>0</v>
      </c>
      <c r="AA341" s="120"/>
      <c r="AB341" s="154"/>
      <c r="AC341" s="154"/>
      <c r="AD341" s="154"/>
      <c r="AE341" s="154"/>
      <c r="AF341" s="155"/>
    </row>
    <row r="342" ht="21.25" customHeight="1">
      <c r="A342" s="156"/>
      <c r="B342" s="157"/>
      <c r="C342" s="158"/>
      <c r="D342" s="13"/>
      <c r="E342" s="13"/>
      <c r="F342" s="159"/>
      <c r="G342" s="160"/>
      <c r="H342" s="161"/>
      <c r="I342" s="162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  <c r="AB342" s="121"/>
      <c r="AC342" s="121"/>
      <c r="AD342" s="121"/>
      <c r="AE342" s="121"/>
      <c r="AF342" s="144"/>
    </row>
    <row r="343" ht="21.25" customHeight="1">
      <c r="A343" t="s" s="163">
        <v>89</v>
      </c>
      <c r="B343" t="s" s="164">
        <v>91</v>
      </c>
      <c r="C343" s="31"/>
      <c r="D343" t="s" s="164">
        <v>92</v>
      </c>
      <c r="E343" t="s" s="164">
        <v>93</v>
      </c>
      <c r="F343" t="s" s="165">
        <v>95</v>
      </c>
      <c r="G343" t="s" s="165">
        <v>97</v>
      </c>
      <c r="H343" s="166"/>
      <c r="I343" t="s" s="167">
        <v>102</v>
      </c>
      <c r="J343" t="s" s="167">
        <v>118</v>
      </c>
      <c r="K343" t="s" s="167">
        <v>119</v>
      </c>
      <c r="L343" t="s" s="167">
        <v>120</v>
      </c>
      <c r="M343" t="s" s="167">
        <v>121</v>
      </c>
      <c r="N343" t="s" s="167">
        <v>122</v>
      </c>
      <c r="O343" t="s" s="167">
        <v>123</v>
      </c>
      <c r="P343" t="s" s="167">
        <v>124</v>
      </c>
      <c r="Q343" t="s" s="167">
        <v>125</v>
      </c>
      <c r="R343" s="120"/>
      <c r="S343" s="120"/>
      <c r="T343" s="120"/>
      <c r="U343" t="s" s="164">
        <v>876</v>
      </c>
      <c r="V343" s="166"/>
      <c r="W343" s="166"/>
      <c r="X343" t="s" s="164">
        <v>877</v>
      </c>
      <c r="Y343" s="166"/>
      <c r="Z343" s="166"/>
      <c r="AA343" s="120"/>
      <c r="AB343" s="120"/>
      <c r="AC343" s="120"/>
      <c r="AD343" s="120"/>
      <c r="AE343" s="120"/>
      <c r="AF343" s="168"/>
    </row>
    <row r="344" ht="21.25" customHeight="1">
      <c r="A344" s="194"/>
      <c r="B344" t="s" s="170">
        <f>_xlfn.IFERROR(VLOOKUP($A344,'The List'!$B1:$AS665,3,FALSE)," ")</f>
        <v>858</v>
      </c>
      <c r="C344" t="s" s="195">
        <f>_xlfn.IFERROR(VLOOKUP($A344,'The List'!$B1:$AS665,4,FALSE)," ")</f>
        <v>858</v>
      </c>
      <c r="D344" t="s" s="72">
        <f>_xlfn.IFERROR(VLOOKUP($A344,'The List'!$B1:$AS665,5,FALSE)," ")</f>
        <v>858</v>
      </c>
      <c r="E344" t="s" s="72">
        <f>_xlfn.IFERROR(VLOOKUP($A344,'The List'!$B1:$AS665,6,FALSE)," ")</f>
        <v>858</v>
      </c>
      <c r="F344" t="s" s="196">
        <f>_xlfn.IFERROR(VLOOKUP($A344,'The List'!$B1:$AS665,8,FALSE)," ")</f>
        <v>858</v>
      </c>
      <c r="G344" t="s" s="196">
        <f>_xlfn.IFERROR(VLOOKUP($A344,'The List'!$B1:$AS665,10,FALSE)," ")</f>
        <v>858</v>
      </c>
      <c r="H344" s="174"/>
      <c r="I344" t="s" s="197">
        <f>_xlfn.IFERROR(VLOOKUP($A344,'The List'!$B1:$AS665,35,FALSE)," ")</f>
        <v>858</v>
      </c>
      <c r="J344" t="s" s="197">
        <f>_xlfn.IFERROR(VLOOKUP($A344,'The List'!$B1:$AS665,36,FALSE)," ")</f>
        <v>858</v>
      </c>
      <c r="K344" t="s" s="197">
        <f>_xlfn.IFERROR(VLOOKUP($A344,'The List'!$B1:$AS665,37,FALSE)," ")</f>
        <v>858</v>
      </c>
      <c r="L344" t="s" s="197">
        <f>_xlfn.IFERROR(VLOOKUP($A344,'The List'!$B1:$AS665,38,FALSE)," ")</f>
        <v>858</v>
      </c>
      <c r="M344" t="s" s="197">
        <f>_xlfn.IFERROR(VLOOKUP($A344,'The List'!$B1:$AS665,39,FALSE)," ")</f>
        <v>858</v>
      </c>
      <c r="N344" t="s" s="197">
        <f>_xlfn.IFERROR(VLOOKUP($A344,'The List'!$B1:$AS665,40,FALSE)," ")</f>
        <v>858</v>
      </c>
      <c r="O344" t="s" s="197">
        <f>_xlfn.IFERROR(VLOOKUP($A344,'The List'!$B1:$AS665,41,FALSE)," ")</f>
        <v>858</v>
      </c>
      <c r="P344" t="s" s="197">
        <f>_xlfn.IFERROR(VLOOKUP($A344,'The List'!$B1:$AS665,42,FALSE)," ")</f>
        <v>858</v>
      </c>
      <c r="Q344" t="s" s="197">
        <f>_xlfn.IFERROR(VLOOKUP($A344,'The List'!$B1:$AS665,43,FALSE)," ")</f>
        <v>858</v>
      </c>
      <c r="R344" s="120"/>
      <c r="S344" s="120"/>
      <c r="T344" t="s" s="178">
        <f>A320</f>
        <v>890</v>
      </c>
      <c r="U344" s="179">
        <f>F341+F347</f>
        <v>0</v>
      </c>
      <c r="V344" s="31"/>
      <c r="W344" s="31"/>
      <c r="X344" s="179">
        <f>G347+G341</f>
        <v>0</v>
      </c>
      <c r="Y344" s="31"/>
      <c r="Z344" s="31"/>
      <c r="AA344" s="120"/>
      <c r="AB344" s="120"/>
      <c r="AC344" s="120"/>
      <c r="AD344" s="120"/>
      <c r="AE344" s="120"/>
      <c r="AF344" s="168"/>
    </row>
    <row r="345" ht="21.25" customHeight="1">
      <c r="A345" s="50"/>
      <c r="B345" t="s" s="180">
        <f>_xlfn.IFERROR(VLOOKUP($A345,'The List'!$B1:$AS665,3,FALSE)," ")</f>
        <v>858</v>
      </c>
      <c r="C345" t="s" s="181">
        <f>_xlfn.IFERROR(VLOOKUP($A345,'The List'!$B1:$AS665,4,FALSE)," ")</f>
        <v>858</v>
      </c>
      <c r="D345" t="s" s="86">
        <f>_xlfn.IFERROR(VLOOKUP($A345,'The List'!$B1:$AS665,5,FALSE)," ")</f>
        <v>858</v>
      </c>
      <c r="E345" t="s" s="86">
        <f>_xlfn.IFERROR(VLOOKUP($A345,'The List'!$B1:$AS665,6,FALSE)," ")</f>
        <v>858</v>
      </c>
      <c r="F345" t="s" s="124">
        <f>_xlfn.IFERROR(VLOOKUP($A345,'The List'!$B1:$AS665,8,FALSE)," ")</f>
        <v>858</v>
      </c>
      <c r="G345" t="s" s="124">
        <f>_xlfn.IFERROR(VLOOKUP($A345,'The List'!$B1:$AS665,10,FALSE)," ")</f>
        <v>858</v>
      </c>
      <c r="H345" s="77"/>
      <c r="I345" t="s" s="125">
        <f>_xlfn.IFERROR(VLOOKUP($A345,'The List'!$B1:$AS665,35,FALSE)," ")</f>
        <v>858</v>
      </c>
      <c r="J345" t="s" s="125">
        <f>_xlfn.IFERROR(VLOOKUP($A345,'The List'!$B1:$AS665,36,FALSE)," ")</f>
        <v>858</v>
      </c>
      <c r="K345" t="s" s="125">
        <f>_xlfn.IFERROR(VLOOKUP($A345,'The List'!$B1:$AS665,37,FALSE)," ")</f>
        <v>858</v>
      </c>
      <c r="L345" t="s" s="125">
        <f>_xlfn.IFERROR(VLOOKUP($A345,'The List'!$B1:$AS665,38,FALSE)," ")</f>
        <v>858</v>
      </c>
      <c r="M345" t="s" s="125">
        <f>_xlfn.IFERROR(VLOOKUP($A345,'The List'!$B1:$AS665,39,FALSE)," ")</f>
        <v>858</v>
      </c>
      <c r="N345" t="s" s="125">
        <f>_xlfn.IFERROR(VLOOKUP($A345,'The List'!$B1:$AS665,40,FALSE)," ")</f>
        <v>858</v>
      </c>
      <c r="O345" t="s" s="125">
        <f>_xlfn.IFERROR(VLOOKUP($A345,'The List'!$B1:$AS665,41,FALSE)," ")</f>
        <v>858</v>
      </c>
      <c r="P345" t="s" s="125">
        <f>_xlfn.IFERROR(VLOOKUP($A345,'The List'!$B1:$AS665,42,FALSE)," ")</f>
        <v>858</v>
      </c>
      <c r="Q345" t="s" s="125">
        <f>_xlfn.IFERROR(VLOOKUP($A345,'The List'!$B1:$AS665,43,FALSE)," ")</f>
        <v>858</v>
      </c>
      <c r="R345" s="120"/>
      <c r="S345" s="120"/>
      <c r="T345" s="120"/>
      <c r="U345" s="31"/>
      <c r="V345" s="31"/>
      <c r="W345" s="31"/>
      <c r="X345" s="31"/>
      <c r="Y345" s="31"/>
      <c r="Z345" s="31"/>
      <c r="AA345" s="120"/>
      <c r="AB345" s="120"/>
      <c r="AC345" s="120"/>
      <c r="AD345" s="120"/>
      <c r="AE345" s="120"/>
      <c r="AF345" s="168"/>
    </row>
    <row r="346" ht="21.25" customHeight="1">
      <c r="A346" s="137"/>
      <c r="B346" t="s" s="182">
        <f>_xlfn.IFERROR(VLOOKUP($A346,'The List'!$B1:$AS665,3,FALSE)," ")</f>
        <v>858</v>
      </c>
      <c r="C346" t="s" s="183">
        <f>_xlfn.IFERROR(VLOOKUP($A346,'The List'!$B1:$AS665,4,FALSE)," ")</f>
        <v>858</v>
      </c>
      <c r="D346" t="s" s="140">
        <f>_xlfn.IFERROR(VLOOKUP($A346,'The List'!$B1:$AS665,5,FALSE)," ")</f>
        <v>858</v>
      </c>
      <c r="E346" t="s" s="140">
        <f>_xlfn.IFERROR(VLOOKUP($A346,'The List'!$B1:$AS665,6,FALSE)," ")</f>
        <v>858</v>
      </c>
      <c r="F346" t="s" s="141">
        <f>_xlfn.IFERROR(VLOOKUP($A346,'The List'!$B1:$AS665,8,FALSE)," ")</f>
        <v>858</v>
      </c>
      <c r="G346" t="s" s="141">
        <f>_xlfn.IFERROR(VLOOKUP($A346,'The List'!$B1:$AS665,10,FALSE)," ")</f>
        <v>858</v>
      </c>
      <c r="H346" s="142"/>
      <c r="I346" t="s" s="143">
        <f>_xlfn.IFERROR(VLOOKUP($A346,'The List'!$B1:$AS665,35,FALSE)," ")</f>
        <v>858</v>
      </c>
      <c r="J346" t="s" s="143">
        <f>_xlfn.IFERROR(VLOOKUP($A346,'The List'!$B1:$AS665,36,FALSE)," ")</f>
        <v>858</v>
      </c>
      <c r="K346" t="s" s="143">
        <f>_xlfn.IFERROR(VLOOKUP($A346,'The List'!$B1:$AS665,37,FALSE)," ")</f>
        <v>858</v>
      </c>
      <c r="L346" t="s" s="143">
        <f>_xlfn.IFERROR(VLOOKUP($A346,'The List'!$B1:$AS665,38,FALSE)," ")</f>
        <v>858</v>
      </c>
      <c r="M346" t="s" s="143">
        <f>_xlfn.IFERROR(VLOOKUP($A346,'The List'!$B1:$AS665,39,FALSE)," ")</f>
        <v>858</v>
      </c>
      <c r="N346" t="s" s="143">
        <f>_xlfn.IFERROR(VLOOKUP($A346,'The List'!$B1:$AS665,40,FALSE)," ")</f>
        <v>858</v>
      </c>
      <c r="O346" t="s" s="143">
        <f>_xlfn.IFERROR(VLOOKUP($A346,'The List'!$B1:$AS665,41,FALSE)," ")</f>
        <v>858</v>
      </c>
      <c r="P346" t="s" s="143">
        <f>_xlfn.IFERROR(VLOOKUP($A346,'The List'!$B1:$AS665,42,FALSE)," ")</f>
        <v>858</v>
      </c>
      <c r="Q346" t="s" s="143">
        <f>_xlfn.IFERROR(VLOOKUP($A346,'The List'!$B1:$AS665,43,FALSE)," ")</f>
        <v>858</v>
      </c>
      <c r="R346" s="120"/>
      <c r="S346" s="120"/>
      <c r="T346" s="120"/>
      <c r="U346" s="31"/>
      <c r="V346" s="31"/>
      <c r="W346" s="31"/>
      <c r="X346" s="31"/>
      <c r="Y346" s="31"/>
      <c r="Z346" s="31"/>
      <c r="AA346" s="120"/>
      <c r="AB346" s="120"/>
      <c r="AC346" s="120"/>
      <c r="AD346" s="120"/>
      <c r="AE346" s="120"/>
      <c r="AF346" s="168"/>
    </row>
    <row r="347" ht="21.25" customHeight="1">
      <c r="A347" s="145"/>
      <c r="B347" s="146"/>
      <c r="C347" s="147"/>
      <c r="D347" s="148"/>
      <c r="E347" t="s" s="193">
        <f>_xlfn.IFERROR(AVERAGE(E344:E346)," ")</f>
        <v>858</v>
      </c>
      <c r="F347" s="150">
        <f>SUM(F344:F346)</f>
        <v>0</v>
      </c>
      <c r="G347" s="150">
        <f>SUM(G344:G346)</f>
        <v>0</v>
      </c>
      <c r="H347" s="151"/>
      <c r="I347" s="152">
        <f>SUM(I344:I346)</f>
        <v>0</v>
      </c>
      <c r="J347" s="151">
        <f>SUM(J344:J346)</f>
        <v>0</v>
      </c>
      <c r="K347" s="152">
        <f>SUM(K344:K346)</f>
        <v>0</v>
      </c>
      <c r="L347" s="152">
        <f>SUM(L344:L346)</f>
        <v>0</v>
      </c>
      <c r="M347" s="152">
        <f>SUM(M344:M346)</f>
        <v>0</v>
      </c>
      <c r="N347" s="152">
        <f>SUM(N344:N346)</f>
        <v>0</v>
      </c>
      <c r="O347" s="152">
        <f>SUM(O344:O346)</f>
        <v>0</v>
      </c>
      <c r="P347" s="184">
        <f>1-(O347/(N347+O347))</f>
      </c>
      <c r="Q347" s="185">
        <f>O347/I347</f>
      </c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  <c r="AB347" s="120"/>
      <c r="AC347" s="120"/>
      <c r="AD347" s="120"/>
      <c r="AE347" s="120"/>
      <c r="AF347" s="168"/>
    </row>
    <row r="348" ht="70.75" customHeight="1">
      <c r="A348" s="156"/>
      <c r="B348" s="157"/>
      <c r="C348" s="158"/>
      <c r="D348" s="13"/>
      <c r="E348" s="13"/>
      <c r="F348" s="159"/>
      <c r="G348" s="160"/>
      <c r="H348" s="161"/>
      <c r="I348" s="162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1"/>
      <c r="AB348" s="121"/>
      <c r="AC348" s="121"/>
      <c r="AD348" s="121"/>
      <c r="AE348" s="121"/>
      <c r="AF348" s="144"/>
    </row>
    <row r="349" ht="21.25" customHeight="1">
      <c r="A349" t="s" s="186">
        <v>872</v>
      </c>
      <c r="B349" t="s" s="187">
        <v>91</v>
      </c>
      <c r="C349" s="45"/>
      <c r="D349" t="s" s="187">
        <v>92</v>
      </c>
      <c r="E349" t="s" s="187">
        <v>93</v>
      </c>
      <c r="F349" t="s" s="188">
        <v>95</v>
      </c>
      <c r="G349" t="s" s="188">
        <v>97</v>
      </c>
      <c r="H349" s="189"/>
      <c r="I349" t="s" s="190">
        <v>102</v>
      </c>
      <c r="J349" t="s" s="190">
        <v>55</v>
      </c>
      <c r="K349" t="s" s="190">
        <v>103</v>
      </c>
      <c r="L349" t="s" s="190">
        <v>104</v>
      </c>
      <c r="M349" t="s" s="190">
        <v>105</v>
      </c>
      <c r="N349" t="s" s="190">
        <v>106</v>
      </c>
      <c r="O349" t="s" s="190">
        <v>107</v>
      </c>
      <c r="P349" t="s" s="190">
        <v>63</v>
      </c>
      <c r="Q349" t="s" s="190">
        <v>108</v>
      </c>
      <c r="R349" t="s" s="190">
        <v>109</v>
      </c>
      <c r="S349" t="s" s="190">
        <v>110</v>
      </c>
      <c r="T349" t="s" s="190">
        <v>111</v>
      </c>
      <c r="U349" t="s" s="190">
        <v>112</v>
      </c>
      <c r="V349" t="s" s="190">
        <v>113</v>
      </c>
      <c r="W349" t="s" s="190">
        <v>114</v>
      </c>
      <c r="X349" t="s" s="190">
        <v>115</v>
      </c>
      <c r="Y349" t="s" s="190">
        <v>116</v>
      </c>
      <c r="Z349" t="s" s="190">
        <v>117</v>
      </c>
      <c r="AA349" s="120"/>
      <c r="AB349" s="191"/>
      <c r="AC349" s="191"/>
      <c r="AD349" s="191"/>
      <c r="AE349" s="191"/>
      <c r="AF349" s="192"/>
    </row>
    <row r="350" ht="21.25" customHeight="1">
      <c r="A350" s="50"/>
      <c r="B350" t="s" s="117">
        <f>_xlfn.IFERROR(VLOOKUP($A350,'The List'!$B1:$AS665,3,FALSE)," ")</f>
        <v>858</v>
      </c>
      <c r="C350" t="s" s="123">
        <f>_xlfn.IFERROR(VLOOKUP($A350,'The List'!$B1:$AS665,4,FALSE)," ")</f>
        <v>858</v>
      </c>
      <c r="D350" t="s" s="86">
        <f>_xlfn.IFERROR(VLOOKUP($A350,'The List'!$B1:$AS665,5,FALSE)," ")</f>
        <v>858</v>
      </c>
      <c r="E350" t="s" s="86">
        <f>_xlfn.IFERROR(VLOOKUP($A350,'The List'!$B1:$AS665,6,FALSE)," ")</f>
        <v>858</v>
      </c>
      <c r="F350" t="s" s="124">
        <f>_xlfn.IFERROR(VLOOKUP($A350,'The List'!$B1:$AS665,8,FALSE)," ")</f>
        <v>858</v>
      </c>
      <c r="G350" t="s" s="124">
        <f>_xlfn.IFERROR(VLOOKUP($A350,'The List'!$B1:$AS665,10,FALSE)," ")</f>
        <v>858</v>
      </c>
      <c r="H350" s="77"/>
      <c r="I350" t="s" s="125">
        <f>_xlfn.IFERROR(VLOOKUP($A350,'The List'!$B1:$AS665,16,FALSE)," ")</f>
        <v>858</v>
      </c>
      <c r="J350" t="s" s="125">
        <f>_xlfn.IFERROR(VLOOKUP($A350,'The List'!$B1:$AS665,17,FALSE)," ")</f>
        <v>858</v>
      </c>
      <c r="K350" t="s" s="125">
        <f>_xlfn.IFERROR(VLOOKUP($A350,'The List'!$B1:$AS665,18,FALSE)," ")</f>
        <v>858</v>
      </c>
      <c r="L350" t="s" s="125">
        <f>_xlfn.IFERROR(VLOOKUP($A350,'The List'!$B1:$AS665,19,FALSE)," ")</f>
        <v>858</v>
      </c>
      <c r="M350" t="s" s="125">
        <f>_xlfn.IFERROR(VLOOKUP($A350,'The List'!$B1:$AS665,20,FALSE)," ")</f>
        <v>858</v>
      </c>
      <c r="N350" t="s" s="125">
        <f>_xlfn.IFERROR(VLOOKUP($A350,'The List'!$B1:$AS665,21,FALSE)," ")</f>
        <v>858</v>
      </c>
      <c r="O350" t="s" s="125">
        <f>_xlfn.IFERROR(VLOOKUP($A350,'The List'!$B1:$AS665,22,FALSE)," ")</f>
        <v>858</v>
      </c>
      <c r="P350" t="s" s="125">
        <f>_xlfn.IFERROR(VLOOKUP($A350,'The List'!$B1:$AS665,23,FALSE)," ")</f>
        <v>858</v>
      </c>
      <c r="Q350" t="s" s="125">
        <f>_xlfn.IFERROR(VLOOKUP($A350,'The List'!$B1:$AS665,24,FALSE)," ")</f>
        <v>858</v>
      </c>
      <c r="R350" t="s" s="125">
        <f>_xlfn.IFERROR(VLOOKUP($A350,'The List'!$B1:$AS665,25,FALSE)," ")</f>
        <v>858</v>
      </c>
      <c r="S350" t="s" s="125">
        <f>_xlfn.IFERROR(VLOOKUP($A350,'The List'!$B1:$AS665,26,FALSE)," ")</f>
        <v>858</v>
      </c>
      <c r="T350" t="s" s="125">
        <f>_xlfn.IFERROR(VLOOKUP($A350,'The List'!$B1:$AS665,27,FALSE)," ")</f>
        <v>858</v>
      </c>
      <c r="U350" t="s" s="125">
        <f>_xlfn.IFERROR(VLOOKUP($A350,'The List'!$B1:$AS665,28,FALSE)," ")</f>
        <v>858</v>
      </c>
      <c r="V350" t="s" s="125">
        <f>_xlfn.IFERROR(VLOOKUP($A350,'The List'!$B1:$AS665,29,FALSE)," ")</f>
        <v>858</v>
      </c>
      <c r="W350" t="s" s="125">
        <f>_xlfn.IFERROR(VLOOKUP($A350,'The List'!$B1:$AS665,30,FALSE)," ")</f>
        <v>858</v>
      </c>
      <c r="X350" t="s" s="125">
        <f>_xlfn.IFERROR(VLOOKUP($A350,'The List'!$B1:$AS665,31,FALSE)," ")</f>
        <v>858</v>
      </c>
      <c r="Y350" t="s" s="125">
        <f>_xlfn.IFERROR(VLOOKUP($A350,'The List'!$B1:$AS665,32,FALSE)," ")</f>
        <v>858</v>
      </c>
      <c r="Z350" t="s" s="125">
        <f>_xlfn.IFERROR(VLOOKUP($A350,'The List'!$B1:$AS665,33,FALSE)," ")</f>
        <v>858</v>
      </c>
      <c r="AA350" s="120"/>
      <c r="AB350" s="121"/>
      <c r="AC350" s="121"/>
      <c r="AD350" s="121"/>
      <c r="AE350" s="121"/>
      <c r="AF350" s="144"/>
    </row>
    <row r="351" ht="21.25" customHeight="1">
      <c r="A351" s="50"/>
      <c r="B351" t="s" s="117">
        <f>_xlfn.IFERROR(VLOOKUP($A351,'The List'!$B1:$AS665,3,FALSE)," ")</f>
        <v>858</v>
      </c>
      <c r="C351" t="s" s="123">
        <f>_xlfn.IFERROR(VLOOKUP($A351,'The List'!$B1:$AS665,4,FALSE)," ")</f>
        <v>858</v>
      </c>
      <c r="D351" t="s" s="86">
        <f>_xlfn.IFERROR(VLOOKUP($A351,'The List'!$B1:$AS665,5,FALSE)," ")</f>
        <v>858</v>
      </c>
      <c r="E351" t="s" s="86">
        <f>_xlfn.IFERROR(VLOOKUP($A351,'The List'!$B1:$AS665,6,FALSE)," ")</f>
        <v>858</v>
      </c>
      <c r="F351" t="s" s="124">
        <f>_xlfn.IFERROR(VLOOKUP($A351,'The List'!$B1:$AS665,8,FALSE)," ")</f>
        <v>858</v>
      </c>
      <c r="G351" t="s" s="124">
        <f>_xlfn.IFERROR(VLOOKUP($A351,'The List'!$B1:$AS665,10,FALSE)," ")</f>
        <v>858</v>
      </c>
      <c r="H351" s="77"/>
      <c r="I351" t="s" s="125">
        <f>_xlfn.IFERROR(VLOOKUP($A351,'The List'!$B1:$AS665,16,FALSE)," ")</f>
        <v>858</v>
      </c>
      <c r="J351" t="s" s="125">
        <f>_xlfn.IFERROR(VLOOKUP($A351,'The List'!$B1:$AS665,17,FALSE)," ")</f>
        <v>858</v>
      </c>
      <c r="K351" t="s" s="125">
        <f>_xlfn.IFERROR(VLOOKUP($A351,'The List'!$B1:$AS665,18,FALSE)," ")</f>
        <v>858</v>
      </c>
      <c r="L351" t="s" s="125">
        <f>_xlfn.IFERROR(VLOOKUP($A351,'The List'!$B1:$AS665,19,FALSE)," ")</f>
        <v>858</v>
      </c>
      <c r="M351" t="s" s="125">
        <f>_xlfn.IFERROR(VLOOKUP($A351,'The List'!$B1:$AS665,20,FALSE)," ")</f>
        <v>858</v>
      </c>
      <c r="N351" t="s" s="125">
        <f>_xlfn.IFERROR(VLOOKUP($A351,'The List'!$B1:$AS665,21,FALSE)," ")</f>
        <v>858</v>
      </c>
      <c r="O351" t="s" s="125">
        <f>_xlfn.IFERROR(VLOOKUP($A351,'The List'!$B1:$AS665,22,FALSE)," ")</f>
        <v>858</v>
      </c>
      <c r="P351" t="s" s="125">
        <f>_xlfn.IFERROR(VLOOKUP($A351,'The List'!$B1:$AS665,23,FALSE)," ")</f>
        <v>858</v>
      </c>
      <c r="Q351" t="s" s="125">
        <f>_xlfn.IFERROR(VLOOKUP($A351,'The List'!$B1:$AS665,24,FALSE)," ")</f>
        <v>858</v>
      </c>
      <c r="R351" t="s" s="125">
        <f>_xlfn.IFERROR(VLOOKUP($A351,'The List'!$B1:$AS665,25,FALSE)," ")</f>
        <v>858</v>
      </c>
      <c r="S351" t="s" s="125">
        <f>_xlfn.IFERROR(VLOOKUP($A351,'The List'!$B1:$AS665,26,FALSE)," ")</f>
        <v>858</v>
      </c>
      <c r="T351" t="s" s="125">
        <f>_xlfn.IFERROR(VLOOKUP($A351,'The List'!$B1:$AS665,27,FALSE)," ")</f>
        <v>858</v>
      </c>
      <c r="U351" t="s" s="125">
        <f>_xlfn.IFERROR(VLOOKUP($A351,'The List'!$B1:$AS665,28,FALSE)," ")</f>
        <v>858</v>
      </c>
      <c r="V351" t="s" s="125">
        <f>_xlfn.IFERROR(VLOOKUP($A351,'The List'!$B1:$AS665,29,FALSE)," ")</f>
        <v>858</v>
      </c>
      <c r="W351" t="s" s="125">
        <f>_xlfn.IFERROR(VLOOKUP($A351,'The List'!$B1:$AS665,30,FALSE)," ")</f>
        <v>858</v>
      </c>
      <c r="X351" t="s" s="125">
        <f>_xlfn.IFERROR(VLOOKUP($A351,'The List'!$B1:$AS665,31,FALSE)," ")</f>
        <v>858</v>
      </c>
      <c r="Y351" t="s" s="125">
        <f>_xlfn.IFERROR(VLOOKUP($A351,'The List'!$B1:$AS665,32,FALSE)," ")</f>
        <v>858</v>
      </c>
      <c r="Z351" t="s" s="125">
        <f>_xlfn.IFERROR(VLOOKUP($A351,'The List'!$B1:$AS665,33,FALSE)," ")</f>
        <v>858</v>
      </c>
      <c r="AA351" s="120"/>
      <c r="AB351" s="121"/>
      <c r="AC351" s="121"/>
      <c r="AD351" s="121"/>
      <c r="AE351" s="121"/>
      <c r="AF351" s="144"/>
    </row>
    <row r="352" ht="21.25" customHeight="1">
      <c r="A352" s="50"/>
      <c r="B352" t="s" s="117">
        <f>_xlfn.IFERROR(VLOOKUP($A352,'The List'!$B1:$AS665,3,FALSE)," ")</f>
        <v>858</v>
      </c>
      <c r="C352" t="s" s="123">
        <f>_xlfn.IFERROR(VLOOKUP($A352,'The List'!$B1:$AS665,4,FALSE)," ")</f>
        <v>858</v>
      </c>
      <c r="D352" t="s" s="86">
        <f>_xlfn.IFERROR(VLOOKUP($A352,'The List'!$B1:$AS665,5,FALSE)," ")</f>
        <v>858</v>
      </c>
      <c r="E352" t="s" s="86">
        <f>_xlfn.IFERROR(VLOOKUP($A352,'The List'!$B1:$AS665,6,FALSE)," ")</f>
        <v>858</v>
      </c>
      <c r="F352" t="s" s="124">
        <f>_xlfn.IFERROR(VLOOKUP($A352,'The List'!$B1:$AS665,8,FALSE)," ")</f>
        <v>858</v>
      </c>
      <c r="G352" t="s" s="124">
        <f>_xlfn.IFERROR(VLOOKUP($A352,'The List'!$B1:$AS665,10,FALSE)," ")</f>
        <v>858</v>
      </c>
      <c r="H352" s="77"/>
      <c r="I352" t="s" s="125">
        <f>_xlfn.IFERROR(VLOOKUP($A352,'The List'!$B1:$AS665,16,FALSE)," ")</f>
        <v>858</v>
      </c>
      <c r="J352" t="s" s="125">
        <f>_xlfn.IFERROR(VLOOKUP($A352,'The List'!$B1:$AS665,17,FALSE)," ")</f>
        <v>858</v>
      </c>
      <c r="K352" t="s" s="125">
        <f>_xlfn.IFERROR(VLOOKUP($A352,'The List'!$B1:$AS665,18,FALSE)," ")</f>
        <v>858</v>
      </c>
      <c r="L352" t="s" s="125">
        <f>_xlfn.IFERROR(VLOOKUP($A352,'The List'!$B1:$AS665,19,FALSE)," ")</f>
        <v>858</v>
      </c>
      <c r="M352" t="s" s="125">
        <f>_xlfn.IFERROR(VLOOKUP($A352,'The List'!$B1:$AS665,20,FALSE)," ")</f>
        <v>858</v>
      </c>
      <c r="N352" t="s" s="125">
        <f>_xlfn.IFERROR(VLOOKUP($A352,'The List'!$B1:$AS665,21,FALSE)," ")</f>
        <v>858</v>
      </c>
      <c r="O352" t="s" s="125">
        <f>_xlfn.IFERROR(VLOOKUP($A352,'The List'!$B1:$AS665,22,FALSE)," ")</f>
        <v>858</v>
      </c>
      <c r="P352" t="s" s="125">
        <f>_xlfn.IFERROR(VLOOKUP($A352,'The List'!$B1:$AS665,23,FALSE)," ")</f>
        <v>858</v>
      </c>
      <c r="Q352" t="s" s="125">
        <f>_xlfn.IFERROR(VLOOKUP($A352,'The List'!$B1:$AS665,24,FALSE)," ")</f>
        <v>858</v>
      </c>
      <c r="R352" t="s" s="125">
        <f>_xlfn.IFERROR(VLOOKUP($A352,'The List'!$B1:$AS665,25,FALSE)," ")</f>
        <v>858</v>
      </c>
      <c r="S352" t="s" s="125">
        <f>_xlfn.IFERROR(VLOOKUP($A352,'The List'!$B1:$AS665,26,FALSE)," ")</f>
        <v>858</v>
      </c>
      <c r="T352" t="s" s="125">
        <f>_xlfn.IFERROR(VLOOKUP($A352,'The List'!$B1:$AS665,27,FALSE)," ")</f>
        <v>858</v>
      </c>
      <c r="U352" t="s" s="125">
        <f>_xlfn.IFERROR(VLOOKUP($A352,'The List'!$B1:$AS665,28,FALSE)," ")</f>
        <v>858</v>
      </c>
      <c r="V352" t="s" s="125">
        <f>_xlfn.IFERROR(VLOOKUP($A352,'The List'!$B1:$AS665,29,FALSE)," ")</f>
        <v>858</v>
      </c>
      <c r="W352" t="s" s="125">
        <f>_xlfn.IFERROR(VLOOKUP($A352,'The List'!$B1:$AS665,30,FALSE)," ")</f>
        <v>858</v>
      </c>
      <c r="X352" t="s" s="125">
        <f>_xlfn.IFERROR(VLOOKUP($A352,'The List'!$B1:$AS665,31,FALSE)," ")</f>
        <v>858</v>
      </c>
      <c r="Y352" t="s" s="125">
        <f>_xlfn.IFERROR(VLOOKUP($A352,'The List'!$B1:$AS665,32,FALSE)," ")</f>
        <v>858</v>
      </c>
      <c r="Z352" t="s" s="125">
        <f>_xlfn.IFERROR(VLOOKUP($A352,'The List'!$B1:$AS665,33,FALSE)," ")</f>
        <v>858</v>
      </c>
      <c r="AA352" s="120"/>
      <c r="AB352" s="121"/>
      <c r="AC352" s="121"/>
      <c r="AD352" s="121"/>
      <c r="AE352" s="121"/>
      <c r="AF352" s="144"/>
    </row>
    <row r="353" ht="21.25" customHeight="1">
      <c r="A353" s="50"/>
      <c r="B353" t="s" s="117">
        <f>_xlfn.IFERROR(VLOOKUP($A353,'The List'!$B1:$AS665,3,FALSE)," ")</f>
        <v>858</v>
      </c>
      <c r="C353" t="s" s="123">
        <f>_xlfn.IFERROR(VLOOKUP($A353,'The List'!$B1:$AS665,4,FALSE)," ")</f>
        <v>858</v>
      </c>
      <c r="D353" t="s" s="86">
        <f>_xlfn.IFERROR(VLOOKUP($A353,'The List'!$B1:$AS665,5,FALSE)," ")</f>
        <v>858</v>
      </c>
      <c r="E353" t="s" s="86">
        <f>_xlfn.IFERROR(VLOOKUP($A353,'The List'!$B1:$AS665,6,FALSE)," ")</f>
        <v>858</v>
      </c>
      <c r="F353" t="s" s="124">
        <f>_xlfn.IFERROR(VLOOKUP($A353,'The List'!$B1:$AS665,8,FALSE)," ")</f>
        <v>858</v>
      </c>
      <c r="G353" t="s" s="124">
        <f>_xlfn.IFERROR(VLOOKUP($A353,'The List'!$B1:$AS665,10,FALSE)," ")</f>
        <v>858</v>
      </c>
      <c r="H353" s="77"/>
      <c r="I353" t="s" s="125">
        <f>_xlfn.IFERROR(VLOOKUP($A353,'The List'!$B1:$AS665,16,FALSE)," ")</f>
        <v>858</v>
      </c>
      <c r="J353" t="s" s="125">
        <f>_xlfn.IFERROR(VLOOKUP($A353,'The List'!$B1:$AS665,17,FALSE)," ")</f>
        <v>858</v>
      </c>
      <c r="K353" t="s" s="125">
        <f>_xlfn.IFERROR(VLOOKUP($A353,'The List'!$B1:$AS665,18,FALSE)," ")</f>
        <v>858</v>
      </c>
      <c r="L353" t="s" s="125">
        <f>_xlfn.IFERROR(VLOOKUP($A353,'The List'!$B1:$AS665,19,FALSE)," ")</f>
        <v>858</v>
      </c>
      <c r="M353" t="s" s="125">
        <f>_xlfn.IFERROR(VLOOKUP($A353,'The List'!$B1:$AS665,20,FALSE)," ")</f>
        <v>858</v>
      </c>
      <c r="N353" t="s" s="125">
        <f>_xlfn.IFERROR(VLOOKUP($A353,'The List'!$B1:$AS665,21,FALSE)," ")</f>
        <v>858</v>
      </c>
      <c r="O353" t="s" s="125">
        <f>_xlfn.IFERROR(VLOOKUP($A353,'The List'!$B1:$AS665,22,FALSE)," ")</f>
        <v>858</v>
      </c>
      <c r="P353" t="s" s="125">
        <f>_xlfn.IFERROR(VLOOKUP($A353,'The List'!$B1:$AS665,23,FALSE)," ")</f>
        <v>858</v>
      </c>
      <c r="Q353" t="s" s="125">
        <f>_xlfn.IFERROR(VLOOKUP($A353,'The List'!$B1:$AS665,24,FALSE)," ")</f>
        <v>858</v>
      </c>
      <c r="R353" t="s" s="125">
        <f>_xlfn.IFERROR(VLOOKUP($A353,'The List'!$B1:$AS665,25,FALSE)," ")</f>
        <v>858</v>
      </c>
      <c r="S353" t="s" s="125">
        <f>_xlfn.IFERROR(VLOOKUP($A353,'The List'!$B1:$AS665,26,FALSE)," ")</f>
        <v>858</v>
      </c>
      <c r="T353" t="s" s="125">
        <f>_xlfn.IFERROR(VLOOKUP($A353,'The List'!$B1:$AS665,27,FALSE)," ")</f>
        <v>858</v>
      </c>
      <c r="U353" t="s" s="125">
        <f>_xlfn.IFERROR(VLOOKUP($A353,'The List'!$B1:$AS665,28,FALSE)," ")</f>
        <v>858</v>
      </c>
      <c r="V353" t="s" s="125">
        <f>_xlfn.IFERROR(VLOOKUP($A353,'The List'!$B1:$AS665,29,FALSE)," ")</f>
        <v>858</v>
      </c>
      <c r="W353" t="s" s="125">
        <f>_xlfn.IFERROR(VLOOKUP($A353,'The List'!$B1:$AS665,30,FALSE)," ")</f>
        <v>858</v>
      </c>
      <c r="X353" t="s" s="125">
        <f>_xlfn.IFERROR(VLOOKUP($A353,'The List'!$B1:$AS665,31,FALSE)," ")</f>
        <v>858</v>
      </c>
      <c r="Y353" t="s" s="125">
        <f>_xlfn.IFERROR(VLOOKUP($A353,'The List'!$B1:$AS665,32,FALSE)," ")</f>
        <v>858</v>
      </c>
      <c r="Z353" t="s" s="125">
        <f>_xlfn.IFERROR(VLOOKUP($A353,'The List'!$B1:$AS665,33,FALSE)," ")</f>
        <v>858</v>
      </c>
      <c r="AA353" s="120"/>
      <c r="AB353" s="121"/>
      <c r="AC353" s="121"/>
      <c r="AD353" s="121"/>
      <c r="AE353" s="121"/>
      <c r="AF353" s="144"/>
    </row>
    <row r="354" ht="21.25" customHeight="1">
      <c r="A354" s="50"/>
      <c r="B354" t="s" s="126">
        <f>_xlfn.IFERROR(VLOOKUP($A354,'The List'!$B1:$AS665,3,FALSE)," ")</f>
        <v>858</v>
      </c>
      <c r="C354" t="s" s="128">
        <f>_xlfn.IFERROR(VLOOKUP($A354,'The List'!$B1:$AS665,4,FALSE)," ")</f>
        <v>858</v>
      </c>
      <c r="D354" t="s" s="86">
        <f>_xlfn.IFERROR(VLOOKUP($A354,'The List'!$B1:$AS665,5,FALSE)," ")</f>
        <v>858</v>
      </c>
      <c r="E354" t="s" s="86">
        <f>_xlfn.IFERROR(VLOOKUP($A354,'The List'!$B1:$AS665,6,FALSE)," ")</f>
        <v>858</v>
      </c>
      <c r="F354" t="s" s="124">
        <f>_xlfn.IFERROR(VLOOKUP($A354,'The List'!$B1:$AS665,8,FALSE)," ")</f>
        <v>858</v>
      </c>
      <c r="G354" t="s" s="124">
        <f>_xlfn.IFERROR(VLOOKUP($A354,'The List'!$B1:$AS665,10,FALSE)," ")</f>
        <v>858</v>
      </c>
      <c r="H354" s="77"/>
      <c r="I354" t="s" s="125">
        <f>_xlfn.IFERROR(VLOOKUP($A354,'The List'!$B1:$AS665,16,FALSE)," ")</f>
        <v>858</v>
      </c>
      <c r="J354" t="s" s="125">
        <f>_xlfn.IFERROR(VLOOKUP($A354,'The List'!$B1:$AS665,17,FALSE)," ")</f>
        <v>858</v>
      </c>
      <c r="K354" t="s" s="125">
        <f>_xlfn.IFERROR(VLOOKUP($A354,'The List'!$B1:$AS665,18,FALSE)," ")</f>
        <v>858</v>
      </c>
      <c r="L354" t="s" s="125">
        <f>_xlfn.IFERROR(VLOOKUP($A354,'The List'!$B1:$AS665,19,FALSE)," ")</f>
        <v>858</v>
      </c>
      <c r="M354" t="s" s="125">
        <f>_xlfn.IFERROR(VLOOKUP($A354,'The List'!$B1:$AS665,20,FALSE)," ")</f>
        <v>858</v>
      </c>
      <c r="N354" t="s" s="125">
        <f>_xlfn.IFERROR(VLOOKUP($A354,'The List'!$B1:$AS665,21,FALSE)," ")</f>
        <v>858</v>
      </c>
      <c r="O354" t="s" s="125">
        <f>_xlfn.IFERROR(VLOOKUP($A354,'The List'!$B1:$AS665,22,FALSE)," ")</f>
        <v>858</v>
      </c>
      <c r="P354" t="s" s="125">
        <f>_xlfn.IFERROR(VLOOKUP($A354,'The List'!$B1:$AS665,23,FALSE)," ")</f>
        <v>858</v>
      </c>
      <c r="Q354" t="s" s="125">
        <f>_xlfn.IFERROR(VLOOKUP($A354,'The List'!$B1:$AS665,24,FALSE)," ")</f>
        <v>858</v>
      </c>
      <c r="R354" t="s" s="125">
        <f>_xlfn.IFERROR(VLOOKUP($A354,'The List'!$B1:$AS665,25,FALSE)," ")</f>
        <v>858</v>
      </c>
      <c r="S354" t="s" s="125">
        <f>_xlfn.IFERROR(VLOOKUP($A354,'The List'!$B1:$AS665,26,FALSE)," ")</f>
        <v>858</v>
      </c>
      <c r="T354" t="s" s="125">
        <f>_xlfn.IFERROR(VLOOKUP($A354,'The List'!$B1:$AS665,27,FALSE)," ")</f>
        <v>858</v>
      </c>
      <c r="U354" t="s" s="125">
        <f>_xlfn.IFERROR(VLOOKUP($A354,'The List'!$B1:$AS665,28,FALSE)," ")</f>
        <v>858</v>
      </c>
      <c r="V354" t="s" s="125">
        <f>_xlfn.IFERROR(VLOOKUP($A354,'The List'!$B1:$AS665,29,FALSE)," ")</f>
        <v>858</v>
      </c>
      <c r="W354" t="s" s="125">
        <f>_xlfn.IFERROR(VLOOKUP($A354,'The List'!$B1:$AS665,30,FALSE)," ")</f>
        <v>858</v>
      </c>
      <c r="X354" t="s" s="125">
        <f>_xlfn.IFERROR(VLOOKUP($A354,'The List'!$B1:$AS665,31,FALSE)," ")</f>
        <v>858</v>
      </c>
      <c r="Y354" t="s" s="125">
        <f>_xlfn.IFERROR(VLOOKUP($A354,'The List'!$B1:$AS665,32,FALSE)," ")</f>
        <v>858</v>
      </c>
      <c r="Z354" t="s" s="125">
        <f>_xlfn.IFERROR(VLOOKUP($A354,'The List'!$B1:$AS665,33,FALSE)," ")</f>
        <v>858</v>
      </c>
      <c r="AA354" s="120"/>
      <c r="AB354" s="121"/>
      <c r="AC354" s="121"/>
      <c r="AD354" s="121"/>
      <c r="AE354" s="121"/>
      <c r="AF354" s="144"/>
    </row>
    <row r="355" ht="21.25" customHeight="1">
      <c r="A355" s="50"/>
      <c r="B355" t="s" s="126">
        <f>_xlfn.IFERROR(VLOOKUP($A355,'The List'!$B1:$AS665,3,FALSE)," ")</f>
        <v>858</v>
      </c>
      <c r="C355" t="s" s="128">
        <f>_xlfn.IFERROR(VLOOKUP($A355,'The List'!$B1:$AS665,4,FALSE)," ")</f>
        <v>858</v>
      </c>
      <c r="D355" t="s" s="86">
        <f>_xlfn.IFERROR(VLOOKUP($A355,'The List'!$B1:$AS665,5,FALSE)," ")</f>
        <v>858</v>
      </c>
      <c r="E355" t="s" s="86">
        <f>_xlfn.IFERROR(VLOOKUP($A355,'The List'!$B1:$AS665,6,FALSE)," ")</f>
        <v>858</v>
      </c>
      <c r="F355" t="s" s="124">
        <f>_xlfn.IFERROR(VLOOKUP($A355,'The List'!$B1:$AS665,8,FALSE)," ")</f>
        <v>858</v>
      </c>
      <c r="G355" t="s" s="124">
        <f>_xlfn.IFERROR(VLOOKUP($A355,'The List'!$B1:$AS665,10,FALSE)," ")</f>
        <v>858</v>
      </c>
      <c r="H355" s="77"/>
      <c r="I355" t="s" s="125">
        <f>_xlfn.IFERROR(VLOOKUP($A355,'The List'!$B1:$AS665,16,FALSE)," ")</f>
        <v>858</v>
      </c>
      <c r="J355" t="s" s="125">
        <f>_xlfn.IFERROR(VLOOKUP($A355,'The List'!$B1:$AS665,17,FALSE)," ")</f>
        <v>858</v>
      </c>
      <c r="K355" t="s" s="125">
        <f>_xlfn.IFERROR(VLOOKUP($A355,'The List'!$B1:$AS665,18,FALSE)," ")</f>
        <v>858</v>
      </c>
      <c r="L355" t="s" s="125">
        <f>_xlfn.IFERROR(VLOOKUP($A355,'The List'!$B1:$AS665,19,FALSE)," ")</f>
        <v>858</v>
      </c>
      <c r="M355" t="s" s="125">
        <f>_xlfn.IFERROR(VLOOKUP($A355,'The List'!$B1:$AS665,20,FALSE)," ")</f>
        <v>858</v>
      </c>
      <c r="N355" t="s" s="125">
        <f>_xlfn.IFERROR(VLOOKUP($A355,'The List'!$B1:$AS665,21,FALSE)," ")</f>
        <v>858</v>
      </c>
      <c r="O355" t="s" s="125">
        <f>_xlfn.IFERROR(VLOOKUP($A355,'The List'!$B1:$AS665,22,FALSE)," ")</f>
        <v>858</v>
      </c>
      <c r="P355" t="s" s="125">
        <f>_xlfn.IFERROR(VLOOKUP($A355,'The List'!$B1:$AS665,23,FALSE)," ")</f>
        <v>858</v>
      </c>
      <c r="Q355" t="s" s="125">
        <f>_xlfn.IFERROR(VLOOKUP($A355,'The List'!$B1:$AS665,24,FALSE)," ")</f>
        <v>858</v>
      </c>
      <c r="R355" t="s" s="125">
        <f>_xlfn.IFERROR(VLOOKUP($A355,'The List'!$B1:$AS665,25,FALSE)," ")</f>
        <v>858</v>
      </c>
      <c r="S355" t="s" s="125">
        <f>_xlfn.IFERROR(VLOOKUP($A355,'The List'!$B1:$AS665,26,FALSE)," ")</f>
        <v>858</v>
      </c>
      <c r="T355" t="s" s="125">
        <f>_xlfn.IFERROR(VLOOKUP($A355,'The List'!$B1:$AS665,27,FALSE)," ")</f>
        <v>858</v>
      </c>
      <c r="U355" t="s" s="125">
        <f>_xlfn.IFERROR(VLOOKUP($A355,'The List'!$B1:$AS665,28,FALSE)," ")</f>
        <v>858</v>
      </c>
      <c r="V355" t="s" s="125">
        <f>_xlfn.IFERROR(VLOOKUP($A355,'The List'!$B1:$AS665,29,FALSE)," ")</f>
        <v>858</v>
      </c>
      <c r="W355" t="s" s="125">
        <f>_xlfn.IFERROR(VLOOKUP($A355,'The List'!$B1:$AS665,30,FALSE)," ")</f>
        <v>858</v>
      </c>
      <c r="X355" t="s" s="125">
        <f>_xlfn.IFERROR(VLOOKUP($A355,'The List'!$B1:$AS665,31,FALSE)," ")</f>
        <v>858</v>
      </c>
      <c r="Y355" t="s" s="125">
        <f>_xlfn.IFERROR(VLOOKUP($A355,'The List'!$B1:$AS665,32,FALSE)," ")</f>
        <v>858</v>
      </c>
      <c r="Z355" t="s" s="125">
        <f>_xlfn.IFERROR(VLOOKUP($A355,'The List'!$B1:$AS665,33,FALSE)," ")</f>
        <v>858</v>
      </c>
      <c r="AA355" s="120"/>
      <c r="AB355" s="121"/>
      <c r="AC355" s="121"/>
      <c r="AD355" s="121"/>
      <c r="AE355" s="121"/>
      <c r="AF355" s="144"/>
    </row>
    <row r="356" ht="21.25" customHeight="1">
      <c r="A356" s="50"/>
      <c r="B356" t="s" s="126">
        <f>_xlfn.IFERROR(VLOOKUP($A356,'The List'!$B1:$AS665,3,FALSE)," ")</f>
        <v>858</v>
      </c>
      <c r="C356" t="s" s="128">
        <f>_xlfn.IFERROR(VLOOKUP($A356,'The List'!$B1:$AS665,4,FALSE)," ")</f>
        <v>858</v>
      </c>
      <c r="D356" t="s" s="86">
        <f>_xlfn.IFERROR(VLOOKUP($A356,'The List'!$B1:$AS665,5,FALSE)," ")</f>
        <v>858</v>
      </c>
      <c r="E356" t="s" s="86">
        <f>_xlfn.IFERROR(VLOOKUP($A356,'The List'!$B1:$AS665,6,FALSE)," ")</f>
        <v>858</v>
      </c>
      <c r="F356" t="s" s="124">
        <f>_xlfn.IFERROR(VLOOKUP($A356,'The List'!$B1:$AS665,8,FALSE)," ")</f>
        <v>858</v>
      </c>
      <c r="G356" t="s" s="124">
        <f>_xlfn.IFERROR(VLOOKUP($A356,'The List'!$B1:$AS665,10,FALSE)," ")</f>
        <v>858</v>
      </c>
      <c r="H356" s="77"/>
      <c r="I356" t="s" s="125">
        <f>_xlfn.IFERROR(VLOOKUP($A356,'The List'!$B1:$AS665,16,FALSE)," ")</f>
        <v>858</v>
      </c>
      <c r="J356" t="s" s="125">
        <f>_xlfn.IFERROR(VLOOKUP($A356,'The List'!$B1:$AS665,17,FALSE)," ")</f>
        <v>858</v>
      </c>
      <c r="K356" t="s" s="125">
        <f>_xlfn.IFERROR(VLOOKUP($A356,'The List'!$B1:$AS665,18,FALSE)," ")</f>
        <v>858</v>
      </c>
      <c r="L356" t="s" s="125">
        <f>_xlfn.IFERROR(VLOOKUP($A356,'The List'!$B1:$AS665,19,FALSE)," ")</f>
        <v>858</v>
      </c>
      <c r="M356" t="s" s="125">
        <f>_xlfn.IFERROR(VLOOKUP($A356,'The List'!$B1:$AS665,20,FALSE)," ")</f>
        <v>858</v>
      </c>
      <c r="N356" t="s" s="125">
        <f>_xlfn.IFERROR(VLOOKUP($A356,'The List'!$B1:$AS665,21,FALSE)," ")</f>
        <v>858</v>
      </c>
      <c r="O356" t="s" s="125">
        <f>_xlfn.IFERROR(VLOOKUP($A356,'The List'!$B1:$AS665,22,FALSE)," ")</f>
        <v>858</v>
      </c>
      <c r="P356" t="s" s="125">
        <f>_xlfn.IFERROR(VLOOKUP($A356,'The List'!$B1:$AS665,23,FALSE)," ")</f>
        <v>858</v>
      </c>
      <c r="Q356" t="s" s="125">
        <f>_xlfn.IFERROR(VLOOKUP($A356,'The List'!$B1:$AS665,24,FALSE)," ")</f>
        <v>858</v>
      </c>
      <c r="R356" t="s" s="125">
        <f>_xlfn.IFERROR(VLOOKUP($A356,'The List'!$B1:$AS665,25,FALSE)," ")</f>
        <v>858</v>
      </c>
      <c r="S356" t="s" s="125">
        <f>_xlfn.IFERROR(VLOOKUP($A356,'The List'!$B1:$AS665,26,FALSE)," ")</f>
        <v>858</v>
      </c>
      <c r="T356" t="s" s="125">
        <f>_xlfn.IFERROR(VLOOKUP($A356,'The List'!$B1:$AS665,27,FALSE)," ")</f>
        <v>858</v>
      </c>
      <c r="U356" t="s" s="125">
        <f>_xlfn.IFERROR(VLOOKUP($A356,'The List'!$B1:$AS665,28,FALSE)," ")</f>
        <v>858</v>
      </c>
      <c r="V356" t="s" s="125">
        <f>_xlfn.IFERROR(VLOOKUP($A356,'The List'!$B1:$AS665,29,FALSE)," ")</f>
        <v>858</v>
      </c>
      <c r="W356" t="s" s="125">
        <f>_xlfn.IFERROR(VLOOKUP($A356,'The List'!$B1:$AS665,30,FALSE)," ")</f>
        <v>858</v>
      </c>
      <c r="X356" t="s" s="125">
        <f>_xlfn.IFERROR(VLOOKUP($A356,'The List'!$B1:$AS665,31,FALSE)," ")</f>
        <v>858</v>
      </c>
      <c r="Y356" t="s" s="125">
        <f>_xlfn.IFERROR(VLOOKUP($A356,'The List'!$B1:$AS665,32,FALSE)," ")</f>
        <v>858</v>
      </c>
      <c r="Z356" t="s" s="125">
        <f>_xlfn.IFERROR(VLOOKUP($A356,'The List'!$B1:$AS665,33,FALSE)," ")</f>
        <v>858</v>
      </c>
      <c r="AA356" s="120"/>
      <c r="AB356" s="121"/>
      <c r="AC356" s="121"/>
      <c r="AD356" s="121"/>
      <c r="AE356" s="121"/>
      <c r="AF356" s="144"/>
    </row>
    <row r="357" ht="21.25" customHeight="1">
      <c r="A357" s="50"/>
      <c r="B357" t="s" s="126">
        <f>_xlfn.IFERROR(VLOOKUP($A357,'The List'!$B1:$AS665,3,FALSE)," ")</f>
        <v>858</v>
      </c>
      <c r="C357" t="s" s="128">
        <f>_xlfn.IFERROR(VLOOKUP($A357,'The List'!$B1:$AS665,4,FALSE)," ")</f>
        <v>858</v>
      </c>
      <c r="D357" t="s" s="86">
        <f>_xlfn.IFERROR(VLOOKUP($A357,'The List'!$B1:$AS665,5,FALSE)," ")</f>
        <v>858</v>
      </c>
      <c r="E357" t="s" s="86">
        <f>_xlfn.IFERROR(VLOOKUP($A357,'The List'!$B1:$AS665,6,FALSE)," ")</f>
        <v>858</v>
      </c>
      <c r="F357" t="s" s="124">
        <f>_xlfn.IFERROR(VLOOKUP($A357,'The List'!$B1:$AS665,8,FALSE)," ")</f>
        <v>858</v>
      </c>
      <c r="G357" t="s" s="124">
        <f>_xlfn.IFERROR(VLOOKUP($A357,'The List'!$B1:$AS665,10,FALSE)," ")</f>
        <v>858</v>
      </c>
      <c r="H357" s="77"/>
      <c r="I357" t="s" s="125">
        <f>_xlfn.IFERROR(VLOOKUP($A357,'The List'!$B1:$AS665,16,FALSE)," ")</f>
        <v>858</v>
      </c>
      <c r="J357" t="s" s="125">
        <f>_xlfn.IFERROR(VLOOKUP($A357,'The List'!$B1:$AS665,17,FALSE)," ")</f>
        <v>858</v>
      </c>
      <c r="K357" t="s" s="125">
        <f>_xlfn.IFERROR(VLOOKUP($A357,'The List'!$B1:$AS665,18,FALSE)," ")</f>
        <v>858</v>
      </c>
      <c r="L357" t="s" s="125">
        <f>_xlfn.IFERROR(VLOOKUP($A357,'The List'!$B1:$AS665,19,FALSE)," ")</f>
        <v>858</v>
      </c>
      <c r="M357" t="s" s="125">
        <f>_xlfn.IFERROR(VLOOKUP($A357,'The List'!$B1:$AS665,20,FALSE)," ")</f>
        <v>858</v>
      </c>
      <c r="N357" t="s" s="125">
        <f>_xlfn.IFERROR(VLOOKUP($A357,'The List'!$B1:$AS665,21,FALSE)," ")</f>
        <v>858</v>
      </c>
      <c r="O357" t="s" s="125">
        <f>_xlfn.IFERROR(VLOOKUP($A357,'The List'!$B1:$AS665,22,FALSE)," ")</f>
        <v>858</v>
      </c>
      <c r="P357" t="s" s="125">
        <f>_xlfn.IFERROR(VLOOKUP($A357,'The List'!$B1:$AS665,23,FALSE)," ")</f>
        <v>858</v>
      </c>
      <c r="Q357" t="s" s="125">
        <f>_xlfn.IFERROR(VLOOKUP($A357,'The List'!$B1:$AS665,24,FALSE)," ")</f>
        <v>858</v>
      </c>
      <c r="R357" t="s" s="125">
        <f>_xlfn.IFERROR(VLOOKUP($A357,'The List'!$B1:$AS665,25,FALSE)," ")</f>
        <v>858</v>
      </c>
      <c r="S357" t="s" s="125">
        <f>_xlfn.IFERROR(VLOOKUP($A357,'The List'!$B1:$AS665,26,FALSE)," ")</f>
        <v>858</v>
      </c>
      <c r="T357" t="s" s="125">
        <f>_xlfn.IFERROR(VLOOKUP($A357,'The List'!$B1:$AS665,27,FALSE)," ")</f>
        <v>858</v>
      </c>
      <c r="U357" t="s" s="125">
        <f>_xlfn.IFERROR(VLOOKUP($A357,'The List'!$B1:$AS665,28,FALSE)," ")</f>
        <v>858</v>
      </c>
      <c r="V357" t="s" s="125">
        <f>_xlfn.IFERROR(VLOOKUP($A357,'The List'!$B1:$AS665,29,FALSE)," ")</f>
        <v>858</v>
      </c>
      <c r="W357" t="s" s="125">
        <f>_xlfn.IFERROR(VLOOKUP($A357,'The List'!$B1:$AS665,30,FALSE)," ")</f>
        <v>858</v>
      </c>
      <c r="X357" t="s" s="125">
        <f>_xlfn.IFERROR(VLOOKUP($A357,'The List'!$B1:$AS665,31,FALSE)," ")</f>
        <v>858</v>
      </c>
      <c r="Y357" t="s" s="125">
        <f>_xlfn.IFERROR(VLOOKUP($A357,'The List'!$B1:$AS665,32,FALSE)," ")</f>
        <v>858</v>
      </c>
      <c r="Z357" t="s" s="125">
        <f>_xlfn.IFERROR(VLOOKUP($A357,'The List'!$B1:$AS665,33,FALSE)," ")</f>
        <v>858</v>
      </c>
      <c r="AA357" s="120"/>
      <c r="AB357" s="121"/>
      <c r="AC357" s="121"/>
      <c r="AD357" s="121"/>
      <c r="AE357" s="121"/>
      <c r="AF357" s="144"/>
    </row>
    <row r="358" ht="21.25" customHeight="1">
      <c r="A358" s="50"/>
      <c r="B358" t="s" s="129">
        <f>_xlfn.IFERROR(VLOOKUP($A358,'The List'!$B1:$AS665,3,FALSE)," ")</f>
        <v>858</v>
      </c>
      <c r="C358" t="s" s="131">
        <f>_xlfn.IFERROR(VLOOKUP($A358,'The List'!$B1:$AS665,4,FALSE)," ")</f>
        <v>858</v>
      </c>
      <c r="D358" t="s" s="86">
        <f>_xlfn.IFERROR(VLOOKUP($A358,'The List'!$B1:$AS665,5,FALSE)," ")</f>
        <v>858</v>
      </c>
      <c r="E358" t="s" s="86">
        <f>_xlfn.IFERROR(VLOOKUP($A358,'The List'!$B1:$AS665,6,FALSE)," ")</f>
        <v>858</v>
      </c>
      <c r="F358" t="s" s="124">
        <f>_xlfn.IFERROR(VLOOKUP($A358,'The List'!$B1:$AS665,8,FALSE)," ")</f>
        <v>858</v>
      </c>
      <c r="G358" t="s" s="124">
        <f>_xlfn.IFERROR(VLOOKUP($A358,'The List'!$B1:$AS665,10,FALSE)," ")</f>
        <v>858</v>
      </c>
      <c r="H358" s="77"/>
      <c r="I358" t="s" s="125">
        <f>_xlfn.IFERROR(VLOOKUP($A358,'The List'!$B1:$AS665,16,FALSE)," ")</f>
        <v>858</v>
      </c>
      <c r="J358" t="s" s="125">
        <f>_xlfn.IFERROR(VLOOKUP($A358,'The List'!$B1:$AS665,17,FALSE)," ")</f>
        <v>858</v>
      </c>
      <c r="K358" t="s" s="125">
        <f>_xlfn.IFERROR(VLOOKUP($A358,'The List'!$B1:$AS665,18,FALSE)," ")</f>
        <v>858</v>
      </c>
      <c r="L358" t="s" s="125">
        <f>_xlfn.IFERROR(VLOOKUP($A358,'The List'!$B1:$AS665,19,FALSE)," ")</f>
        <v>858</v>
      </c>
      <c r="M358" t="s" s="125">
        <f>_xlfn.IFERROR(VLOOKUP($A358,'The List'!$B1:$AS665,20,FALSE)," ")</f>
        <v>858</v>
      </c>
      <c r="N358" t="s" s="125">
        <f>_xlfn.IFERROR(VLOOKUP($A358,'The List'!$B1:$AS665,21,FALSE)," ")</f>
        <v>858</v>
      </c>
      <c r="O358" t="s" s="125">
        <f>_xlfn.IFERROR(VLOOKUP($A358,'The List'!$B1:$AS665,22,FALSE)," ")</f>
        <v>858</v>
      </c>
      <c r="P358" t="s" s="125">
        <f>_xlfn.IFERROR(VLOOKUP($A358,'The List'!$B1:$AS665,23,FALSE)," ")</f>
        <v>858</v>
      </c>
      <c r="Q358" t="s" s="125">
        <f>_xlfn.IFERROR(VLOOKUP($A358,'The List'!$B1:$AS665,24,FALSE)," ")</f>
        <v>858</v>
      </c>
      <c r="R358" t="s" s="125">
        <f>_xlfn.IFERROR(VLOOKUP($A358,'The List'!$B1:$AS665,25,FALSE)," ")</f>
        <v>858</v>
      </c>
      <c r="S358" t="s" s="125">
        <f>_xlfn.IFERROR(VLOOKUP($A358,'The List'!$B1:$AS665,26,FALSE)," ")</f>
        <v>858</v>
      </c>
      <c r="T358" t="s" s="125">
        <f>_xlfn.IFERROR(VLOOKUP($A358,'The List'!$B1:$AS665,27,FALSE)," ")</f>
        <v>858</v>
      </c>
      <c r="U358" t="s" s="125">
        <f>_xlfn.IFERROR(VLOOKUP($A358,'The List'!$B1:$AS665,28,FALSE)," ")</f>
        <v>858</v>
      </c>
      <c r="V358" t="s" s="125">
        <f>_xlfn.IFERROR(VLOOKUP($A358,'The List'!$B1:$AS665,29,FALSE)," ")</f>
        <v>858</v>
      </c>
      <c r="W358" t="s" s="125">
        <f>_xlfn.IFERROR(VLOOKUP($A358,'The List'!$B1:$AS665,30,FALSE)," ")</f>
        <v>858</v>
      </c>
      <c r="X358" t="s" s="125">
        <f>_xlfn.IFERROR(VLOOKUP($A358,'The List'!$B1:$AS665,31,FALSE)," ")</f>
        <v>858</v>
      </c>
      <c r="Y358" t="s" s="125">
        <f>_xlfn.IFERROR(VLOOKUP($A358,'The List'!$B1:$AS665,32,FALSE)," ")</f>
        <v>858</v>
      </c>
      <c r="Z358" t="s" s="125">
        <f>_xlfn.IFERROR(VLOOKUP($A358,'The List'!$B1:$AS665,33,FALSE)," ")</f>
        <v>858</v>
      </c>
      <c r="AA358" s="120"/>
      <c r="AB358" s="121"/>
      <c r="AC358" s="121"/>
      <c r="AD358" s="121"/>
      <c r="AE358" s="121"/>
      <c r="AF358" s="144"/>
    </row>
    <row r="359" ht="21.25" customHeight="1">
      <c r="A359" s="50"/>
      <c r="B359" t="s" s="129">
        <f>_xlfn.IFERROR(VLOOKUP($A359,'The List'!$B1:$AS665,3,FALSE)," ")</f>
        <v>858</v>
      </c>
      <c r="C359" t="s" s="131">
        <f>_xlfn.IFERROR(VLOOKUP($A359,'The List'!$B1:$AS665,4,FALSE)," ")</f>
        <v>858</v>
      </c>
      <c r="D359" t="s" s="86">
        <f>_xlfn.IFERROR(VLOOKUP($A359,'The List'!$B1:$AS665,5,FALSE)," ")</f>
        <v>858</v>
      </c>
      <c r="E359" t="s" s="86">
        <f>_xlfn.IFERROR(VLOOKUP($A359,'The List'!$B1:$AS665,6,FALSE)," ")</f>
        <v>858</v>
      </c>
      <c r="F359" t="s" s="124">
        <f>_xlfn.IFERROR(VLOOKUP($A359,'The List'!$B1:$AS665,8,FALSE)," ")</f>
        <v>858</v>
      </c>
      <c r="G359" t="s" s="124">
        <f>_xlfn.IFERROR(VLOOKUP($A359,'The List'!$B1:$AS665,10,FALSE)," ")</f>
        <v>858</v>
      </c>
      <c r="H359" s="77"/>
      <c r="I359" t="s" s="125">
        <f>_xlfn.IFERROR(VLOOKUP($A359,'The List'!$B1:$AS665,16,FALSE)," ")</f>
        <v>858</v>
      </c>
      <c r="J359" t="s" s="125">
        <f>_xlfn.IFERROR(VLOOKUP($A359,'The List'!$B1:$AS665,17,FALSE)," ")</f>
        <v>858</v>
      </c>
      <c r="K359" t="s" s="125">
        <f>_xlfn.IFERROR(VLOOKUP($A359,'The List'!$B1:$AS665,18,FALSE)," ")</f>
        <v>858</v>
      </c>
      <c r="L359" t="s" s="125">
        <f>_xlfn.IFERROR(VLOOKUP($A359,'The List'!$B1:$AS665,19,FALSE)," ")</f>
        <v>858</v>
      </c>
      <c r="M359" t="s" s="125">
        <f>_xlfn.IFERROR(VLOOKUP($A359,'The List'!$B1:$AS665,20,FALSE)," ")</f>
        <v>858</v>
      </c>
      <c r="N359" t="s" s="125">
        <f>_xlfn.IFERROR(VLOOKUP($A359,'The List'!$B1:$AS665,21,FALSE)," ")</f>
        <v>858</v>
      </c>
      <c r="O359" t="s" s="125">
        <f>_xlfn.IFERROR(VLOOKUP($A359,'The List'!$B1:$AS665,22,FALSE)," ")</f>
        <v>858</v>
      </c>
      <c r="P359" t="s" s="125">
        <f>_xlfn.IFERROR(VLOOKUP($A359,'The List'!$B1:$AS665,23,FALSE)," ")</f>
        <v>858</v>
      </c>
      <c r="Q359" t="s" s="125">
        <f>_xlfn.IFERROR(VLOOKUP($A359,'The List'!$B1:$AS665,24,FALSE)," ")</f>
        <v>858</v>
      </c>
      <c r="R359" t="s" s="125">
        <f>_xlfn.IFERROR(VLOOKUP($A359,'The List'!$B1:$AS665,25,FALSE)," ")</f>
        <v>858</v>
      </c>
      <c r="S359" t="s" s="125">
        <f>_xlfn.IFERROR(VLOOKUP($A359,'The List'!$B1:$AS665,26,FALSE)," ")</f>
        <v>858</v>
      </c>
      <c r="T359" t="s" s="125">
        <f>_xlfn.IFERROR(VLOOKUP($A359,'The List'!$B1:$AS665,27,FALSE)," ")</f>
        <v>858</v>
      </c>
      <c r="U359" t="s" s="125">
        <f>_xlfn.IFERROR(VLOOKUP($A359,'The List'!$B1:$AS665,28,FALSE)," ")</f>
        <v>858</v>
      </c>
      <c r="V359" t="s" s="125">
        <f>_xlfn.IFERROR(VLOOKUP($A359,'The List'!$B1:$AS665,29,FALSE)," ")</f>
        <v>858</v>
      </c>
      <c r="W359" t="s" s="125">
        <f>_xlfn.IFERROR(VLOOKUP($A359,'The List'!$B1:$AS665,30,FALSE)," ")</f>
        <v>858</v>
      </c>
      <c r="X359" t="s" s="125">
        <f>_xlfn.IFERROR(VLOOKUP($A359,'The List'!$B1:$AS665,31,FALSE)," ")</f>
        <v>858</v>
      </c>
      <c r="Y359" t="s" s="125">
        <f>_xlfn.IFERROR(VLOOKUP($A359,'The List'!$B1:$AS665,32,FALSE)," ")</f>
        <v>858</v>
      </c>
      <c r="Z359" t="s" s="125">
        <f>_xlfn.IFERROR(VLOOKUP($A359,'The List'!$B1:$AS665,33,FALSE)," ")</f>
        <v>858</v>
      </c>
      <c r="AA359" s="120"/>
      <c r="AB359" s="121"/>
      <c r="AC359" s="121"/>
      <c r="AD359" s="121"/>
      <c r="AE359" s="121"/>
      <c r="AF359" s="144"/>
    </row>
    <row r="360" ht="21.25" customHeight="1">
      <c r="A360" s="50"/>
      <c r="B360" t="s" s="129">
        <f>_xlfn.IFERROR(VLOOKUP($A360,'The List'!$B1:$AS665,3,FALSE)," ")</f>
        <v>858</v>
      </c>
      <c r="C360" t="s" s="131">
        <f>_xlfn.IFERROR(VLOOKUP($A360,'The List'!$B1:$AS665,4,FALSE)," ")</f>
        <v>858</v>
      </c>
      <c r="D360" t="s" s="86">
        <f>_xlfn.IFERROR(VLOOKUP($A360,'The List'!$B1:$AS665,5,FALSE)," ")</f>
        <v>858</v>
      </c>
      <c r="E360" t="s" s="86">
        <f>_xlfn.IFERROR(VLOOKUP($A360,'The List'!$B1:$AS665,6,FALSE)," ")</f>
        <v>858</v>
      </c>
      <c r="F360" t="s" s="124">
        <f>_xlfn.IFERROR(VLOOKUP($A360,'The List'!$B1:$AS665,8,FALSE)," ")</f>
        <v>858</v>
      </c>
      <c r="G360" t="s" s="124">
        <f>_xlfn.IFERROR(VLOOKUP($A360,'The List'!$B1:$AS665,10,FALSE)," ")</f>
        <v>858</v>
      </c>
      <c r="H360" s="77"/>
      <c r="I360" t="s" s="125">
        <f>_xlfn.IFERROR(VLOOKUP($A360,'The List'!$B1:$AS665,16,FALSE)," ")</f>
        <v>858</v>
      </c>
      <c r="J360" t="s" s="125">
        <f>_xlfn.IFERROR(VLOOKUP($A360,'The List'!$B1:$AS665,17,FALSE)," ")</f>
        <v>858</v>
      </c>
      <c r="K360" t="s" s="125">
        <f>_xlfn.IFERROR(VLOOKUP($A360,'The List'!$B1:$AS665,18,FALSE)," ")</f>
        <v>858</v>
      </c>
      <c r="L360" t="s" s="125">
        <f>_xlfn.IFERROR(VLOOKUP($A360,'The List'!$B1:$AS665,19,FALSE)," ")</f>
        <v>858</v>
      </c>
      <c r="M360" t="s" s="125">
        <f>_xlfn.IFERROR(VLOOKUP($A360,'The List'!$B1:$AS665,20,FALSE)," ")</f>
        <v>858</v>
      </c>
      <c r="N360" t="s" s="125">
        <f>_xlfn.IFERROR(VLOOKUP($A360,'The List'!$B1:$AS665,21,FALSE)," ")</f>
        <v>858</v>
      </c>
      <c r="O360" t="s" s="125">
        <f>_xlfn.IFERROR(VLOOKUP($A360,'The List'!$B1:$AS665,22,FALSE)," ")</f>
        <v>858</v>
      </c>
      <c r="P360" t="s" s="125">
        <f>_xlfn.IFERROR(VLOOKUP($A360,'The List'!$B1:$AS665,23,FALSE)," ")</f>
        <v>858</v>
      </c>
      <c r="Q360" t="s" s="125">
        <f>_xlfn.IFERROR(VLOOKUP($A360,'The List'!$B1:$AS665,24,FALSE)," ")</f>
        <v>858</v>
      </c>
      <c r="R360" t="s" s="125">
        <f>_xlfn.IFERROR(VLOOKUP($A360,'The List'!$B1:$AS665,25,FALSE)," ")</f>
        <v>858</v>
      </c>
      <c r="S360" t="s" s="125">
        <f>_xlfn.IFERROR(VLOOKUP($A360,'The List'!$B1:$AS665,26,FALSE)," ")</f>
        <v>858</v>
      </c>
      <c r="T360" t="s" s="125">
        <f>_xlfn.IFERROR(VLOOKUP($A360,'The List'!$B1:$AS665,27,FALSE)," ")</f>
        <v>858</v>
      </c>
      <c r="U360" t="s" s="125">
        <f>_xlfn.IFERROR(VLOOKUP($A360,'The List'!$B1:$AS665,28,FALSE)," ")</f>
        <v>858</v>
      </c>
      <c r="V360" t="s" s="125">
        <f>_xlfn.IFERROR(VLOOKUP($A360,'The List'!$B1:$AS665,29,FALSE)," ")</f>
        <v>858</v>
      </c>
      <c r="W360" t="s" s="125">
        <f>_xlfn.IFERROR(VLOOKUP($A360,'The List'!$B1:$AS665,30,FALSE)," ")</f>
        <v>858</v>
      </c>
      <c r="X360" t="s" s="125">
        <f>_xlfn.IFERROR(VLOOKUP($A360,'The List'!$B1:$AS665,31,FALSE)," ")</f>
        <v>858</v>
      </c>
      <c r="Y360" t="s" s="125">
        <f>_xlfn.IFERROR(VLOOKUP($A360,'The List'!$B1:$AS665,32,FALSE)," ")</f>
        <v>858</v>
      </c>
      <c r="Z360" t="s" s="125">
        <f>_xlfn.IFERROR(VLOOKUP($A360,'The List'!$B1:$AS665,33,FALSE)," ")</f>
        <v>858</v>
      </c>
      <c r="AA360" s="120"/>
      <c r="AB360" s="121"/>
      <c r="AC360" s="121"/>
      <c r="AD360" s="121"/>
      <c r="AE360" s="121"/>
      <c r="AF360" s="144"/>
    </row>
    <row r="361" ht="21.25" customHeight="1">
      <c r="A361" s="50"/>
      <c r="B361" t="s" s="129">
        <f>_xlfn.IFERROR(VLOOKUP($A361,'The List'!$B1:$AS665,3,FALSE)," ")</f>
        <v>858</v>
      </c>
      <c r="C361" t="s" s="131">
        <f>_xlfn.IFERROR(VLOOKUP($A361,'The List'!$B1:$AS665,4,FALSE)," ")</f>
        <v>858</v>
      </c>
      <c r="D361" t="s" s="86">
        <f>_xlfn.IFERROR(VLOOKUP($A361,'The List'!$B1:$AS665,5,FALSE)," ")</f>
        <v>858</v>
      </c>
      <c r="E361" t="s" s="86">
        <f>_xlfn.IFERROR(VLOOKUP($A361,'The List'!$B1:$AS665,6,FALSE)," ")</f>
        <v>858</v>
      </c>
      <c r="F361" t="s" s="124">
        <f>_xlfn.IFERROR(VLOOKUP($A361,'The List'!$B1:$AS665,8,FALSE)," ")</f>
        <v>858</v>
      </c>
      <c r="G361" t="s" s="124">
        <f>_xlfn.IFERROR(VLOOKUP($A361,'The List'!$B1:$AS665,10,FALSE)," ")</f>
        <v>858</v>
      </c>
      <c r="H361" s="77"/>
      <c r="I361" t="s" s="125">
        <f>_xlfn.IFERROR(VLOOKUP($A361,'The List'!$B1:$AS665,16,FALSE)," ")</f>
        <v>858</v>
      </c>
      <c r="J361" t="s" s="125">
        <f>_xlfn.IFERROR(VLOOKUP($A361,'The List'!$B1:$AS665,17,FALSE)," ")</f>
        <v>858</v>
      </c>
      <c r="K361" t="s" s="125">
        <f>_xlfn.IFERROR(VLOOKUP($A361,'The List'!$B1:$AS665,18,FALSE)," ")</f>
        <v>858</v>
      </c>
      <c r="L361" t="s" s="125">
        <f>_xlfn.IFERROR(VLOOKUP($A361,'The List'!$B1:$AS665,19,FALSE)," ")</f>
        <v>858</v>
      </c>
      <c r="M361" t="s" s="125">
        <f>_xlfn.IFERROR(VLOOKUP($A361,'The List'!$B1:$AS665,20,FALSE)," ")</f>
        <v>858</v>
      </c>
      <c r="N361" t="s" s="125">
        <f>_xlfn.IFERROR(VLOOKUP($A361,'The List'!$B1:$AS665,21,FALSE)," ")</f>
        <v>858</v>
      </c>
      <c r="O361" t="s" s="125">
        <f>_xlfn.IFERROR(VLOOKUP($A361,'The List'!$B1:$AS665,22,FALSE)," ")</f>
        <v>858</v>
      </c>
      <c r="P361" t="s" s="125">
        <f>_xlfn.IFERROR(VLOOKUP($A361,'The List'!$B1:$AS665,23,FALSE)," ")</f>
        <v>858</v>
      </c>
      <c r="Q361" t="s" s="125">
        <f>_xlfn.IFERROR(VLOOKUP($A361,'The List'!$B1:$AS665,24,FALSE)," ")</f>
        <v>858</v>
      </c>
      <c r="R361" t="s" s="125">
        <f>_xlfn.IFERROR(VLOOKUP($A361,'The List'!$B1:$AS665,25,FALSE)," ")</f>
        <v>858</v>
      </c>
      <c r="S361" t="s" s="125">
        <f>_xlfn.IFERROR(VLOOKUP($A361,'The List'!$B1:$AS665,26,FALSE)," ")</f>
        <v>858</v>
      </c>
      <c r="T361" t="s" s="125">
        <f>_xlfn.IFERROR(VLOOKUP($A361,'The List'!$B1:$AS665,27,FALSE)," ")</f>
        <v>858</v>
      </c>
      <c r="U361" t="s" s="125">
        <f>_xlfn.IFERROR(VLOOKUP($A361,'The List'!$B1:$AS665,28,FALSE)," ")</f>
        <v>858</v>
      </c>
      <c r="V361" t="s" s="125">
        <f>_xlfn.IFERROR(VLOOKUP($A361,'The List'!$B1:$AS665,29,FALSE)," ")</f>
        <v>858</v>
      </c>
      <c r="W361" t="s" s="125">
        <f>_xlfn.IFERROR(VLOOKUP($A361,'The List'!$B1:$AS665,30,FALSE)," ")</f>
        <v>858</v>
      </c>
      <c r="X361" t="s" s="125">
        <f>_xlfn.IFERROR(VLOOKUP($A361,'The List'!$B1:$AS665,31,FALSE)," ")</f>
        <v>858</v>
      </c>
      <c r="Y361" t="s" s="125">
        <f>_xlfn.IFERROR(VLOOKUP($A361,'The List'!$B1:$AS665,32,FALSE)," ")</f>
        <v>858</v>
      </c>
      <c r="Z361" t="s" s="125">
        <f>_xlfn.IFERROR(VLOOKUP($A361,'The List'!$B1:$AS665,33,FALSE)," ")</f>
        <v>858</v>
      </c>
      <c r="AA361" s="120"/>
      <c r="AB361" s="121"/>
      <c r="AC361" s="121"/>
      <c r="AD361" s="121"/>
      <c r="AE361" s="121"/>
      <c r="AF361" s="144"/>
    </row>
    <row r="362" ht="21.25" customHeight="1">
      <c r="A362" s="50"/>
      <c r="B362" t="s" s="132">
        <f>_xlfn.IFERROR(VLOOKUP($A362,'The List'!$B1:$AS665,3,FALSE)," ")</f>
        <v>858</v>
      </c>
      <c r="C362" t="s" s="134">
        <f>_xlfn.IFERROR(VLOOKUP($A362,'The List'!$B1:$AS665,4,FALSE)," ")</f>
        <v>858</v>
      </c>
      <c r="D362" t="s" s="86">
        <f>_xlfn.IFERROR(VLOOKUP($A362,'The List'!$B1:$AS665,5,FALSE)," ")</f>
        <v>858</v>
      </c>
      <c r="E362" t="s" s="86">
        <f>_xlfn.IFERROR(VLOOKUP($A362,'The List'!$B1:$AS665,6,FALSE)," ")</f>
        <v>858</v>
      </c>
      <c r="F362" t="s" s="124">
        <f>_xlfn.IFERROR(VLOOKUP($A362,'The List'!$B1:$AS665,8,FALSE)," ")</f>
        <v>858</v>
      </c>
      <c r="G362" t="s" s="124">
        <f>_xlfn.IFERROR(VLOOKUP($A362,'The List'!$B1:$AS665,10,FALSE)," ")</f>
        <v>858</v>
      </c>
      <c r="H362" s="77"/>
      <c r="I362" t="s" s="125">
        <f>_xlfn.IFERROR(VLOOKUP($A362,'The List'!$B1:$AS665,16,FALSE)," ")</f>
        <v>858</v>
      </c>
      <c r="J362" t="s" s="125">
        <f>_xlfn.IFERROR(VLOOKUP($A362,'The List'!$B1:$AS665,17,FALSE)," ")</f>
        <v>858</v>
      </c>
      <c r="K362" t="s" s="125">
        <f>_xlfn.IFERROR(VLOOKUP($A362,'The List'!$B1:$AS665,18,FALSE)," ")</f>
        <v>858</v>
      </c>
      <c r="L362" t="s" s="125">
        <f>_xlfn.IFERROR(VLOOKUP($A362,'The List'!$B1:$AS665,19,FALSE)," ")</f>
        <v>858</v>
      </c>
      <c r="M362" t="s" s="125">
        <f>_xlfn.IFERROR(VLOOKUP($A362,'The List'!$B1:$AS665,20,FALSE)," ")</f>
        <v>858</v>
      </c>
      <c r="N362" t="s" s="125">
        <f>_xlfn.IFERROR(VLOOKUP($A362,'The List'!$B1:$AS665,21,FALSE)," ")</f>
        <v>858</v>
      </c>
      <c r="O362" t="s" s="125">
        <f>_xlfn.IFERROR(VLOOKUP($A362,'The List'!$B1:$AS665,22,FALSE)," ")</f>
        <v>858</v>
      </c>
      <c r="P362" t="s" s="125">
        <f>_xlfn.IFERROR(VLOOKUP($A362,'The List'!$B1:$AS665,23,FALSE)," ")</f>
        <v>858</v>
      </c>
      <c r="Q362" t="s" s="125">
        <f>_xlfn.IFERROR(VLOOKUP($A362,'The List'!$B1:$AS665,24,FALSE)," ")</f>
        <v>858</v>
      </c>
      <c r="R362" t="s" s="125">
        <f>_xlfn.IFERROR(VLOOKUP($A362,'The List'!$B1:$AS665,25,FALSE)," ")</f>
        <v>858</v>
      </c>
      <c r="S362" t="s" s="125">
        <f>_xlfn.IFERROR(VLOOKUP($A362,'The List'!$B1:$AS665,26,FALSE)," ")</f>
        <v>858</v>
      </c>
      <c r="T362" t="s" s="125">
        <f>_xlfn.IFERROR(VLOOKUP($A362,'The List'!$B1:$AS665,27,FALSE)," ")</f>
        <v>858</v>
      </c>
      <c r="U362" t="s" s="125">
        <f>_xlfn.IFERROR(VLOOKUP($A362,'The List'!$B1:$AS665,28,FALSE)," ")</f>
        <v>858</v>
      </c>
      <c r="V362" t="s" s="125">
        <f>_xlfn.IFERROR(VLOOKUP($A362,'The List'!$B1:$AS665,29,FALSE)," ")</f>
        <v>858</v>
      </c>
      <c r="W362" t="s" s="125">
        <f>_xlfn.IFERROR(VLOOKUP($A362,'The List'!$B1:$AS665,30,FALSE)," ")</f>
        <v>858</v>
      </c>
      <c r="X362" t="s" s="125">
        <f>_xlfn.IFERROR(VLOOKUP($A362,'The List'!$B1:$AS665,31,FALSE)," ")</f>
        <v>858</v>
      </c>
      <c r="Y362" t="s" s="125">
        <f>_xlfn.IFERROR(VLOOKUP($A362,'The List'!$B1:$AS665,32,FALSE)," ")</f>
        <v>858</v>
      </c>
      <c r="Z362" t="s" s="125">
        <f>_xlfn.IFERROR(VLOOKUP($A362,'The List'!$B1:$AS665,33,FALSE)," ")</f>
        <v>858</v>
      </c>
      <c r="AA362" s="120"/>
      <c r="AB362" s="121"/>
      <c r="AC362" s="121"/>
      <c r="AD362" s="121"/>
      <c r="AE362" s="121"/>
      <c r="AF362" s="144"/>
    </row>
    <row r="363" ht="21.25" customHeight="1">
      <c r="A363" s="50"/>
      <c r="B363" t="s" s="132">
        <f>_xlfn.IFERROR(VLOOKUP($A363,'The List'!$B1:$AS665,3,FALSE)," ")</f>
        <v>858</v>
      </c>
      <c r="C363" t="s" s="134">
        <f>_xlfn.IFERROR(VLOOKUP($A363,'The List'!$B1:$AS665,4,FALSE)," ")</f>
        <v>858</v>
      </c>
      <c r="D363" t="s" s="86">
        <f>_xlfn.IFERROR(VLOOKUP($A363,'The List'!$B1:$AS665,5,FALSE)," ")</f>
        <v>858</v>
      </c>
      <c r="E363" t="s" s="86">
        <f>_xlfn.IFERROR(VLOOKUP($A363,'The List'!$B1:$AS665,6,FALSE)," ")</f>
        <v>858</v>
      </c>
      <c r="F363" t="s" s="124">
        <f>_xlfn.IFERROR(VLOOKUP($A363,'The List'!$B1:$AS665,8,FALSE)," ")</f>
        <v>858</v>
      </c>
      <c r="G363" t="s" s="124">
        <f>_xlfn.IFERROR(VLOOKUP($A363,'The List'!$B1:$AS665,10,FALSE)," ")</f>
        <v>858</v>
      </c>
      <c r="H363" s="77"/>
      <c r="I363" t="s" s="125">
        <f>_xlfn.IFERROR(VLOOKUP($A363,'The List'!$B1:$AS665,16,FALSE)," ")</f>
        <v>858</v>
      </c>
      <c r="J363" t="s" s="125">
        <f>_xlfn.IFERROR(VLOOKUP($A363,'The List'!$B1:$AS665,17,FALSE)," ")</f>
        <v>858</v>
      </c>
      <c r="K363" t="s" s="125">
        <f>_xlfn.IFERROR(VLOOKUP($A363,'The List'!$B1:$AS665,18,FALSE)," ")</f>
        <v>858</v>
      </c>
      <c r="L363" t="s" s="125">
        <f>_xlfn.IFERROR(VLOOKUP($A363,'The List'!$B1:$AS665,19,FALSE)," ")</f>
        <v>858</v>
      </c>
      <c r="M363" t="s" s="125">
        <f>_xlfn.IFERROR(VLOOKUP($A363,'The List'!$B1:$AS665,20,FALSE)," ")</f>
        <v>858</v>
      </c>
      <c r="N363" t="s" s="125">
        <f>_xlfn.IFERROR(VLOOKUP($A363,'The List'!$B1:$AS665,21,FALSE)," ")</f>
        <v>858</v>
      </c>
      <c r="O363" t="s" s="125">
        <f>_xlfn.IFERROR(VLOOKUP($A363,'The List'!$B1:$AS665,22,FALSE)," ")</f>
        <v>858</v>
      </c>
      <c r="P363" t="s" s="125">
        <f>_xlfn.IFERROR(VLOOKUP($A363,'The List'!$B1:$AS665,23,FALSE)," ")</f>
        <v>858</v>
      </c>
      <c r="Q363" t="s" s="125">
        <f>_xlfn.IFERROR(VLOOKUP($A363,'The List'!$B1:$AS665,24,FALSE)," ")</f>
        <v>858</v>
      </c>
      <c r="R363" t="s" s="125">
        <f>_xlfn.IFERROR(VLOOKUP($A363,'The List'!$B1:$AS665,25,FALSE)," ")</f>
        <v>858</v>
      </c>
      <c r="S363" t="s" s="125">
        <f>_xlfn.IFERROR(VLOOKUP($A363,'The List'!$B1:$AS665,26,FALSE)," ")</f>
        <v>858</v>
      </c>
      <c r="T363" t="s" s="125">
        <f>_xlfn.IFERROR(VLOOKUP($A363,'The List'!$B1:$AS665,27,FALSE)," ")</f>
        <v>858</v>
      </c>
      <c r="U363" t="s" s="125">
        <f>_xlfn.IFERROR(VLOOKUP($A363,'The List'!$B1:$AS665,28,FALSE)," ")</f>
        <v>858</v>
      </c>
      <c r="V363" t="s" s="125">
        <f>_xlfn.IFERROR(VLOOKUP($A363,'The List'!$B1:$AS665,29,FALSE)," ")</f>
        <v>858</v>
      </c>
      <c r="W363" t="s" s="125">
        <f>_xlfn.IFERROR(VLOOKUP($A363,'The List'!$B1:$AS665,30,FALSE)," ")</f>
        <v>858</v>
      </c>
      <c r="X363" t="s" s="125">
        <f>_xlfn.IFERROR(VLOOKUP($A363,'The List'!$B1:$AS665,31,FALSE)," ")</f>
        <v>858</v>
      </c>
      <c r="Y363" t="s" s="125">
        <f>_xlfn.IFERROR(VLOOKUP($A363,'The List'!$B1:$AS665,32,FALSE)," ")</f>
        <v>858</v>
      </c>
      <c r="Z363" t="s" s="125">
        <f>_xlfn.IFERROR(VLOOKUP($A363,'The List'!$B1:$AS665,33,FALSE)," ")</f>
        <v>858</v>
      </c>
      <c r="AA363" s="120"/>
      <c r="AB363" s="121"/>
      <c r="AC363" s="121"/>
      <c r="AD363" s="121"/>
      <c r="AE363" s="121"/>
      <c r="AF363" s="144"/>
    </row>
    <row r="364" ht="21.25" customHeight="1">
      <c r="A364" s="50"/>
      <c r="B364" t="s" s="132">
        <f>_xlfn.IFERROR(VLOOKUP($A364,'The List'!$B1:$AS665,3,FALSE)," ")</f>
        <v>858</v>
      </c>
      <c r="C364" t="s" s="134">
        <f>_xlfn.IFERROR(VLOOKUP($A364,'The List'!$B1:$AS665,4,FALSE)," ")</f>
        <v>858</v>
      </c>
      <c r="D364" t="s" s="86">
        <f>_xlfn.IFERROR(VLOOKUP($A364,'The List'!$B1:$AS665,5,FALSE)," ")</f>
        <v>858</v>
      </c>
      <c r="E364" t="s" s="86">
        <f>_xlfn.IFERROR(VLOOKUP($A364,'The List'!$B1:$AS665,6,FALSE)," ")</f>
        <v>858</v>
      </c>
      <c r="F364" t="s" s="124">
        <f>_xlfn.IFERROR(VLOOKUP($A364,'The List'!$B1:$AS665,8,FALSE)," ")</f>
        <v>858</v>
      </c>
      <c r="G364" t="s" s="124">
        <f>_xlfn.IFERROR(VLOOKUP($A364,'The List'!$B1:$AS665,10,FALSE)," ")</f>
        <v>858</v>
      </c>
      <c r="H364" s="77"/>
      <c r="I364" t="s" s="125">
        <f>_xlfn.IFERROR(VLOOKUP($A364,'The List'!$B1:$AS665,16,FALSE)," ")</f>
        <v>858</v>
      </c>
      <c r="J364" t="s" s="125">
        <f>_xlfn.IFERROR(VLOOKUP($A364,'The List'!$B1:$AS665,17,FALSE)," ")</f>
        <v>858</v>
      </c>
      <c r="K364" t="s" s="125">
        <f>_xlfn.IFERROR(VLOOKUP($A364,'The List'!$B1:$AS665,18,FALSE)," ")</f>
        <v>858</v>
      </c>
      <c r="L364" t="s" s="125">
        <f>_xlfn.IFERROR(VLOOKUP($A364,'The List'!$B1:$AS665,19,FALSE)," ")</f>
        <v>858</v>
      </c>
      <c r="M364" t="s" s="125">
        <f>_xlfn.IFERROR(VLOOKUP($A364,'The List'!$B1:$AS665,20,FALSE)," ")</f>
        <v>858</v>
      </c>
      <c r="N364" t="s" s="125">
        <f>_xlfn.IFERROR(VLOOKUP($A364,'The List'!$B1:$AS665,21,FALSE)," ")</f>
        <v>858</v>
      </c>
      <c r="O364" t="s" s="125">
        <f>_xlfn.IFERROR(VLOOKUP($A364,'The List'!$B1:$AS665,22,FALSE)," ")</f>
        <v>858</v>
      </c>
      <c r="P364" t="s" s="125">
        <f>_xlfn.IFERROR(VLOOKUP($A364,'The List'!$B1:$AS665,23,FALSE)," ")</f>
        <v>858</v>
      </c>
      <c r="Q364" t="s" s="125">
        <f>_xlfn.IFERROR(VLOOKUP($A364,'The List'!$B1:$AS665,24,FALSE)," ")</f>
        <v>858</v>
      </c>
      <c r="R364" t="s" s="125">
        <f>_xlfn.IFERROR(VLOOKUP($A364,'The List'!$B1:$AS665,25,FALSE)," ")</f>
        <v>858</v>
      </c>
      <c r="S364" t="s" s="125">
        <f>_xlfn.IFERROR(VLOOKUP($A364,'The List'!$B1:$AS665,26,FALSE)," ")</f>
        <v>858</v>
      </c>
      <c r="T364" t="s" s="125">
        <f>_xlfn.IFERROR(VLOOKUP($A364,'The List'!$B1:$AS665,27,FALSE)," ")</f>
        <v>858</v>
      </c>
      <c r="U364" t="s" s="125">
        <f>_xlfn.IFERROR(VLOOKUP($A364,'The List'!$B1:$AS665,28,FALSE)," ")</f>
        <v>858</v>
      </c>
      <c r="V364" t="s" s="125">
        <f>_xlfn.IFERROR(VLOOKUP($A364,'The List'!$B1:$AS665,29,FALSE)," ")</f>
        <v>858</v>
      </c>
      <c r="W364" t="s" s="125">
        <f>_xlfn.IFERROR(VLOOKUP($A364,'The List'!$B1:$AS665,30,FALSE)," ")</f>
        <v>858</v>
      </c>
      <c r="X364" t="s" s="125">
        <f>_xlfn.IFERROR(VLOOKUP($A364,'The List'!$B1:$AS665,31,FALSE)," ")</f>
        <v>858</v>
      </c>
      <c r="Y364" t="s" s="125">
        <f>_xlfn.IFERROR(VLOOKUP($A364,'The List'!$B1:$AS665,32,FALSE)," ")</f>
        <v>858</v>
      </c>
      <c r="Z364" t="s" s="125">
        <f>_xlfn.IFERROR(VLOOKUP($A364,'The List'!$B1:$AS665,33,FALSE)," ")</f>
        <v>858</v>
      </c>
      <c r="AA364" s="120"/>
      <c r="AB364" s="121"/>
      <c r="AC364" s="121"/>
      <c r="AD364" s="121"/>
      <c r="AE364" s="121"/>
      <c r="AF364" s="144"/>
    </row>
    <row r="365" ht="21.25" customHeight="1">
      <c r="A365" s="50"/>
      <c r="B365" t="s" s="132">
        <f>_xlfn.IFERROR(VLOOKUP($A365,'The List'!$B1:$AS665,3,FALSE)," ")</f>
        <v>858</v>
      </c>
      <c r="C365" t="s" s="134">
        <f>_xlfn.IFERROR(VLOOKUP($A365,'The List'!$B1:$AS665,4,FALSE)," ")</f>
        <v>858</v>
      </c>
      <c r="D365" t="s" s="86">
        <f>_xlfn.IFERROR(VLOOKUP($A365,'The List'!$B1:$AS665,5,FALSE)," ")</f>
        <v>858</v>
      </c>
      <c r="E365" t="s" s="86">
        <f>_xlfn.IFERROR(VLOOKUP($A365,'The List'!$B1:$AS665,6,FALSE)," ")</f>
        <v>858</v>
      </c>
      <c r="F365" t="s" s="124">
        <f>_xlfn.IFERROR(VLOOKUP($A365,'The List'!$B1:$AS665,8,FALSE)," ")</f>
        <v>858</v>
      </c>
      <c r="G365" t="s" s="124">
        <f>_xlfn.IFERROR(VLOOKUP($A365,'The List'!$B1:$AS665,10,FALSE)," ")</f>
        <v>858</v>
      </c>
      <c r="H365" s="77"/>
      <c r="I365" t="s" s="125">
        <f>_xlfn.IFERROR(VLOOKUP($A365,'The List'!$B1:$AS665,16,FALSE)," ")</f>
        <v>858</v>
      </c>
      <c r="J365" t="s" s="125">
        <f>_xlfn.IFERROR(VLOOKUP($A365,'The List'!$B1:$AS665,17,FALSE)," ")</f>
        <v>858</v>
      </c>
      <c r="K365" t="s" s="125">
        <f>_xlfn.IFERROR(VLOOKUP($A365,'The List'!$B1:$AS665,18,FALSE)," ")</f>
        <v>858</v>
      </c>
      <c r="L365" t="s" s="125">
        <f>_xlfn.IFERROR(VLOOKUP($A365,'The List'!$B1:$AS665,19,FALSE)," ")</f>
        <v>858</v>
      </c>
      <c r="M365" t="s" s="125">
        <f>_xlfn.IFERROR(VLOOKUP($A365,'The List'!$B1:$AS665,20,FALSE)," ")</f>
        <v>858</v>
      </c>
      <c r="N365" t="s" s="125">
        <f>_xlfn.IFERROR(VLOOKUP($A365,'The List'!$B1:$AS665,21,FALSE)," ")</f>
        <v>858</v>
      </c>
      <c r="O365" t="s" s="125">
        <f>_xlfn.IFERROR(VLOOKUP($A365,'The List'!$B1:$AS665,22,FALSE)," ")</f>
        <v>858</v>
      </c>
      <c r="P365" t="s" s="125">
        <f>_xlfn.IFERROR(VLOOKUP($A365,'The List'!$B1:$AS665,23,FALSE)," ")</f>
        <v>858</v>
      </c>
      <c r="Q365" t="s" s="125">
        <f>_xlfn.IFERROR(VLOOKUP($A365,'The List'!$B1:$AS665,24,FALSE)," ")</f>
        <v>858</v>
      </c>
      <c r="R365" t="s" s="125">
        <f>_xlfn.IFERROR(VLOOKUP($A365,'The List'!$B1:$AS665,25,FALSE)," ")</f>
        <v>858</v>
      </c>
      <c r="S365" t="s" s="125">
        <f>_xlfn.IFERROR(VLOOKUP($A365,'The List'!$B1:$AS665,26,FALSE)," ")</f>
        <v>858</v>
      </c>
      <c r="T365" t="s" s="125">
        <f>_xlfn.IFERROR(VLOOKUP($A365,'The List'!$B1:$AS665,27,FALSE)," ")</f>
        <v>858</v>
      </c>
      <c r="U365" t="s" s="125">
        <f>_xlfn.IFERROR(VLOOKUP($A365,'The List'!$B1:$AS665,28,FALSE)," ")</f>
        <v>858</v>
      </c>
      <c r="V365" t="s" s="125">
        <f>_xlfn.IFERROR(VLOOKUP($A365,'The List'!$B1:$AS665,29,FALSE)," ")</f>
        <v>858</v>
      </c>
      <c r="W365" t="s" s="125">
        <f>_xlfn.IFERROR(VLOOKUP($A365,'The List'!$B1:$AS665,30,FALSE)," ")</f>
        <v>858</v>
      </c>
      <c r="X365" t="s" s="125">
        <f>_xlfn.IFERROR(VLOOKUP($A365,'The List'!$B1:$AS665,31,FALSE)," ")</f>
        <v>858</v>
      </c>
      <c r="Y365" t="s" s="125">
        <f>_xlfn.IFERROR(VLOOKUP($A365,'The List'!$B1:$AS665,32,FALSE)," ")</f>
        <v>858</v>
      </c>
      <c r="Z365" t="s" s="125">
        <f>_xlfn.IFERROR(VLOOKUP($A365,'The List'!$B1:$AS665,33,FALSE)," ")</f>
        <v>858</v>
      </c>
      <c r="AA365" s="120"/>
      <c r="AB365" s="121"/>
      <c r="AC365" s="121"/>
      <c r="AD365" s="121"/>
      <c r="AE365" s="121"/>
      <c r="AF365" s="144"/>
    </row>
    <row r="366" ht="21.25" customHeight="1">
      <c r="A366" s="50"/>
      <c r="B366" t="s" s="132">
        <f>_xlfn.IFERROR(VLOOKUP($A366,'The List'!$B1:$AS665,3,FALSE)," ")</f>
        <v>858</v>
      </c>
      <c r="C366" t="s" s="134">
        <f>_xlfn.IFERROR(VLOOKUP($A366,'The List'!$B1:$AS665,4,FALSE)," ")</f>
        <v>858</v>
      </c>
      <c r="D366" t="s" s="86">
        <f>_xlfn.IFERROR(VLOOKUP($A366,'The List'!$B1:$AS665,5,FALSE)," ")</f>
        <v>858</v>
      </c>
      <c r="E366" t="s" s="86">
        <f>_xlfn.IFERROR(VLOOKUP($A366,'The List'!$B1:$AS665,6,FALSE)," ")</f>
        <v>858</v>
      </c>
      <c r="F366" t="s" s="124">
        <f>_xlfn.IFERROR(VLOOKUP($A366,'The List'!$B1:$AS665,8,FALSE)," ")</f>
        <v>858</v>
      </c>
      <c r="G366" t="s" s="124">
        <f>_xlfn.IFERROR(VLOOKUP($A366,'The List'!$B1:$AS665,10,FALSE)," ")</f>
        <v>858</v>
      </c>
      <c r="H366" s="77"/>
      <c r="I366" t="s" s="125">
        <f>_xlfn.IFERROR(VLOOKUP($A366,'The List'!$B1:$AS665,16,FALSE)," ")</f>
        <v>858</v>
      </c>
      <c r="J366" t="s" s="125">
        <f>_xlfn.IFERROR(VLOOKUP($A366,'The List'!$B1:$AS665,17,FALSE)," ")</f>
        <v>858</v>
      </c>
      <c r="K366" t="s" s="125">
        <f>_xlfn.IFERROR(VLOOKUP($A366,'The List'!$B1:$AS665,18,FALSE)," ")</f>
        <v>858</v>
      </c>
      <c r="L366" t="s" s="125">
        <f>_xlfn.IFERROR(VLOOKUP($A366,'The List'!$B1:$AS665,19,FALSE)," ")</f>
        <v>858</v>
      </c>
      <c r="M366" t="s" s="125">
        <f>_xlfn.IFERROR(VLOOKUP($A366,'The List'!$B1:$AS665,20,FALSE)," ")</f>
        <v>858</v>
      </c>
      <c r="N366" t="s" s="125">
        <f>_xlfn.IFERROR(VLOOKUP($A366,'The List'!$B1:$AS665,21,FALSE)," ")</f>
        <v>858</v>
      </c>
      <c r="O366" t="s" s="125">
        <f>_xlfn.IFERROR(VLOOKUP($A366,'The List'!$B1:$AS665,22,FALSE)," ")</f>
        <v>858</v>
      </c>
      <c r="P366" t="s" s="125">
        <f>_xlfn.IFERROR(VLOOKUP($A366,'The List'!$B1:$AS665,23,FALSE)," ")</f>
        <v>858</v>
      </c>
      <c r="Q366" t="s" s="125">
        <f>_xlfn.IFERROR(VLOOKUP($A366,'The List'!$B1:$AS665,24,FALSE)," ")</f>
        <v>858</v>
      </c>
      <c r="R366" t="s" s="125">
        <f>_xlfn.IFERROR(VLOOKUP($A366,'The List'!$B1:$AS665,25,FALSE)," ")</f>
        <v>858</v>
      </c>
      <c r="S366" t="s" s="125">
        <f>_xlfn.IFERROR(VLOOKUP($A366,'The List'!$B1:$AS665,26,FALSE)," ")</f>
        <v>858</v>
      </c>
      <c r="T366" t="s" s="125">
        <f>_xlfn.IFERROR(VLOOKUP($A366,'The List'!$B1:$AS665,27,FALSE)," ")</f>
        <v>858</v>
      </c>
      <c r="U366" t="s" s="125">
        <f>_xlfn.IFERROR(VLOOKUP($A366,'The List'!$B1:$AS665,28,FALSE)," ")</f>
        <v>858</v>
      </c>
      <c r="V366" t="s" s="125">
        <f>_xlfn.IFERROR(VLOOKUP($A366,'The List'!$B1:$AS665,29,FALSE)," ")</f>
        <v>858</v>
      </c>
      <c r="W366" t="s" s="125">
        <f>_xlfn.IFERROR(VLOOKUP($A366,'The List'!$B1:$AS665,30,FALSE)," ")</f>
        <v>858</v>
      </c>
      <c r="X366" t="s" s="125">
        <f>_xlfn.IFERROR(VLOOKUP($A366,'The List'!$B1:$AS665,31,FALSE)," ")</f>
        <v>858</v>
      </c>
      <c r="Y366" t="s" s="125">
        <f>_xlfn.IFERROR(VLOOKUP($A366,'The List'!$B1:$AS665,32,FALSE)," ")</f>
        <v>858</v>
      </c>
      <c r="Z366" t="s" s="125">
        <f>_xlfn.IFERROR(VLOOKUP($A366,'The List'!$B1:$AS665,33,FALSE)," ")</f>
        <v>858</v>
      </c>
      <c r="AA366" s="120"/>
      <c r="AB366" s="121"/>
      <c r="AC366" s="121"/>
      <c r="AD366" s="121"/>
      <c r="AE366" s="121"/>
      <c r="AF366" s="144"/>
    </row>
    <row r="367" ht="21.25" customHeight="1">
      <c r="A367" s="50"/>
      <c r="B367" t="s" s="132">
        <f>_xlfn.IFERROR(VLOOKUP($A367,'The List'!$B1:$AS665,3,FALSE)," ")</f>
        <v>858</v>
      </c>
      <c r="C367" t="s" s="134">
        <f>_xlfn.IFERROR(VLOOKUP($A367,'The List'!$B1:$AS665,4,FALSE)," ")</f>
        <v>858</v>
      </c>
      <c r="D367" t="s" s="86">
        <f>_xlfn.IFERROR(VLOOKUP($A367,'The List'!$B1:$AS665,5,FALSE)," ")</f>
        <v>858</v>
      </c>
      <c r="E367" t="s" s="86">
        <f>_xlfn.IFERROR(VLOOKUP($A367,'The List'!$B1:$AS665,6,FALSE)," ")</f>
        <v>858</v>
      </c>
      <c r="F367" t="s" s="124">
        <f>_xlfn.IFERROR(VLOOKUP($A367,'The List'!$B1:$AS665,8,FALSE)," ")</f>
        <v>858</v>
      </c>
      <c r="G367" t="s" s="124">
        <f>_xlfn.IFERROR(VLOOKUP($A367,'The List'!$B1:$AS665,10,FALSE)," ")</f>
        <v>858</v>
      </c>
      <c r="H367" s="77"/>
      <c r="I367" t="s" s="125">
        <f>_xlfn.IFERROR(VLOOKUP($A367,'The List'!$B1:$AS665,16,FALSE)," ")</f>
        <v>858</v>
      </c>
      <c r="J367" t="s" s="125">
        <f>_xlfn.IFERROR(VLOOKUP($A367,'The List'!$B1:$AS665,17,FALSE)," ")</f>
        <v>858</v>
      </c>
      <c r="K367" t="s" s="125">
        <f>_xlfn.IFERROR(VLOOKUP($A367,'The List'!$B1:$AS665,18,FALSE)," ")</f>
        <v>858</v>
      </c>
      <c r="L367" t="s" s="125">
        <f>_xlfn.IFERROR(VLOOKUP($A367,'The List'!$B1:$AS665,19,FALSE)," ")</f>
        <v>858</v>
      </c>
      <c r="M367" t="s" s="125">
        <f>_xlfn.IFERROR(VLOOKUP($A367,'The List'!$B1:$AS665,20,FALSE)," ")</f>
        <v>858</v>
      </c>
      <c r="N367" t="s" s="125">
        <f>_xlfn.IFERROR(VLOOKUP($A367,'The List'!$B1:$AS665,21,FALSE)," ")</f>
        <v>858</v>
      </c>
      <c r="O367" t="s" s="125">
        <f>_xlfn.IFERROR(VLOOKUP($A367,'The List'!$B1:$AS665,22,FALSE)," ")</f>
        <v>858</v>
      </c>
      <c r="P367" t="s" s="125">
        <f>_xlfn.IFERROR(VLOOKUP($A367,'The List'!$B1:$AS665,23,FALSE)," ")</f>
        <v>858</v>
      </c>
      <c r="Q367" t="s" s="125">
        <f>_xlfn.IFERROR(VLOOKUP($A367,'The List'!$B1:$AS665,24,FALSE)," ")</f>
        <v>858</v>
      </c>
      <c r="R367" t="s" s="125">
        <f>_xlfn.IFERROR(VLOOKUP($A367,'The List'!$B1:$AS665,25,FALSE)," ")</f>
        <v>858</v>
      </c>
      <c r="S367" t="s" s="125">
        <f>_xlfn.IFERROR(VLOOKUP($A367,'The List'!$B1:$AS665,26,FALSE)," ")</f>
        <v>858</v>
      </c>
      <c r="T367" t="s" s="125">
        <f>_xlfn.IFERROR(VLOOKUP($A367,'The List'!$B1:$AS665,27,FALSE)," ")</f>
        <v>858</v>
      </c>
      <c r="U367" t="s" s="125">
        <f>_xlfn.IFERROR(VLOOKUP($A367,'The List'!$B1:$AS665,28,FALSE)," ")</f>
        <v>858</v>
      </c>
      <c r="V367" t="s" s="125">
        <f>_xlfn.IFERROR(VLOOKUP($A367,'The List'!$B1:$AS665,29,FALSE)," ")</f>
        <v>858</v>
      </c>
      <c r="W367" t="s" s="125">
        <f>_xlfn.IFERROR(VLOOKUP($A367,'The List'!$B1:$AS665,30,FALSE)," ")</f>
        <v>858</v>
      </c>
      <c r="X367" t="s" s="125">
        <f>_xlfn.IFERROR(VLOOKUP($A367,'The List'!$B1:$AS665,31,FALSE)," ")</f>
        <v>858</v>
      </c>
      <c r="Y367" t="s" s="125">
        <f>_xlfn.IFERROR(VLOOKUP($A367,'The List'!$B1:$AS665,32,FALSE)," ")</f>
        <v>858</v>
      </c>
      <c r="Z367" t="s" s="125">
        <f>_xlfn.IFERROR(VLOOKUP($A367,'The List'!$B1:$AS665,33,FALSE)," ")</f>
        <v>858</v>
      </c>
      <c r="AA367" s="120"/>
      <c r="AB367" s="121"/>
      <c r="AC367" s="121"/>
      <c r="AD367" s="121"/>
      <c r="AE367" s="121"/>
      <c r="AF367" s="144"/>
    </row>
    <row r="368" ht="21.25" customHeight="1">
      <c r="A368" s="50"/>
      <c r="B368" t="s" s="132">
        <f>_xlfn.IFERROR(VLOOKUP($A368,'The List'!$B1:$AS665,3,FALSE)," ")</f>
        <v>858</v>
      </c>
      <c r="C368" t="s" s="134">
        <f>_xlfn.IFERROR(VLOOKUP($A368,'The List'!$B1:$AS665,4,FALSE)," ")</f>
        <v>858</v>
      </c>
      <c r="D368" t="s" s="86">
        <f>_xlfn.IFERROR(VLOOKUP($A368,'The List'!$B1:$AS665,5,FALSE)," ")</f>
        <v>858</v>
      </c>
      <c r="E368" t="s" s="86">
        <f>_xlfn.IFERROR(VLOOKUP($A368,'The List'!$B1:$AS665,6,FALSE)," ")</f>
        <v>858</v>
      </c>
      <c r="F368" t="s" s="124">
        <f>_xlfn.IFERROR(VLOOKUP($A368,'The List'!$B1:$AS665,8,FALSE)," ")</f>
        <v>858</v>
      </c>
      <c r="G368" t="s" s="124">
        <f>_xlfn.IFERROR(VLOOKUP($A368,'The List'!$B1:$AS665,10,FALSE)," ")</f>
        <v>858</v>
      </c>
      <c r="H368" s="77"/>
      <c r="I368" t="s" s="125">
        <f>_xlfn.IFERROR(VLOOKUP($A368,'The List'!$B1:$AS665,16,FALSE)," ")</f>
        <v>858</v>
      </c>
      <c r="J368" t="s" s="125">
        <f>_xlfn.IFERROR(VLOOKUP($A368,'The List'!$B1:$AS665,17,FALSE)," ")</f>
        <v>858</v>
      </c>
      <c r="K368" t="s" s="125">
        <f>_xlfn.IFERROR(VLOOKUP($A368,'The List'!$B1:$AS665,18,FALSE)," ")</f>
        <v>858</v>
      </c>
      <c r="L368" t="s" s="125">
        <f>_xlfn.IFERROR(VLOOKUP($A368,'The List'!$B1:$AS665,19,FALSE)," ")</f>
        <v>858</v>
      </c>
      <c r="M368" t="s" s="125">
        <f>_xlfn.IFERROR(VLOOKUP($A368,'The List'!$B1:$AS665,20,FALSE)," ")</f>
        <v>858</v>
      </c>
      <c r="N368" t="s" s="125">
        <f>_xlfn.IFERROR(VLOOKUP($A368,'The List'!$B1:$AS665,21,FALSE)," ")</f>
        <v>858</v>
      </c>
      <c r="O368" t="s" s="125">
        <f>_xlfn.IFERROR(VLOOKUP($A368,'The List'!$B1:$AS665,22,FALSE)," ")</f>
        <v>858</v>
      </c>
      <c r="P368" t="s" s="125">
        <f>_xlfn.IFERROR(VLOOKUP($A368,'The List'!$B1:$AS665,23,FALSE)," ")</f>
        <v>858</v>
      </c>
      <c r="Q368" t="s" s="125">
        <f>_xlfn.IFERROR(VLOOKUP($A368,'The List'!$B1:$AS665,24,FALSE)," ")</f>
        <v>858</v>
      </c>
      <c r="R368" t="s" s="125">
        <f>_xlfn.IFERROR(VLOOKUP($A368,'The List'!$B1:$AS665,25,FALSE)," ")</f>
        <v>858</v>
      </c>
      <c r="S368" t="s" s="125">
        <f>_xlfn.IFERROR(VLOOKUP($A368,'The List'!$B1:$AS665,26,FALSE)," ")</f>
        <v>858</v>
      </c>
      <c r="T368" t="s" s="125">
        <f>_xlfn.IFERROR(VLOOKUP($A368,'The List'!$B1:$AS665,27,FALSE)," ")</f>
        <v>858</v>
      </c>
      <c r="U368" t="s" s="125">
        <f>_xlfn.IFERROR(VLOOKUP($A368,'The List'!$B1:$AS665,28,FALSE)," ")</f>
        <v>858</v>
      </c>
      <c r="V368" t="s" s="125">
        <f>_xlfn.IFERROR(VLOOKUP($A368,'The List'!$B1:$AS665,29,FALSE)," ")</f>
        <v>858</v>
      </c>
      <c r="W368" t="s" s="125">
        <f>_xlfn.IFERROR(VLOOKUP($A368,'The List'!$B1:$AS665,30,FALSE)," ")</f>
        <v>858</v>
      </c>
      <c r="X368" t="s" s="125">
        <f>_xlfn.IFERROR(VLOOKUP($A368,'The List'!$B1:$AS665,31,FALSE)," ")</f>
        <v>858</v>
      </c>
      <c r="Y368" t="s" s="125">
        <f>_xlfn.IFERROR(VLOOKUP($A368,'The List'!$B1:$AS665,32,FALSE)," ")</f>
        <v>858</v>
      </c>
      <c r="Z368" t="s" s="125">
        <f>_xlfn.IFERROR(VLOOKUP($A368,'The List'!$B1:$AS665,33,FALSE)," ")</f>
        <v>858</v>
      </c>
      <c r="AA368" s="120"/>
      <c r="AB368" s="121"/>
      <c r="AC368" s="121"/>
      <c r="AD368" s="121"/>
      <c r="AE368" s="121"/>
      <c r="AF368" s="144"/>
    </row>
    <row r="369" ht="21.25" customHeight="1">
      <c r="A369" s="137"/>
      <c r="B369" t="s" s="138">
        <f>_xlfn.IFERROR(VLOOKUP($A369,'The List'!$B1:$AS665,3,FALSE)," ")</f>
        <v>858</v>
      </c>
      <c r="C369" t="s" s="139">
        <f>_xlfn.IFERROR(VLOOKUP($A369,'The List'!$B1:$AS665,4,FALSE)," ")</f>
        <v>858</v>
      </c>
      <c r="D369" t="s" s="140">
        <f>_xlfn.IFERROR(VLOOKUP($A369,'The List'!$B1:$AS665,5,FALSE)," ")</f>
        <v>858</v>
      </c>
      <c r="E369" t="s" s="140">
        <f>_xlfn.IFERROR(VLOOKUP($A369,'The List'!$B1:$AS665,6,FALSE)," ")</f>
        <v>858</v>
      </c>
      <c r="F369" t="s" s="141">
        <f>_xlfn.IFERROR(VLOOKUP($A369,'The List'!$B1:$AS665,8,FALSE)," ")</f>
        <v>858</v>
      </c>
      <c r="G369" t="s" s="141">
        <f>_xlfn.IFERROR(VLOOKUP($A369,'The List'!$B1:$AS665,10,FALSE)," ")</f>
        <v>858</v>
      </c>
      <c r="H369" s="142"/>
      <c r="I369" t="s" s="143">
        <f>_xlfn.IFERROR(VLOOKUP($A369,'The List'!$B1:$AS665,16,FALSE)," ")</f>
        <v>858</v>
      </c>
      <c r="J369" t="s" s="143">
        <f>_xlfn.IFERROR(VLOOKUP($A369,'The List'!$B1:$AS665,17,FALSE)," ")</f>
        <v>858</v>
      </c>
      <c r="K369" t="s" s="143">
        <f>_xlfn.IFERROR(VLOOKUP($A369,'The List'!$B1:$AS665,18,FALSE)," ")</f>
        <v>858</v>
      </c>
      <c r="L369" t="s" s="143">
        <f>_xlfn.IFERROR(VLOOKUP($A369,'The List'!$B1:$AS665,19,FALSE)," ")</f>
        <v>858</v>
      </c>
      <c r="M369" t="s" s="143">
        <f>_xlfn.IFERROR(VLOOKUP($A369,'The List'!$B1:$AS665,20,FALSE)," ")</f>
        <v>858</v>
      </c>
      <c r="N369" t="s" s="143">
        <f>_xlfn.IFERROR(VLOOKUP($A369,'The List'!$B1:$AS665,21,FALSE)," ")</f>
        <v>858</v>
      </c>
      <c r="O369" t="s" s="143">
        <f>_xlfn.IFERROR(VLOOKUP($A369,'The List'!$B1:$AS665,22,FALSE)," ")</f>
        <v>858</v>
      </c>
      <c r="P369" t="s" s="143">
        <f>_xlfn.IFERROR(VLOOKUP($A369,'The List'!$B1:$AS665,23,FALSE)," ")</f>
        <v>858</v>
      </c>
      <c r="Q369" t="s" s="143">
        <f>_xlfn.IFERROR(VLOOKUP($A369,'The List'!$B1:$AS665,24,FALSE)," ")</f>
        <v>858</v>
      </c>
      <c r="R369" t="s" s="143">
        <f>_xlfn.IFERROR(VLOOKUP($A369,'The List'!$B1:$AS665,25,FALSE)," ")</f>
        <v>858</v>
      </c>
      <c r="S369" t="s" s="143">
        <f>_xlfn.IFERROR(VLOOKUP($A369,'The List'!$B1:$AS665,26,FALSE)," ")</f>
        <v>858</v>
      </c>
      <c r="T369" t="s" s="143">
        <f>_xlfn.IFERROR(VLOOKUP($A369,'The List'!$B1:$AS665,27,FALSE)," ")</f>
        <v>858</v>
      </c>
      <c r="U369" t="s" s="143">
        <f>_xlfn.IFERROR(VLOOKUP($A369,'The List'!$B1:$AS665,28,FALSE)," ")</f>
        <v>858</v>
      </c>
      <c r="V369" t="s" s="143">
        <f>_xlfn.IFERROR(VLOOKUP($A369,'The List'!$B1:$AS665,29,FALSE)," ")</f>
        <v>858</v>
      </c>
      <c r="W369" t="s" s="143">
        <f>_xlfn.IFERROR(VLOOKUP($A369,'The List'!$B1:$AS665,30,FALSE)," ")</f>
        <v>858</v>
      </c>
      <c r="X369" t="s" s="143">
        <f>_xlfn.IFERROR(VLOOKUP($A369,'The List'!$B1:$AS665,31,FALSE)," ")</f>
        <v>858</v>
      </c>
      <c r="Y369" t="s" s="143">
        <f>_xlfn.IFERROR(VLOOKUP($A369,'The List'!$B1:$AS665,32,FALSE)," ")</f>
        <v>858</v>
      </c>
      <c r="Z369" t="s" s="143">
        <f>_xlfn.IFERROR(VLOOKUP($A369,'The List'!$B1:$AS665,33,FALSE)," ")</f>
        <v>858</v>
      </c>
      <c r="AA369" s="120"/>
      <c r="AB369" s="121"/>
      <c r="AC369" s="121"/>
      <c r="AD369" s="121"/>
      <c r="AE369" s="121"/>
      <c r="AF369" s="144"/>
    </row>
    <row r="370" ht="21.25" customHeight="1">
      <c r="A370" s="145"/>
      <c r="B370" s="146"/>
      <c r="C370" s="147"/>
      <c r="D370" s="148"/>
      <c r="E370" t="s" s="193">
        <f>_xlfn.IFERROR(AVERAGE(E350:E369)," ")</f>
        <v>858</v>
      </c>
      <c r="F370" s="150">
        <f>SUM(F350:F369)</f>
        <v>0</v>
      </c>
      <c r="G370" s="150">
        <f>SUM(G350:G369)</f>
        <v>0</v>
      </c>
      <c r="H370" s="151"/>
      <c r="I370" s="152">
        <f>SUM(I350:I369)</f>
        <v>0</v>
      </c>
      <c r="J370" s="151">
        <f>AVERAGE(J350:J369)</f>
      </c>
      <c r="K370" s="152">
        <f>SUM(K350:K369)</f>
        <v>0</v>
      </c>
      <c r="L370" s="152">
        <f>SUM(L350:L369)</f>
        <v>0</v>
      </c>
      <c r="M370" s="152">
        <f>SUM(M350:M369)</f>
        <v>0</v>
      </c>
      <c r="N370" s="152">
        <f>SUM(N350:N369)</f>
        <v>0</v>
      </c>
      <c r="O370" s="152">
        <f>SUM(O350:O369)</f>
        <v>0</v>
      </c>
      <c r="P370" s="152">
        <f>SUM(P350:P369)</f>
        <v>0</v>
      </c>
      <c r="Q370" s="152">
        <f>SUM(Q350:Q369)</f>
        <v>0</v>
      </c>
      <c r="R370" s="152">
        <f>SUM(R350:R369)</f>
        <v>0</v>
      </c>
      <c r="S370" s="152">
        <f>SUM(S350:S369)</f>
        <v>0</v>
      </c>
      <c r="T370" s="152">
        <f>SUM(T350:T369)</f>
        <v>0</v>
      </c>
      <c r="U370" s="152">
        <f>SUM(U350:U369)</f>
        <v>0</v>
      </c>
      <c r="V370" s="152">
        <f>SUM(V350:V369)</f>
        <v>0</v>
      </c>
      <c r="W370" s="152">
        <f>SUM(W350:W369)</f>
        <v>0</v>
      </c>
      <c r="X370" s="152">
        <f>SUM(X350:X369)</f>
        <v>0</v>
      </c>
      <c r="Y370" s="152">
        <f>SUM(Y350:Y369)</f>
        <v>0</v>
      </c>
      <c r="Z370" s="153">
        <f>_xlfn.IFERROR(X370/(X370+Y370),0)</f>
        <v>0</v>
      </c>
      <c r="AA370" s="120"/>
      <c r="AB370" s="154"/>
      <c r="AC370" s="154"/>
      <c r="AD370" s="154"/>
      <c r="AE370" s="154"/>
      <c r="AF370" s="155"/>
    </row>
    <row r="371" ht="21.25" customHeight="1">
      <c r="A371" s="156"/>
      <c r="B371" s="157"/>
      <c r="C371" s="158"/>
      <c r="D371" s="13"/>
      <c r="E371" s="13"/>
      <c r="F371" s="159"/>
      <c r="G371" s="160"/>
      <c r="H371" s="161"/>
      <c r="I371" s="162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  <c r="AB371" s="121"/>
      <c r="AC371" s="121"/>
      <c r="AD371" s="121"/>
      <c r="AE371" s="121"/>
      <c r="AF371" s="144"/>
    </row>
    <row r="372" ht="21.25" customHeight="1">
      <c r="A372" t="s" s="163">
        <v>89</v>
      </c>
      <c r="B372" t="s" s="164">
        <v>91</v>
      </c>
      <c r="C372" s="31"/>
      <c r="D372" t="s" s="164">
        <v>92</v>
      </c>
      <c r="E372" t="s" s="164">
        <v>93</v>
      </c>
      <c r="F372" t="s" s="165">
        <v>95</v>
      </c>
      <c r="G372" t="s" s="165">
        <v>97</v>
      </c>
      <c r="H372" s="166"/>
      <c r="I372" t="s" s="167">
        <v>102</v>
      </c>
      <c r="J372" t="s" s="167">
        <v>118</v>
      </c>
      <c r="K372" t="s" s="167">
        <v>119</v>
      </c>
      <c r="L372" t="s" s="167">
        <v>120</v>
      </c>
      <c r="M372" t="s" s="167">
        <v>121</v>
      </c>
      <c r="N372" t="s" s="167">
        <v>122</v>
      </c>
      <c r="O372" t="s" s="167">
        <v>123</v>
      </c>
      <c r="P372" t="s" s="167">
        <v>124</v>
      </c>
      <c r="Q372" t="s" s="167">
        <v>125</v>
      </c>
      <c r="R372" s="120"/>
      <c r="S372" s="120"/>
      <c r="T372" s="120"/>
      <c r="U372" t="s" s="164">
        <v>876</v>
      </c>
      <c r="V372" s="166"/>
      <c r="W372" s="166"/>
      <c r="X372" t="s" s="164">
        <v>877</v>
      </c>
      <c r="Y372" s="166"/>
      <c r="Z372" s="166"/>
      <c r="AA372" s="120"/>
      <c r="AB372" s="120"/>
      <c r="AC372" s="120"/>
      <c r="AD372" s="120"/>
      <c r="AE372" s="120"/>
      <c r="AF372" s="168"/>
    </row>
    <row r="373" ht="21.25" customHeight="1">
      <c r="A373" s="194"/>
      <c r="B373" t="s" s="170">
        <f>_xlfn.IFERROR(VLOOKUP($A373,'The List'!$B1:$AS665,3,FALSE)," ")</f>
        <v>858</v>
      </c>
      <c r="C373" t="s" s="195">
        <f>_xlfn.IFERROR(VLOOKUP($A373,'The List'!$B1:$AS665,4,FALSE)," ")</f>
        <v>858</v>
      </c>
      <c r="D373" t="s" s="72">
        <f>_xlfn.IFERROR(VLOOKUP($A373,'The List'!$B1:$AS665,5,FALSE)," ")</f>
        <v>858</v>
      </c>
      <c r="E373" t="s" s="72">
        <f>_xlfn.IFERROR(VLOOKUP($A373,'The List'!$B1:$AS665,6,FALSE)," ")</f>
        <v>858</v>
      </c>
      <c r="F373" t="s" s="196">
        <f>_xlfn.IFERROR(VLOOKUP($A373,'The List'!$B1:$AS665,8,FALSE)," ")</f>
        <v>858</v>
      </c>
      <c r="G373" t="s" s="196">
        <f>_xlfn.IFERROR(VLOOKUP($A373,'The List'!$B1:$AS665,10,FALSE)," ")</f>
        <v>858</v>
      </c>
      <c r="H373" s="174"/>
      <c r="I373" t="s" s="197">
        <f>_xlfn.IFERROR(VLOOKUP($A373,'The List'!$B1:$AS665,35,FALSE)," ")</f>
        <v>858</v>
      </c>
      <c r="J373" t="s" s="197">
        <f>_xlfn.IFERROR(VLOOKUP($A373,'The List'!$B1:$AS665,36,FALSE)," ")</f>
        <v>858</v>
      </c>
      <c r="K373" t="s" s="197">
        <f>_xlfn.IFERROR(VLOOKUP($A373,'The List'!$B1:$AS665,37,FALSE)," ")</f>
        <v>858</v>
      </c>
      <c r="L373" t="s" s="197">
        <f>_xlfn.IFERROR(VLOOKUP($A373,'The List'!$B1:$AS665,38,FALSE)," ")</f>
        <v>858</v>
      </c>
      <c r="M373" t="s" s="197">
        <f>_xlfn.IFERROR(VLOOKUP($A373,'The List'!$B1:$AS665,39,FALSE)," ")</f>
        <v>858</v>
      </c>
      <c r="N373" t="s" s="197">
        <f>_xlfn.IFERROR(VLOOKUP($A373,'The List'!$B1:$AS665,40,FALSE)," ")</f>
        <v>858</v>
      </c>
      <c r="O373" t="s" s="197">
        <f>_xlfn.IFERROR(VLOOKUP($A373,'The List'!$B1:$AS665,41,FALSE)," ")</f>
        <v>858</v>
      </c>
      <c r="P373" t="s" s="197">
        <f>_xlfn.IFERROR(VLOOKUP($A373,'The List'!$B1:$AS665,42,FALSE)," ")</f>
        <v>858</v>
      </c>
      <c r="Q373" t="s" s="197">
        <f>_xlfn.IFERROR(VLOOKUP($A373,'The List'!$B1:$AS665,43,FALSE)," ")</f>
        <v>858</v>
      </c>
      <c r="R373" s="120"/>
      <c r="S373" s="120"/>
      <c r="T373" t="s" s="178">
        <f>A349</f>
        <v>891</v>
      </c>
      <c r="U373" s="179">
        <f>F370+F376</f>
        <v>0</v>
      </c>
      <c r="V373" s="31"/>
      <c r="W373" s="31"/>
      <c r="X373" s="179">
        <f>G376+G370</f>
        <v>0</v>
      </c>
      <c r="Y373" s="31"/>
      <c r="Z373" s="31"/>
      <c r="AA373" s="120"/>
      <c r="AB373" s="120"/>
      <c r="AC373" s="120"/>
      <c r="AD373" s="120"/>
      <c r="AE373" s="120"/>
      <c r="AF373" s="168"/>
    </row>
    <row r="374" ht="21.25" customHeight="1">
      <c r="A374" s="50"/>
      <c r="B374" t="s" s="180">
        <f>_xlfn.IFERROR(VLOOKUP($A374,'The List'!$B1:$AS665,3,FALSE)," ")</f>
        <v>858</v>
      </c>
      <c r="C374" t="s" s="181">
        <f>_xlfn.IFERROR(VLOOKUP($A374,'The List'!$B1:$AS665,4,FALSE)," ")</f>
        <v>858</v>
      </c>
      <c r="D374" t="s" s="86">
        <f>_xlfn.IFERROR(VLOOKUP($A374,'The List'!$B1:$AS665,5,FALSE)," ")</f>
        <v>858</v>
      </c>
      <c r="E374" t="s" s="86">
        <f>_xlfn.IFERROR(VLOOKUP($A374,'The List'!$B1:$AS665,6,FALSE)," ")</f>
        <v>858</v>
      </c>
      <c r="F374" t="s" s="124">
        <f>_xlfn.IFERROR(VLOOKUP($A374,'The List'!$B1:$AS665,8,FALSE)," ")</f>
        <v>858</v>
      </c>
      <c r="G374" t="s" s="124">
        <f>_xlfn.IFERROR(VLOOKUP($A374,'The List'!$B1:$AS665,10,FALSE)," ")</f>
        <v>858</v>
      </c>
      <c r="H374" s="77"/>
      <c r="I374" t="s" s="125">
        <f>_xlfn.IFERROR(VLOOKUP($A374,'The List'!$B1:$AS665,35,FALSE)," ")</f>
        <v>858</v>
      </c>
      <c r="J374" t="s" s="125">
        <f>_xlfn.IFERROR(VLOOKUP($A374,'The List'!$B1:$AS665,36,FALSE)," ")</f>
        <v>858</v>
      </c>
      <c r="K374" t="s" s="125">
        <f>_xlfn.IFERROR(VLOOKUP($A374,'The List'!$B1:$AS665,37,FALSE)," ")</f>
        <v>858</v>
      </c>
      <c r="L374" t="s" s="125">
        <f>_xlfn.IFERROR(VLOOKUP($A374,'The List'!$B1:$AS665,38,FALSE)," ")</f>
        <v>858</v>
      </c>
      <c r="M374" t="s" s="125">
        <f>_xlfn.IFERROR(VLOOKUP($A374,'The List'!$B1:$AS665,39,FALSE)," ")</f>
        <v>858</v>
      </c>
      <c r="N374" t="s" s="125">
        <f>_xlfn.IFERROR(VLOOKUP($A374,'The List'!$B1:$AS665,40,FALSE)," ")</f>
        <v>858</v>
      </c>
      <c r="O374" t="s" s="125">
        <f>_xlfn.IFERROR(VLOOKUP($A374,'The List'!$B1:$AS665,41,FALSE)," ")</f>
        <v>858</v>
      </c>
      <c r="P374" t="s" s="125">
        <f>_xlfn.IFERROR(VLOOKUP($A374,'The List'!$B1:$AS665,42,FALSE)," ")</f>
        <v>858</v>
      </c>
      <c r="Q374" t="s" s="125">
        <f>_xlfn.IFERROR(VLOOKUP($A374,'The List'!$B1:$AS665,43,FALSE)," ")</f>
        <v>858</v>
      </c>
      <c r="R374" s="120"/>
      <c r="S374" s="120"/>
      <c r="T374" s="120"/>
      <c r="U374" s="31"/>
      <c r="V374" s="31"/>
      <c r="W374" s="31"/>
      <c r="X374" s="31"/>
      <c r="Y374" s="31"/>
      <c r="Z374" s="31"/>
      <c r="AA374" s="120"/>
      <c r="AB374" s="120"/>
      <c r="AC374" s="120"/>
      <c r="AD374" s="120"/>
      <c r="AE374" s="120"/>
      <c r="AF374" s="168"/>
    </row>
    <row r="375" ht="21.25" customHeight="1">
      <c r="A375" s="137"/>
      <c r="B375" t="s" s="182">
        <f>_xlfn.IFERROR(VLOOKUP($A375,'The List'!$B1:$AS665,3,FALSE)," ")</f>
        <v>858</v>
      </c>
      <c r="C375" t="s" s="183">
        <f>_xlfn.IFERROR(VLOOKUP($A375,'The List'!$B1:$AS665,4,FALSE)," ")</f>
        <v>858</v>
      </c>
      <c r="D375" t="s" s="140">
        <f>_xlfn.IFERROR(VLOOKUP($A375,'The List'!$B1:$AS665,5,FALSE)," ")</f>
        <v>858</v>
      </c>
      <c r="E375" t="s" s="140">
        <f>_xlfn.IFERROR(VLOOKUP($A375,'The List'!$B1:$AS665,6,FALSE)," ")</f>
        <v>858</v>
      </c>
      <c r="F375" t="s" s="141">
        <f>_xlfn.IFERROR(VLOOKUP($A375,'The List'!$B1:$AS665,8,FALSE)," ")</f>
        <v>858</v>
      </c>
      <c r="G375" t="s" s="141">
        <f>_xlfn.IFERROR(VLOOKUP($A375,'The List'!$B1:$AS665,10,FALSE)," ")</f>
        <v>858</v>
      </c>
      <c r="H375" s="142"/>
      <c r="I375" t="s" s="143">
        <f>_xlfn.IFERROR(VLOOKUP($A375,'The List'!$B1:$AS665,35,FALSE)," ")</f>
        <v>858</v>
      </c>
      <c r="J375" t="s" s="143">
        <f>_xlfn.IFERROR(VLOOKUP($A375,'The List'!$B1:$AS665,36,FALSE)," ")</f>
        <v>858</v>
      </c>
      <c r="K375" t="s" s="143">
        <f>_xlfn.IFERROR(VLOOKUP($A375,'The List'!$B1:$AS665,37,FALSE)," ")</f>
        <v>858</v>
      </c>
      <c r="L375" t="s" s="143">
        <f>_xlfn.IFERROR(VLOOKUP($A375,'The List'!$B1:$AS665,38,FALSE)," ")</f>
        <v>858</v>
      </c>
      <c r="M375" t="s" s="143">
        <f>_xlfn.IFERROR(VLOOKUP($A375,'The List'!$B1:$AS665,39,FALSE)," ")</f>
        <v>858</v>
      </c>
      <c r="N375" t="s" s="143">
        <f>_xlfn.IFERROR(VLOOKUP($A375,'The List'!$B1:$AS665,40,FALSE)," ")</f>
        <v>858</v>
      </c>
      <c r="O375" t="s" s="143">
        <f>_xlfn.IFERROR(VLOOKUP($A375,'The List'!$B1:$AS665,41,FALSE)," ")</f>
        <v>858</v>
      </c>
      <c r="P375" t="s" s="143">
        <f>_xlfn.IFERROR(VLOOKUP($A375,'The List'!$B1:$AS665,42,FALSE)," ")</f>
        <v>858</v>
      </c>
      <c r="Q375" t="s" s="143">
        <f>_xlfn.IFERROR(VLOOKUP($A375,'The List'!$B1:$AS665,43,FALSE)," ")</f>
        <v>858</v>
      </c>
      <c r="R375" s="120"/>
      <c r="S375" s="120"/>
      <c r="T375" s="120"/>
      <c r="U375" s="31"/>
      <c r="V375" s="31"/>
      <c r="W375" s="31"/>
      <c r="X375" s="31"/>
      <c r="Y375" s="31"/>
      <c r="Z375" s="31"/>
      <c r="AA375" s="120"/>
      <c r="AB375" s="120"/>
      <c r="AC375" s="120"/>
      <c r="AD375" s="120"/>
      <c r="AE375" s="120"/>
      <c r="AF375" s="168"/>
    </row>
    <row r="376" ht="21.25" customHeight="1">
      <c r="A376" s="145"/>
      <c r="B376" s="146"/>
      <c r="C376" s="147"/>
      <c r="D376" s="148"/>
      <c r="E376" t="s" s="193">
        <f>_xlfn.IFERROR(AVERAGE(E373:E375)," ")</f>
        <v>858</v>
      </c>
      <c r="F376" s="150">
        <f>SUM(F373:F375)</f>
        <v>0</v>
      </c>
      <c r="G376" s="150">
        <f>SUM(G373:G375)</f>
        <v>0</v>
      </c>
      <c r="H376" s="151"/>
      <c r="I376" s="152">
        <f>SUM(I373:I375)</f>
        <v>0</v>
      </c>
      <c r="J376" s="151">
        <f>SUM(J373:J375)</f>
        <v>0</v>
      </c>
      <c r="K376" s="152">
        <f>SUM(K373:K375)</f>
        <v>0</v>
      </c>
      <c r="L376" s="152">
        <f>SUM(L373:L375)</f>
        <v>0</v>
      </c>
      <c r="M376" s="152">
        <f>SUM(M373:M375)</f>
        <v>0</v>
      </c>
      <c r="N376" s="152">
        <f>SUM(N373:N375)</f>
        <v>0</v>
      </c>
      <c r="O376" s="152">
        <f>SUM(O373:O375)</f>
        <v>0</v>
      </c>
      <c r="P376" s="184">
        <f>1-(O376/(N376+O376))</f>
      </c>
      <c r="Q376" s="185">
        <f>O376/I376</f>
      </c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  <c r="AB376" s="120"/>
      <c r="AC376" s="120"/>
      <c r="AD376" s="120"/>
      <c r="AE376" s="120"/>
      <c r="AF376" s="168"/>
    </row>
    <row r="377" ht="70.75" customHeight="1">
      <c r="A377" s="156"/>
      <c r="B377" s="157"/>
      <c r="C377" s="158"/>
      <c r="D377" s="13"/>
      <c r="E377" s="13"/>
      <c r="F377" s="159"/>
      <c r="G377" s="160"/>
      <c r="H377" s="161"/>
      <c r="I377" s="162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1"/>
      <c r="AB377" s="121"/>
      <c r="AC377" s="121"/>
      <c r="AD377" s="121"/>
      <c r="AE377" s="121"/>
      <c r="AF377" s="144"/>
    </row>
    <row r="378" ht="21.25" customHeight="1">
      <c r="A378" t="s" s="186">
        <v>873</v>
      </c>
      <c r="B378" t="s" s="187">
        <v>91</v>
      </c>
      <c r="C378" s="45"/>
      <c r="D378" t="s" s="187">
        <v>92</v>
      </c>
      <c r="E378" t="s" s="187">
        <v>93</v>
      </c>
      <c r="F378" t="s" s="188">
        <v>95</v>
      </c>
      <c r="G378" t="s" s="188">
        <v>97</v>
      </c>
      <c r="H378" s="189"/>
      <c r="I378" t="s" s="190">
        <v>102</v>
      </c>
      <c r="J378" t="s" s="190">
        <v>55</v>
      </c>
      <c r="K378" t="s" s="190">
        <v>103</v>
      </c>
      <c r="L378" t="s" s="190">
        <v>104</v>
      </c>
      <c r="M378" t="s" s="190">
        <v>105</v>
      </c>
      <c r="N378" t="s" s="190">
        <v>106</v>
      </c>
      <c r="O378" t="s" s="190">
        <v>107</v>
      </c>
      <c r="P378" t="s" s="190">
        <v>63</v>
      </c>
      <c r="Q378" t="s" s="190">
        <v>108</v>
      </c>
      <c r="R378" t="s" s="190">
        <v>109</v>
      </c>
      <c r="S378" t="s" s="190">
        <v>110</v>
      </c>
      <c r="T378" t="s" s="190">
        <v>111</v>
      </c>
      <c r="U378" t="s" s="190">
        <v>112</v>
      </c>
      <c r="V378" t="s" s="190">
        <v>113</v>
      </c>
      <c r="W378" t="s" s="190">
        <v>114</v>
      </c>
      <c r="X378" t="s" s="190">
        <v>115</v>
      </c>
      <c r="Y378" t="s" s="190">
        <v>116</v>
      </c>
      <c r="Z378" t="s" s="190">
        <v>117</v>
      </c>
      <c r="AA378" s="120"/>
      <c r="AB378" s="191"/>
      <c r="AC378" s="191"/>
      <c r="AD378" s="191"/>
      <c r="AE378" s="191"/>
      <c r="AF378" s="192"/>
    </row>
    <row r="379" ht="21.25" customHeight="1">
      <c r="A379" s="50"/>
      <c r="B379" t="s" s="117">
        <f>_xlfn.IFERROR(VLOOKUP($A379,'The List'!$B1:$AS665,3,FALSE)," ")</f>
        <v>858</v>
      </c>
      <c r="C379" t="s" s="123">
        <f>_xlfn.IFERROR(VLOOKUP($A379,'The List'!$B1:$AS665,4,FALSE)," ")</f>
        <v>858</v>
      </c>
      <c r="D379" t="s" s="86">
        <f>_xlfn.IFERROR(VLOOKUP($A379,'The List'!$B1:$AS665,5,FALSE)," ")</f>
        <v>858</v>
      </c>
      <c r="E379" t="s" s="86">
        <f>_xlfn.IFERROR(VLOOKUP($A379,'The List'!$B1:$AS665,6,FALSE)," ")</f>
        <v>858</v>
      </c>
      <c r="F379" t="s" s="124">
        <f>_xlfn.IFERROR(VLOOKUP($A379,'The List'!$B1:$AS665,8,FALSE)," ")</f>
        <v>858</v>
      </c>
      <c r="G379" t="s" s="124">
        <f>_xlfn.IFERROR(VLOOKUP($A379,'The List'!$B1:$AS665,10,FALSE)," ")</f>
        <v>858</v>
      </c>
      <c r="H379" s="77"/>
      <c r="I379" t="s" s="125">
        <f>_xlfn.IFERROR(VLOOKUP($A379,'The List'!$B1:$AS665,16,FALSE)," ")</f>
        <v>858</v>
      </c>
      <c r="J379" t="s" s="125">
        <f>_xlfn.IFERROR(VLOOKUP($A379,'The List'!$B1:$AS665,17,FALSE)," ")</f>
        <v>858</v>
      </c>
      <c r="K379" t="s" s="125">
        <f>_xlfn.IFERROR(VLOOKUP($A379,'The List'!$B1:$AS665,18,FALSE)," ")</f>
        <v>858</v>
      </c>
      <c r="L379" t="s" s="125">
        <f>_xlfn.IFERROR(VLOOKUP($A379,'The List'!$B1:$AS665,19,FALSE)," ")</f>
        <v>858</v>
      </c>
      <c r="M379" t="s" s="125">
        <f>_xlfn.IFERROR(VLOOKUP($A379,'The List'!$B1:$AS665,20,FALSE)," ")</f>
        <v>858</v>
      </c>
      <c r="N379" t="s" s="125">
        <f>_xlfn.IFERROR(VLOOKUP($A379,'The List'!$B1:$AS665,21,FALSE)," ")</f>
        <v>858</v>
      </c>
      <c r="O379" t="s" s="125">
        <f>_xlfn.IFERROR(VLOOKUP($A379,'The List'!$B1:$AS665,22,FALSE)," ")</f>
        <v>858</v>
      </c>
      <c r="P379" t="s" s="125">
        <f>_xlfn.IFERROR(VLOOKUP($A379,'The List'!$B1:$AS665,23,FALSE)," ")</f>
        <v>858</v>
      </c>
      <c r="Q379" t="s" s="125">
        <f>_xlfn.IFERROR(VLOOKUP($A379,'The List'!$B1:$AS665,24,FALSE)," ")</f>
        <v>858</v>
      </c>
      <c r="R379" t="s" s="125">
        <f>_xlfn.IFERROR(VLOOKUP($A379,'The List'!$B1:$AS665,25,FALSE)," ")</f>
        <v>858</v>
      </c>
      <c r="S379" t="s" s="125">
        <f>_xlfn.IFERROR(VLOOKUP($A379,'The List'!$B1:$AS665,26,FALSE)," ")</f>
        <v>858</v>
      </c>
      <c r="T379" t="s" s="125">
        <f>_xlfn.IFERROR(VLOOKUP($A379,'The List'!$B1:$AS665,27,FALSE)," ")</f>
        <v>858</v>
      </c>
      <c r="U379" t="s" s="125">
        <f>_xlfn.IFERROR(VLOOKUP($A379,'The List'!$B1:$AS665,28,FALSE)," ")</f>
        <v>858</v>
      </c>
      <c r="V379" t="s" s="125">
        <f>_xlfn.IFERROR(VLOOKUP($A379,'The List'!$B1:$AS665,29,FALSE)," ")</f>
        <v>858</v>
      </c>
      <c r="W379" t="s" s="125">
        <f>_xlfn.IFERROR(VLOOKUP($A379,'The List'!$B1:$AS665,30,FALSE)," ")</f>
        <v>858</v>
      </c>
      <c r="X379" t="s" s="125">
        <f>_xlfn.IFERROR(VLOOKUP($A379,'The List'!$B1:$AS665,31,FALSE)," ")</f>
        <v>858</v>
      </c>
      <c r="Y379" t="s" s="125">
        <f>_xlfn.IFERROR(VLOOKUP($A379,'The List'!$B1:$AS665,32,FALSE)," ")</f>
        <v>858</v>
      </c>
      <c r="Z379" t="s" s="125">
        <f>_xlfn.IFERROR(VLOOKUP($A379,'The List'!$B1:$AS665,33,FALSE)," ")</f>
        <v>858</v>
      </c>
      <c r="AA379" s="120"/>
      <c r="AB379" s="121"/>
      <c r="AC379" s="121"/>
      <c r="AD379" s="121"/>
      <c r="AE379" s="121"/>
      <c r="AF379" s="144"/>
    </row>
    <row r="380" ht="21.25" customHeight="1">
      <c r="A380" s="50"/>
      <c r="B380" t="s" s="117">
        <f>_xlfn.IFERROR(VLOOKUP($A380,'The List'!$B1:$AS665,3,FALSE)," ")</f>
        <v>858</v>
      </c>
      <c r="C380" t="s" s="123">
        <f>_xlfn.IFERROR(VLOOKUP($A380,'The List'!$B1:$AS665,4,FALSE)," ")</f>
        <v>858</v>
      </c>
      <c r="D380" t="s" s="86">
        <f>_xlfn.IFERROR(VLOOKUP($A380,'The List'!$B1:$AS665,5,FALSE)," ")</f>
        <v>858</v>
      </c>
      <c r="E380" t="s" s="86">
        <f>_xlfn.IFERROR(VLOOKUP($A380,'The List'!$B1:$AS665,6,FALSE)," ")</f>
        <v>858</v>
      </c>
      <c r="F380" t="s" s="124">
        <f>_xlfn.IFERROR(VLOOKUP($A380,'The List'!$B1:$AS665,8,FALSE)," ")</f>
        <v>858</v>
      </c>
      <c r="G380" t="s" s="124">
        <f>_xlfn.IFERROR(VLOOKUP($A380,'The List'!$B1:$AS665,10,FALSE)," ")</f>
        <v>858</v>
      </c>
      <c r="H380" s="77"/>
      <c r="I380" t="s" s="125">
        <f>_xlfn.IFERROR(VLOOKUP($A380,'The List'!$B1:$AS665,16,FALSE)," ")</f>
        <v>858</v>
      </c>
      <c r="J380" t="s" s="125">
        <f>_xlfn.IFERROR(VLOOKUP($A380,'The List'!$B1:$AS665,17,FALSE)," ")</f>
        <v>858</v>
      </c>
      <c r="K380" t="s" s="125">
        <f>_xlfn.IFERROR(VLOOKUP($A380,'The List'!$B1:$AS665,18,FALSE)," ")</f>
        <v>858</v>
      </c>
      <c r="L380" t="s" s="125">
        <f>_xlfn.IFERROR(VLOOKUP($A380,'The List'!$B1:$AS665,19,FALSE)," ")</f>
        <v>858</v>
      </c>
      <c r="M380" t="s" s="125">
        <f>_xlfn.IFERROR(VLOOKUP($A380,'The List'!$B1:$AS665,20,FALSE)," ")</f>
        <v>858</v>
      </c>
      <c r="N380" t="s" s="125">
        <f>_xlfn.IFERROR(VLOOKUP($A380,'The List'!$B1:$AS665,21,FALSE)," ")</f>
        <v>858</v>
      </c>
      <c r="O380" t="s" s="125">
        <f>_xlfn.IFERROR(VLOOKUP($A380,'The List'!$B1:$AS665,22,FALSE)," ")</f>
        <v>858</v>
      </c>
      <c r="P380" t="s" s="125">
        <f>_xlfn.IFERROR(VLOOKUP($A380,'The List'!$B1:$AS665,23,FALSE)," ")</f>
        <v>858</v>
      </c>
      <c r="Q380" t="s" s="125">
        <f>_xlfn.IFERROR(VLOOKUP($A380,'The List'!$B1:$AS665,24,FALSE)," ")</f>
        <v>858</v>
      </c>
      <c r="R380" t="s" s="125">
        <f>_xlfn.IFERROR(VLOOKUP($A380,'The List'!$B1:$AS665,25,FALSE)," ")</f>
        <v>858</v>
      </c>
      <c r="S380" t="s" s="125">
        <f>_xlfn.IFERROR(VLOOKUP($A380,'The List'!$B1:$AS665,26,FALSE)," ")</f>
        <v>858</v>
      </c>
      <c r="T380" t="s" s="125">
        <f>_xlfn.IFERROR(VLOOKUP($A380,'The List'!$B1:$AS665,27,FALSE)," ")</f>
        <v>858</v>
      </c>
      <c r="U380" t="s" s="125">
        <f>_xlfn.IFERROR(VLOOKUP($A380,'The List'!$B1:$AS665,28,FALSE)," ")</f>
        <v>858</v>
      </c>
      <c r="V380" t="s" s="125">
        <f>_xlfn.IFERROR(VLOOKUP($A380,'The List'!$B1:$AS665,29,FALSE)," ")</f>
        <v>858</v>
      </c>
      <c r="W380" t="s" s="125">
        <f>_xlfn.IFERROR(VLOOKUP($A380,'The List'!$B1:$AS665,30,FALSE)," ")</f>
        <v>858</v>
      </c>
      <c r="X380" t="s" s="125">
        <f>_xlfn.IFERROR(VLOOKUP($A380,'The List'!$B1:$AS665,31,FALSE)," ")</f>
        <v>858</v>
      </c>
      <c r="Y380" t="s" s="125">
        <f>_xlfn.IFERROR(VLOOKUP($A380,'The List'!$B1:$AS665,32,FALSE)," ")</f>
        <v>858</v>
      </c>
      <c r="Z380" t="s" s="125">
        <f>_xlfn.IFERROR(VLOOKUP($A380,'The List'!$B1:$AS665,33,FALSE)," ")</f>
        <v>858</v>
      </c>
      <c r="AA380" s="120"/>
      <c r="AB380" s="121"/>
      <c r="AC380" s="121"/>
      <c r="AD380" s="121"/>
      <c r="AE380" s="121"/>
      <c r="AF380" s="144"/>
    </row>
    <row r="381" ht="21.25" customHeight="1">
      <c r="A381" s="50"/>
      <c r="B381" t="s" s="117">
        <f>_xlfn.IFERROR(VLOOKUP($A381,'The List'!$B1:$AS665,3,FALSE)," ")</f>
        <v>858</v>
      </c>
      <c r="C381" t="s" s="123">
        <f>_xlfn.IFERROR(VLOOKUP($A381,'The List'!$B1:$AS665,4,FALSE)," ")</f>
        <v>858</v>
      </c>
      <c r="D381" t="s" s="86">
        <f>_xlfn.IFERROR(VLOOKUP($A381,'The List'!$B1:$AS665,5,FALSE)," ")</f>
        <v>858</v>
      </c>
      <c r="E381" t="s" s="86">
        <f>_xlfn.IFERROR(VLOOKUP($A381,'The List'!$B1:$AS665,6,FALSE)," ")</f>
        <v>858</v>
      </c>
      <c r="F381" t="s" s="124">
        <f>_xlfn.IFERROR(VLOOKUP($A381,'The List'!$B1:$AS665,8,FALSE)," ")</f>
        <v>858</v>
      </c>
      <c r="G381" t="s" s="124">
        <f>_xlfn.IFERROR(VLOOKUP($A381,'The List'!$B1:$AS665,10,FALSE)," ")</f>
        <v>858</v>
      </c>
      <c r="H381" s="77"/>
      <c r="I381" t="s" s="125">
        <f>_xlfn.IFERROR(VLOOKUP($A381,'The List'!$B1:$AS665,16,FALSE)," ")</f>
        <v>858</v>
      </c>
      <c r="J381" t="s" s="125">
        <f>_xlfn.IFERROR(VLOOKUP($A381,'The List'!$B1:$AS665,17,FALSE)," ")</f>
        <v>858</v>
      </c>
      <c r="K381" t="s" s="125">
        <f>_xlfn.IFERROR(VLOOKUP($A381,'The List'!$B1:$AS665,18,FALSE)," ")</f>
        <v>858</v>
      </c>
      <c r="L381" t="s" s="125">
        <f>_xlfn.IFERROR(VLOOKUP($A381,'The List'!$B1:$AS665,19,FALSE)," ")</f>
        <v>858</v>
      </c>
      <c r="M381" t="s" s="125">
        <f>_xlfn.IFERROR(VLOOKUP($A381,'The List'!$B1:$AS665,20,FALSE)," ")</f>
        <v>858</v>
      </c>
      <c r="N381" t="s" s="125">
        <f>_xlfn.IFERROR(VLOOKUP($A381,'The List'!$B1:$AS665,21,FALSE)," ")</f>
        <v>858</v>
      </c>
      <c r="O381" t="s" s="125">
        <f>_xlfn.IFERROR(VLOOKUP($A381,'The List'!$B1:$AS665,22,FALSE)," ")</f>
        <v>858</v>
      </c>
      <c r="P381" t="s" s="125">
        <f>_xlfn.IFERROR(VLOOKUP($A381,'The List'!$B1:$AS665,23,FALSE)," ")</f>
        <v>858</v>
      </c>
      <c r="Q381" t="s" s="125">
        <f>_xlfn.IFERROR(VLOOKUP($A381,'The List'!$B1:$AS665,24,FALSE)," ")</f>
        <v>858</v>
      </c>
      <c r="R381" t="s" s="125">
        <f>_xlfn.IFERROR(VLOOKUP($A381,'The List'!$B1:$AS665,25,FALSE)," ")</f>
        <v>858</v>
      </c>
      <c r="S381" t="s" s="125">
        <f>_xlfn.IFERROR(VLOOKUP($A381,'The List'!$B1:$AS665,26,FALSE)," ")</f>
        <v>858</v>
      </c>
      <c r="T381" t="s" s="125">
        <f>_xlfn.IFERROR(VLOOKUP($A381,'The List'!$B1:$AS665,27,FALSE)," ")</f>
        <v>858</v>
      </c>
      <c r="U381" t="s" s="125">
        <f>_xlfn.IFERROR(VLOOKUP($A381,'The List'!$B1:$AS665,28,FALSE)," ")</f>
        <v>858</v>
      </c>
      <c r="V381" t="s" s="125">
        <f>_xlfn.IFERROR(VLOOKUP($A381,'The List'!$B1:$AS665,29,FALSE)," ")</f>
        <v>858</v>
      </c>
      <c r="W381" t="s" s="125">
        <f>_xlfn.IFERROR(VLOOKUP($A381,'The List'!$B1:$AS665,30,FALSE)," ")</f>
        <v>858</v>
      </c>
      <c r="X381" t="s" s="125">
        <f>_xlfn.IFERROR(VLOOKUP($A381,'The List'!$B1:$AS665,31,FALSE)," ")</f>
        <v>858</v>
      </c>
      <c r="Y381" t="s" s="125">
        <f>_xlfn.IFERROR(VLOOKUP($A381,'The List'!$B1:$AS665,32,FALSE)," ")</f>
        <v>858</v>
      </c>
      <c r="Z381" t="s" s="125">
        <f>_xlfn.IFERROR(VLOOKUP($A381,'The List'!$B1:$AS665,33,FALSE)," ")</f>
        <v>858</v>
      </c>
      <c r="AA381" s="120"/>
      <c r="AB381" s="121"/>
      <c r="AC381" s="121"/>
      <c r="AD381" s="121"/>
      <c r="AE381" s="121"/>
      <c r="AF381" s="144"/>
    </row>
    <row r="382" ht="21.25" customHeight="1">
      <c r="A382" s="50"/>
      <c r="B382" t="s" s="117">
        <f>_xlfn.IFERROR(VLOOKUP($A382,'The List'!$B1:$AS665,3,FALSE)," ")</f>
        <v>858</v>
      </c>
      <c r="C382" t="s" s="123">
        <f>_xlfn.IFERROR(VLOOKUP($A382,'The List'!$B1:$AS665,4,FALSE)," ")</f>
        <v>858</v>
      </c>
      <c r="D382" t="s" s="86">
        <f>_xlfn.IFERROR(VLOOKUP($A382,'The List'!$B1:$AS665,5,FALSE)," ")</f>
        <v>858</v>
      </c>
      <c r="E382" t="s" s="86">
        <f>_xlfn.IFERROR(VLOOKUP($A382,'The List'!$B1:$AS665,6,FALSE)," ")</f>
        <v>858</v>
      </c>
      <c r="F382" t="s" s="124">
        <f>_xlfn.IFERROR(VLOOKUP($A382,'The List'!$B1:$AS665,8,FALSE)," ")</f>
        <v>858</v>
      </c>
      <c r="G382" t="s" s="124">
        <f>_xlfn.IFERROR(VLOOKUP($A382,'The List'!$B1:$AS665,10,FALSE)," ")</f>
        <v>858</v>
      </c>
      <c r="H382" s="77"/>
      <c r="I382" t="s" s="125">
        <f>_xlfn.IFERROR(VLOOKUP($A382,'The List'!$B1:$AS665,16,FALSE)," ")</f>
        <v>858</v>
      </c>
      <c r="J382" t="s" s="125">
        <f>_xlfn.IFERROR(VLOOKUP($A382,'The List'!$B1:$AS665,17,FALSE)," ")</f>
        <v>858</v>
      </c>
      <c r="K382" t="s" s="125">
        <f>_xlfn.IFERROR(VLOOKUP($A382,'The List'!$B1:$AS665,18,FALSE)," ")</f>
        <v>858</v>
      </c>
      <c r="L382" t="s" s="125">
        <f>_xlfn.IFERROR(VLOOKUP($A382,'The List'!$B1:$AS665,19,FALSE)," ")</f>
        <v>858</v>
      </c>
      <c r="M382" t="s" s="125">
        <f>_xlfn.IFERROR(VLOOKUP($A382,'The List'!$B1:$AS665,20,FALSE)," ")</f>
        <v>858</v>
      </c>
      <c r="N382" t="s" s="125">
        <f>_xlfn.IFERROR(VLOOKUP($A382,'The List'!$B1:$AS665,21,FALSE)," ")</f>
        <v>858</v>
      </c>
      <c r="O382" t="s" s="125">
        <f>_xlfn.IFERROR(VLOOKUP($A382,'The List'!$B1:$AS665,22,FALSE)," ")</f>
        <v>858</v>
      </c>
      <c r="P382" t="s" s="125">
        <f>_xlfn.IFERROR(VLOOKUP($A382,'The List'!$B1:$AS665,23,FALSE)," ")</f>
        <v>858</v>
      </c>
      <c r="Q382" t="s" s="125">
        <f>_xlfn.IFERROR(VLOOKUP($A382,'The List'!$B1:$AS665,24,FALSE)," ")</f>
        <v>858</v>
      </c>
      <c r="R382" t="s" s="125">
        <f>_xlfn.IFERROR(VLOOKUP($A382,'The List'!$B1:$AS665,25,FALSE)," ")</f>
        <v>858</v>
      </c>
      <c r="S382" t="s" s="125">
        <f>_xlfn.IFERROR(VLOOKUP($A382,'The List'!$B1:$AS665,26,FALSE)," ")</f>
        <v>858</v>
      </c>
      <c r="T382" t="s" s="125">
        <f>_xlfn.IFERROR(VLOOKUP($A382,'The List'!$B1:$AS665,27,FALSE)," ")</f>
        <v>858</v>
      </c>
      <c r="U382" t="s" s="125">
        <f>_xlfn.IFERROR(VLOOKUP($A382,'The List'!$B1:$AS665,28,FALSE)," ")</f>
        <v>858</v>
      </c>
      <c r="V382" t="s" s="125">
        <f>_xlfn.IFERROR(VLOOKUP($A382,'The List'!$B1:$AS665,29,FALSE)," ")</f>
        <v>858</v>
      </c>
      <c r="W382" t="s" s="125">
        <f>_xlfn.IFERROR(VLOOKUP($A382,'The List'!$B1:$AS665,30,FALSE)," ")</f>
        <v>858</v>
      </c>
      <c r="X382" t="s" s="125">
        <f>_xlfn.IFERROR(VLOOKUP($A382,'The List'!$B1:$AS665,31,FALSE)," ")</f>
        <v>858</v>
      </c>
      <c r="Y382" t="s" s="125">
        <f>_xlfn.IFERROR(VLOOKUP($A382,'The List'!$B1:$AS665,32,FALSE)," ")</f>
        <v>858</v>
      </c>
      <c r="Z382" t="s" s="125">
        <f>_xlfn.IFERROR(VLOOKUP($A382,'The List'!$B1:$AS665,33,FALSE)," ")</f>
        <v>858</v>
      </c>
      <c r="AA382" s="120"/>
      <c r="AB382" s="121"/>
      <c r="AC382" s="121"/>
      <c r="AD382" s="121"/>
      <c r="AE382" s="121"/>
      <c r="AF382" s="144"/>
    </row>
    <row r="383" ht="21.25" customHeight="1">
      <c r="A383" s="50"/>
      <c r="B383" t="s" s="126">
        <f>_xlfn.IFERROR(VLOOKUP($A383,'The List'!$B1:$AS665,3,FALSE)," ")</f>
        <v>858</v>
      </c>
      <c r="C383" t="s" s="128">
        <f>_xlfn.IFERROR(VLOOKUP($A383,'The List'!$B1:$AS665,4,FALSE)," ")</f>
        <v>858</v>
      </c>
      <c r="D383" t="s" s="86">
        <f>_xlfn.IFERROR(VLOOKUP($A383,'The List'!$B1:$AS665,5,FALSE)," ")</f>
        <v>858</v>
      </c>
      <c r="E383" t="s" s="86">
        <f>_xlfn.IFERROR(VLOOKUP($A383,'The List'!$B1:$AS665,6,FALSE)," ")</f>
        <v>858</v>
      </c>
      <c r="F383" t="s" s="124">
        <f>_xlfn.IFERROR(VLOOKUP($A383,'The List'!$B1:$AS665,8,FALSE)," ")</f>
        <v>858</v>
      </c>
      <c r="G383" t="s" s="124">
        <f>_xlfn.IFERROR(VLOOKUP($A383,'The List'!$B1:$AS665,10,FALSE)," ")</f>
        <v>858</v>
      </c>
      <c r="H383" s="77"/>
      <c r="I383" t="s" s="125">
        <f>_xlfn.IFERROR(VLOOKUP($A383,'The List'!$B1:$AS665,16,FALSE)," ")</f>
        <v>858</v>
      </c>
      <c r="J383" t="s" s="125">
        <f>_xlfn.IFERROR(VLOOKUP($A383,'The List'!$B1:$AS665,17,FALSE)," ")</f>
        <v>858</v>
      </c>
      <c r="K383" t="s" s="125">
        <f>_xlfn.IFERROR(VLOOKUP($A383,'The List'!$B1:$AS665,18,FALSE)," ")</f>
        <v>858</v>
      </c>
      <c r="L383" t="s" s="125">
        <f>_xlfn.IFERROR(VLOOKUP($A383,'The List'!$B1:$AS665,19,FALSE)," ")</f>
        <v>858</v>
      </c>
      <c r="M383" t="s" s="125">
        <f>_xlfn.IFERROR(VLOOKUP($A383,'The List'!$B1:$AS665,20,FALSE)," ")</f>
        <v>858</v>
      </c>
      <c r="N383" t="s" s="125">
        <f>_xlfn.IFERROR(VLOOKUP($A383,'The List'!$B1:$AS665,21,FALSE)," ")</f>
        <v>858</v>
      </c>
      <c r="O383" t="s" s="125">
        <f>_xlfn.IFERROR(VLOOKUP($A383,'The List'!$B1:$AS665,22,FALSE)," ")</f>
        <v>858</v>
      </c>
      <c r="P383" t="s" s="125">
        <f>_xlfn.IFERROR(VLOOKUP($A383,'The List'!$B1:$AS665,23,FALSE)," ")</f>
        <v>858</v>
      </c>
      <c r="Q383" t="s" s="125">
        <f>_xlfn.IFERROR(VLOOKUP($A383,'The List'!$B1:$AS665,24,FALSE)," ")</f>
        <v>858</v>
      </c>
      <c r="R383" t="s" s="125">
        <f>_xlfn.IFERROR(VLOOKUP($A383,'The List'!$B1:$AS665,25,FALSE)," ")</f>
        <v>858</v>
      </c>
      <c r="S383" t="s" s="125">
        <f>_xlfn.IFERROR(VLOOKUP($A383,'The List'!$B1:$AS665,26,FALSE)," ")</f>
        <v>858</v>
      </c>
      <c r="T383" t="s" s="125">
        <f>_xlfn.IFERROR(VLOOKUP($A383,'The List'!$B1:$AS665,27,FALSE)," ")</f>
        <v>858</v>
      </c>
      <c r="U383" t="s" s="125">
        <f>_xlfn.IFERROR(VLOOKUP($A383,'The List'!$B1:$AS665,28,FALSE)," ")</f>
        <v>858</v>
      </c>
      <c r="V383" t="s" s="125">
        <f>_xlfn.IFERROR(VLOOKUP($A383,'The List'!$B1:$AS665,29,FALSE)," ")</f>
        <v>858</v>
      </c>
      <c r="W383" t="s" s="125">
        <f>_xlfn.IFERROR(VLOOKUP($A383,'The List'!$B1:$AS665,30,FALSE)," ")</f>
        <v>858</v>
      </c>
      <c r="X383" t="s" s="125">
        <f>_xlfn.IFERROR(VLOOKUP($A383,'The List'!$B1:$AS665,31,FALSE)," ")</f>
        <v>858</v>
      </c>
      <c r="Y383" t="s" s="125">
        <f>_xlfn.IFERROR(VLOOKUP($A383,'The List'!$B1:$AS665,32,FALSE)," ")</f>
        <v>858</v>
      </c>
      <c r="Z383" t="s" s="125">
        <f>_xlfn.IFERROR(VLOOKUP($A383,'The List'!$B1:$AS665,33,FALSE)," ")</f>
        <v>858</v>
      </c>
      <c r="AA383" s="120"/>
      <c r="AB383" s="121"/>
      <c r="AC383" s="121"/>
      <c r="AD383" s="121"/>
      <c r="AE383" s="121"/>
      <c r="AF383" s="144"/>
    </row>
    <row r="384" ht="21.25" customHeight="1">
      <c r="A384" s="50"/>
      <c r="B384" t="s" s="126">
        <f>_xlfn.IFERROR(VLOOKUP($A384,'The List'!$B1:$AS665,3,FALSE)," ")</f>
        <v>858</v>
      </c>
      <c r="C384" t="s" s="128">
        <f>_xlfn.IFERROR(VLOOKUP($A384,'The List'!$B1:$AS665,4,FALSE)," ")</f>
        <v>858</v>
      </c>
      <c r="D384" t="s" s="86">
        <f>_xlfn.IFERROR(VLOOKUP($A384,'The List'!$B1:$AS665,5,FALSE)," ")</f>
        <v>858</v>
      </c>
      <c r="E384" t="s" s="86">
        <f>_xlfn.IFERROR(VLOOKUP($A384,'The List'!$B1:$AS665,6,FALSE)," ")</f>
        <v>858</v>
      </c>
      <c r="F384" t="s" s="124">
        <f>_xlfn.IFERROR(VLOOKUP($A384,'The List'!$B1:$AS665,8,FALSE)," ")</f>
        <v>858</v>
      </c>
      <c r="G384" t="s" s="124">
        <f>_xlfn.IFERROR(VLOOKUP($A384,'The List'!$B1:$AS665,10,FALSE)," ")</f>
        <v>858</v>
      </c>
      <c r="H384" s="77"/>
      <c r="I384" t="s" s="125">
        <f>_xlfn.IFERROR(VLOOKUP($A384,'The List'!$B1:$AS665,16,FALSE)," ")</f>
        <v>858</v>
      </c>
      <c r="J384" t="s" s="125">
        <f>_xlfn.IFERROR(VLOOKUP($A384,'The List'!$B1:$AS665,17,FALSE)," ")</f>
        <v>858</v>
      </c>
      <c r="K384" t="s" s="125">
        <f>_xlfn.IFERROR(VLOOKUP($A384,'The List'!$B1:$AS665,18,FALSE)," ")</f>
        <v>858</v>
      </c>
      <c r="L384" t="s" s="125">
        <f>_xlfn.IFERROR(VLOOKUP($A384,'The List'!$B1:$AS665,19,FALSE)," ")</f>
        <v>858</v>
      </c>
      <c r="M384" t="s" s="125">
        <f>_xlfn.IFERROR(VLOOKUP($A384,'The List'!$B1:$AS665,20,FALSE)," ")</f>
        <v>858</v>
      </c>
      <c r="N384" t="s" s="125">
        <f>_xlfn.IFERROR(VLOOKUP($A384,'The List'!$B1:$AS665,21,FALSE)," ")</f>
        <v>858</v>
      </c>
      <c r="O384" t="s" s="125">
        <f>_xlfn.IFERROR(VLOOKUP($A384,'The List'!$B1:$AS665,22,FALSE)," ")</f>
        <v>858</v>
      </c>
      <c r="P384" t="s" s="125">
        <f>_xlfn.IFERROR(VLOOKUP($A384,'The List'!$B1:$AS665,23,FALSE)," ")</f>
        <v>858</v>
      </c>
      <c r="Q384" t="s" s="125">
        <f>_xlfn.IFERROR(VLOOKUP($A384,'The List'!$B1:$AS665,24,FALSE)," ")</f>
        <v>858</v>
      </c>
      <c r="R384" t="s" s="125">
        <f>_xlfn.IFERROR(VLOOKUP($A384,'The List'!$B1:$AS665,25,FALSE)," ")</f>
        <v>858</v>
      </c>
      <c r="S384" t="s" s="125">
        <f>_xlfn.IFERROR(VLOOKUP($A384,'The List'!$B1:$AS665,26,FALSE)," ")</f>
        <v>858</v>
      </c>
      <c r="T384" t="s" s="125">
        <f>_xlfn.IFERROR(VLOOKUP($A384,'The List'!$B1:$AS665,27,FALSE)," ")</f>
        <v>858</v>
      </c>
      <c r="U384" t="s" s="125">
        <f>_xlfn.IFERROR(VLOOKUP($A384,'The List'!$B1:$AS665,28,FALSE)," ")</f>
        <v>858</v>
      </c>
      <c r="V384" t="s" s="125">
        <f>_xlfn.IFERROR(VLOOKUP($A384,'The List'!$B1:$AS665,29,FALSE)," ")</f>
        <v>858</v>
      </c>
      <c r="W384" t="s" s="125">
        <f>_xlfn.IFERROR(VLOOKUP($A384,'The List'!$B1:$AS665,30,FALSE)," ")</f>
        <v>858</v>
      </c>
      <c r="X384" t="s" s="125">
        <f>_xlfn.IFERROR(VLOOKUP($A384,'The List'!$B1:$AS665,31,FALSE)," ")</f>
        <v>858</v>
      </c>
      <c r="Y384" t="s" s="125">
        <f>_xlfn.IFERROR(VLOOKUP($A384,'The List'!$B1:$AS665,32,FALSE)," ")</f>
        <v>858</v>
      </c>
      <c r="Z384" t="s" s="125">
        <f>_xlfn.IFERROR(VLOOKUP($A384,'The List'!$B1:$AS665,33,FALSE)," ")</f>
        <v>858</v>
      </c>
      <c r="AA384" s="120"/>
      <c r="AB384" s="121"/>
      <c r="AC384" s="121"/>
      <c r="AD384" s="121"/>
      <c r="AE384" s="121"/>
      <c r="AF384" s="144"/>
    </row>
    <row r="385" ht="21.25" customHeight="1">
      <c r="A385" s="50"/>
      <c r="B385" t="s" s="126">
        <f>_xlfn.IFERROR(VLOOKUP($A385,'The List'!$B1:$AS665,3,FALSE)," ")</f>
        <v>858</v>
      </c>
      <c r="C385" t="s" s="128">
        <f>_xlfn.IFERROR(VLOOKUP($A385,'The List'!$B1:$AS665,4,FALSE)," ")</f>
        <v>858</v>
      </c>
      <c r="D385" t="s" s="86">
        <f>_xlfn.IFERROR(VLOOKUP($A385,'The List'!$B1:$AS665,5,FALSE)," ")</f>
        <v>858</v>
      </c>
      <c r="E385" t="s" s="86">
        <f>_xlfn.IFERROR(VLOOKUP($A385,'The List'!$B1:$AS665,6,FALSE)," ")</f>
        <v>858</v>
      </c>
      <c r="F385" t="s" s="124">
        <f>_xlfn.IFERROR(VLOOKUP($A385,'The List'!$B1:$AS665,8,FALSE)," ")</f>
        <v>858</v>
      </c>
      <c r="G385" t="s" s="124">
        <f>_xlfn.IFERROR(VLOOKUP($A385,'The List'!$B1:$AS665,10,FALSE)," ")</f>
        <v>858</v>
      </c>
      <c r="H385" s="77"/>
      <c r="I385" t="s" s="125">
        <f>_xlfn.IFERROR(VLOOKUP($A385,'The List'!$B1:$AS665,16,FALSE)," ")</f>
        <v>858</v>
      </c>
      <c r="J385" t="s" s="125">
        <f>_xlfn.IFERROR(VLOOKUP($A385,'The List'!$B1:$AS665,17,FALSE)," ")</f>
        <v>858</v>
      </c>
      <c r="K385" t="s" s="125">
        <f>_xlfn.IFERROR(VLOOKUP($A385,'The List'!$B1:$AS665,18,FALSE)," ")</f>
        <v>858</v>
      </c>
      <c r="L385" t="s" s="125">
        <f>_xlfn.IFERROR(VLOOKUP($A385,'The List'!$B1:$AS665,19,FALSE)," ")</f>
        <v>858</v>
      </c>
      <c r="M385" t="s" s="125">
        <f>_xlfn.IFERROR(VLOOKUP($A385,'The List'!$B1:$AS665,20,FALSE)," ")</f>
        <v>858</v>
      </c>
      <c r="N385" t="s" s="125">
        <f>_xlfn.IFERROR(VLOOKUP($A385,'The List'!$B1:$AS665,21,FALSE)," ")</f>
        <v>858</v>
      </c>
      <c r="O385" t="s" s="125">
        <f>_xlfn.IFERROR(VLOOKUP($A385,'The List'!$B1:$AS665,22,FALSE)," ")</f>
        <v>858</v>
      </c>
      <c r="P385" t="s" s="125">
        <f>_xlfn.IFERROR(VLOOKUP($A385,'The List'!$B1:$AS665,23,FALSE)," ")</f>
        <v>858</v>
      </c>
      <c r="Q385" t="s" s="125">
        <f>_xlfn.IFERROR(VLOOKUP($A385,'The List'!$B1:$AS665,24,FALSE)," ")</f>
        <v>858</v>
      </c>
      <c r="R385" t="s" s="125">
        <f>_xlfn.IFERROR(VLOOKUP($A385,'The List'!$B1:$AS665,25,FALSE)," ")</f>
        <v>858</v>
      </c>
      <c r="S385" t="s" s="125">
        <f>_xlfn.IFERROR(VLOOKUP($A385,'The List'!$B1:$AS665,26,FALSE)," ")</f>
        <v>858</v>
      </c>
      <c r="T385" t="s" s="125">
        <f>_xlfn.IFERROR(VLOOKUP($A385,'The List'!$B1:$AS665,27,FALSE)," ")</f>
        <v>858</v>
      </c>
      <c r="U385" t="s" s="125">
        <f>_xlfn.IFERROR(VLOOKUP($A385,'The List'!$B1:$AS665,28,FALSE)," ")</f>
        <v>858</v>
      </c>
      <c r="V385" t="s" s="125">
        <f>_xlfn.IFERROR(VLOOKUP($A385,'The List'!$B1:$AS665,29,FALSE)," ")</f>
        <v>858</v>
      </c>
      <c r="W385" t="s" s="125">
        <f>_xlfn.IFERROR(VLOOKUP($A385,'The List'!$B1:$AS665,30,FALSE)," ")</f>
        <v>858</v>
      </c>
      <c r="X385" t="s" s="125">
        <f>_xlfn.IFERROR(VLOOKUP($A385,'The List'!$B1:$AS665,31,FALSE)," ")</f>
        <v>858</v>
      </c>
      <c r="Y385" t="s" s="125">
        <f>_xlfn.IFERROR(VLOOKUP($A385,'The List'!$B1:$AS665,32,FALSE)," ")</f>
        <v>858</v>
      </c>
      <c r="Z385" t="s" s="125">
        <f>_xlfn.IFERROR(VLOOKUP($A385,'The List'!$B1:$AS665,33,FALSE)," ")</f>
        <v>858</v>
      </c>
      <c r="AA385" s="120"/>
      <c r="AB385" s="121"/>
      <c r="AC385" s="121"/>
      <c r="AD385" s="121"/>
      <c r="AE385" s="121"/>
      <c r="AF385" s="144"/>
    </row>
    <row r="386" ht="21.25" customHeight="1">
      <c r="A386" s="50"/>
      <c r="B386" t="s" s="126">
        <f>_xlfn.IFERROR(VLOOKUP($A386,'The List'!$B1:$AS665,3,FALSE)," ")</f>
        <v>858</v>
      </c>
      <c r="C386" t="s" s="128">
        <f>_xlfn.IFERROR(VLOOKUP($A386,'The List'!$B1:$AS665,4,FALSE)," ")</f>
        <v>858</v>
      </c>
      <c r="D386" t="s" s="86">
        <f>_xlfn.IFERROR(VLOOKUP($A386,'The List'!$B1:$AS665,5,FALSE)," ")</f>
        <v>858</v>
      </c>
      <c r="E386" t="s" s="86">
        <f>_xlfn.IFERROR(VLOOKUP($A386,'The List'!$B1:$AS665,6,FALSE)," ")</f>
        <v>858</v>
      </c>
      <c r="F386" t="s" s="124">
        <f>_xlfn.IFERROR(VLOOKUP($A386,'The List'!$B1:$AS665,8,FALSE)," ")</f>
        <v>858</v>
      </c>
      <c r="G386" t="s" s="124">
        <f>_xlfn.IFERROR(VLOOKUP($A386,'The List'!$B1:$AS665,10,FALSE)," ")</f>
        <v>858</v>
      </c>
      <c r="H386" s="77"/>
      <c r="I386" t="s" s="125">
        <f>_xlfn.IFERROR(VLOOKUP($A386,'The List'!$B1:$AS665,16,FALSE)," ")</f>
        <v>858</v>
      </c>
      <c r="J386" t="s" s="125">
        <f>_xlfn.IFERROR(VLOOKUP($A386,'The List'!$B1:$AS665,17,FALSE)," ")</f>
        <v>858</v>
      </c>
      <c r="K386" t="s" s="125">
        <f>_xlfn.IFERROR(VLOOKUP($A386,'The List'!$B1:$AS665,18,FALSE)," ")</f>
        <v>858</v>
      </c>
      <c r="L386" t="s" s="125">
        <f>_xlfn.IFERROR(VLOOKUP($A386,'The List'!$B1:$AS665,19,FALSE)," ")</f>
        <v>858</v>
      </c>
      <c r="M386" t="s" s="125">
        <f>_xlfn.IFERROR(VLOOKUP($A386,'The List'!$B1:$AS665,20,FALSE)," ")</f>
        <v>858</v>
      </c>
      <c r="N386" t="s" s="125">
        <f>_xlfn.IFERROR(VLOOKUP($A386,'The List'!$B1:$AS665,21,FALSE)," ")</f>
        <v>858</v>
      </c>
      <c r="O386" t="s" s="125">
        <f>_xlfn.IFERROR(VLOOKUP($A386,'The List'!$B1:$AS665,22,FALSE)," ")</f>
        <v>858</v>
      </c>
      <c r="P386" t="s" s="125">
        <f>_xlfn.IFERROR(VLOOKUP($A386,'The List'!$B1:$AS665,23,FALSE)," ")</f>
        <v>858</v>
      </c>
      <c r="Q386" t="s" s="125">
        <f>_xlfn.IFERROR(VLOOKUP($A386,'The List'!$B1:$AS665,24,FALSE)," ")</f>
        <v>858</v>
      </c>
      <c r="R386" t="s" s="125">
        <f>_xlfn.IFERROR(VLOOKUP($A386,'The List'!$B1:$AS665,25,FALSE)," ")</f>
        <v>858</v>
      </c>
      <c r="S386" t="s" s="125">
        <f>_xlfn.IFERROR(VLOOKUP($A386,'The List'!$B1:$AS665,26,FALSE)," ")</f>
        <v>858</v>
      </c>
      <c r="T386" t="s" s="125">
        <f>_xlfn.IFERROR(VLOOKUP($A386,'The List'!$B1:$AS665,27,FALSE)," ")</f>
        <v>858</v>
      </c>
      <c r="U386" t="s" s="125">
        <f>_xlfn.IFERROR(VLOOKUP($A386,'The List'!$B1:$AS665,28,FALSE)," ")</f>
        <v>858</v>
      </c>
      <c r="V386" t="s" s="125">
        <f>_xlfn.IFERROR(VLOOKUP($A386,'The List'!$B1:$AS665,29,FALSE)," ")</f>
        <v>858</v>
      </c>
      <c r="W386" t="s" s="125">
        <f>_xlfn.IFERROR(VLOOKUP($A386,'The List'!$B1:$AS665,30,FALSE)," ")</f>
        <v>858</v>
      </c>
      <c r="X386" t="s" s="125">
        <f>_xlfn.IFERROR(VLOOKUP($A386,'The List'!$B1:$AS665,31,FALSE)," ")</f>
        <v>858</v>
      </c>
      <c r="Y386" t="s" s="125">
        <f>_xlfn.IFERROR(VLOOKUP($A386,'The List'!$B1:$AS665,32,FALSE)," ")</f>
        <v>858</v>
      </c>
      <c r="Z386" t="s" s="125">
        <f>_xlfn.IFERROR(VLOOKUP($A386,'The List'!$B1:$AS665,33,FALSE)," ")</f>
        <v>858</v>
      </c>
      <c r="AA386" s="120"/>
      <c r="AB386" s="121"/>
      <c r="AC386" s="121"/>
      <c r="AD386" s="121"/>
      <c r="AE386" s="121"/>
      <c r="AF386" s="144"/>
    </row>
    <row r="387" ht="21.25" customHeight="1">
      <c r="A387" s="50"/>
      <c r="B387" t="s" s="129">
        <f>_xlfn.IFERROR(VLOOKUP($A387,'The List'!$B1:$AS665,3,FALSE)," ")</f>
        <v>858</v>
      </c>
      <c r="C387" t="s" s="131">
        <f>_xlfn.IFERROR(VLOOKUP($A387,'The List'!$B1:$AS665,4,FALSE)," ")</f>
        <v>858</v>
      </c>
      <c r="D387" t="s" s="86">
        <f>_xlfn.IFERROR(VLOOKUP($A387,'The List'!$B1:$AS665,5,FALSE)," ")</f>
        <v>858</v>
      </c>
      <c r="E387" t="s" s="86">
        <f>_xlfn.IFERROR(VLOOKUP($A387,'The List'!$B1:$AS665,6,FALSE)," ")</f>
        <v>858</v>
      </c>
      <c r="F387" t="s" s="124">
        <f>_xlfn.IFERROR(VLOOKUP($A387,'The List'!$B1:$AS665,8,FALSE)," ")</f>
        <v>858</v>
      </c>
      <c r="G387" t="s" s="124">
        <f>_xlfn.IFERROR(VLOOKUP($A387,'The List'!$B1:$AS665,10,FALSE)," ")</f>
        <v>858</v>
      </c>
      <c r="H387" s="77"/>
      <c r="I387" t="s" s="125">
        <f>_xlfn.IFERROR(VLOOKUP($A387,'The List'!$B1:$AS665,16,FALSE)," ")</f>
        <v>858</v>
      </c>
      <c r="J387" t="s" s="125">
        <f>_xlfn.IFERROR(VLOOKUP($A387,'The List'!$B1:$AS665,17,FALSE)," ")</f>
        <v>858</v>
      </c>
      <c r="K387" t="s" s="125">
        <f>_xlfn.IFERROR(VLOOKUP($A387,'The List'!$B1:$AS665,18,FALSE)," ")</f>
        <v>858</v>
      </c>
      <c r="L387" t="s" s="125">
        <f>_xlfn.IFERROR(VLOOKUP($A387,'The List'!$B1:$AS665,19,FALSE)," ")</f>
        <v>858</v>
      </c>
      <c r="M387" t="s" s="125">
        <f>_xlfn.IFERROR(VLOOKUP($A387,'The List'!$B1:$AS665,20,FALSE)," ")</f>
        <v>858</v>
      </c>
      <c r="N387" t="s" s="125">
        <f>_xlfn.IFERROR(VLOOKUP($A387,'The List'!$B1:$AS665,21,FALSE)," ")</f>
        <v>858</v>
      </c>
      <c r="O387" t="s" s="125">
        <f>_xlfn.IFERROR(VLOOKUP($A387,'The List'!$B1:$AS665,22,FALSE)," ")</f>
        <v>858</v>
      </c>
      <c r="P387" t="s" s="125">
        <f>_xlfn.IFERROR(VLOOKUP($A387,'The List'!$B1:$AS665,23,FALSE)," ")</f>
        <v>858</v>
      </c>
      <c r="Q387" t="s" s="125">
        <f>_xlfn.IFERROR(VLOOKUP($A387,'The List'!$B1:$AS665,24,FALSE)," ")</f>
        <v>858</v>
      </c>
      <c r="R387" t="s" s="125">
        <f>_xlfn.IFERROR(VLOOKUP($A387,'The List'!$B1:$AS665,25,FALSE)," ")</f>
        <v>858</v>
      </c>
      <c r="S387" t="s" s="125">
        <f>_xlfn.IFERROR(VLOOKUP($A387,'The List'!$B1:$AS665,26,FALSE)," ")</f>
        <v>858</v>
      </c>
      <c r="T387" t="s" s="125">
        <f>_xlfn.IFERROR(VLOOKUP($A387,'The List'!$B1:$AS665,27,FALSE)," ")</f>
        <v>858</v>
      </c>
      <c r="U387" t="s" s="125">
        <f>_xlfn.IFERROR(VLOOKUP($A387,'The List'!$B1:$AS665,28,FALSE)," ")</f>
        <v>858</v>
      </c>
      <c r="V387" t="s" s="125">
        <f>_xlfn.IFERROR(VLOOKUP($A387,'The List'!$B1:$AS665,29,FALSE)," ")</f>
        <v>858</v>
      </c>
      <c r="W387" t="s" s="125">
        <f>_xlfn.IFERROR(VLOOKUP($A387,'The List'!$B1:$AS665,30,FALSE)," ")</f>
        <v>858</v>
      </c>
      <c r="X387" t="s" s="125">
        <f>_xlfn.IFERROR(VLOOKUP($A387,'The List'!$B1:$AS665,31,FALSE)," ")</f>
        <v>858</v>
      </c>
      <c r="Y387" t="s" s="125">
        <f>_xlfn.IFERROR(VLOOKUP($A387,'The List'!$B1:$AS665,32,FALSE)," ")</f>
        <v>858</v>
      </c>
      <c r="Z387" t="s" s="125">
        <f>_xlfn.IFERROR(VLOOKUP($A387,'The List'!$B1:$AS665,33,FALSE)," ")</f>
        <v>858</v>
      </c>
      <c r="AA387" s="120"/>
      <c r="AB387" s="121"/>
      <c r="AC387" s="121"/>
      <c r="AD387" s="121"/>
      <c r="AE387" s="121"/>
      <c r="AF387" s="144"/>
    </row>
    <row r="388" ht="21.25" customHeight="1">
      <c r="A388" s="50"/>
      <c r="B388" t="s" s="129">
        <f>_xlfn.IFERROR(VLOOKUP($A388,'The List'!$B1:$AS665,3,FALSE)," ")</f>
        <v>858</v>
      </c>
      <c r="C388" t="s" s="131">
        <f>_xlfn.IFERROR(VLOOKUP($A388,'The List'!$B1:$AS665,4,FALSE)," ")</f>
        <v>858</v>
      </c>
      <c r="D388" t="s" s="86">
        <f>_xlfn.IFERROR(VLOOKUP($A388,'The List'!$B1:$AS665,5,FALSE)," ")</f>
        <v>858</v>
      </c>
      <c r="E388" t="s" s="86">
        <f>_xlfn.IFERROR(VLOOKUP($A388,'The List'!$B1:$AS665,6,FALSE)," ")</f>
        <v>858</v>
      </c>
      <c r="F388" t="s" s="124">
        <f>_xlfn.IFERROR(VLOOKUP($A388,'The List'!$B1:$AS665,8,FALSE)," ")</f>
        <v>858</v>
      </c>
      <c r="G388" t="s" s="124">
        <f>_xlfn.IFERROR(VLOOKUP($A388,'The List'!$B1:$AS665,10,FALSE)," ")</f>
        <v>858</v>
      </c>
      <c r="H388" s="77"/>
      <c r="I388" t="s" s="125">
        <f>_xlfn.IFERROR(VLOOKUP($A388,'The List'!$B1:$AS665,16,FALSE)," ")</f>
        <v>858</v>
      </c>
      <c r="J388" t="s" s="125">
        <f>_xlfn.IFERROR(VLOOKUP($A388,'The List'!$B1:$AS665,17,FALSE)," ")</f>
        <v>858</v>
      </c>
      <c r="K388" t="s" s="125">
        <f>_xlfn.IFERROR(VLOOKUP($A388,'The List'!$B1:$AS665,18,FALSE)," ")</f>
        <v>858</v>
      </c>
      <c r="L388" t="s" s="125">
        <f>_xlfn.IFERROR(VLOOKUP($A388,'The List'!$B1:$AS665,19,FALSE)," ")</f>
        <v>858</v>
      </c>
      <c r="M388" t="s" s="125">
        <f>_xlfn.IFERROR(VLOOKUP($A388,'The List'!$B1:$AS665,20,FALSE)," ")</f>
        <v>858</v>
      </c>
      <c r="N388" t="s" s="125">
        <f>_xlfn.IFERROR(VLOOKUP($A388,'The List'!$B1:$AS665,21,FALSE)," ")</f>
        <v>858</v>
      </c>
      <c r="O388" t="s" s="125">
        <f>_xlfn.IFERROR(VLOOKUP($A388,'The List'!$B1:$AS665,22,FALSE)," ")</f>
        <v>858</v>
      </c>
      <c r="P388" t="s" s="125">
        <f>_xlfn.IFERROR(VLOOKUP($A388,'The List'!$B1:$AS665,23,FALSE)," ")</f>
        <v>858</v>
      </c>
      <c r="Q388" t="s" s="125">
        <f>_xlfn.IFERROR(VLOOKUP($A388,'The List'!$B1:$AS665,24,FALSE)," ")</f>
        <v>858</v>
      </c>
      <c r="R388" t="s" s="125">
        <f>_xlfn.IFERROR(VLOOKUP($A388,'The List'!$B1:$AS665,25,FALSE)," ")</f>
        <v>858</v>
      </c>
      <c r="S388" t="s" s="125">
        <f>_xlfn.IFERROR(VLOOKUP($A388,'The List'!$B1:$AS665,26,FALSE)," ")</f>
        <v>858</v>
      </c>
      <c r="T388" t="s" s="125">
        <f>_xlfn.IFERROR(VLOOKUP($A388,'The List'!$B1:$AS665,27,FALSE)," ")</f>
        <v>858</v>
      </c>
      <c r="U388" t="s" s="125">
        <f>_xlfn.IFERROR(VLOOKUP($A388,'The List'!$B1:$AS665,28,FALSE)," ")</f>
        <v>858</v>
      </c>
      <c r="V388" t="s" s="125">
        <f>_xlfn.IFERROR(VLOOKUP($A388,'The List'!$B1:$AS665,29,FALSE)," ")</f>
        <v>858</v>
      </c>
      <c r="W388" t="s" s="125">
        <f>_xlfn.IFERROR(VLOOKUP($A388,'The List'!$B1:$AS665,30,FALSE)," ")</f>
        <v>858</v>
      </c>
      <c r="X388" t="s" s="125">
        <f>_xlfn.IFERROR(VLOOKUP($A388,'The List'!$B1:$AS665,31,FALSE)," ")</f>
        <v>858</v>
      </c>
      <c r="Y388" t="s" s="125">
        <f>_xlfn.IFERROR(VLOOKUP($A388,'The List'!$B1:$AS665,32,FALSE)," ")</f>
        <v>858</v>
      </c>
      <c r="Z388" t="s" s="125">
        <f>_xlfn.IFERROR(VLOOKUP($A388,'The List'!$B1:$AS665,33,FALSE)," ")</f>
        <v>858</v>
      </c>
      <c r="AA388" s="120"/>
      <c r="AB388" s="121"/>
      <c r="AC388" s="121"/>
      <c r="AD388" s="121"/>
      <c r="AE388" s="121"/>
      <c r="AF388" s="144"/>
    </row>
    <row r="389" ht="21.25" customHeight="1">
      <c r="A389" s="50"/>
      <c r="B389" t="s" s="129">
        <f>_xlfn.IFERROR(VLOOKUP($A389,'The List'!$B1:$AS665,3,FALSE)," ")</f>
        <v>858</v>
      </c>
      <c r="C389" t="s" s="131">
        <f>_xlfn.IFERROR(VLOOKUP($A389,'The List'!$B1:$AS665,4,FALSE)," ")</f>
        <v>858</v>
      </c>
      <c r="D389" t="s" s="86">
        <f>_xlfn.IFERROR(VLOOKUP($A389,'The List'!$B1:$AS665,5,FALSE)," ")</f>
        <v>858</v>
      </c>
      <c r="E389" t="s" s="86">
        <f>_xlfn.IFERROR(VLOOKUP($A389,'The List'!$B1:$AS665,6,FALSE)," ")</f>
        <v>858</v>
      </c>
      <c r="F389" t="s" s="124">
        <f>_xlfn.IFERROR(VLOOKUP($A389,'The List'!$B1:$AS665,8,FALSE)," ")</f>
        <v>858</v>
      </c>
      <c r="G389" t="s" s="124">
        <f>_xlfn.IFERROR(VLOOKUP($A389,'The List'!$B1:$AS665,10,FALSE)," ")</f>
        <v>858</v>
      </c>
      <c r="H389" s="77"/>
      <c r="I389" t="s" s="125">
        <f>_xlfn.IFERROR(VLOOKUP($A389,'The List'!$B1:$AS665,16,FALSE)," ")</f>
        <v>858</v>
      </c>
      <c r="J389" t="s" s="125">
        <f>_xlfn.IFERROR(VLOOKUP($A389,'The List'!$B1:$AS665,17,FALSE)," ")</f>
        <v>858</v>
      </c>
      <c r="K389" t="s" s="125">
        <f>_xlfn.IFERROR(VLOOKUP($A389,'The List'!$B1:$AS665,18,FALSE)," ")</f>
        <v>858</v>
      </c>
      <c r="L389" t="s" s="125">
        <f>_xlfn.IFERROR(VLOOKUP($A389,'The List'!$B1:$AS665,19,FALSE)," ")</f>
        <v>858</v>
      </c>
      <c r="M389" t="s" s="125">
        <f>_xlfn.IFERROR(VLOOKUP($A389,'The List'!$B1:$AS665,20,FALSE)," ")</f>
        <v>858</v>
      </c>
      <c r="N389" t="s" s="125">
        <f>_xlfn.IFERROR(VLOOKUP($A389,'The List'!$B1:$AS665,21,FALSE)," ")</f>
        <v>858</v>
      </c>
      <c r="O389" t="s" s="125">
        <f>_xlfn.IFERROR(VLOOKUP($A389,'The List'!$B1:$AS665,22,FALSE)," ")</f>
        <v>858</v>
      </c>
      <c r="P389" t="s" s="125">
        <f>_xlfn.IFERROR(VLOOKUP($A389,'The List'!$B1:$AS665,23,FALSE)," ")</f>
        <v>858</v>
      </c>
      <c r="Q389" t="s" s="125">
        <f>_xlfn.IFERROR(VLOOKUP($A389,'The List'!$B1:$AS665,24,FALSE)," ")</f>
        <v>858</v>
      </c>
      <c r="R389" t="s" s="125">
        <f>_xlfn.IFERROR(VLOOKUP($A389,'The List'!$B1:$AS665,25,FALSE)," ")</f>
        <v>858</v>
      </c>
      <c r="S389" t="s" s="125">
        <f>_xlfn.IFERROR(VLOOKUP($A389,'The List'!$B1:$AS665,26,FALSE)," ")</f>
        <v>858</v>
      </c>
      <c r="T389" t="s" s="125">
        <f>_xlfn.IFERROR(VLOOKUP($A389,'The List'!$B1:$AS665,27,FALSE)," ")</f>
        <v>858</v>
      </c>
      <c r="U389" t="s" s="125">
        <f>_xlfn.IFERROR(VLOOKUP($A389,'The List'!$B1:$AS665,28,FALSE)," ")</f>
        <v>858</v>
      </c>
      <c r="V389" t="s" s="125">
        <f>_xlfn.IFERROR(VLOOKUP($A389,'The List'!$B1:$AS665,29,FALSE)," ")</f>
        <v>858</v>
      </c>
      <c r="W389" t="s" s="125">
        <f>_xlfn.IFERROR(VLOOKUP($A389,'The List'!$B1:$AS665,30,FALSE)," ")</f>
        <v>858</v>
      </c>
      <c r="X389" t="s" s="125">
        <f>_xlfn.IFERROR(VLOOKUP($A389,'The List'!$B1:$AS665,31,FALSE)," ")</f>
        <v>858</v>
      </c>
      <c r="Y389" t="s" s="125">
        <f>_xlfn.IFERROR(VLOOKUP($A389,'The List'!$B1:$AS665,32,FALSE)," ")</f>
        <v>858</v>
      </c>
      <c r="Z389" t="s" s="125">
        <f>_xlfn.IFERROR(VLOOKUP($A389,'The List'!$B1:$AS665,33,FALSE)," ")</f>
        <v>858</v>
      </c>
      <c r="AA389" s="120"/>
      <c r="AB389" s="121"/>
      <c r="AC389" s="121"/>
      <c r="AD389" s="121"/>
      <c r="AE389" s="121"/>
      <c r="AF389" s="144"/>
    </row>
    <row r="390" ht="21.25" customHeight="1">
      <c r="A390" s="50"/>
      <c r="B390" t="s" s="129">
        <f>_xlfn.IFERROR(VLOOKUP($A390,'The List'!$B1:$AS665,3,FALSE)," ")</f>
        <v>858</v>
      </c>
      <c r="C390" t="s" s="131">
        <f>_xlfn.IFERROR(VLOOKUP($A390,'The List'!$B1:$AS665,4,FALSE)," ")</f>
        <v>858</v>
      </c>
      <c r="D390" t="s" s="86">
        <f>_xlfn.IFERROR(VLOOKUP($A390,'The List'!$B1:$AS665,5,FALSE)," ")</f>
        <v>858</v>
      </c>
      <c r="E390" t="s" s="86">
        <f>_xlfn.IFERROR(VLOOKUP($A390,'The List'!$B1:$AS665,6,FALSE)," ")</f>
        <v>858</v>
      </c>
      <c r="F390" t="s" s="124">
        <f>_xlfn.IFERROR(VLOOKUP($A390,'The List'!$B1:$AS665,8,FALSE)," ")</f>
        <v>858</v>
      </c>
      <c r="G390" t="s" s="124">
        <f>_xlfn.IFERROR(VLOOKUP($A390,'The List'!$B1:$AS665,10,FALSE)," ")</f>
        <v>858</v>
      </c>
      <c r="H390" s="77"/>
      <c r="I390" t="s" s="125">
        <f>_xlfn.IFERROR(VLOOKUP($A390,'The List'!$B1:$AS665,16,FALSE)," ")</f>
        <v>858</v>
      </c>
      <c r="J390" t="s" s="125">
        <f>_xlfn.IFERROR(VLOOKUP($A390,'The List'!$B1:$AS665,17,FALSE)," ")</f>
        <v>858</v>
      </c>
      <c r="K390" t="s" s="125">
        <f>_xlfn.IFERROR(VLOOKUP($A390,'The List'!$B1:$AS665,18,FALSE)," ")</f>
        <v>858</v>
      </c>
      <c r="L390" t="s" s="125">
        <f>_xlfn.IFERROR(VLOOKUP($A390,'The List'!$B1:$AS665,19,FALSE)," ")</f>
        <v>858</v>
      </c>
      <c r="M390" t="s" s="125">
        <f>_xlfn.IFERROR(VLOOKUP($A390,'The List'!$B1:$AS665,20,FALSE)," ")</f>
        <v>858</v>
      </c>
      <c r="N390" t="s" s="125">
        <f>_xlfn.IFERROR(VLOOKUP($A390,'The List'!$B1:$AS665,21,FALSE)," ")</f>
        <v>858</v>
      </c>
      <c r="O390" t="s" s="125">
        <f>_xlfn.IFERROR(VLOOKUP($A390,'The List'!$B1:$AS665,22,FALSE)," ")</f>
        <v>858</v>
      </c>
      <c r="P390" t="s" s="125">
        <f>_xlfn.IFERROR(VLOOKUP($A390,'The List'!$B1:$AS665,23,FALSE)," ")</f>
        <v>858</v>
      </c>
      <c r="Q390" t="s" s="125">
        <f>_xlfn.IFERROR(VLOOKUP($A390,'The List'!$B1:$AS665,24,FALSE)," ")</f>
        <v>858</v>
      </c>
      <c r="R390" t="s" s="125">
        <f>_xlfn.IFERROR(VLOOKUP($A390,'The List'!$B1:$AS665,25,FALSE)," ")</f>
        <v>858</v>
      </c>
      <c r="S390" t="s" s="125">
        <f>_xlfn.IFERROR(VLOOKUP($A390,'The List'!$B1:$AS665,26,FALSE)," ")</f>
        <v>858</v>
      </c>
      <c r="T390" t="s" s="125">
        <f>_xlfn.IFERROR(VLOOKUP($A390,'The List'!$B1:$AS665,27,FALSE)," ")</f>
        <v>858</v>
      </c>
      <c r="U390" t="s" s="125">
        <f>_xlfn.IFERROR(VLOOKUP($A390,'The List'!$B1:$AS665,28,FALSE)," ")</f>
        <v>858</v>
      </c>
      <c r="V390" t="s" s="125">
        <f>_xlfn.IFERROR(VLOOKUP($A390,'The List'!$B1:$AS665,29,FALSE)," ")</f>
        <v>858</v>
      </c>
      <c r="W390" t="s" s="125">
        <f>_xlfn.IFERROR(VLOOKUP($A390,'The List'!$B1:$AS665,30,FALSE)," ")</f>
        <v>858</v>
      </c>
      <c r="X390" t="s" s="125">
        <f>_xlfn.IFERROR(VLOOKUP($A390,'The List'!$B1:$AS665,31,FALSE)," ")</f>
        <v>858</v>
      </c>
      <c r="Y390" t="s" s="125">
        <f>_xlfn.IFERROR(VLOOKUP($A390,'The List'!$B1:$AS665,32,FALSE)," ")</f>
        <v>858</v>
      </c>
      <c r="Z390" t="s" s="125">
        <f>_xlfn.IFERROR(VLOOKUP($A390,'The List'!$B1:$AS665,33,FALSE)," ")</f>
        <v>858</v>
      </c>
      <c r="AA390" s="120"/>
      <c r="AB390" s="121"/>
      <c r="AC390" s="121"/>
      <c r="AD390" s="121"/>
      <c r="AE390" s="121"/>
      <c r="AF390" s="144"/>
    </row>
    <row r="391" ht="21.25" customHeight="1">
      <c r="A391" s="50"/>
      <c r="B391" t="s" s="132">
        <f>_xlfn.IFERROR(VLOOKUP($A391,'The List'!$B1:$AS665,3,FALSE)," ")</f>
        <v>858</v>
      </c>
      <c r="C391" t="s" s="134">
        <f>_xlfn.IFERROR(VLOOKUP($A391,'The List'!$B1:$AS665,4,FALSE)," ")</f>
        <v>858</v>
      </c>
      <c r="D391" t="s" s="86">
        <f>_xlfn.IFERROR(VLOOKUP($A391,'The List'!$B1:$AS665,5,FALSE)," ")</f>
        <v>858</v>
      </c>
      <c r="E391" t="s" s="86">
        <f>_xlfn.IFERROR(VLOOKUP($A391,'The List'!$B1:$AS665,6,FALSE)," ")</f>
        <v>858</v>
      </c>
      <c r="F391" t="s" s="124">
        <f>_xlfn.IFERROR(VLOOKUP($A391,'The List'!$B1:$AS665,8,FALSE)," ")</f>
        <v>858</v>
      </c>
      <c r="G391" t="s" s="124">
        <f>_xlfn.IFERROR(VLOOKUP($A391,'The List'!$B1:$AS665,10,FALSE)," ")</f>
        <v>858</v>
      </c>
      <c r="H391" s="77"/>
      <c r="I391" t="s" s="125">
        <f>_xlfn.IFERROR(VLOOKUP($A391,'The List'!$B1:$AS665,16,FALSE)," ")</f>
        <v>858</v>
      </c>
      <c r="J391" t="s" s="125">
        <f>_xlfn.IFERROR(VLOOKUP($A391,'The List'!$B1:$AS665,17,FALSE)," ")</f>
        <v>858</v>
      </c>
      <c r="K391" t="s" s="125">
        <f>_xlfn.IFERROR(VLOOKUP($A391,'The List'!$B1:$AS665,18,FALSE)," ")</f>
        <v>858</v>
      </c>
      <c r="L391" t="s" s="125">
        <f>_xlfn.IFERROR(VLOOKUP($A391,'The List'!$B1:$AS665,19,FALSE)," ")</f>
        <v>858</v>
      </c>
      <c r="M391" t="s" s="125">
        <f>_xlfn.IFERROR(VLOOKUP($A391,'The List'!$B1:$AS665,20,FALSE)," ")</f>
        <v>858</v>
      </c>
      <c r="N391" t="s" s="125">
        <f>_xlfn.IFERROR(VLOOKUP($A391,'The List'!$B1:$AS665,21,FALSE)," ")</f>
        <v>858</v>
      </c>
      <c r="O391" t="s" s="125">
        <f>_xlfn.IFERROR(VLOOKUP($A391,'The List'!$B1:$AS665,22,FALSE)," ")</f>
        <v>858</v>
      </c>
      <c r="P391" t="s" s="125">
        <f>_xlfn.IFERROR(VLOOKUP($A391,'The List'!$B1:$AS665,23,FALSE)," ")</f>
        <v>858</v>
      </c>
      <c r="Q391" t="s" s="125">
        <f>_xlfn.IFERROR(VLOOKUP($A391,'The List'!$B1:$AS665,24,FALSE)," ")</f>
        <v>858</v>
      </c>
      <c r="R391" t="s" s="125">
        <f>_xlfn.IFERROR(VLOOKUP($A391,'The List'!$B1:$AS665,25,FALSE)," ")</f>
        <v>858</v>
      </c>
      <c r="S391" t="s" s="125">
        <f>_xlfn.IFERROR(VLOOKUP($A391,'The List'!$B1:$AS665,26,FALSE)," ")</f>
        <v>858</v>
      </c>
      <c r="T391" t="s" s="125">
        <f>_xlfn.IFERROR(VLOOKUP($A391,'The List'!$B1:$AS665,27,FALSE)," ")</f>
        <v>858</v>
      </c>
      <c r="U391" t="s" s="125">
        <f>_xlfn.IFERROR(VLOOKUP($A391,'The List'!$B1:$AS665,28,FALSE)," ")</f>
        <v>858</v>
      </c>
      <c r="V391" t="s" s="125">
        <f>_xlfn.IFERROR(VLOOKUP($A391,'The List'!$B1:$AS665,29,FALSE)," ")</f>
        <v>858</v>
      </c>
      <c r="W391" t="s" s="125">
        <f>_xlfn.IFERROR(VLOOKUP($A391,'The List'!$B1:$AS665,30,FALSE)," ")</f>
        <v>858</v>
      </c>
      <c r="X391" t="s" s="125">
        <f>_xlfn.IFERROR(VLOOKUP($A391,'The List'!$B1:$AS665,31,FALSE)," ")</f>
        <v>858</v>
      </c>
      <c r="Y391" t="s" s="125">
        <f>_xlfn.IFERROR(VLOOKUP($A391,'The List'!$B1:$AS665,32,FALSE)," ")</f>
        <v>858</v>
      </c>
      <c r="Z391" t="s" s="125">
        <f>_xlfn.IFERROR(VLOOKUP($A391,'The List'!$B1:$AS665,33,FALSE)," ")</f>
        <v>858</v>
      </c>
      <c r="AA391" s="120"/>
      <c r="AB391" s="121"/>
      <c r="AC391" s="121"/>
      <c r="AD391" s="121"/>
      <c r="AE391" s="121"/>
      <c r="AF391" s="144"/>
    </row>
    <row r="392" ht="21.25" customHeight="1">
      <c r="A392" s="50"/>
      <c r="B392" t="s" s="132">
        <f>_xlfn.IFERROR(VLOOKUP($A392,'The List'!$B1:$AS665,3,FALSE)," ")</f>
        <v>858</v>
      </c>
      <c r="C392" t="s" s="134">
        <f>_xlfn.IFERROR(VLOOKUP($A392,'The List'!$B1:$AS665,4,FALSE)," ")</f>
        <v>858</v>
      </c>
      <c r="D392" t="s" s="86">
        <f>_xlfn.IFERROR(VLOOKUP($A392,'The List'!$B1:$AS665,5,FALSE)," ")</f>
        <v>858</v>
      </c>
      <c r="E392" t="s" s="86">
        <f>_xlfn.IFERROR(VLOOKUP($A392,'The List'!$B1:$AS665,6,FALSE)," ")</f>
        <v>858</v>
      </c>
      <c r="F392" t="s" s="124">
        <f>_xlfn.IFERROR(VLOOKUP($A392,'The List'!$B1:$AS665,8,FALSE)," ")</f>
        <v>858</v>
      </c>
      <c r="G392" t="s" s="124">
        <f>_xlfn.IFERROR(VLOOKUP($A392,'The List'!$B1:$AS665,10,FALSE)," ")</f>
        <v>858</v>
      </c>
      <c r="H392" s="77"/>
      <c r="I392" t="s" s="125">
        <f>_xlfn.IFERROR(VLOOKUP($A392,'The List'!$B1:$AS665,16,FALSE)," ")</f>
        <v>858</v>
      </c>
      <c r="J392" t="s" s="125">
        <f>_xlfn.IFERROR(VLOOKUP($A392,'The List'!$B1:$AS665,17,FALSE)," ")</f>
        <v>858</v>
      </c>
      <c r="K392" t="s" s="125">
        <f>_xlfn.IFERROR(VLOOKUP($A392,'The List'!$B1:$AS665,18,FALSE)," ")</f>
        <v>858</v>
      </c>
      <c r="L392" t="s" s="125">
        <f>_xlfn.IFERROR(VLOOKUP($A392,'The List'!$B1:$AS665,19,FALSE)," ")</f>
        <v>858</v>
      </c>
      <c r="M392" t="s" s="125">
        <f>_xlfn.IFERROR(VLOOKUP($A392,'The List'!$B1:$AS665,20,FALSE)," ")</f>
        <v>858</v>
      </c>
      <c r="N392" t="s" s="125">
        <f>_xlfn.IFERROR(VLOOKUP($A392,'The List'!$B1:$AS665,21,FALSE)," ")</f>
        <v>858</v>
      </c>
      <c r="O392" t="s" s="125">
        <f>_xlfn.IFERROR(VLOOKUP($A392,'The List'!$B1:$AS665,22,FALSE)," ")</f>
        <v>858</v>
      </c>
      <c r="P392" t="s" s="125">
        <f>_xlfn.IFERROR(VLOOKUP($A392,'The List'!$B1:$AS665,23,FALSE)," ")</f>
        <v>858</v>
      </c>
      <c r="Q392" t="s" s="125">
        <f>_xlfn.IFERROR(VLOOKUP($A392,'The List'!$B1:$AS665,24,FALSE)," ")</f>
        <v>858</v>
      </c>
      <c r="R392" t="s" s="125">
        <f>_xlfn.IFERROR(VLOOKUP($A392,'The List'!$B1:$AS665,25,FALSE)," ")</f>
        <v>858</v>
      </c>
      <c r="S392" t="s" s="125">
        <f>_xlfn.IFERROR(VLOOKUP($A392,'The List'!$B1:$AS665,26,FALSE)," ")</f>
        <v>858</v>
      </c>
      <c r="T392" t="s" s="125">
        <f>_xlfn.IFERROR(VLOOKUP($A392,'The List'!$B1:$AS665,27,FALSE)," ")</f>
        <v>858</v>
      </c>
      <c r="U392" t="s" s="125">
        <f>_xlfn.IFERROR(VLOOKUP($A392,'The List'!$B1:$AS665,28,FALSE)," ")</f>
        <v>858</v>
      </c>
      <c r="V392" t="s" s="125">
        <f>_xlfn.IFERROR(VLOOKUP($A392,'The List'!$B1:$AS665,29,FALSE)," ")</f>
        <v>858</v>
      </c>
      <c r="W392" t="s" s="125">
        <f>_xlfn.IFERROR(VLOOKUP($A392,'The List'!$B1:$AS665,30,FALSE)," ")</f>
        <v>858</v>
      </c>
      <c r="X392" t="s" s="125">
        <f>_xlfn.IFERROR(VLOOKUP($A392,'The List'!$B1:$AS665,31,FALSE)," ")</f>
        <v>858</v>
      </c>
      <c r="Y392" t="s" s="125">
        <f>_xlfn.IFERROR(VLOOKUP($A392,'The List'!$B1:$AS665,32,FALSE)," ")</f>
        <v>858</v>
      </c>
      <c r="Z392" t="s" s="125">
        <f>_xlfn.IFERROR(VLOOKUP($A392,'The List'!$B1:$AS665,33,FALSE)," ")</f>
        <v>858</v>
      </c>
      <c r="AA392" s="120"/>
      <c r="AB392" s="121"/>
      <c r="AC392" s="121"/>
      <c r="AD392" s="121"/>
      <c r="AE392" s="121"/>
      <c r="AF392" s="144"/>
    </row>
    <row r="393" ht="21.25" customHeight="1">
      <c r="A393" s="50"/>
      <c r="B393" t="s" s="132">
        <f>_xlfn.IFERROR(VLOOKUP($A393,'The List'!$B1:$AS665,3,FALSE)," ")</f>
        <v>858</v>
      </c>
      <c r="C393" t="s" s="134">
        <f>_xlfn.IFERROR(VLOOKUP($A393,'The List'!$B1:$AS665,4,FALSE)," ")</f>
        <v>858</v>
      </c>
      <c r="D393" t="s" s="86">
        <f>_xlfn.IFERROR(VLOOKUP($A393,'The List'!$B1:$AS665,5,FALSE)," ")</f>
        <v>858</v>
      </c>
      <c r="E393" t="s" s="86">
        <f>_xlfn.IFERROR(VLOOKUP($A393,'The List'!$B1:$AS665,6,FALSE)," ")</f>
        <v>858</v>
      </c>
      <c r="F393" t="s" s="124">
        <f>_xlfn.IFERROR(VLOOKUP($A393,'The List'!$B1:$AS665,8,FALSE)," ")</f>
        <v>858</v>
      </c>
      <c r="G393" t="s" s="124">
        <f>_xlfn.IFERROR(VLOOKUP($A393,'The List'!$B1:$AS665,10,FALSE)," ")</f>
        <v>858</v>
      </c>
      <c r="H393" s="77"/>
      <c r="I393" t="s" s="125">
        <f>_xlfn.IFERROR(VLOOKUP($A393,'The List'!$B1:$AS665,16,FALSE)," ")</f>
        <v>858</v>
      </c>
      <c r="J393" t="s" s="125">
        <f>_xlfn.IFERROR(VLOOKUP($A393,'The List'!$B1:$AS665,17,FALSE)," ")</f>
        <v>858</v>
      </c>
      <c r="K393" t="s" s="125">
        <f>_xlfn.IFERROR(VLOOKUP($A393,'The List'!$B1:$AS665,18,FALSE)," ")</f>
        <v>858</v>
      </c>
      <c r="L393" t="s" s="125">
        <f>_xlfn.IFERROR(VLOOKUP($A393,'The List'!$B1:$AS665,19,FALSE)," ")</f>
        <v>858</v>
      </c>
      <c r="M393" t="s" s="125">
        <f>_xlfn.IFERROR(VLOOKUP($A393,'The List'!$B1:$AS665,20,FALSE)," ")</f>
        <v>858</v>
      </c>
      <c r="N393" t="s" s="125">
        <f>_xlfn.IFERROR(VLOOKUP($A393,'The List'!$B1:$AS665,21,FALSE)," ")</f>
        <v>858</v>
      </c>
      <c r="O393" t="s" s="125">
        <f>_xlfn.IFERROR(VLOOKUP($A393,'The List'!$B1:$AS665,22,FALSE)," ")</f>
        <v>858</v>
      </c>
      <c r="P393" t="s" s="125">
        <f>_xlfn.IFERROR(VLOOKUP($A393,'The List'!$B1:$AS665,23,FALSE)," ")</f>
        <v>858</v>
      </c>
      <c r="Q393" t="s" s="125">
        <f>_xlfn.IFERROR(VLOOKUP($A393,'The List'!$B1:$AS665,24,FALSE)," ")</f>
        <v>858</v>
      </c>
      <c r="R393" t="s" s="125">
        <f>_xlfn.IFERROR(VLOOKUP($A393,'The List'!$B1:$AS665,25,FALSE)," ")</f>
        <v>858</v>
      </c>
      <c r="S393" t="s" s="125">
        <f>_xlfn.IFERROR(VLOOKUP($A393,'The List'!$B1:$AS665,26,FALSE)," ")</f>
        <v>858</v>
      </c>
      <c r="T393" t="s" s="125">
        <f>_xlfn.IFERROR(VLOOKUP($A393,'The List'!$B1:$AS665,27,FALSE)," ")</f>
        <v>858</v>
      </c>
      <c r="U393" t="s" s="125">
        <f>_xlfn.IFERROR(VLOOKUP($A393,'The List'!$B1:$AS665,28,FALSE)," ")</f>
        <v>858</v>
      </c>
      <c r="V393" t="s" s="125">
        <f>_xlfn.IFERROR(VLOOKUP($A393,'The List'!$B1:$AS665,29,FALSE)," ")</f>
        <v>858</v>
      </c>
      <c r="W393" t="s" s="125">
        <f>_xlfn.IFERROR(VLOOKUP($A393,'The List'!$B1:$AS665,30,FALSE)," ")</f>
        <v>858</v>
      </c>
      <c r="X393" t="s" s="125">
        <f>_xlfn.IFERROR(VLOOKUP($A393,'The List'!$B1:$AS665,31,FALSE)," ")</f>
        <v>858</v>
      </c>
      <c r="Y393" t="s" s="125">
        <f>_xlfn.IFERROR(VLOOKUP($A393,'The List'!$B1:$AS665,32,FALSE)," ")</f>
        <v>858</v>
      </c>
      <c r="Z393" t="s" s="125">
        <f>_xlfn.IFERROR(VLOOKUP($A393,'The List'!$B1:$AS665,33,FALSE)," ")</f>
        <v>858</v>
      </c>
      <c r="AA393" s="120"/>
      <c r="AB393" s="121"/>
      <c r="AC393" s="121"/>
      <c r="AD393" s="121"/>
      <c r="AE393" s="121"/>
      <c r="AF393" s="144"/>
    </row>
    <row r="394" ht="21.25" customHeight="1">
      <c r="A394" s="50"/>
      <c r="B394" t="s" s="132">
        <f>_xlfn.IFERROR(VLOOKUP($A394,'The List'!$B1:$AS665,3,FALSE)," ")</f>
        <v>858</v>
      </c>
      <c r="C394" t="s" s="134">
        <f>_xlfn.IFERROR(VLOOKUP($A394,'The List'!$B1:$AS665,4,FALSE)," ")</f>
        <v>858</v>
      </c>
      <c r="D394" t="s" s="86">
        <f>_xlfn.IFERROR(VLOOKUP($A394,'The List'!$B1:$AS665,5,FALSE)," ")</f>
        <v>858</v>
      </c>
      <c r="E394" t="s" s="86">
        <f>_xlfn.IFERROR(VLOOKUP($A394,'The List'!$B1:$AS665,6,FALSE)," ")</f>
        <v>858</v>
      </c>
      <c r="F394" t="s" s="124">
        <f>_xlfn.IFERROR(VLOOKUP($A394,'The List'!$B1:$AS665,8,FALSE)," ")</f>
        <v>858</v>
      </c>
      <c r="G394" t="s" s="124">
        <f>_xlfn.IFERROR(VLOOKUP($A394,'The List'!$B1:$AS665,10,FALSE)," ")</f>
        <v>858</v>
      </c>
      <c r="H394" s="77"/>
      <c r="I394" t="s" s="125">
        <f>_xlfn.IFERROR(VLOOKUP($A394,'The List'!$B1:$AS665,16,FALSE)," ")</f>
        <v>858</v>
      </c>
      <c r="J394" t="s" s="125">
        <f>_xlfn.IFERROR(VLOOKUP($A394,'The List'!$B1:$AS665,17,FALSE)," ")</f>
        <v>858</v>
      </c>
      <c r="K394" t="s" s="125">
        <f>_xlfn.IFERROR(VLOOKUP($A394,'The List'!$B1:$AS665,18,FALSE)," ")</f>
        <v>858</v>
      </c>
      <c r="L394" t="s" s="125">
        <f>_xlfn.IFERROR(VLOOKUP($A394,'The List'!$B1:$AS665,19,FALSE)," ")</f>
        <v>858</v>
      </c>
      <c r="M394" t="s" s="125">
        <f>_xlfn.IFERROR(VLOOKUP($A394,'The List'!$B1:$AS665,20,FALSE)," ")</f>
        <v>858</v>
      </c>
      <c r="N394" t="s" s="125">
        <f>_xlfn.IFERROR(VLOOKUP($A394,'The List'!$B1:$AS665,21,FALSE)," ")</f>
        <v>858</v>
      </c>
      <c r="O394" t="s" s="125">
        <f>_xlfn.IFERROR(VLOOKUP($A394,'The List'!$B1:$AS665,22,FALSE)," ")</f>
        <v>858</v>
      </c>
      <c r="P394" t="s" s="125">
        <f>_xlfn.IFERROR(VLOOKUP($A394,'The List'!$B1:$AS665,23,FALSE)," ")</f>
        <v>858</v>
      </c>
      <c r="Q394" t="s" s="125">
        <f>_xlfn.IFERROR(VLOOKUP($A394,'The List'!$B1:$AS665,24,FALSE)," ")</f>
        <v>858</v>
      </c>
      <c r="R394" t="s" s="125">
        <f>_xlfn.IFERROR(VLOOKUP($A394,'The List'!$B1:$AS665,25,FALSE)," ")</f>
        <v>858</v>
      </c>
      <c r="S394" t="s" s="125">
        <f>_xlfn.IFERROR(VLOOKUP($A394,'The List'!$B1:$AS665,26,FALSE)," ")</f>
        <v>858</v>
      </c>
      <c r="T394" t="s" s="125">
        <f>_xlfn.IFERROR(VLOOKUP($A394,'The List'!$B1:$AS665,27,FALSE)," ")</f>
        <v>858</v>
      </c>
      <c r="U394" t="s" s="125">
        <f>_xlfn.IFERROR(VLOOKUP($A394,'The List'!$B1:$AS665,28,FALSE)," ")</f>
        <v>858</v>
      </c>
      <c r="V394" t="s" s="125">
        <f>_xlfn.IFERROR(VLOOKUP($A394,'The List'!$B1:$AS665,29,FALSE)," ")</f>
        <v>858</v>
      </c>
      <c r="W394" t="s" s="125">
        <f>_xlfn.IFERROR(VLOOKUP($A394,'The List'!$B1:$AS665,30,FALSE)," ")</f>
        <v>858</v>
      </c>
      <c r="X394" t="s" s="125">
        <f>_xlfn.IFERROR(VLOOKUP($A394,'The List'!$B1:$AS665,31,FALSE)," ")</f>
        <v>858</v>
      </c>
      <c r="Y394" t="s" s="125">
        <f>_xlfn.IFERROR(VLOOKUP($A394,'The List'!$B1:$AS665,32,FALSE)," ")</f>
        <v>858</v>
      </c>
      <c r="Z394" t="s" s="125">
        <f>_xlfn.IFERROR(VLOOKUP($A394,'The List'!$B1:$AS665,33,FALSE)," ")</f>
        <v>858</v>
      </c>
      <c r="AA394" s="120"/>
      <c r="AB394" s="121"/>
      <c r="AC394" s="121"/>
      <c r="AD394" s="121"/>
      <c r="AE394" s="121"/>
      <c r="AF394" s="144"/>
    </row>
    <row r="395" ht="21.25" customHeight="1">
      <c r="A395" s="50"/>
      <c r="B395" t="s" s="132">
        <f>_xlfn.IFERROR(VLOOKUP($A395,'The List'!$B1:$AS665,3,FALSE)," ")</f>
        <v>858</v>
      </c>
      <c r="C395" t="s" s="134">
        <f>_xlfn.IFERROR(VLOOKUP($A395,'The List'!$B1:$AS665,4,FALSE)," ")</f>
        <v>858</v>
      </c>
      <c r="D395" t="s" s="86">
        <f>_xlfn.IFERROR(VLOOKUP($A395,'The List'!$B1:$AS665,5,FALSE)," ")</f>
        <v>858</v>
      </c>
      <c r="E395" t="s" s="86">
        <f>_xlfn.IFERROR(VLOOKUP($A395,'The List'!$B1:$AS665,6,FALSE)," ")</f>
        <v>858</v>
      </c>
      <c r="F395" t="s" s="124">
        <f>_xlfn.IFERROR(VLOOKUP($A395,'The List'!$B1:$AS665,8,FALSE)," ")</f>
        <v>858</v>
      </c>
      <c r="G395" t="s" s="124">
        <f>_xlfn.IFERROR(VLOOKUP($A395,'The List'!$B1:$AS665,10,FALSE)," ")</f>
        <v>858</v>
      </c>
      <c r="H395" s="77"/>
      <c r="I395" t="s" s="125">
        <f>_xlfn.IFERROR(VLOOKUP($A395,'The List'!$B1:$AS665,16,FALSE)," ")</f>
        <v>858</v>
      </c>
      <c r="J395" t="s" s="125">
        <f>_xlfn.IFERROR(VLOOKUP($A395,'The List'!$B1:$AS665,17,FALSE)," ")</f>
        <v>858</v>
      </c>
      <c r="K395" t="s" s="125">
        <f>_xlfn.IFERROR(VLOOKUP($A395,'The List'!$B1:$AS665,18,FALSE)," ")</f>
        <v>858</v>
      </c>
      <c r="L395" t="s" s="125">
        <f>_xlfn.IFERROR(VLOOKUP($A395,'The List'!$B1:$AS665,19,FALSE)," ")</f>
        <v>858</v>
      </c>
      <c r="M395" t="s" s="125">
        <f>_xlfn.IFERROR(VLOOKUP($A395,'The List'!$B1:$AS665,20,FALSE)," ")</f>
        <v>858</v>
      </c>
      <c r="N395" t="s" s="125">
        <f>_xlfn.IFERROR(VLOOKUP($A395,'The List'!$B1:$AS665,21,FALSE)," ")</f>
        <v>858</v>
      </c>
      <c r="O395" t="s" s="125">
        <f>_xlfn.IFERROR(VLOOKUP($A395,'The List'!$B1:$AS665,22,FALSE)," ")</f>
        <v>858</v>
      </c>
      <c r="P395" t="s" s="125">
        <f>_xlfn.IFERROR(VLOOKUP($A395,'The List'!$B1:$AS665,23,FALSE)," ")</f>
        <v>858</v>
      </c>
      <c r="Q395" t="s" s="125">
        <f>_xlfn.IFERROR(VLOOKUP($A395,'The List'!$B1:$AS665,24,FALSE)," ")</f>
        <v>858</v>
      </c>
      <c r="R395" t="s" s="125">
        <f>_xlfn.IFERROR(VLOOKUP($A395,'The List'!$B1:$AS665,25,FALSE)," ")</f>
        <v>858</v>
      </c>
      <c r="S395" t="s" s="125">
        <f>_xlfn.IFERROR(VLOOKUP($A395,'The List'!$B1:$AS665,26,FALSE)," ")</f>
        <v>858</v>
      </c>
      <c r="T395" t="s" s="125">
        <f>_xlfn.IFERROR(VLOOKUP($A395,'The List'!$B1:$AS665,27,FALSE)," ")</f>
        <v>858</v>
      </c>
      <c r="U395" t="s" s="125">
        <f>_xlfn.IFERROR(VLOOKUP($A395,'The List'!$B1:$AS665,28,FALSE)," ")</f>
        <v>858</v>
      </c>
      <c r="V395" t="s" s="125">
        <f>_xlfn.IFERROR(VLOOKUP($A395,'The List'!$B1:$AS665,29,FALSE)," ")</f>
        <v>858</v>
      </c>
      <c r="W395" t="s" s="125">
        <f>_xlfn.IFERROR(VLOOKUP($A395,'The List'!$B1:$AS665,30,FALSE)," ")</f>
        <v>858</v>
      </c>
      <c r="X395" t="s" s="125">
        <f>_xlfn.IFERROR(VLOOKUP($A395,'The List'!$B1:$AS665,31,FALSE)," ")</f>
        <v>858</v>
      </c>
      <c r="Y395" t="s" s="125">
        <f>_xlfn.IFERROR(VLOOKUP($A395,'The List'!$B1:$AS665,32,FALSE)," ")</f>
        <v>858</v>
      </c>
      <c r="Z395" t="s" s="125">
        <f>_xlfn.IFERROR(VLOOKUP($A395,'The List'!$B1:$AS665,33,FALSE)," ")</f>
        <v>858</v>
      </c>
      <c r="AA395" s="120"/>
      <c r="AB395" s="121"/>
      <c r="AC395" s="121"/>
      <c r="AD395" s="121"/>
      <c r="AE395" s="121"/>
      <c r="AF395" s="144"/>
    </row>
    <row r="396" ht="21.25" customHeight="1">
      <c r="A396" s="50"/>
      <c r="B396" t="s" s="132">
        <f>_xlfn.IFERROR(VLOOKUP($A396,'The List'!$B1:$AS665,3,FALSE)," ")</f>
        <v>858</v>
      </c>
      <c r="C396" t="s" s="134">
        <f>_xlfn.IFERROR(VLOOKUP($A396,'The List'!$B1:$AS665,4,FALSE)," ")</f>
        <v>858</v>
      </c>
      <c r="D396" t="s" s="86">
        <f>_xlfn.IFERROR(VLOOKUP($A396,'The List'!$B1:$AS665,5,FALSE)," ")</f>
        <v>858</v>
      </c>
      <c r="E396" t="s" s="86">
        <f>_xlfn.IFERROR(VLOOKUP($A396,'The List'!$B1:$AS665,6,FALSE)," ")</f>
        <v>858</v>
      </c>
      <c r="F396" t="s" s="124">
        <f>_xlfn.IFERROR(VLOOKUP($A396,'The List'!$B1:$AS665,8,FALSE)," ")</f>
        <v>858</v>
      </c>
      <c r="G396" t="s" s="124">
        <f>_xlfn.IFERROR(VLOOKUP($A396,'The List'!$B1:$AS665,10,FALSE)," ")</f>
        <v>858</v>
      </c>
      <c r="H396" s="77"/>
      <c r="I396" t="s" s="125">
        <f>_xlfn.IFERROR(VLOOKUP($A396,'The List'!$B1:$AS665,16,FALSE)," ")</f>
        <v>858</v>
      </c>
      <c r="J396" t="s" s="125">
        <f>_xlfn.IFERROR(VLOOKUP($A396,'The List'!$B1:$AS665,17,FALSE)," ")</f>
        <v>858</v>
      </c>
      <c r="K396" t="s" s="125">
        <f>_xlfn.IFERROR(VLOOKUP($A396,'The List'!$B1:$AS665,18,FALSE)," ")</f>
        <v>858</v>
      </c>
      <c r="L396" t="s" s="125">
        <f>_xlfn.IFERROR(VLOOKUP($A396,'The List'!$B1:$AS665,19,FALSE)," ")</f>
        <v>858</v>
      </c>
      <c r="M396" t="s" s="125">
        <f>_xlfn.IFERROR(VLOOKUP($A396,'The List'!$B1:$AS665,20,FALSE)," ")</f>
        <v>858</v>
      </c>
      <c r="N396" t="s" s="125">
        <f>_xlfn.IFERROR(VLOOKUP($A396,'The List'!$B1:$AS665,21,FALSE)," ")</f>
        <v>858</v>
      </c>
      <c r="O396" t="s" s="125">
        <f>_xlfn.IFERROR(VLOOKUP($A396,'The List'!$B1:$AS665,22,FALSE)," ")</f>
        <v>858</v>
      </c>
      <c r="P396" t="s" s="125">
        <f>_xlfn.IFERROR(VLOOKUP($A396,'The List'!$B1:$AS665,23,FALSE)," ")</f>
        <v>858</v>
      </c>
      <c r="Q396" t="s" s="125">
        <f>_xlfn.IFERROR(VLOOKUP($A396,'The List'!$B1:$AS665,24,FALSE)," ")</f>
        <v>858</v>
      </c>
      <c r="R396" t="s" s="125">
        <f>_xlfn.IFERROR(VLOOKUP($A396,'The List'!$B1:$AS665,25,FALSE)," ")</f>
        <v>858</v>
      </c>
      <c r="S396" t="s" s="125">
        <f>_xlfn.IFERROR(VLOOKUP($A396,'The List'!$B1:$AS665,26,FALSE)," ")</f>
        <v>858</v>
      </c>
      <c r="T396" t="s" s="125">
        <f>_xlfn.IFERROR(VLOOKUP($A396,'The List'!$B1:$AS665,27,FALSE)," ")</f>
        <v>858</v>
      </c>
      <c r="U396" t="s" s="125">
        <f>_xlfn.IFERROR(VLOOKUP($A396,'The List'!$B1:$AS665,28,FALSE)," ")</f>
        <v>858</v>
      </c>
      <c r="V396" t="s" s="125">
        <f>_xlfn.IFERROR(VLOOKUP($A396,'The List'!$B1:$AS665,29,FALSE)," ")</f>
        <v>858</v>
      </c>
      <c r="W396" t="s" s="125">
        <f>_xlfn.IFERROR(VLOOKUP($A396,'The List'!$B1:$AS665,30,FALSE)," ")</f>
        <v>858</v>
      </c>
      <c r="X396" t="s" s="125">
        <f>_xlfn.IFERROR(VLOOKUP($A396,'The List'!$B1:$AS665,31,FALSE)," ")</f>
        <v>858</v>
      </c>
      <c r="Y396" t="s" s="125">
        <f>_xlfn.IFERROR(VLOOKUP($A396,'The List'!$B1:$AS665,32,FALSE)," ")</f>
        <v>858</v>
      </c>
      <c r="Z396" t="s" s="125">
        <f>_xlfn.IFERROR(VLOOKUP($A396,'The List'!$B1:$AS665,33,FALSE)," ")</f>
        <v>858</v>
      </c>
      <c r="AA396" s="120"/>
      <c r="AB396" s="121"/>
      <c r="AC396" s="121"/>
      <c r="AD396" s="121"/>
      <c r="AE396" s="121"/>
      <c r="AF396" s="144"/>
    </row>
    <row r="397" ht="21.25" customHeight="1">
      <c r="A397" s="50"/>
      <c r="B397" t="s" s="132">
        <f>_xlfn.IFERROR(VLOOKUP($A397,'The List'!$B1:$AS665,3,FALSE)," ")</f>
        <v>858</v>
      </c>
      <c r="C397" t="s" s="134">
        <f>_xlfn.IFERROR(VLOOKUP($A397,'The List'!$B1:$AS665,4,FALSE)," ")</f>
        <v>858</v>
      </c>
      <c r="D397" t="s" s="86">
        <f>_xlfn.IFERROR(VLOOKUP($A397,'The List'!$B1:$AS665,5,FALSE)," ")</f>
        <v>858</v>
      </c>
      <c r="E397" t="s" s="86">
        <f>_xlfn.IFERROR(VLOOKUP($A397,'The List'!$B1:$AS665,6,FALSE)," ")</f>
        <v>858</v>
      </c>
      <c r="F397" t="s" s="124">
        <f>_xlfn.IFERROR(VLOOKUP($A397,'The List'!$B1:$AS665,8,FALSE)," ")</f>
        <v>858</v>
      </c>
      <c r="G397" t="s" s="124">
        <f>_xlfn.IFERROR(VLOOKUP($A397,'The List'!$B1:$AS665,10,FALSE)," ")</f>
        <v>858</v>
      </c>
      <c r="H397" s="77"/>
      <c r="I397" t="s" s="125">
        <f>_xlfn.IFERROR(VLOOKUP($A397,'The List'!$B1:$AS665,16,FALSE)," ")</f>
        <v>858</v>
      </c>
      <c r="J397" t="s" s="125">
        <f>_xlfn.IFERROR(VLOOKUP($A397,'The List'!$B1:$AS665,17,FALSE)," ")</f>
        <v>858</v>
      </c>
      <c r="K397" t="s" s="125">
        <f>_xlfn.IFERROR(VLOOKUP($A397,'The List'!$B1:$AS665,18,FALSE)," ")</f>
        <v>858</v>
      </c>
      <c r="L397" t="s" s="125">
        <f>_xlfn.IFERROR(VLOOKUP($A397,'The List'!$B1:$AS665,19,FALSE)," ")</f>
        <v>858</v>
      </c>
      <c r="M397" t="s" s="125">
        <f>_xlfn.IFERROR(VLOOKUP($A397,'The List'!$B1:$AS665,20,FALSE)," ")</f>
        <v>858</v>
      </c>
      <c r="N397" t="s" s="125">
        <f>_xlfn.IFERROR(VLOOKUP($A397,'The List'!$B1:$AS665,21,FALSE)," ")</f>
        <v>858</v>
      </c>
      <c r="O397" t="s" s="125">
        <f>_xlfn.IFERROR(VLOOKUP($A397,'The List'!$B1:$AS665,22,FALSE)," ")</f>
        <v>858</v>
      </c>
      <c r="P397" t="s" s="125">
        <f>_xlfn.IFERROR(VLOOKUP($A397,'The List'!$B1:$AS665,23,FALSE)," ")</f>
        <v>858</v>
      </c>
      <c r="Q397" t="s" s="125">
        <f>_xlfn.IFERROR(VLOOKUP($A397,'The List'!$B1:$AS665,24,FALSE)," ")</f>
        <v>858</v>
      </c>
      <c r="R397" t="s" s="125">
        <f>_xlfn.IFERROR(VLOOKUP($A397,'The List'!$B1:$AS665,25,FALSE)," ")</f>
        <v>858</v>
      </c>
      <c r="S397" t="s" s="125">
        <f>_xlfn.IFERROR(VLOOKUP($A397,'The List'!$B1:$AS665,26,FALSE)," ")</f>
        <v>858</v>
      </c>
      <c r="T397" t="s" s="125">
        <f>_xlfn.IFERROR(VLOOKUP($A397,'The List'!$B1:$AS665,27,FALSE)," ")</f>
        <v>858</v>
      </c>
      <c r="U397" t="s" s="125">
        <f>_xlfn.IFERROR(VLOOKUP($A397,'The List'!$B1:$AS665,28,FALSE)," ")</f>
        <v>858</v>
      </c>
      <c r="V397" t="s" s="125">
        <f>_xlfn.IFERROR(VLOOKUP($A397,'The List'!$B1:$AS665,29,FALSE)," ")</f>
        <v>858</v>
      </c>
      <c r="W397" t="s" s="125">
        <f>_xlfn.IFERROR(VLOOKUP($A397,'The List'!$B1:$AS665,30,FALSE)," ")</f>
        <v>858</v>
      </c>
      <c r="X397" t="s" s="125">
        <f>_xlfn.IFERROR(VLOOKUP($A397,'The List'!$B1:$AS665,31,FALSE)," ")</f>
        <v>858</v>
      </c>
      <c r="Y397" t="s" s="125">
        <f>_xlfn.IFERROR(VLOOKUP($A397,'The List'!$B1:$AS665,32,FALSE)," ")</f>
        <v>858</v>
      </c>
      <c r="Z397" t="s" s="125">
        <f>_xlfn.IFERROR(VLOOKUP($A397,'The List'!$B1:$AS665,33,FALSE)," ")</f>
        <v>858</v>
      </c>
      <c r="AA397" s="120"/>
      <c r="AB397" s="121"/>
      <c r="AC397" s="121"/>
      <c r="AD397" s="121"/>
      <c r="AE397" s="121"/>
      <c r="AF397" s="144"/>
    </row>
    <row r="398" ht="21.25" customHeight="1">
      <c r="A398" s="137"/>
      <c r="B398" t="s" s="138">
        <f>_xlfn.IFERROR(VLOOKUP($A398,'The List'!$B1:$AS665,3,FALSE)," ")</f>
        <v>858</v>
      </c>
      <c r="C398" t="s" s="139">
        <f>_xlfn.IFERROR(VLOOKUP($A398,'The List'!$B1:$AS665,4,FALSE)," ")</f>
        <v>858</v>
      </c>
      <c r="D398" t="s" s="140">
        <f>_xlfn.IFERROR(VLOOKUP($A398,'The List'!$B1:$AS665,5,FALSE)," ")</f>
        <v>858</v>
      </c>
      <c r="E398" t="s" s="140">
        <f>_xlfn.IFERROR(VLOOKUP($A398,'The List'!$B1:$AS665,6,FALSE)," ")</f>
        <v>858</v>
      </c>
      <c r="F398" t="s" s="141">
        <f>_xlfn.IFERROR(VLOOKUP($A398,'The List'!$B1:$AS665,8,FALSE)," ")</f>
        <v>858</v>
      </c>
      <c r="G398" t="s" s="141">
        <f>_xlfn.IFERROR(VLOOKUP($A398,'The List'!$B1:$AS665,10,FALSE)," ")</f>
        <v>858</v>
      </c>
      <c r="H398" s="142"/>
      <c r="I398" t="s" s="143">
        <f>_xlfn.IFERROR(VLOOKUP($A398,'The List'!$B1:$AS665,16,FALSE)," ")</f>
        <v>858</v>
      </c>
      <c r="J398" t="s" s="143">
        <f>_xlfn.IFERROR(VLOOKUP($A398,'The List'!$B1:$AS665,17,FALSE)," ")</f>
        <v>858</v>
      </c>
      <c r="K398" t="s" s="143">
        <f>_xlfn.IFERROR(VLOOKUP($A398,'The List'!$B1:$AS665,18,FALSE)," ")</f>
        <v>858</v>
      </c>
      <c r="L398" t="s" s="143">
        <f>_xlfn.IFERROR(VLOOKUP($A398,'The List'!$B1:$AS665,19,FALSE)," ")</f>
        <v>858</v>
      </c>
      <c r="M398" t="s" s="143">
        <f>_xlfn.IFERROR(VLOOKUP($A398,'The List'!$B1:$AS665,20,FALSE)," ")</f>
        <v>858</v>
      </c>
      <c r="N398" t="s" s="143">
        <f>_xlfn.IFERROR(VLOOKUP($A398,'The List'!$B1:$AS665,21,FALSE)," ")</f>
        <v>858</v>
      </c>
      <c r="O398" t="s" s="143">
        <f>_xlfn.IFERROR(VLOOKUP($A398,'The List'!$B1:$AS665,22,FALSE)," ")</f>
        <v>858</v>
      </c>
      <c r="P398" t="s" s="143">
        <f>_xlfn.IFERROR(VLOOKUP($A398,'The List'!$B1:$AS665,23,FALSE)," ")</f>
        <v>858</v>
      </c>
      <c r="Q398" t="s" s="143">
        <f>_xlfn.IFERROR(VLOOKUP($A398,'The List'!$B1:$AS665,24,FALSE)," ")</f>
        <v>858</v>
      </c>
      <c r="R398" t="s" s="143">
        <f>_xlfn.IFERROR(VLOOKUP($A398,'The List'!$B1:$AS665,25,FALSE)," ")</f>
        <v>858</v>
      </c>
      <c r="S398" t="s" s="143">
        <f>_xlfn.IFERROR(VLOOKUP($A398,'The List'!$B1:$AS665,26,FALSE)," ")</f>
        <v>858</v>
      </c>
      <c r="T398" t="s" s="143">
        <f>_xlfn.IFERROR(VLOOKUP($A398,'The List'!$B1:$AS665,27,FALSE)," ")</f>
        <v>858</v>
      </c>
      <c r="U398" t="s" s="143">
        <f>_xlfn.IFERROR(VLOOKUP($A398,'The List'!$B1:$AS665,28,FALSE)," ")</f>
        <v>858</v>
      </c>
      <c r="V398" t="s" s="143">
        <f>_xlfn.IFERROR(VLOOKUP($A398,'The List'!$B1:$AS665,29,FALSE)," ")</f>
        <v>858</v>
      </c>
      <c r="W398" t="s" s="143">
        <f>_xlfn.IFERROR(VLOOKUP($A398,'The List'!$B1:$AS665,30,FALSE)," ")</f>
        <v>858</v>
      </c>
      <c r="X398" t="s" s="143">
        <f>_xlfn.IFERROR(VLOOKUP($A398,'The List'!$B1:$AS665,31,FALSE)," ")</f>
        <v>858</v>
      </c>
      <c r="Y398" t="s" s="143">
        <f>_xlfn.IFERROR(VLOOKUP($A398,'The List'!$B1:$AS665,32,FALSE)," ")</f>
        <v>858</v>
      </c>
      <c r="Z398" t="s" s="143">
        <f>_xlfn.IFERROR(VLOOKUP($A398,'The List'!$B1:$AS665,33,FALSE)," ")</f>
        <v>858</v>
      </c>
      <c r="AA398" s="120"/>
      <c r="AB398" s="121"/>
      <c r="AC398" s="121"/>
      <c r="AD398" s="121"/>
      <c r="AE398" s="121"/>
      <c r="AF398" s="144"/>
    </row>
    <row r="399" ht="21.25" customHeight="1">
      <c r="A399" s="145"/>
      <c r="B399" s="146"/>
      <c r="C399" s="147"/>
      <c r="D399" s="148"/>
      <c r="E399" t="s" s="193">
        <f>_xlfn.IFERROR(AVERAGE(E379:E398)," ")</f>
        <v>858</v>
      </c>
      <c r="F399" s="150">
        <f>SUM(F379:F398)</f>
        <v>0</v>
      </c>
      <c r="G399" s="150">
        <f>SUM(G379:G398)</f>
        <v>0</v>
      </c>
      <c r="H399" s="151"/>
      <c r="I399" s="152">
        <f>SUM(I379:I398)</f>
        <v>0</v>
      </c>
      <c r="J399" s="151">
        <f>AVERAGE(J379:J398)</f>
      </c>
      <c r="K399" s="152">
        <f>SUM(K379:K398)</f>
        <v>0</v>
      </c>
      <c r="L399" s="152">
        <f>SUM(L379:L398)</f>
        <v>0</v>
      </c>
      <c r="M399" s="152">
        <f>SUM(M379:M398)</f>
        <v>0</v>
      </c>
      <c r="N399" s="152">
        <f>SUM(N379:N398)</f>
        <v>0</v>
      </c>
      <c r="O399" s="152">
        <f>SUM(O379:O398)</f>
        <v>0</v>
      </c>
      <c r="P399" s="152">
        <f>SUM(P379:P398)</f>
        <v>0</v>
      </c>
      <c r="Q399" s="152">
        <f>SUM(Q379:Q398)</f>
        <v>0</v>
      </c>
      <c r="R399" s="152">
        <f>SUM(R379:R398)</f>
        <v>0</v>
      </c>
      <c r="S399" s="152">
        <f>SUM(S379:S398)</f>
        <v>0</v>
      </c>
      <c r="T399" s="152">
        <f>SUM(T379:T398)</f>
        <v>0</v>
      </c>
      <c r="U399" s="152">
        <f>SUM(U379:U398)</f>
        <v>0</v>
      </c>
      <c r="V399" s="152">
        <f>SUM(V379:V398)</f>
        <v>0</v>
      </c>
      <c r="W399" s="152">
        <f>SUM(W379:W398)</f>
        <v>0</v>
      </c>
      <c r="X399" s="152">
        <f>SUM(X379:X398)</f>
        <v>0</v>
      </c>
      <c r="Y399" s="152">
        <f>SUM(Y379:Y398)</f>
        <v>0</v>
      </c>
      <c r="Z399" s="153">
        <f>_xlfn.IFERROR(X399/(X399+Y399),0)</f>
        <v>0</v>
      </c>
      <c r="AA399" s="120"/>
      <c r="AB399" s="154"/>
      <c r="AC399" s="154"/>
      <c r="AD399" s="154"/>
      <c r="AE399" s="154"/>
      <c r="AF399" s="155"/>
    </row>
    <row r="400" ht="21.25" customHeight="1">
      <c r="A400" s="156"/>
      <c r="B400" s="157"/>
      <c r="C400" s="158"/>
      <c r="D400" s="13"/>
      <c r="E400" s="13"/>
      <c r="F400" s="159"/>
      <c r="G400" s="160"/>
      <c r="H400" s="161"/>
      <c r="I400" s="162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  <c r="AB400" s="121"/>
      <c r="AC400" s="121"/>
      <c r="AD400" s="121"/>
      <c r="AE400" s="121"/>
      <c r="AF400" s="144"/>
    </row>
    <row r="401" ht="21.25" customHeight="1">
      <c r="A401" t="s" s="163">
        <v>89</v>
      </c>
      <c r="B401" t="s" s="164">
        <v>91</v>
      </c>
      <c r="C401" s="31"/>
      <c r="D401" t="s" s="164">
        <v>92</v>
      </c>
      <c r="E401" t="s" s="164">
        <v>93</v>
      </c>
      <c r="F401" t="s" s="165">
        <v>95</v>
      </c>
      <c r="G401" t="s" s="165">
        <v>97</v>
      </c>
      <c r="H401" s="166"/>
      <c r="I401" t="s" s="167">
        <v>102</v>
      </c>
      <c r="J401" t="s" s="167">
        <v>118</v>
      </c>
      <c r="K401" t="s" s="167">
        <v>119</v>
      </c>
      <c r="L401" t="s" s="167">
        <v>120</v>
      </c>
      <c r="M401" t="s" s="167">
        <v>121</v>
      </c>
      <c r="N401" t="s" s="167">
        <v>122</v>
      </c>
      <c r="O401" t="s" s="167">
        <v>123</v>
      </c>
      <c r="P401" t="s" s="167">
        <v>124</v>
      </c>
      <c r="Q401" t="s" s="167">
        <v>125</v>
      </c>
      <c r="R401" s="120"/>
      <c r="S401" s="120"/>
      <c r="T401" s="120"/>
      <c r="U401" t="s" s="164">
        <v>876</v>
      </c>
      <c r="V401" s="166"/>
      <c r="W401" s="166"/>
      <c r="X401" t="s" s="164">
        <v>877</v>
      </c>
      <c r="Y401" s="166"/>
      <c r="Z401" s="166"/>
      <c r="AA401" s="120"/>
      <c r="AB401" s="120"/>
      <c r="AC401" s="120"/>
      <c r="AD401" s="120"/>
      <c r="AE401" s="120"/>
      <c r="AF401" s="168"/>
    </row>
    <row r="402" ht="21.25" customHeight="1">
      <c r="A402" s="194"/>
      <c r="B402" t="s" s="170">
        <f>_xlfn.IFERROR(VLOOKUP($A402,'The List'!$B1:$AS665,3,FALSE)," ")</f>
        <v>858</v>
      </c>
      <c r="C402" t="s" s="195">
        <f>_xlfn.IFERROR(VLOOKUP($A402,'The List'!$B1:$AS665,4,FALSE)," ")</f>
        <v>858</v>
      </c>
      <c r="D402" t="s" s="72">
        <f>_xlfn.IFERROR(VLOOKUP($A402,'The List'!$B1:$AS665,5,FALSE)," ")</f>
        <v>858</v>
      </c>
      <c r="E402" t="s" s="72">
        <f>_xlfn.IFERROR(VLOOKUP($A402,'The List'!$B1:$AS665,6,FALSE)," ")</f>
        <v>858</v>
      </c>
      <c r="F402" t="s" s="196">
        <f>_xlfn.IFERROR(VLOOKUP($A402,'The List'!$B1:$AS665,8,FALSE)," ")</f>
        <v>858</v>
      </c>
      <c r="G402" t="s" s="196">
        <f>_xlfn.IFERROR(VLOOKUP($A402,'The List'!$B1:$AS665,10,FALSE)," ")</f>
        <v>858</v>
      </c>
      <c r="H402" s="174"/>
      <c r="I402" t="s" s="197">
        <f>_xlfn.IFERROR(VLOOKUP($A402,'The List'!$B1:$AS665,35,FALSE)," ")</f>
        <v>858</v>
      </c>
      <c r="J402" t="s" s="197">
        <f>_xlfn.IFERROR(VLOOKUP($A402,'The List'!$B1:$AS665,36,FALSE)," ")</f>
        <v>858</v>
      </c>
      <c r="K402" t="s" s="197">
        <f>_xlfn.IFERROR(VLOOKUP($A402,'The List'!$B1:$AS665,37,FALSE)," ")</f>
        <v>858</v>
      </c>
      <c r="L402" t="s" s="197">
        <f>_xlfn.IFERROR(VLOOKUP($A402,'The List'!$B1:$AS665,38,FALSE)," ")</f>
        <v>858</v>
      </c>
      <c r="M402" t="s" s="197">
        <f>_xlfn.IFERROR(VLOOKUP($A402,'The List'!$B1:$AS665,39,FALSE)," ")</f>
        <v>858</v>
      </c>
      <c r="N402" t="s" s="197">
        <f>_xlfn.IFERROR(VLOOKUP($A402,'The List'!$B1:$AS665,40,FALSE)," ")</f>
        <v>858</v>
      </c>
      <c r="O402" t="s" s="197">
        <f>_xlfn.IFERROR(VLOOKUP($A402,'The List'!$B1:$AS665,41,FALSE)," ")</f>
        <v>858</v>
      </c>
      <c r="P402" t="s" s="197">
        <f>_xlfn.IFERROR(VLOOKUP($A402,'The List'!$B1:$AS665,42,FALSE)," ")</f>
        <v>858</v>
      </c>
      <c r="Q402" t="s" s="197">
        <f>_xlfn.IFERROR(VLOOKUP($A402,'The List'!$B1:$AS665,43,FALSE)," ")</f>
        <v>858</v>
      </c>
      <c r="R402" s="120"/>
      <c r="S402" s="120"/>
      <c r="T402" t="s" s="178">
        <f>A378</f>
        <v>892</v>
      </c>
      <c r="U402" s="179">
        <f>F399+F405</f>
        <v>0</v>
      </c>
      <c r="V402" s="31"/>
      <c r="W402" s="31"/>
      <c r="X402" s="179">
        <f>G405+G399</f>
        <v>0</v>
      </c>
      <c r="Y402" s="31"/>
      <c r="Z402" s="31"/>
      <c r="AA402" s="120"/>
      <c r="AB402" s="120"/>
      <c r="AC402" s="120"/>
      <c r="AD402" s="120"/>
      <c r="AE402" s="120"/>
      <c r="AF402" s="168"/>
    </row>
    <row r="403" ht="21.25" customHeight="1">
      <c r="A403" s="50"/>
      <c r="B403" t="s" s="180">
        <f>_xlfn.IFERROR(VLOOKUP($A403,'The List'!$B1:$AS665,3,FALSE)," ")</f>
        <v>858</v>
      </c>
      <c r="C403" t="s" s="181">
        <f>_xlfn.IFERROR(VLOOKUP($A403,'The List'!$B1:$AS665,4,FALSE)," ")</f>
        <v>858</v>
      </c>
      <c r="D403" t="s" s="86">
        <f>_xlfn.IFERROR(VLOOKUP($A403,'The List'!$B1:$AS665,5,FALSE)," ")</f>
        <v>858</v>
      </c>
      <c r="E403" t="s" s="86">
        <f>_xlfn.IFERROR(VLOOKUP($A403,'The List'!$B1:$AS665,6,FALSE)," ")</f>
        <v>858</v>
      </c>
      <c r="F403" t="s" s="124">
        <f>_xlfn.IFERROR(VLOOKUP($A403,'The List'!$B1:$AS665,8,FALSE)," ")</f>
        <v>858</v>
      </c>
      <c r="G403" t="s" s="124">
        <f>_xlfn.IFERROR(VLOOKUP($A403,'The List'!$B1:$AS665,10,FALSE)," ")</f>
        <v>858</v>
      </c>
      <c r="H403" s="77"/>
      <c r="I403" t="s" s="125">
        <f>_xlfn.IFERROR(VLOOKUP($A403,'The List'!$B1:$AS665,35,FALSE)," ")</f>
        <v>858</v>
      </c>
      <c r="J403" t="s" s="125">
        <f>_xlfn.IFERROR(VLOOKUP($A403,'The List'!$B1:$AS665,36,FALSE)," ")</f>
        <v>858</v>
      </c>
      <c r="K403" t="s" s="125">
        <f>_xlfn.IFERROR(VLOOKUP($A403,'The List'!$B1:$AS665,37,FALSE)," ")</f>
        <v>858</v>
      </c>
      <c r="L403" t="s" s="125">
        <f>_xlfn.IFERROR(VLOOKUP($A403,'The List'!$B1:$AS665,38,FALSE)," ")</f>
        <v>858</v>
      </c>
      <c r="M403" t="s" s="125">
        <f>_xlfn.IFERROR(VLOOKUP($A403,'The List'!$B1:$AS665,39,FALSE)," ")</f>
        <v>858</v>
      </c>
      <c r="N403" t="s" s="125">
        <f>_xlfn.IFERROR(VLOOKUP($A403,'The List'!$B1:$AS665,40,FALSE)," ")</f>
        <v>858</v>
      </c>
      <c r="O403" t="s" s="125">
        <f>_xlfn.IFERROR(VLOOKUP($A403,'The List'!$B1:$AS665,41,FALSE)," ")</f>
        <v>858</v>
      </c>
      <c r="P403" t="s" s="125">
        <f>_xlfn.IFERROR(VLOOKUP($A403,'The List'!$B1:$AS665,42,FALSE)," ")</f>
        <v>858</v>
      </c>
      <c r="Q403" t="s" s="125">
        <f>_xlfn.IFERROR(VLOOKUP($A403,'The List'!$B1:$AS665,43,FALSE)," ")</f>
        <v>858</v>
      </c>
      <c r="R403" s="120"/>
      <c r="S403" s="120"/>
      <c r="T403" s="120"/>
      <c r="U403" s="31"/>
      <c r="V403" s="31"/>
      <c r="W403" s="31"/>
      <c r="X403" s="31"/>
      <c r="Y403" s="31"/>
      <c r="Z403" s="31"/>
      <c r="AA403" s="120"/>
      <c r="AB403" s="120"/>
      <c r="AC403" s="120"/>
      <c r="AD403" s="120"/>
      <c r="AE403" s="120"/>
      <c r="AF403" s="168"/>
    </row>
    <row r="404" ht="21.25" customHeight="1">
      <c r="A404" s="137"/>
      <c r="B404" t="s" s="182">
        <f>_xlfn.IFERROR(VLOOKUP($A404,'The List'!$B1:$AS665,3,FALSE)," ")</f>
        <v>858</v>
      </c>
      <c r="C404" t="s" s="183">
        <f>_xlfn.IFERROR(VLOOKUP($A404,'The List'!$B1:$AS665,4,FALSE)," ")</f>
        <v>858</v>
      </c>
      <c r="D404" t="s" s="140">
        <f>_xlfn.IFERROR(VLOOKUP($A404,'The List'!$B1:$AS665,5,FALSE)," ")</f>
        <v>858</v>
      </c>
      <c r="E404" t="s" s="140">
        <f>_xlfn.IFERROR(VLOOKUP($A404,'The List'!$B1:$AS665,6,FALSE)," ")</f>
        <v>858</v>
      </c>
      <c r="F404" t="s" s="141">
        <f>_xlfn.IFERROR(VLOOKUP($A404,'The List'!$B1:$AS665,8,FALSE)," ")</f>
        <v>858</v>
      </c>
      <c r="G404" t="s" s="141">
        <f>_xlfn.IFERROR(VLOOKUP($A404,'The List'!$B1:$AS665,10,FALSE)," ")</f>
        <v>858</v>
      </c>
      <c r="H404" s="142"/>
      <c r="I404" t="s" s="143">
        <f>_xlfn.IFERROR(VLOOKUP($A404,'The List'!$B1:$AS665,35,FALSE)," ")</f>
        <v>858</v>
      </c>
      <c r="J404" t="s" s="143">
        <f>_xlfn.IFERROR(VLOOKUP($A404,'The List'!$B1:$AS665,36,FALSE)," ")</f>
        <v>858</v>
      </c>
      <c r="K404" t="s" s="143">
        <f>_xlfn.IFERROR(VLOOKUP($A404,'The List'!$B1:$AS665,37,FALSE)," ")</f>
        <v>858</v>
      </c>
      <c r="L404" t="s" s="143">
        <f>_xlfn.IFERROR(VLOOKUP($A404,'The List'!$B1:$AS665,38,FALSE)," ")</f>
        <v>858</v>
      </c>
      <c r="M404" t="s" s="143">
        <f>_xlfn.IFERROR(VLOOKUP($A404,'The List'!$B1:$AS665,39,FALSE)," ")</f>
        <v>858</v>
      </c>
      <c r="N404" t="s" s="143">
        <f>_xlfn.IFERROR(VLOOKUP($A404,'The List'!$B1:$AS665,40,FALSE)," ")</f>
        <v>858</v>
      </c>
      <c r="O404" t="s" s="143">
        <f>_xlfn.IFERROR(VLOOKUP($A404,'The List'!$B1:$AS665,41,FALSE)," ")</f>
        <v>858</v>
      </c>
      <c r="P404" t="s" s="143">
        <f>_xlfn.IFERROR(VLOOKUP($A404,'The List'!$B1:$AS665,42,FALSE)," ")</f>
        <v>858</v>
      </c>
      <c r="Q404" t="s" s="143">
        <f>_xlfn.IFERROR(VLOOKUP($A404,'The List'!$B1:$AS665,43,FALSE)," ")</f>
        <v>858</v>
      </c>
      <c r="R404" s="120"/>
      <c r="S404" s="120"/>
      <c r="T404" s="120"/>
      <c r="U404" s="31"/>
      <c r="V404" s="31"/>
      <c r="W404" s="31"/>
      <c r="X404" s="31"/>
      <c r="Y404" s="31"/>
      <c r="Z404" s="31"/>
      <c r="AA404" s="120"/>
      <c r="AB404" s="120"/>
      <c r="AC404" s="120"/>
      <c r="AD404" s="120"/>
      <c r="AE404" s="120"/>
      <c r="AF404" s="168"/>
    </row>
    <row r="405" ht="21.25" customHeight="1">
      <c r="A405" s="145"/>
      <c r="B405" s="146"/>
      <c r="C405" s="147"/>
      <c r="D405" s="148"/>
      <c r="E405" t="s" s="193">
        <f>_xlfn.IFERROR(AVERAGE(E402:E404)," ")</f>
        <v>858</v>
      </c>
      <c r="F405" s="150">
        <f>SUM(F402:F404)</f>
        <v>0</v>
      </c>
      <c r="G405" s="150">
        <f>SUM(G402:G404)</f>
        <v>0</v>
      </c>
      <c r="H405" s="151"/>
      <c r="I405" s="152">
        <f>SUM(I402:I404)</f>
        <v>0</v>
      </c>
      <c r="J405" s="151">
        <f>SUM(J402:J404)</f>
        <v>0</v>
      </c>
      <c r="K405" s="152">
        <f>SUM(K402:K404)</f>
        <v>0</v>
      </c>
      <c r="L405" s="152">
        <f>SUM(L402:L404)</f>
        <v>0</v>
      </c>
      <c r="M405" s="152">
        <f>SUM(M402:M404)</f>
        <v>0</v>
      </c>
      <c r="N405" s="152">
        <f>SUM(N402:N404)</f>
        <v>0</v>
      </c>
      <c r="O405" s="152">
        <f>SUM(O402:O404)</f>
        <v>0</v>
      </c>
      <c r="P405" s="184">
        <f>1-(O405/(N405+O405))</f>
      </c>
      <c r="Q405" s="185">
        <f>O405/I405</f>
      </c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  <c r="AB405" s="120"/>
      <c r="AC405" s="120"/>
      <c r="AD405" s="120"/>
      <c r="AE405" s="120"/>
      <c r="AF405" s="168"/>
    </row>
    <row r="406" ht="70.75" customHeight="1">
      <c r="A406" s="156"/>
      <c r="B406" s="157"/>
      <c r="C406" s="158"/>
      <c r="D406" s="13"/>
      <c r="E406" s="13"/>
      <c r="F406" s="159"/>
      <c r="G406" s="160"/>
      <c r="H406" s="161"/>
      <c r="I406" s="162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1"/>
      <c r="AB406" s="121"/>
      <c r="AC406" s="121"/>
      <c r="AD406" s="121"/>
      <c r="AE406" s="121"/>
      <c r="AF406" s="144"/>
    </row>
    <row r="407" ht="21.25" customHeight="1">
      <c r="A407" t="s" s="186">
        <v>874</v>
      </c>
      <c r="B407" t="s" s="187">
        <v>91</v>
      </c>
      <c r="C407" s="45"/>
      <c r="D407" t="s" s="187">
        <v>92</v>
      </c>
      <c r="E407" t="s" s="187">
        <v>93</v>
      </c>
      <c r="F407" t="s" s="188">
        <v>95</v>
      </c>
      <c r="G407" t="s" s="188">
        <v>97</v>
      </c>
      <c r="H407" s="189"/>
      <c r="I407" t="s" s="190">
        <v>102</v>
      </c>
      <c r="J407" t="s" s="190">
        <v>55</v>
      </c>
      <c r="K407" t="s" s="190">
        <v>103</v>
      </c>
      <c r="L407" t="s" s="190">
        <v>104</v>
      </c>
      <c r="M407" t="s" s="190">
        <v>105</v>
      </c>
      <c r="N407" t="s" s="190">
        <v>106</v>
      </c>
      <c r="O407" t="s" s="190">
        <v>107</v>
      </c>
      <c r="P407" t="s" s="190">
        <v>63</v>
      </c>
      <c r="Q407" t="s" s="190">
        <v>108</v>
      </c>
      <c r="R407" t="s" s="190">
        <v>109</v>
      </c>
      <c r="S407" t="s" s="190">
        <v>110</v>
      </c>
      <c r="T407" t="s" s="190">
        <v>111</v>
      </c>
      <c r="U407" t="s" s="190">
        <v>112</v>
      </c>
      <c r="V407" t="s" s="190">
        <v>113</v>
      </c>
      <c r="W407" t="s" s="190">
        <v>114</v>
      </c>
      <c r="X407" t="s" s="190">
        <v>115</v>
      </c>
      <c r="Y407" t="s" s="190">
        <v>116</v>
      </c>
      <c r="Z407" t="s" s="190">
        <v>117</v>
      </c>
      <c r="AA407" s="120"/>
      <c r="AB407" s="191"/>
      <c r="AC407" s="191"/>
      <c r="AD407" s="191"/>
      <c r="AE407" s="191"/>
      <c r="AF407" s="192"/>
    </row>
    <row r="408" ht="21.25" customHeight="1">
      <c r="A408" s="50"/>
      <c r="B408" t="s" s="117">
        <f>_xlfn.IFERROR(VLOOKUP($A408,'The List'!$B1:$AS665,3,FALSE)," ")</f>
        <v>858</v>
      </c>
      <c r="C408" t="s" s="123">
        <f>_xlfn.IFERROR(VLOOKUP($A408,'The List'!$B1:$AS665,4,FALSE)," ")</f>
        <v>858</v>
      </c>
      <c r="D408" t="s" s="86">
        <f>_xlfn.IFERROR(VLOOKUP($A408,'The List'!$B1:$AS665,5,FALSE)," ")</f>
        <v>858</v>
      </c>
      <c r="E408" t="s" s="86">
        <f>_xlfn.IFERROR(VLOOKUP($A408,'The List'!$B1:$AS665,6,FALSE)," ")</f>
        <v>858</v>
      </c>
      <c r="F408" t="s" s="124">
        <f>_xlfn.IFERROR(VLOOKUP($A408,'The List'!$B1:$AS665,8,FALSE)," ")</f>
        <v>858</v>
      </c>
      <c r="G408" t="s" s="124">
        <f>_xlfn.IFERROR(VLOOKUP($A408,'The List'!$B1:$AS665,10,FALSE)," ")</f>
        <v>858</v>
      </c>
      <c r="H408" s="77"/>
      <c r="I408" t="s" s="125">
        <f>_xlfn.IFERROR(VLOOKUP($A408,'The List'!$B1:$AS665,16,FALSE)," ")</f>
        <v>858</v>
      </c>
      <c r="J408" t="s" s="125">
        <f>_xlfn.IFERROR(VLOOKUP($A408,'The List'!$B1:$AS665,17,FALSE)," ")</f>
        <v>858</v>
      </c>
      <c r="K408" t="s" s="125">
        <f>_xlfn.IFERROR(VLOOKUP($A408,'The List'!$B1:$AS665,18,FALSE)," ")</f>
        <v>858</v>
      </c>
      <c r="L408" t="s" s="125">
        <f>_xlfn.IFERROR(VLOOKUP($A408,'The List'!$B1:$AS665,19,FALSE)," ")</f>
        <v>858</v>
      </c>
      <c r="M408" t="s" s="125">
        <f>_xlfn.IFERROR(VLOOKUP($A408,'The List'!$B1:$AS665,20,FALSE)," ")</f>
        <v>858</v>
      </c>
      <c r="N408" t="s" s="125">
        <f>_xlfn.IFERROR(VLOOKUP($A408,'The List'!$B1:$AS665,21,FALSE)," ")</f>
        <v>858</v>
      </c>
      <c r="O408" t="s" s="125">
        <f>_xlfn.IFERROR(VLOOKUP($A408,'The List'!$B1:$AS665,22,FALSE)," ")</f>
        <v>858</v>
      </c>
      <c r="P408" t="s" s="125">
        <f>_xlfn.IFERROR(VLOOKUP($A408,'The List'!$B1:$AS665,23,FALSE)," ")</f>
        <v>858</v>
      </c>
      <c r="Q408" t="s" s="125">
        <f>_xlfn.IFERROR(VLOOKUP($A408,'The List'!$B1:$AS665,24,FALSE)," ")</f>
        <v>858</v>
      </c>
      <c r="R408" t="s" s="125">
        <f>_xlfn.IFERROR(VLOOKUP($A408,'The List'!$B1:$AS665,25,FALSE)," ")</f>
        <v>858</v>
      </c>
      <c r="S408" t="s" s="125">
        <f>_xlfn.IFERROR(VLOOKUP($A408,'The List'!$B1:$AS665,26,FALSE)," ")</f>
        <v>858</v>
      </c>
      <c r="T408" t="s" s="125">
        <f>_xlfn.IFERROR(VLOOKUP($A408,'The List'!$B1:$AS665,27,FALSE)," ")</f>
        <v>858</v>
      </c>
      <c r="U408" t="s" s="125">
        <f>_xlfn.IFERROR(VLOOKUP($A408,'The List'!$B1:$AS665,28,FALSE)," ")</f>
        <v>858</v>
      </c>
      <c r="V408" t="s" s="125">
        <f>_xlfn.IFERROR(VLOOKUP($A408,'The List'!$B1:$AS665,29,FALSE)," ")</f>
        <v>858</v>
      </c>
      <c r="W408" t="s" s="125">
        <f>_xlfn.IFERROR(VLOOKUP($A408,'The List'!$B1:$AS665,30,FALSE)," ")</f>
        <v>858</v>
      </c>
      <c r="X408" t="s" s="125">
        <f>_xlfn.IFERROR(VLOOKUP($A408,'The List'!$B1:$AS665,31,FALSE)," ")</f>
        <v>858</v>
      </c>
      <c r="Y408" t="s" s="125">
        <f>_xlfn.IFERROR(VLOOKUP($A408,'The List'!$B1:$AS665,32,FALSE)," ")</f>
        <v>858</v>
      </c>
      <c r="Z408" t="s" s="125">
        <f>_xlfn.IFERROR(VLOOKUP($A408,'The List'!$B1:$AS665,33,FALSE)," ")</f>
        <v>858</v>
      </c>
      <c r="AA408" s="120"/>
      <c r="AB408" s="121"/>
      <c r="AC408" s="121"/>
      <c r="AD408" s="121"/>
      <c r="AE408" s="121"/>
      <c r="AF408" s="144"/>
    </row>
    <row r="409" ht="21.25" customHeight="1">
      <c r="A409" s="50"/>
      <c r="B409" t="s" s="117">
        <f>_xlfn.IFERROR(VLOOKUP($A409,'The List'!$B1:$AS665,3,FALSE)," ")</f>
        <v>858</v>
      </c>
      <c r="C409" t="s" s="123">
        <f>_xlfn.IFERROR(VLOOKUP($A409,'The List'!$B1:$AS665,4,FALSE)," ")</f>
        <v>858</v>
      </c>
      <c r="D409" t="s" s="86">
        <f>_xlfn.IFERROR(VLOOKUP($A409,'The List'!$B1:$AS665,5,FALSE)," ")</f>
        <v>858</v>
      </c>
      <c r="E409" t="s" s="86">
        <f>_xlfn.IFERROR(VLOOKUP($A409,'The List'!$B1:$AS665,6,FALSE)," ")</f>
        <v>858</v>
      </c>
      <c r="F409" t="s" s="124">
        <f>_xlfn.IFERROR(VLOOKUP($A409,'The List'!$B1:$AS665,8,FALSE)," ")</f>
        <v>858</v>
      </c>
      <c r="G409" t="s" s="124">
        <f>_xlfn.IFERROR(VLOOKUP($A409,'The List'!$B1:$AS665,10,FALSE)," ")</f>
        <v>858</v>
      </c>
      <c r="H409" s="77"/>
      <c r="I409" t="s" s="125">
        <f>_xlfn.IFERROR(VLOOKUP($A409,'The List'!$B1:$AS665,16,FALSE)," ")</f>
        <v>858</v>
      </c>
      <c r="J409" t="s" s="125">
        <f>_xlfn.IFERROR(VLOOKUP($A409,'The List'!$B1:$AS665,17,FALSE)," ")</f>
        <v>858</v>
      </c>
      <c r="K409" t="s" s="125">
        <f>_xlfn.IFERROR(VLOOKUP($A409,'The List'!$B1:$AS665,18,FALSE)," ")</f>
        <v>858</v>
      </c>
      <c r="L409" t="s" s="125">
        <f>_xlfn.IFERROR(VLOOKUP($A409,'The List'!$B1:$AS665,19,FALSE)," ")</f>
        <v>858</v>
      </c>
      <c r="M409" t="s" s="125">
        <f>_xlfn.IFERROR(VLOOKUP($A409,'The List'!$B1:$AS665,20,FALSE)," ")</f>
        <v>858</v>
      </c>
      <c r="N409" t="s" s="125">
        <f>_xlfn.IFERROR(VLOOKUP($A409,'The List'!$B1:$AS665,21,FALSE)," ")</f>
        <v>858</v>
      </c>
      <c r="O409" t="s" s="125">
        <f>_xlfn.IFERROR(VLOOKUP($A409,'The List'!$B1:$AS665,22,FALSE)," ")</f>
        <v>858</v>
      </c>
      <c r="P409" t="s" s="125">
        <f>_xlfn.IFERROR(VLOOKUP($A409,'The List'!$B1:$AS665,23,FALSE)," ")</f>
        <v>858</v>
      </c>
      <c r="Q409" t="s" s="125">
        <f>_xlfn.IFERROR(VLOOKUP($A409,'The List'!$B1:$AS665,24,FALSE)," ")</f>
        <v>858</v>
      </c>
      <c r="R409" t="s" s="125">
        <f>_xlfn.IFERROR(VLOOKUP($A409,'The List'!$B1:$AS665,25,FALSE)," ")</f>
        <v>858</v>
      </c>
      <c r="S409" t="s" s="125">
        <f>_xlfn.IFERROR(VLOOKUP($A409,'The List'!$B1:$AS665,26,FALSE)," ")</f>
        <v>858</v>
      </c>
      <c r="T409" t="s" s="125">
        <f>_xlfn.IFERROR(VLOOKUP($A409,'The List'!$B1:$AS665,27,FALSE)," ")</f>
        <v>858</v>
      </c>
      <c r="U409" t="s" s="125">
        <f>_xlfn.IFERROR(VLOOKUP($A409,'The List'!$B1:$AS665,28,FALSE)," ")</f>
        <v>858</v>
      </c>
      <c r="V409" t="s" s="125">
        <f>_xlfn.IFERROR(VLOOKUP($A409,'The List'!$B1:$AS665,29,FALSE)," ")</f>
        <v>858</v>
      </c>
      <c r="W409" t="s" s="125">
        <f>_xlfn.IFERROR(VLOOKUP($A409,'The List'!$B1:$AS665,30,FALSE)," ")</f>
        <v>858</v>
      </c>
      <c r="X409" t="s" s="125">
        <f>_xlfn.IFERROR(VLOOKUP($A409,'The List'!$B1:$AS665,31,FALSE)," ")</f>
        <v>858</v>
      </c>
      <c r="Y409" t="s" s="125">
        <f>_xlfn.IFERROR(VLOOKUP($A409,'The List'!$B1:$AS665,32,FALSE)," ")</f>
        <v>858</v>
      </c>
      <c r="Z409" t="s" s="125">
        <f>_xlfn.IFERROR(VLOOKUP($A409,'The List'!$B1:$AS665,33,FALSE)," ")</f>
        <v>858</v>
      </c>
      <c r="AA409" s="120"/>
      <c r="AB409" s="121"/>
      <c r="AC409" s="121"/>
      <c r="AD409" s="121"/>
      <c r="AE409" s="121"/>
      <c r="AF409" s="144"/>
    </row>
    <row r="410" ht="21.25" customHeight="1">
      <c r="A410" s="50"/>
      <c r="B410" t="s" s="117">
        <f>_xlfn.IFERROR(VLOOKUP($A410,'The List'!$B1:$AS665,3,FALSE)," ")</f>
        <v>858</v>
      </c>
      <c r="C410" t="s" s="123">
        <f>_xlfn.IFERROR(VLOOKUP($A410,'The List'!$B1:$AS665,4,FALSE)," ")</f>
        <v>858</v>
      </c>
      <c r="D410" t="s" s="86">
        <f>_xlfn.IFERROR(VLOOKUP($A410,'The List'!$B1:$AS665,5,FALSE)," ")</f>
        <v>858</v>
      </c>
      <c r="E410" t="s" s="86">
        <f>_xlfn.IFERROR(VLOOKUP($A410,'The List'!$B1:$AS665,6,FALSE)," ")</f>
        <v>858</v>
      </c>
      <c r="F410" t="s" s="124">
        <f>_xlfn.IFERROR(VLOOKUP($A410,'The List'!$B1:$AS665,8,FALSE)," ")</f>
        <v>858</v>
      </c>
      <c r="G410" t="s" s="124">
        <f>_xlfn.IFERROR(VLOOKUP($A410,'The List'!$B1:$AS665,10,FALSE)," ")</f>
        <v>858</v>
      </c>
      <c r="H410" s="77"/>
      <c r="I410" t="s" s="125">
        <f>_xlfn.IFERROR(VLOOKUP($A410,'The List'!$B1:$AS665,16,FALSE)," ")</f>
        <v>858</v>
      </c>
      <c r="J410" t="s" s="125">
        <f>_xlfn.IFERROR(VLOOKUP($A410,'The List'!$B1:$AS665,17,FALSE)," ")</f>
        <v>858</v>
      </c>
      <c r="K410" t="s" s="125">
        <f>_xlfn.IFERROR(VLOOKUP($A410,'The List'!$B1:$AS665,18,FALSE)," ")</f>
        <v>858</v>
      </c>
      <c r="L410" t="s" s="125">
        <f>_xlfn.IFERROR(VLOOKUP($A410,'The List'!$B1:$AS665,19,FALSE)," ")</f>
        <v>858</v>
      </c>
      <c r="M410" t="s" s="125">
        <f>_xlfn.IFERROR(VLOOKUP($A410,'The List'!$B1:$AS665,20,FALSE)," ")</f>
        <v>858</v>
      </c>
      <c r="N410" t="s" s="125">
        <f>_xlfn.IFERROR(VLOOKUP($A410,'The List'!$B1:$AS665,21,FALSE)," ")</f>
        <v>858</v>
      </c>
      <c r="O410" t="s" s="125">
        <f>_xlfn.IFERROR(VLOOKUP($A410,'The List'!$B1:$AS665,22,FALSE)," ")</f>
        <v>858</v>
      </c>
      <c r="P410" t="s" s="125">
        <f>_xlfn.IFERROR(VLOOKUP($A410,'The List'!$B1:$AS665,23,FALSE)," ")</f>
        <v>858</v>
      </c>
      <c r="Q410" t="s" s="125">
        <f>_xlfn.IFERROR(VLOOKUP($A410,'The List'!$B1:$AS665,24,FALSE)," ")</f>
        <v>858</v>
      </c>
      <c r="R410" t="s" s="125">
        <f>_xlfn.IFERROR(VLOOKUP($A410,'The List'!$B1:$AS665,25,FALSE)," ")</f>
        <v>858</v>
      </c>
      <c r="S410" t="s" s="125">
        <f>_xlfn.IFERROR(VLOOKUP($A410,'The List'!$B1:$AS665,26,FALSE)," ")</f>
        <v>858</v>
      </c>
      <c r="T410" t="s" s="125">
        <f>_xlfn.IFERROR(VLOOKUP($A410,'The List'!$B1:$AS665,27,FALSE)," ")</f>
        <v>858</v>
      </c>
      <c r="U410" t="s" s="125">
        <f>_xlfn.IFERROR(VLOOKUP($A410,'The List'!$B1:$AS665,28,FALSE)," ")</f>
        <v>858</v>
      </c>
      <c r="V410" t="s" s="125">
        <f>_xlfn.IFERROR(VLOOKUP($A410,'The List'!$B1:$AS665,29,FALSE)," ")</f>
        <v>858</v>
      </c>
      <c r="W410" t="s" s="125">
        <f>_xlfn.IFERROR(VLOOKUP($A410,'The List'!$B1:$AS665,30,FALSE)," ")</f>
        <v>858</v>
      </c>
      <c r="X410" t="s" s="125">
        <f>_xlfn.IFERROR(VLOOKUP($A410,'The List'!$B1:$AS665,31,FALSE)," ")</f>
        <v>858</v>
      </c>
      <c r="Y410" t="s" s="125">
        <f>_xlfn.IFERROR(VLOOKUP($A410,'The List'!$B1:$AS665,32,FALSE)," ")</f>
        <v>858</v>
      </c>
      <c r="Z410" t="s" s="125">
        <f>_xlfn.IFERROR(VLOOKUP($A410,'The List'!$B1:$AS665,33,FALSE)," ")</f>
        <v>858</v>
      </c>
      <c r="AA410" s="120"/>
      <c r="AB410" s="121"/>
      <c r="AC410" s="121"/>
      <c r="AD410" s="121"/>
      <c r="AE410" s="121"/>
      <c r="AF410" s="144"/>
    </row>
    <row r="411" ht="21.25" customHeight="1">
      <c r="A411" s="50"/>
      <c r="B411" t="s" s="117">
        <f>_xlfn.IFERROR(VLOOKUP($A411,'The List'!$B1:$AS665,3,FALSE)," ")</f>
        <v>858</v>
      </c>
      <c r="C411" t="s" s="123">
        <f>_xlfn.IFERROR(VLOOKUP($A411,'The List'!$B1:$AS665,4,FALSE)," ")</f>
        <v>858</v>
      </c>
      <c r="D411" t="s" s="86">
        <f>_xlfn.IFERROR(VLOOKUP($A411,'The List'!$B1:$AS665,5,FALSE)," ")</f>
        <v>858</v>
      </c>
      <c r="E411" t="s" s="86">
        <f>_xlfn.IFERROR(VLOOKUP($A411,'The List'!$B1:$AS665,6,FALSE)," ")</f>
        <v>858</v>
      </c>
      <c r="F411" t="s" s="124">
        <f>_xlfn.IFERROR(VLOOKUP($A411,'The List'!$B1:$AS665,8,FALSE)," ")</f>
        <v>858</v>
      </c>
      <c r="G411" t="s" s="124">
        <f>_xlfn.IFERROR(VLOOKUP($A411,'The List'!$B1:$AS665,10,FALSE)," ")</f>
        <v>858</v>
      </c>
      <c r="H411" s="77"/>
      <c r="I411" t="s" s="125">
        <f>_xlfn.IFERROR(VLOOKUP($A411,'The List'!$B1:$AS665,16,FALSE)," ")</f>
        <v>858</v>
      </c>
      <c r="J411" t="s" s="125">
        <f>_xlfn.IFERROR(VLOOKUP($A411,'The List'!$B1:$AS665,17,FALSE)," ")</f>
        <v>858</v>
      </c>
      <c r="K411" t="s" s="125">
        <f>_xlfn.IFERROR(VLOOKUP($A411,'The List'!$B1:$AS665,18,FALSE)," ")</f>
        <v>858</v>
      </c>
      <c r="L411" t="s" s="125">
        <f>_xlfn.IFERROR(VLOOKUP($A411,'The List'!$B1:$AS665,19,FALSE)," ")</f>
        <v>858</v>
      </c>
      <c r="M411" t="s" s="125">
        <f>_xlfn.IFERROR(VLOOKUP($A411,'The List'!$B1:$AS665,20,FALSE)," ")</f>
        <v>858</v>
      </c>
      <c r="N411" t="s" s="125">
        <f>_xlfn.IFERROR(VLOOKUP($A411,'The List'!$B1:$AS665,21,FALSE)," ")</f>
        <v>858</v>
      </c>
      <c r="O411" t="s" s="125">
        <f>_xlfn.IFERROR(VLOOKUP($A411,'The List'!$B1:$AS665,22,FALSE)," ")</f>
        <v>858</v>
      </c>
      <c r="P411" t="s" s="125">
        <f>_xlfn.IFERROR(VLOOKUP($A411,'The List'!$B1:$AS665,23,FALSE)," ")</f>
        <v>858</v>
      </c>
      <c r="Q411" t="s" s="125">
        <f>_xlfn.IFERROR(VLOOKUP($A411,'The List'!$B1:$AS665,24,FALSE)," ")</f>
        <v>858</v>
      </c>
      <c r="R411" t="s" s="125">
        <f>_xlfn.IFERROR(VLOOKUP($A411,'The List'!$B1:$AS665,25,FALSE)," ")</f>
        <v>858</v>
      </c>
      <c r="S411" t="s" s="125">
        <f>_xlfn.IFERROR(VLOOKUP($A411,'The List'!$B1:$AS665,26,FALSE)," ")</f>
        <v>858</v>
      </c>
      <c r="T411" t="s" s="125">
        <f>_xlfn.IFERROR(VLOOKUP($A411,'The List'!$B1:$AS665,27,FALSE)," ")</f>
        <v>858</v>
      </c>
      <c r="U411" t="s" s="125">
        <f>_xlfn.IFERROR(VLOOKUP($A411,'The List'!$B1:$AS665,28,FALSE)," ")</f>
        <v>858</v>
      </c>
      <c r="V411" t="s" s="125">
        <f>_xlfn.IFERROR(VLOOKUP($A411,'The List'!$B1:$AS665,29,FALSE)," ")</f>
        <v>858</v>
      </c>
      <c r="W411" t="s" s="125">
        <f>_xlfn.IFERROR(VLOOKUP($A411,'The List'!$B1:$AS665,30,FALSE)," ")</f>
        <v>858</v>
      </c>
      <c r="X411" t="s" s="125">
        <f>_xlfn.IFERROR(VLOOKUP($A411,'The List'!$B1:$AS665,31,FALSE)," ")</f>
        <v>858</v>
      </c>
      <c r="Y411" t="s" s="125">
        <f>_xlfn.IFERROR(VLOOKUP($A411,'The List'!$B1:$AS665,32,FALSE)," ")</f>
        <v>858</v>
      </c>
      <c r="Z411" t="s" s="125">
        <f>_xlfn.IFERROR(VLOOKUP($A411,'The List'!$B1:$AS665,33,FALSE)," ")</f>
        <v>858</v>
      </c>
      <c r="AA411" s="120"/>
      <c r="AB411" s="121"/>
      <c r="AC411" s="121"/>
      <c r="AD411" s="121"/>
      <c r="AE411" s="121"/>
      <c r="AF411" s="144"/>
    </row>
    <row r="412" ht="21.25" customHeight="1">
      <c r="A412" s="50"/>
      <c r="B412" t="s" s="126">
        <f>_xlfn.IFERROR(VLOOKUP($A412,'The List'!$B1:$AS665,3,FALSE)," ")</f>
        <v>858</v>
      </c>
      <c r="C412" t="s" s="128">
        <f>_xlfn.IFERROR(VLOOKUP($A412,'The List'!$B1:$AS665,4,FALSE)," ")</f>
        <v>858</v>
      </c>
      <c r="D412" t="s" s="86">
        <f>_xlfn.IFERROR(VLOOKUP($A412,'The List'!$B1:$AS665,5,FALSE)," ")</f>
        <v>858</v>
      </c>
      <c r="E412" t="s" s="86">
        <f>_xlfn.IFERROR(VLOOKUP($A412,'The List'!$B1:$AS665,6,FALSE)," ")</f>
        <v>858</v>
      </c>
      <c r="F412" t="s" s="124">
        <f>_xlfn.IFERROR(VLOOKUP($A412,'The List'!$B1:$AS665,8,FALSE)," ")</f>
        <v>858</v>
      </c>
      <c r="G412" t="s" s="124">
        <f>_xlfn.IFERROR(VLOOKUP($A412,'The List'!$B1:$AS665,10,FALSE)," ")</f>
        <v>858</v>
      </c>
      <c r="H412" s="77"/>
      <c r="I412" t="s" s="125">
        <f>_xlfn.IFERROR(VLOOKUP($A412,'The List'!$B1:$AS665,16,FALSE)," ")</f>
        <v>858</v>
      </c>
      <c r="J412" t="s" s="125">
        <f>_xlfn.IFERROR(VLOOKUP($A412,'The List'!$B1:$AS665,17,FALSE)," ")</f>
        <v>858</v>
      </c>
      <c r="K412" t="s" s="125">
        <f>_xlfn.IFERROR(VLOOKUP($A412,'The List'!$B1:$AS665,18,FALSE)," ")</f>
        <v>858</v>
      </c>
      <c r="L412" t="s" s="125">
        <f>_xlfn.IFERROR(VLOOKUP($A412,'The List'!$B1:$AS665,19,FALSE)," ")</f>
        <v>858</v>
      </c>
      <c r="M412" t="s" s="125">
        <f>_xlfn.IFERROR(VLOOKUP($A412,'The List'!$B1:$AS665,20,FALSE)," ")</f>
        <v>858</v>
      </c>
      <c r="N412" t="s" s="125">
        <f>_xlfn.IFERROR(VLOOKUP($A412,'The List'!$B1:$AS665,21,FALSE)," ")</f>
        <v>858</v>
      </c>
      <c r="O412" t="s" s="125">
        <f>_xlfn.IFERROR(VLOOKUP($A412,'The List'!$B1:$AS665,22,FALSE)," ")</f>
        <v>858</v>
      </c>
      <c r="P412" t="s" s="125">
        <f>_xlfn.IFERROR(VLOOKUP($A412,'The List'!$B1:$AS665,23,FALSE)," ")</f>
        <v>858</v>
      </c>
      <c r="Q412" t="s" s="125">
        <f>_xlfn.IFERROR(VLOOKUP($A412,'The List'!$B1:$AS665,24,FALSE)," ")</f>
        <v>858</v>
      </c>
      <c r="R412" t="s" s="125">
        <f>_xlfn.IFERROR(VLOOKUP($A412,'The List'!$B1:$AS665,25,FALSE)," ")</f>
        <v>858</v>
      </c>
      <c r="S412" t="s" s="125">
        <f>_xlfn.IFERROR(VLOOKUP($A412,'The List'!$B1:$AS665,26,FALSE)," ")</f>
        <v>858</v>
      </c>
      <c r="T412" t="s" s="125">
        <f>_xlfn.IFERROR(VLOOKUP($A412,'The List'!$B1:$AS665,27,FALSE)," ")</f>
        <v>858</v>
      </c>
      <c r="U412" t="s" s="125">
        <f>_xlfn.IFERROR(VLOOKUP($A412,'The List'!$B1:$AS665,28,FALSE)," ")</f>
        <v>858</v>
      </c>
      <c r="V412" t="s" s="125">
        <f>_xlfn.IFERROR(VLOOKUP($A412,'The List'!$B1:$AS665,29,FALSE)," ")</f>
        <v>858</v>
      </c>
      <c r="W412" t="s" s="125">
        <f>_xlfn.IFERROR(VLOOKUP($A412,'The List'!$B1:$AS665,30,FALSE)," ")</f>
        <v>858</v>
      </c>
      <c r="X412" t="s" s="125">
        <f>_xlfn.IFERROR(VLOOKUP($A412,'The List'!$B1:$AS665,31,FALSE)," ")</f>
        <v>858</v>
      </c>
      <c r="Y412" t="s" s="125">
        <f>_xlfn.IFERROR(VLOOKUP($A412,'The List'!$B1:$AS665,32,FALSE)," ")</f>
        <v>858</v>
      </c>
      <c r="Z412" t="s" s="125">
        <f>_xlfn.IFERROR(VLOOKUP($A412,'The List'!$B1:$AS665,33,FALSE)," ")</f>
        <v>858</v>
      </c>
      <c r="AA412" s="120"/>
      <c r="AB412" s="121"/>
      <c r="AC412" s="121"/>
      <c r="AD412" s="121"/>
      <c r="AE412" s="121"/>
      <c r="AF412" s="144"/>
    </row>
    <row r="413" ht="21.25" customHeight="1">
      <c r="A413" s="50"/>
      <c r="B413" t="s" s="126">
        <f>_xlfn.IFERROR(VLOOKUP($A413,'The List'!$B1:$AS665,3,FALSE)," ")</f>
        <v>858</v>
      </c>
      <c r="C413" t="s" s="128">
        <f>_xlfn.IFERROR(VLOOKUP($A413,'The List'!$B1:$AS665,4,FALSE)," ")</f>
        <v>858</v>
      </c>
      <c r="D413" t="s" s="86">
        <f>_xlfn.IFERROR(VLOOKUP($A413,'The List'!$B1:$AS665,5,FALSE)," ")</f>
        <v>858</v>
      </c>
      <c r="E413" t="s" s="86">
        <f>_xlfn.IFERROR(VLOOKUP($A413,'The List'!$B1:$AS665,6,FALSE)," ")</f>
        <v>858</v>
      </c>
      <c r="F413" t="s" s="124">
        <f>_xlfn.IFERROR(VLOOKUP($A413,'The List'!$B1:$AS665,8,FALSE)," ")</f>
        <v>858</v>
      </c>
      <c r="G413" t="s" s="124">
        <f>_xlfn.IFERROR(VLOOKUP($A413,'The List'!$B1:$AS665,10,FALSE)," ")</f>
        <v>858</v>
      </c>
      <c r="H413" s="77"/>
      <c r="I413" t="s" s="125">
        <f>_xlfn.IFERROR(VLOOKUP($A413,'The List'!$B1:$AS665,16,FALSE)," ")</f>
        <v>858</v>
      </c>
      <c r="J413" t="s" s="125">
        <f>_xlfn.IFERROR(VLOOKUP($A413,'The List'!$B1:$AS665,17,FALSE)," ")</f>
        <v>858</v>
      </c>
      <c r="K413" t="s" s="125">
        <f>_xlfn.IFERROR(VLOOKUP($A413,'The List'!$B1:$AS665,18,FALSE)," ")</f>
        <v>858</v>
      </c>
      <c r="L413" t="s" s="125">
        <f>_xlfn.IFERROR(VLOOKUP($A413,'The List'!$B1:$AS665,19,FALSE)," ")</f>
        <v>858</v>
      </c>
      <c r="M413" t="s" s="125">
        <f>_xlfn.IFERROR(VLOOKUP($A413,'The List'!$B1:$AS665,20,FALSE)," ")</f>
        <v>858</v>
      </c>
      <c r="N413" t="s" s="125">
        <f>_xlfn.IFERROR(VLOOKUP($A413,'The List'!$B1:$AS665,21,FALSE)," ")</f>
        <v>858</v>
      </c>
      <c r="O413" t="s" s="125">
        <f>_xlfn.IFERROR(VLOOKUP($A413,'The List'!$B1:$AS665,22,FALSE)," ")</f>
        <v>858</v>
      </c>
      <c r="P413" t="s" s="125">
        <f>_xlfn.IFERROR(VLOOKUP($A413,'The List'!$B1:$AS665,23,FALSE)," ")</f>
        <v>858</v>
      </c>
      <c r="Q413" t="s" s="125">
        <f>_xlfn.IFERROR(VLOOKUP($A413,'The List'!$B1:$AS665,24,FALSE)," ")</f>
        <v>858</v>
      </c>
      <c r="R413" t="s" s="125">
        <f>_xlfn.IFERROR(VLOOKUP($A413,'The List'!$B1:$AS665,25,FALSE)," ")</f>
        <v>858</v>
      </c>
      <c r="S413" t="s" s="125">
        <f>_xlfn.IFERROR(VLOOKUP($A413,'The List'!$B1:$AS665,26,FALSE)," ")</f>
        <v>858</v>
      </c>
      <c r="T413" t="s" s="125">
        <f>_xlfn.IFERROR(VLOOKUP($A413,'The List'!$B1:$AS665,27,FALSE)," ")</f>
        <v>858</v>
      </c>
      <c r="U413" t="s" s="125">
        <f>_xlfn.IFERROR(VLOOKUP($A413,'The List'!$B1:$AS665,28,FALSE)," ")</f>
        <v>858</v>
      </c>
      <c r="V413" t="s" s="125">
        <f>_xlfn.IFERROR(VLOOKUP($A413,'The List'!$B1:$AS665,29,FALSE)," ")</f>
        <v>858</v>
      </c>
      <c r="W413" t="s" s="125">
        <f>_xlfn.IFERROR(VLOOKUP($A413,'The List'!$B1:$AS665,30,FALSE)," ")</f>
        <v>858</v>
      </c>
      <c r="X413" t="s" s="125">
        <f>_xlfn.IFERROR(VLOOKUP($A413,'The List'!$B1:$AS665,31,FALSE)," ")</f>
        <v>858</v>
      </c>
      <c r="Y413" t="s" s="125">
        <f>_xlfn.IFERROR(VLOOKUP($A413,'The List'!$B1:$AS665,32,FALSE)," ")</f>
        <v>858</v>
      </c>
      <c r="Z413" t="s" s="125">
        <f>_xlfn.IFERROR(VLOOKUP($A413,'The List'!$B1:$AS665,33,FALSE)," ")</f>
        <v>858</v>
      </c>
      <c r="AA413" s="120"/>
      <c r="AB413" s="121"/>
      <c r="AC413" s="121"/>
      <c r="AD413" s="121"/>
      <c r="AE413" s="121"/>
      <c r="AF413" s="144"/>
    </row>
    <row r="414" ht="21.25" customHeight="1">
      <c r="A414" s="50"/>
      <c r="B414" t="s" s="126">
        <f>_xlfn.IFERROR(VLOOKUP($A414,'The List'!$B1:$AS665,3,FALSE)," ")</f>
        <v>858</v>
      </c>
      <c r="C414" t="s" s="128">
        <f>_xlfn.IFERROR(VLOOKUP($A414,'The List'!$B1:$AS665,4,FALSE)," ")</f>
        <v>858</v>
      </c>
      <c r="D414" t="s" s="86">
        <f>_xlfn.IFERROR(VLOOKUP($A414,'The List'!$B1:$AS665,5,FALSE)," ")</f>
        <v>858</v>
      </c>
      <c r="E414" t="s" s="86">
        <f>_xlfn.IFERROR(VLOOKUP($A414,'The List'!$B1:$AS665,6,FALSE)," ")</f>
        <v>858</v>
      </c>
      <c r="F414" t="s" s="124">
        <f>_xlfn.IFERROR(VLOOKUP($A414,'The List'!$B1:$AS665,8,FALSE)," ")</f>
        <v>858</v>
      </c>
      <c r="G414" t="s" s="124">
        <f>_xlfn.IFERROR(VLOOKUP($A414,'The List'!$B1:$AS665,10,FALSE)," ")</f>
        <v>858</v>
      </c>
      <c r="H414" s="77"/>
      <c r="I414" t="s" s="125">
        <f>_xlfn.IFERROR(VLOOKUP($A414,'The List'!$B1:$AS665,16,FALSE)," ")</f>
        <v>858</v>
      </c>
      <c r="J414" t="s" s="125">
        <f>_xlfn.IFERROR(VLOOKUP($A414,'The List'!$B1:$AS665,17,FALSE)," ")</f>
        <v>858</v>
      </c>
      <c r="K414" t="s" s="125">
        <f>_xlfn.IFERROR(VLOOKUP($A414,'The List'!$B1:$AS665,18,FALSE)," ")</f>
        <v>858</v>
      </c>
      <c r="L414" t="s" s="125">
        <f>_xlfn.IFERROR(VLOOKUP($A414,'The List'!$B1:$AS665,19,FALSE)," ")</f>
        <v>858</v>
      </c>
      <c r="M414" t="s" s="125">
        <f>_xlfn.IFERROR(VLOOKUP($A414,'The List'!$B1:$AS665,20,FALSE)," ")</f>
        <v>858</v>
      </c>
      <c r="N414" t="s" s="125">
        <f>_xlfn.IFERROR(VLOOKUP($A414,'The List'!$B1:$AS665,21,FALSE)," ")</f>
        <v>858</v>
      </c>
      <c r="O414" t="s" s="125">
        <f>_xlfn.IFERROR(VLOOKUP($A414,'The List'!$B1:$AS665,22,FALSE)," ")</f>
        <v>858</v>
      </c>
      <c r="P414" t="s" s="125">
        <f>_xlfn.IFERROR(VLOOKUP($A414,'The List'!$B1:$AS665,23,FALSE)," ")</f>
        <v>858</v>
      </c>
      <c r="Q414" t="s" s="125">
        <f>_xlfn.IFERROR(VLOOKUP($A414,'The List'!$B1:$AS665,24,FALSE)," ")</f>
        <v>858</v>
      </c>
      <c r="R414" t="s" s="125">
        <f>_xlfn.IFERROR(VLOOKUP($A414,'The List'!$B1:$AS665,25,FALSE)," ")</f>
        <v>858</v>
      </c>
      <c r="S414" t="s" s="125">
        <f>_xlfn.IFERROR(VLOOKUP($A414,'The List'!$B1:$AS665,26,FALSE)," ")</f>
        <v>858</v>
      </c>
      <c r="T414" t="s" s="125">
        <f>_xlfn.IFERROR(VLOOKUP($A414,'The List'!$B1:$AS665,27,FALSE)," ")</f>
        <v>858</v>
      </c>
      <c r="U414" t="s" s="125">
        <f>_xlfn.IFERROR(VLOOKUP($A414,'The List'!$B1:$AS665,28,FALSE)," ")</f>
        <v>858</v>
      </c>
      <c r="V414" t="s" s="125">
        <f>_xlfn.IFERROR(VLOOKUP($A414,'The List'!$B1:$AS665,29,FALSE)," ")</f>
        <v>858</v>
      </c>
      <c r="W414" t="s" s="125">
        <f>_xlfn.IFERROR(VLOOKUP($A414,'The List'!$B1:$AS665,30,FALSE)," ")</f>
        <v>858</v>
      </c>
      <c r="X414" t="s" s="125">
        <f>_xlfn.IFERROR(VLOOKUP($A414,'The List'!$B1:$AS665,31,FALSE)," ")</f>
        <v>858</v>
      </c>
      <c r="Y414" t="s" s="125">
        <f>_xlfn.IFERROR(VLOOKUP($A414,'The List'!$B1:$AS665,32,FALSE)," ")</f>
        <v>858</v>
      </c>
      <c r="Z414" t="s" s="125">
        <f>_xlfn.IFERROR(VLOOKUP($A414,'The List'!$B1:$AS665,33,FALSE)," ")</f>
        <v>858</v>
      </c>
      <c r="AA414" s="120"/>
      <c r="AB414" s="121"/>
      <c r="AC414" s="121"/>
      <c r="AD414" s="121"/>
      <c r="AE414" s="121"/>
      <c r="AF414" s="144"/>
    </row>
    <row r="415" ht="21.25" customHeight="1">
      <c r="A415" s="50"/>
      <c r="B415" t="s" s="126">
        <f>_xlfn.IFERROR(VLOOKUP($A415,'The List'!$B1:$AS665,3,FALSE)," ")</f>
        <v>858</v>
      </c>
      <c r="C415" t="s" s="128">
        <f>_xlfn.IFERROR(VLOOKUP($A415,'The List'!$B1:$AS665,4,FALSE)," ")</f>
        <v>858</v>
      </c>
      <c r="D415" t="s" s="86">
        <f>_xlfn.IFERROR(VLOOKUP($A415,'The List'!$B1:$AS665,5,FALSE)," ")</f>
        <v>858</v>
      </c>
      <c r="E415" t="s" s="86">
        <f>_xlfn.IFERROR(VLOOKUP($A415,'The List'!$B1:$AS665,6,FALSE)," ")</f>
        <v>858</v>
      </c>
      <c r="F415" t="s" s="124">
        <f>_xlfn.IFERROR(VLOOKUP($A415,'The List'!$B1:$AS665,8,FALSE)," ")</f>
        <v>858</v>
      </c>
      <c r="G415" t="s" s="124">
        <f>_xlfn.IFERROR(VLOOKUP($A415,'The List'!$B1:$AS665,10,FALSE)," ")</f>
        <v>858</v>
      </c>
      <c r="H415" s="77"/>
      <c r="I415" t="s" s="125">
        <f>_xlfn.IFERROR(VLOOKUP($A415,'The List'!$B1:$AS665,16,FALSE)," ")</f>
        <v>858</v>
      </c>
      <c r="J415" t="s" s="125">
        <f>_xlfn.IFERROR(VLOOKUP($A415,'The List'!$B1:$AS665,17,FALSE)," ")</f>
        <v>858</v>
      </c>
      <c r="K415" t="s" s="125">
        <f>_xlfn.IFERROR(VLOOKUP($A415,'The List'!$B1:$AS665,18,FALSE)," ")</f>
        <v>858</v>
      </c>
      <c r="L415" t="s" s="125">
        <f>_xlfn.IFERROR(VLOOKUP($A415,'The List'!$B1:$AS665,19,FALSE)," ")</f>
        <v>858</v>
      </c>
      <c r="M415" t="s" s="125">
        <f>_xlfn.IFERROR(VLOOKUP($A415,'The List'!$B1:$AS665,20,FALSE)," ")</f>
        <v>858</v>
      </c>
      <c r="N415" t="s" s="125">
        <f>_xlfn.IFERROR(VLOOKUP($A415,'The List'!$B1:$AS665,21,FALSE)," ")</f>
        <v>858</v>
      </c>
      <c r="O415" t="s" s="125">
        <f>_xlfn.IFERROR(VLOOKUP($A415,'The List'!$B1:$AS665,22,FALSE)," ")</f>
        <v>858</v>
      </c>
      <c r="P415" t="s" s="125">
        <f>_xlfn.IFERROR(VLOOKUP($A415,'The List'!$B1:$AS665,23,FALSE)," ")</f>
        <v>858</v>
      </c>
      <c r="Q415" t="s" s="125">
        <f>_xlfn.IFERROR(VLOOKUP($A415,'The List'!$B1:$AS665,24,FALSE)," ")</f>
        <v>858</v>
      </c>
      <c r="R415" t="s" s="125">
        <f>_xlfn.IFERROR(VLOOKUP($A415,'The List'!$B1:$AS665,25,FALSE)," ")</f>
        <v>858</v>
      </c>
      <c r="S415" t="s" s="125">
        <f>_xlfn.IFERROR(VLOOKUP($A415,'The List'!$B1:$AS665,26,FALSE)," ")</f>
        <v>858</v>
      </c>
      <c r="T415" t="s" s="125">
        <f>_xlfn.IFERROR(VLOOKUP($A415,'The List'!$B1:$AS665,27,FALSE)," ")</f>
        <v>858</v>
      </c>
      <c r="U415" t="s" s="125">
        <f>_xlfn.IFERROR(VLOOKUP($A415,'The List'!$B1:$AS665,28,FALSE)," ")</f>
        <v>858</v>
      </c>
      <c r="V415" t="s" s="125">
        <f>_xlfn.IFERROR(VLOOKUP($A415,'The List'!$B1:$AS665,29,FALSE)," ")</f>
        <v>858</v>
      </c>
      <c r="W415" t="s" s="125">
        <f>_xlfn.IFERROR(VLOOKUP($A415,'The List'!$B1:$AS665,30,FALSE)," ")</f>
        <v>858</v>
      </c>
      <c r="X415" t="s" s="125">
        <f>_xlfn.IFERROR(VLOOKUP($A415,'The List'!$B1:$AS665,31,FALSE)," ")</f>
        <v>858</v>
      </c>
      <c r="Y415" t="s" s="125">
        <f>_xlfn.IFERROR(VLOOKUP($A415,'The List'!$B1:$AS665,32,FALSE)," ")</f>
        <v>858</v>
      </c>
      <c r="Z415" t="s" s="125">
        <f>_xlfn.IFERROR(VLOOKUP($A415,'The List'!$B1:$AS665,33,FALSE)," ")</f>
        <v>858</v>
      </c>
      <c r="AA415" s="120"/>
      <c r="AB415" s="121"/>
      <c r="AC415" s="121"/>
      <c r="AD415" s="121"/>
      <c r="AE415" s="121"/>
      <c r="AF415" s="144"/>
    </row>
    <row r="416" ht="21.25" customHeight="1">
      <c r="A416" s="50"/>
      <c r="B416" t="s" s="129">
        <f>_xlfn.IFERROR(VLOOKUP($A416,'The List'!$B1:$AS665,3,FALSE)," ")</f>
        <v>858</v>
      </c>
      <c r="C416" t="s" s="131">
        <f>_xlfn.IFERROR(VLOOKUP($A416,'The List'!$B1:$AS665,4,FALSE)," ")</f>
        <v>858</v>
      </c>
      <c r="D416" t="s" s="86">
        <f>_xlfn.IFERROR(VLOOKUP($A416,'The List'!$B1:$AS665,5,FALSE)," ")</f>
        <v>858</v>
      </c>
      <c r="E416" t="s" s="86">
        <f>_xlfn.IFERROR(VLOOKUP($A416,'The List'!$B1:$AS665,6,FALSE)," ")</f>
        <v>858</v>
      </c>
      <c r="F416" t="s" s="124">
        <f>_xlfn.IFERROR(VLOOKUP($A416,'The List'!$B1:$AS665,8,FALSE)," ")</f>
        <v>858</v>
      </c>
      <c r="G416" t="s" s="124">
        <f>_xlfn.IFERROR(VLOOKUP($A416,'The List'!$B1:$AS665,10,FALSE)," ")</f>
        <v>858</v>
      </c>
      <c r="H416" s="77"/>
      <c r="I416" t="s" s="125">
        <f>_xlfn.IFERROR(VLOOKUP($A416,'The List'!$B1:$AS665,16,FALSE)," ")</f>
        <v>858</v>
      </c>
      <c r="J416" t="s" s="125">
        <f>_xlfn.IFERROR(VLOOKUP($A416,'The List'!$B1:$AS665,17,FALSE)," ")</f>
        <v>858</v>
      </c>
      <c r="K416" t="s" s="125">
        <f>_xlfn.IFERROR(VLOOKUP($A416,'The List'!$B1:$AS665,18,FALSE)," ")</f>
        <v>858</v>
      </c>
      <c r="L416" t="s" s="125">
        <f>_xlfn.IFERROR(VLOOKUP($A416,'The List'!$B1:$AS665,19,FALSE)," ")</f>
        <v>858</v>
      </c>
      <c r="M416" t="s" s="125">
        <f>_xlfn.IFERROR(VLOOKUP($A416,'The List'!$B1:$AS665,20,FALSE)," ")</f>
        <v>858</v>
      </c>
      <c r="N416" t="s" s="125">
        <f>_xlfn.IFERROR(VLOOKUP($A416,'The List'!$B1:$AS665,21,FALSE)," ")</f>
        <v>858</v>
      </c>
      <c r="O416" t="s" s="125">
        <f>_xlfn.IFERROR(VLOOKUP($A416,'The List'!$B1:$AS665,22,FALSE)," ")</f>
        <v>858</v>
      </c>
      <c r="P416" t="s" s="125">
        <f>_xlfn.IFERROR(VLOOKUP($A416,'The List'!$B1:$AS665,23,FALSE)," ")</f>
        <v>858</v>
      </c>
      <c r="Q416" t="s" s="125">
        <f>_xlfn.IFERROR(VLOOKUP($A416,'The List'!$B1:$AS665,24,FALSE)," ")</f>
        <v>858</v>
      </c>
      <c r="R416" t="s" s="125">
        <f>_xlfn.IFERROR(VLOOKUP($A416,'The List'!$B1:$AS665,25,FALSE)," ")</f>
        <v>858</v>
      </c>
      <c r="S416" t="s" s="125">
        <f>_xlfn.IFERROR(VLOOKUP($A416,'The List'!$B1:$AS665,26,FALSE)," ")</f>
        <v>858</v>
      </c>
      <c r="T416" t="s" s="125">
        <f>_xlfn.IFERROR(VLOOKUP($A416,'The List'!$B1:$AS665,27,FALSE)," ")</f>
        <v>858</v>
      </c>
      <c r="U416" t="s" s="125">
        <f>_xlfn.IFERROR(VLOOKUP($A416,'The List'!$B1:$AS665,28,FALSE)," ")</f>
        <v>858</v>
      </c>
      <c r="V416" t="s" s="125">
        <f>_xlfn.IFERROR(VLOOKUP($A416,'The List'!$B1:$AS665,29,FALSE)," ")</f>
        <v>858</v>
      </c>
      <c r="W416" t="s" s="125">
        <f>_xlfn.IFERROR(VLOOKUP($A416,'The List'!$B1:$AS665,30,FALSE)," ")</f>
        <v>858</v>
      </c>
      <c r="X416" t="s" s="125">
        <f>_xlfn.IFERROR(VLOOKUP($A416,'The List'!$B1:$AS665,31,FALSE)," ")</f>
        <v>858</v>
      </c>
      <c r="Y416" t="s" s="125">
        <f>_xlfn.IFERROR(VLOOKUP($A416,'The List'!$B1:$AS665,32,FALSE)," ")</f>
        <v>858</v>
      </c>
      <c r="Z416" t="s" s="125">
        <f>_xlfn.IFERROR(VLOOKUP($A416,'The List'!$B1:$AS665,33,FALSE)," ")</f>
        <v>858</v>
      </c>
      <c r="AA416" s="120"/>
      <c r="AB416" s="121"/>
      <c r="AC416" s="121"/>
      <c r="AD416" s="121"/>
      <c r="AE416" s="121"/>
      <c r="AF416" s="144"/>
    </row>
    <row r="417" ht="21.25" customHeight="1">
      <c r="A417" s="50"/>
      <c r="B417" t="s" s="129">
        <f>_xlfn.IFERROR(VLOOKUP($A417,'The List'!$B1:$AS665,3,FALSE)," ")</f>
        <v>858</v>
      </c>
      <c r="C417" t="s" s="131">
        <f>_xlfn.IFERROR(VLOOKUP($A417,'The List'!$B1:$AS665,4,FALSE)," ")</f>
        <v>858</v>
      </c>
      <c r="D417" t="s" s="86">
        <f>_xlfn.IFERROR(VLOOKUP($A417,'The List'!$B1:$AS665,5,FALSE)," ")</f>
        <v>858</v>
      </c>
      <c r="E417" t="s" s="86">
        <f>_xlfn.IFERROR(VLOOKUP($A417,'The List'!$B1:$AS665,6,FALSE)," ")</f>
        <v>858</v>
      </c>
      <c r="F417" t="s" s="124">
        <f>_xlfn.IFERROR(VLOOKUP($A417,'The List'!$B1:$AS665,8,FALSE)," ")</f>
        <v>858</v>
      </c>
      <c r="G417" t="s" s="124">
        <f>_xlfn.IFERROR(VLOOKUP($A417,'The List'!$B1:$AS665,10,FALSE)," ")</f>
        <v>858</v>
      </c>
      <c r="H417" s="77"/>
      <c r="I417" t="s" s="125">
        <f>_xlfn.IFERROR(VLOOKUP($A417,'The List'!$B1:$AS665,16,FALSE)," ")</f>
        <v>858</v>
      </c>
      <c r="J417" t="s" s="125">
        <f>_xlfn.IFERROR(VLOOKUP($A417,'The List'!$B1:$AS665,17,FALSE)," ")</f>
        <v>858</v>
      </c>
      <c r="K417" t="s" s="125">
        <f>_xlfn.IFERROR(VLOOKUP($A417,'The List'!$B1:$AS665,18,FALSE)," ")</f>
        <v>858</v>
      </c>
      <c r="L417" t="s" s="125">
        <f>_xlfn.IFERROR(VLOOKUP($A417,'The List'!$B1:$AS665,19,FALSE)," ")</f>
        <v>858</v>
      </c>
      <c r="M417" t="s" s="125">
        <f>_xlfn.IFERROR(VLOOKUP($A417,'The List'!$B1:$AS665,20,FALSE)," ")</f>
        <v>858</v>
      </c>
      <c r="N417" t="s" s="125">
        <f>_xlfn.IFERROR(VLOOKUP($A417,'The List'!$B1:$AS665,21,FALSE)," ")</f>
        <v>858</v>
      </c>
      <c r="O417" t="s" s="125">
        <f>_xlfn.IFERROR(VLOOKUP($A417,'The List'!$B1:$AS665,22,FALSE)," ")</f>
        <v>858</v>
      </c>
      <c r="P417" t="s" s="125">
        <f>_xlfn.IFERROR(VLOOKUP($A417,'The List'!$B1:$AS665,23,FALSE)," ")</f>
        <v>858</v>
      </c>
      <c r="Q417" t="s" s="125">
        <f>_xlfn.IFERROR(VLOOKUP($A417,'The List'!$B1:$AS665,24,FALSE)," ")</f>
        <v>858</v>
      </c>
      <c r="R417" t="s" s="125">
        <f>_xlfn.IFERROR(VLOOKUP($A417,'The List'!$B1:$AS665,25,FALSE)," ")</f>
        <v>858</v>
      </c>
      <c r="S417" t="s" s="125">
        <f>_xlfn.IFERROR(VLOOKUP($A417,'The List'!$B1:$AS665,26,FALSE)," ")</f>
        <v>858</v>
      </c>
      <c r="T417" t="s" s="125">
        <f>_xlfn.IFERROR(VLOOKUP($A417,'The List'!$B1:$AS665,27,FALSE)," ")</f>
        <v>858</v>
      </c>
      <c r="U417" t="s" s="125">
        <f>_xlfn.IFERROR(VLOOKUP($A417,'The List'!$B1:$AS665,28,FALSE)," ")</f>
        <v>858</v>
      </c>
      <c r="V417" t="s" s="125">
        <f>_xlfn.IFERROR(VLOOKUP($A417,'The List'!$B1:$AS665,29,FALSE)," ")</f>
        <v>858</v>
      </c>
      <c r="W417" t="s" s="125">
        <f>_xlfn.IFERROR(VLOOKUP($A417,'The List'!$B1:$AS665,30,FALSE)," ")</f>
        <v>858</v>
      </c>
      <c r="X417" t="s" s="125">
        <f>_xlfn.IFERROR(VLOOKUP($A417,'The List'!$B1:$AS665,31,FALSE)," ")</f>
        <v>858</v>
      </c>
      <c r="Y417" t="s" s="125">
        <f>_xlfn.IFERROR(VLOOKUP($A417,'The List'!$B1:$AS665,32,FALSE)," ")</f>
        <v>858</v>
      </c>
      <c r="Z417" t="s" s="125">
        <f>_xlfn.IFERROR(VLOOKUP($A417,'The List'!$B1:$AS665,33,FALSE)," ")</f>
        <v>858</v>
      </c>
      <c r="AA417" s="120"/>
      <c r="AB417" s="121"/>
      <c r="AC417" s="121"/>
      <c r="AD417" s="121"/>
      <c r="AE417" s="121"/>
      <c r="AF417" s="144"/>
    </row>
    <row r="418" ht="21.25" customHeight="1">
      <c r="A418" s="50"/>
      <c r="B418" t="s" s="129">
        <f>_xlfn.IFERROR(VLOOKUP($A418,'The List'!$B1:$AS665,3,FALSE)," ")</f>
        <v>858</v>
      </c>
      <c r="C418" t="s" s="131">
        <f>_xlfn.IFERROR(VLOOKUP($A418,'The List'!$B1:$AS665,4,FALSE)," ")</f>
        <v>858</v>
      </c>
      <c r="D418" t="s" s="86">
        <f>_xlfn.IFERROR(VLOOKUP($A418,'The List'!$B1:$AS665,5,FALSE)," ")</f>
        <v>858</v>
      </c>
      <c r="E418" t="s" s="86">
        <f>_xlfn.IFERROR(VLOOKUP($A418,'The List'!$B1:$AS665,6,FALSE)," ")</f>
        <v>858</v>
      </c>
      <c r="F418" t="s" s="124">
        <f>_xlfn.IFERROR(VLOOKUP($A418,'The List'!$B1:$AS665,8,FALSE)," ")</f>
        <v>858</v>
      </c>
      <c r="G418" t="s" s="124">
        <f>_xlfn.IFERROR(VLOOKUP($A418,'The List'!$B1:$AS665,10,FALSE)," ")</f>
        <v>858</v>
      </c>
      <c r="H418" s="77"/>
      <c r="I418" t="s" s="125">
        <f>_xlfn.IFERROR(VLOOKUP($A418,'The List'!$B1:$AS665,16,FALSE)," ")</f>
        <v>858</v>
      </c>
      <c r="J418" t="s" s="125">
        <f>_xlfn.IFERROR(VLOOKUP($A418,'The List'!$B1:$AS665,17,FALSE)," ")</f>
        <v>858</v>
      </c>
      <c r="K418" t="s" s="125">
        <f>_xlfn.IFERROR(VLOOKUP($A418,'The List'!$B1:$AS665,18,FALSE)," ")</f>
        <v>858</v>
      </c>
      <c r="L418" t="s" s="125">
        <f>_xlfn.IFERROR(VLOOKUP($A418,'The List'!$B1:$AS665,19,FALSE)," ")</f>
        <v>858</v>
      </c>
      <c r="M418" t="s" s="125">
        <f>_xlfn.IFERROR(VLOOKUP($A418,'The List'!$B1:$AS665,20,FALSE)," ")</f>
        <v>858</v>
      </c>
      <c r="N418" t="s" s="125">
        <f>_xlfn.IFERROR(VLOOKUP($A418,'The List'!$B1:$AS665,21,FALSE)," ")</f>
        <v>858</v>
      </c>
      <c r="O418" t="s" s="125">
        <f>_xlfn.IFERROR(VLOOKUP($A418,'The List'!$B1:$AS665,22,FALSE)," ")</f>
        <v>858</v>
      </c>
      <c r="P418" t="s" s="125">
        <f>_xlfn.IFERROR(VLOOKUP($A418,'The List'!$B1:$AS665,23,FALSE)," ")</f>
        <v>858</v>
      </c>
      <c r="Q418" t="s" s="125">
        <f>_xlfn.IFERROR(VLOOKUP($A418,'The List'!$B1:$AS665,24,FALSE)," ")</f>
        <v>858</v>
      </c>
      <c r="R418" t="s" s="125">
        <f>_xlfn.IFERROR(VLOOKUP($A418,'The List'!$B1:$AS665,25,FALSE)," ")</f>
        <v>858</v>
      </c>
      <c r="S418" t="s" s="125">
        <f>_xlfn.IFERROR(VLOOKUP($A418,'The List'!$B1:$AS665,26,FALSE)," ")</f>
        <v>858</v>
      </c>
      <c r="T418" t="s" s="125">
        <f>_xlfn.IFERROR(VLOOKUP($A418,'The List'!$B1:$AS665,27,FALSE)," ")</f>
        <v>858</v>
      </c>
      <c r="U418" t="s" s="125">
        <f>_xlfn.IFERROR(VLOOKUP($A418,'The List'!$B1:$AS665,28,FALSE)," ")</f>
        <v>858</v>
      </c>
      <c r="V418" t="s" s="125">
        <f>_xlfn.IFERROR(VLOOKUP($A418,'The List'!$B1:$AS665,29,FALSE)," ")</f>
        <v>858</v>
      </c>
      <c r="W418" t="s" s="125">
        <f>_xlfn.IFERROR(VLOOKUP($A418,'The List'!$B1:$AS665,30,FALSE)," ")</f>
        <v>858</v>
      </c>
      <c r="X418" t="s" s="125">
        <f>_xlfn.IFERROR(VLOOKUP($A418,'The List'!$B1:$AS665,31,FALSE)," ")</f>
        <v>858</v>
      </c>
      <c r="Y418" t="s" s="125">
        <f>_xlfn.IFERROR(VLOOKUP($A418,'The List'!$B1:$AS665,32,FALSE)," ")</f>
        <v>858</v>
      </c>
      <c r="Z418" t="s" s="125">
        <f>_xlfn.IFERROR(VLOOKUP($A418,'The List'!$B1:$AS665,33,FALSE)," ")</f>
        <v>858</v>
      </c>
      <c r="AA418" s="120"/>
      <c r="AB418" s="121"/>
      <c r="AC418" s="121"/>
      <c r="AD418" s="121"/>
      <c r="AE418" s="121"/>
      <c r="AF418" s="144"/>
    </row>
    <row r="419" ht="21.25" customHeight="1">
      <c r="A419" s="50"/>
      <c r="B419" t="s" s="129">
        <f>_xlfn.IFERROR(VLOOKUP($A419,'The List'!$B1:$AS665,3,FALSE)," ")</f>
        <v>858</v>
      </c>
      <c r="C419" t="s" s="131">
        <f>_xlfn.IFERROR(VLOOKUP($A419,'The List'!$B1:$AS665,4,FALSE)," ")</f>
        <v>858</v>
      </c>
      <c r="D419" t="s" s="86">
        <f>_xlfn.IFERROR(VLOOKUP($A419,'The List'!$B1:$AS665,5,FALSE)," ")</f>
        <v>858</v>
      </c>
      <c r="E419" t="s" s="86">
        <f>_xlfn.IFERROR(VLOOKUP($A419,'The List'!$B1:$AS665,6,FALSE)," ")</f>
        <v>858</v>
      </c>
      <c r="F419" t="s" s="124">
        <f>_xlfn.IFERROR(VLOOKUP($A419,'The List'!$B1:$AS665,8,FALSE)," ")</f>
        <v>858</v>
      </c>
      <c r="G419" t="s" s="124">
        <f>_xlfn.IFERROR(VLOOKUP($A419,'The List'!$B1:$AS665,10,FALSE)," ")</f>
        <v>858</v>
      </c>
      <c r="H419" s="77"/>
      <c r="I419" t="s" s="125">
        <f>_xlfn.IFERROR(VLOOKUP($A419,'The List'!$B1:$AS665,16,FALSE)," ")</f>
        <v>858</v>
      </c>
      <c r="J419" t="s" s="125">
        <f>_xlfn.IFERROR(VLOOKUP($A419,'The List'!$B1:$AS665,17,FALSE)," ")</f>
        <v>858</v>
      </c>
      <c r="K419" t="s" s="125">
        <f>_xlfn.IFERROR(VLOOKUP($A419,'The List'!$B1:$AS665,18,FALSE)," ")</f>
        <v>858</v>
      </c>
      <c r="L419" t="s" s="125">
        <f>_xlfn.IFERROR(VLOOKUP($A419,'The List'!$B1:$AS665,19,FALSE)," ")</f>
        <v>858</v>
      </c>
      <c r="M419" t="s" s="125">
        <f>_xlfn.IFERROR(VLOOKUP($A419,'The List'!$B1:$AS665,20,FALSE)," ")</f>
        <v>858</v>
      </c>
      <c r="N419" t="s" s="125">
        <f>_xlfn.IFERROR(VLOOKUP($A419,'The List'!$B1:$AS665,21,FALSE)," ")</f>
        <v>858</v>
      </c>
      <c r="O419" t="s" s="125">
        <f>_xlfn.IFERROR(VLOOKUP($A419,'The List'!$B1:$AS665,22,FALSE)," ")</f>
        <v>858</v>
      </c>
      <c r="P419" t="s" s="125">
        <f>_xlfn.IFERROR(VLOOKUP($A419,'The List'!$B1:$AS665,23,FALSE)," ")</f>
        <v>858</v>
      </c>
      <c r="Q419" t="s" s="125">
        <f>_xlfn.IFERROR(VLOOKUP($A419,'The List'!$B1:$AS665,24,FALSE)," ")</f>
        <v>858</v>
      </c>
      <c r="R419" t="s" s="125">
        <f>_xlfn.IFERROR(VLOOKUP($A419,'The List'!$B1:$AS665,25,FALSE)," ")</f>
        <v>858</v>
      </c>
      <c r="S419" t="s" s="125">
        <f>_xlfn.IFERROR(VLOOKUP($A419,'The List'!$B1:$AS665,26,FALSE)," ")</f>
        <v>858</v>
      </c>
      <c r="T419" t="s" s="125">
        <f>_xlfn.IFERROR(VLOOKUP($A419,'The List'!$B1:$AS665,27,FALSE)," ")</f>
        <v>858</v>
      </c>
      <c r="U419" t="s" s="125">
        <f>_xlfn.IFERROR(VLOOKUP($A419,'The List'!$B1:$AS665,28,FALSE)," ")</f>
        <v>858</v>
      </c>
      <c r="V419" t="s" s="125">
        <f>_xlfn.IFERROR(VLOOKUP($A419,'The List'!$B1:$AS665,29,FALSE)," ")</f>
        <v>858</v>
      </c>
      <c r="W419" t="s" s="125">
        <f>_xlfn.IFERROR(VLOOKUP($A419,'The List'!$B1:$AS665,30,FALSE)," ")</f>
        <v>858</v>
      </c>
      <c r="X419" t="s" s="125">
        <f>_xlfn.IFERROR(VLOOKUP($A419,'The List'!$B1:$AS665,31,FALSE)," ")</f>
        <v>858</v>
      </c>
      <c r="Y419" t="s" s="125">
        <f>_xlfn.IFERROR(VLOOKUP($A419,'The List'!$B1:$AS665,32,FALSE)," ")</f>
        <v>858</v>
      </c>
      <c r="Z419" t="s" s="125">
        <f>_xlfn.IFERROR(VLOOKUP($A419,'The List'!$B1:$AS665,33,FALSE)," ")</f>
        <v>858</v>
      </c>
      <c r="AA419" s="120"/>
      <c r="AB419" s="121"/>
      <c r="AC419" s="121"/>
      <c r="AD419" s="121"/>
      <c r="AE419" s="121"/>
      <c r="AF419" s="144"/>
    </row>
    <row r="420" ht="21.25" customHeight="1">
      <c r="A420" s="50"/>
      <c r="B420" t="s" s="132">
        <f>_xlfn.IFERROR(VLOOKUP($A420,'The List'!$B1:$AS665,3,FALSE)," ")</f>
        <v>858</v>
      </c>
      <c r="C420" t="s" s="134">
        <f>_xlfn.IFERROR(VLOOKUP($A420,'The List'!$B1:$AS665,4,FALSE)," ")</f>
        <v>858</v>
      </c>
      <c r="D420" t="s" s="86">
        <f>_xlfn.IFERROR(VLOOKUP($A420,'The List'!$B1:$AS665,5,FALSE)," ")</f>
        <v>858</v>
      </c>
      <c r="E420" t="s" s="86">
        <f>_xlfn.IFERROR(VLOOKUP($A420,'The List'!$B1:$AS665,6,FALSE)," ")</f>
        <v>858</v>
      </c>
      <c r="F420" t="s" s="124">
        <f>_xlfn.IFERROR(VLOOKUP($A420,'The List'!$B1:$AS665,8,FALSE)," ")</f>
        <v>858</v>
      </c>
      <c r="G420" t="s" s="124">
        <f>_xlfn.IFERROR(VLOOKUP($A420,'The List'!$B1:$AS665,10,FALSE)," ")</f>
        <v>858</v>
      </c>
      <c r="H420" s="77"/>
      <c r="I420" t="s" s="125">
        <f>_xlfn.IFERROR(VLOOKUP($A420,'The List'!$B1:$AS665,16,FALSE)," ")</f>
        <v>858</v>
      </c>
      <c r="J420" t="s" s="125">
        <f>_xlfn.IFERROR(VLOOKUP($A420,'The List'!$B1:$AS665,17,FALSE)," ")</f>
        <v>858</v>
      </c>
      <c r="K420" t="s" s="125">
        <f>_xlfn.IFERROR(VLOOKUP($A420,'The List'!$B1:$AS665,18,FALSE)," ")</f>
        <v>858</v>
      </c>
      <c r="L420" t="s" s="125">
        <f>_xlfn.IFERROR(VLOOKUP($A420,'The List'!$B1:$AS665,19,FALSE)," ")</f>
        <v>858</v>
      </c>
      <c r="M420" t="s" s="125">
        <f>_xlfn.IFERROR(VLOOKUP($A420,'The List'!$B1:$AS665,20,FALSE)," ")</f>
        <v>858</v>
      </c>
      <c r="N420" t="s" s="125">
        <f>_xlfn.IFERROR(VLOOKUP($A420,'The List'!$B1:$AS665,21,FALSE)," ")</f>
        <v>858</v>
      </c>
      <c r="O420" t="s" s="125">
        <f>_xlfn.IFERROR(VLOOKUP($A420,'The List'!$B1:$AS665,22,FALSE)," ")</f>
        <v>858</v>
      </c>
      <c r="P420" t="s" s="125">
        <f>_xlfn.IFERROR(VLOOKUP($A420,'The List'!$B1:$AS665,23,FALSE)," ")</f>
        <v>858</v>
      </c>
      <c r="Q420" t="s" s="125">
        <f>_xlfn.IFERROR(VLOOKUP($A420,'The List'!$B1:$AS665,24,FALSE)," ")</f>
        <v>858</v>
      </c>
      <c r="R420" t="s" s="125">
        <f>_xlfn.IFERROR(VLOOKUP($A420,'The List'!$B1:$AS665,25,FALSE)," ")</f>
        <v>858</v>
      </c>
      <c r="S420" t="s" s="125">
        <f>_xlfn.IFERROR(VLOOKUP($A420,'The List'!$B1:$AS665,26,FALSE)," ")</f>
        <v>858</v>
      </c>
      <c r="T420" t="s" s="125">
        <f>_xlfn.IFERROR(VLOOKUP($A420,'The List'!$B1:$AS665,27,FALSE)," ")</f>
        <v>858</v>
      </c>
      <c r="U420" t="s" s="125">
        <f>_xlfn.IFERROR(VLOOKUP($A420,'The List'!$B1:$AS665,28,FALSE)," ")</f>
        <v>858</v>
      </c>
      <c r="V420" t="s" s="125">
        <f>_xlfn.IFERROR(VLOOKUP($A420,'The List'!$B1:$AS665,29,FALSE)," ")</f>
        <v>858</v>
      </c>
      <c r="W420" t="s" s="125">
        <f>_xlfn.IFERROR(VLOOKUP($A420,'The List'!$B1:$AS665,30,FALSE)," ")</f>
        <v>858</v>
      </c>
      <c r="X420" t="s" s="125">
        <f>_xlfn.IFERROR(VLOOKUP($A420,'The List'!$B1:$AS665,31,FALSE)," ")</f>
        <v>858</v>
      </c>
      <c r="Y420" t="s" s="125">
        <f>_xlfn.IFERROR(VLOOKUP($A420,'The List'!$B1:$AS665,32,FALSE)," ")</f>
        <v>858</v>
      </c>
      <c r="Z420" t="s" s="125">
        <f>_xlfn.IFERROR(VLOOKUP($A420,'The List'!$B1:$AS665,33,FALSE)," ")</f>
        <v>858</v>
      </c>
      <c r="AA420" s="120"/>
      <c r="AB420" s="121"/>
      <c r="AC420" s="121"/>
      <c r="AD420" s="121"/>
      <c r="AE420" s="121"/>
      <c r="AF420" s="144"/>
    </row>
    <row r="421" ht="21.25" customHeight="1">
      <c r="A421" s="50"/>
      <c r="B421" t="s" s="132">
        <f>_xlfn.IFERROR(VLOOKUP($A421,'The List'!$B1:$AS665,3,FALSE)," ")</f>
        <v>858</v>
      </c>
      <c r="C421" t="s" s="134">
        <f>_xlfn.IFERROR(VLOOKUP($A421,'The List'!$B1:$AS665,4,FALSE)," ")</f>
        <v>858</v>
      </c>
      <c r="D421" t="s" s="86">
        <f>_xlfn.IFERROR(VLOOKUP($A421,'The List'!$B1:$AS665,5,FALSE)," ")</f>
        <v>858</v>
      </c>
      <c r="E421" t="s" s="86">
        <f>_xlfn.IFERROR(VLOOKUP($A421,'The List'!$B1:$AS665,6,FALSE)," ")</f>
        <v>858</v>
      </c>
      <c r="F421" t="s" s="124">
        <f>_xlfn.IFERROR(VLOOKUP($A421,'The List'!$B1:$AS665,8,FALSE)," ")</f>
        <v>858</v>
      </c>
      <c r="G421" t="s" s="124">
        <f>_xlfn.IFERROR(VLOOKUP($A421,'The List'!$B1:$AS665,10,FALSE)," ")</f>
        <v>858</v>
      </c>
      <c r="H421" s="77"/>
      <c r="I421" t="s" s="125">
        <f>_xlfn.IFERROR(VLOOKUP($A421,'The List'!$B1:$AS665,16,FALSE)," ")</f>
        <v>858</v>
      </c>
      <c r="J421" t="s" s="125">
        <f>_xlfn.IFERROR(VLOOKUP($A421,'The List'!$B1:$AS665,17,FALSE)," ")</f>
        <v>858</v>
      </c>
      <c r="K421" t="s" s="125">
        <f>_xlfn.IFERROR(VLOOKUP($A421,'The List'!$B1:$AS665,18,FALSE)," ")</f>
        <v>858</v>
      </c>
      <c r="L421" t="s" s="125">
        <f>_xlfn.IFERROR(VLOOKUP($A421,'The List'!$B1:$AS665,19,FALSE)," ")</f>
        <v>858</v>
      </c>
      <c r="M421" t="s" s="125">
        <f>_xlfn.IFERROR(VLOOKUP($A421,'The List'!$B1:$AS665,20,FALSE)," ")</f>
        <v>858</v>
      </c>
      <c r="N421" t="s" s="125">
        <f>_xlfn.IFERROR(VLOOKUP($A421,'The List'!$B1:$AS665,21,FALSE)," ")</f>
        <v>858</v>
      </c>
      <c r="O421" t="s" s="125">
        <f>_xlfn.IFERROR(VLOOKUP($A421,'The List'!$B1:$AS665,22,FALSE)," ")</f>
        <v>858</v>
      </c>
      <c r="P421" t="s" s="125">
        <f>_xlfn.IFERROR(VLOOKUP($A421,'The List'!$B1:$AS665,23,FALSE)," ")</f>
        <v>858</v>
      </c>
      <c r="Q421" t="s" s="125">
        <f>_xlfn.IFERROR(VLOOKUP($A421,'The List'!$B1:$AS665,24,FALSE)," ")</f>
        <v>858</v>
      </c>
      <c r="R421" t="s" s="125">
        <f>_xlfn.IFERROR(VLOOKUP($A421,'The List'!$B1:$AS665,25,FALSE)," ")</f>
        <v>858</v>
      </c>
      <c r="S421" t="s" s="125">
        <f>_xlfn.IFERROR(VLOOKUP($A421,'The List'!$B1:$AS665,26,FALSE)," ")</f>
        <v>858</v>
      </c>
      <c r="T421" t="s" s="125">
        <f>_xlfn.IFERROR(VLOOKUP($A421,'The List'!$B1:$AS665,27,FALSE)," ")</f>
        <v>858</v>
      </c>
      <c r="U421" t="s" s="125">
        <f>_xlfn.IFERROR(VLOOKUP($A421,'The List'!$B1:$AS665,28,FALSE)," ")</f>
        <v>858</v>
      </c>
      <c r="V421" t="s" s="125">
        <f>_xlfn.IFERROR(VLOOKUP($A421,'The List'!$B1:$AS665,29,FALSE)," ")</f>
        <v>858</v>
      </c>
      <c r="W421" t="s" s="125">
        <f>_xlfn.IFERROR(VLOOKUP($A421,'The List'!$B1:$AS665,30,FALSE)," ")</f>
        <v>858</v>
      </c>
      <c r="X421" t="s" s="125">
        <f>_xlfn.IFERROR(VLOOKUP($A421,'The List'!$B1:$AS665,31,FALSE)," ")</f>
        <v>858</v>
      </c>
      <c r="Y421" t="s" s="125">
        <f>_xlfn.IFERROR(VLOOKUP($A421,'The List'!$B1:$AS665,32,FALSE)," ")</f>
        <v>858</v>
      </c>
      <c r="Z421" t="s" s="125">
        <f>_xlfn.IFERROR(VLOOKUP($A421,'The List'!$B1:$AS665,33,FALSE)," ")</f>
        <v>858</v>
      </c>
      <c r="AA421" s="120"/>
      <c r="AB421" s="121"/>
      <c r="AC421" s="121"/>
      <c r="AD421" s="121"/>
      <c r="AE421" s="121"/>
      <c r="AF421" s="144"/>
    </row>
    <row r="422" ht="21.25" customHeight="1">
      <c r="A422" s="50"/>
      <c r="B422" t="s" s="132">
        <f>_xlfn.IFERROR(VLOOKUP($A422,'The List'!$B1:$AS665,3,FALSE)," ")</f>
        <v>858</v>
      </c>
      <c r="C422" t="s" s="134">
        <f>_xlfn.IFERROR(VLOOKUP($A422,'The List'!$B1:$AS665,4,FALSE)," ")</f>
        <v>858</v>
      </c>
      <c r="D422" t="s" s="86">
        <f>_xlfn.IFERROR(VLOOKUP($A422,'The List'!$B1:$AS665,5,FALSE)," ")</f>
        <v>858</v>
      </c>
      <c r="E422" t="s" s="86">
        <f>_xlfn.IFERROR(VLOOKUP($A422,'The List'!$B1:$AS665,6,FALSE)," ")</f>
        <v>858</v>
      </c>
      <c r="F422" t="s" s="124">
        <f>_xlfn.IFERROR(VLOOKUP($A422,'The List'!$B1:$AS665,8,FALSE)," ")</f>
        <v>858</v>
      </c>
      <c r="G422" t="s" s="124">
        <f>_xlfn.IFERROR(VLOOKUP($A422,'The List'!$B1:$AS665,10,FALSE)," ")</f>
        <v>858</v>
      </c>
      <c r="H422" s="77"/>
      <c r="I422" t="s" s="125">
        <f>_xlfn.IFERROR(VLOOKUP($A422,'The List'!$B1:$AS665,16,FALSE)," ")</f>
        <v>858</v>
      </c>
      <c r="J422" t="s" s="125">
        <f>_xlfn.IFERROR(VLOOKUP($A422,'The List'!$B1:$AS665,17,FALSE)," ")</f>
        <v>858</v>
      </c>
      <c r="K422" t="s" s="125">
        <f>_xlfn.IFERROR(VLOOKUP($A422,'The List'!$B1:$AS665,18,FALSE)," ")</f>
        <v>858</v>
      </c>
      <c r="L422" t="s" s="125">
        <f>_xlfn.IFERROR(VLOOKUP($A422,'The List'!$B1:$AS665,19,FALSE)," ")</f>
        <v>858</v>
      </c>
      <c r="M422" t="s" s="125">
        <f>_xlfn.IFERROR(VLOOKUP($A422,'The List'!$B1:$AS665,20,FALSE)," ")</f>
        <v>858</v>
      </c>
      <c r="N422" t="s" s="125">
        <f>_xlfn.IFERROR(VLOOKUP($A422,'The List'!$B1:$AS665,21,FALSE)," ")</f>
        <v>858</v>
      </c>
      <c r="O422" t="s" s="125">
        <f>_xlfn.IFERROR(VLOOKUP($A422,'The List'!$B1:$AS665,22,FALSE)," ")</f>
        <v>858</v>
      </c>
      <c r="P422" t="s" s="125">
        <f>_xlfn.IFERROR(VLOOKUP($A422,'The List'!$B1:$AS665,23,FALSE)," ")</f>
        <v>858</v>
      </c>
      <c r="Q422" t="s" s="125">
        <f>_xlfn.IFERROR(VLOOKUP($A422,'The List'!$B1:$AS665,24,FALSE)," ")</f>
        <v>858</v>
      </c>
      <c r="R422" t="s" s="125">
        <f>_xlfn.IFERROR(VLOOKUP($A422,'The List'!$B1:$AS665,25,FALSE)," ")</f>
        <v>858</v>
      </c>
      <c r="S422" t="s" s="125">
        <f>_xlfn.IFERROR(VLOOKUP($A422,'The List'!$B1:$AS665,26,FALSE)," ")</f>
        <v>858</v>
      </c>
      <c r="T422" t="s" s="125">
        <f>_xlfn.IFERROR(VLOOKUP($A422,'The List'!$B1:$AS665,27,FALSE)," ")</f>
        <v>858</v>
      </c>
      <c r="U422" t="s" s="125">
        <f>_xlfn.IFERROR(VLOOKUP($A422,'The List'!$B1:$AS665,28,FALSE)," ")</f>
        <v>858</v>
      </c>
      <c r="V422" t="s" s="125">
        <f>_xlfn.IFERROR(VLOOKUP($A422,'The List'!$B1:$AS665,29,FALSE)," ")</f>
        <v>858</v>
      </c>
      <c r="W422" t="s" s="125">
        <f>_xlfn.IFERROR(VLOOKUP($A422,'The List'!$B1:$AS665,30,FALSE)," ")</f>
        <v>858</v>
      </c>
      <c r="X422" t="s" s="125">
        <f>_xlfn.IFERROR(VLOOKUP($A422,'The List'!$B1:$AS665,31,FALSE)," ")</f>
        <v>858</v>
      </c>
      <c r="Y422" t="s" s="125">
        <f>_xlfn.IFERROR(VLOOKUP($A422,'The List'!$B1:$AS665,32,FALSE)," ")</f>
        <v>858</v>
      </c>
      <c r="Z422" t="s" s="125">
        <f>_xlfn.IFERROR(VLOOKUP($A422,'The List'!$B1:$AS665,33,FALSE)," ")</f>
        <v>858</v>
      </c>
      <c r="AA422" s="120"/>
      <c r="AB422" s="121"/>
      <c r="AC422" s="121"/>
      <c r="AD422" s="121"/>
      <c r="AE422" s="121"/>
      <c r="AF422" s="144"/>
    </row>
    <row r="423" ht="21.25" customHeight="1">
      <c r="A423" s="50"/>
      <c r="B423" t="s" s="132">
        <f>_xlfn.IFERROR(VLOOKUP($A423,'The List'!$B1:$AS665,3,FALSE)," ")</f>
        <v>858</v>
      </c>
      <c r="C423" t="s" s="134">
        <f>_xlfn.IFERROR(VLOOKUP($A423,'The List'!$B1:$AS665,4,FALSE)," ")</f>
        <v>858</v>
      </c>
      <c r="D423" t="s" s="86">
        <f>_xlfn.IFERROR(VLOOKUP($A423,'The List'!$B1:$AS665,5,FALSE)," ")</f>
        <v>858</v>
      </c>
      <c r="E423" t="s" s="86">
        <f>_xlfn.IFERROR(VLOOKUP($A423,'The List'!$B1:$AS665,6,FALSE)," ")</f>
        <v>858</v>
      </c>
      <c r="F423" t="s" s="124">
        <f>_xlfn.IFERROR(VLOOKUP($A423,'The List'!$B1:$AS665,8,FALSE)," ")</f>
        <v>858</v>
      </c>
      <c r="G423" t="s" s="124">
        <f>_xlfn.IFERROR(VLOOKUP($A423,'The List'!$B1:$AS665,10,FALSE)," ")</f>
        <v>858</v>
      </c>
      <c r="H423" s="77"/>
      <c r="I423" t="s" s="125">
        <f>_xlfn.IFERROR(VLOOKUP($A423,'The List'!$B1:$AS665,16,FALSE)," ")</f>
        <v>858</v>
      </c>
      <c r="J423" t="s" s="125">
        <f>_xlfn.IFERROR(VLOOKUP($A423,'The List'!$B1:$AS665,17,FALSE)," ")</f>
        <v>858</v>
      </c>
      <c r="K423" t="s" s="125">
        <f>_xlfn.IFERROR(VLOOKUP($A423,'The List'!$B1:$AS665,18,FALSE)," ")</f>
        <v>858</v>
      </c>
      <c r="L423" t="s" s="125">
        <f>_xlfn.IFERROR(VLOOKUP($A423,'The List'!$B1:$AS665,19,FALSE)," ")</f>
        <v>858</v>
      </c>
      <c r="M423" t="s" s="125">
        <f>_xlfn.IFERROR(VLOOKUP($A423,'The List'!$B1:$AS665,20,FALSE)," ")</f>
        <v>858</v>
      </c>
      <c r="N423" t="s" s="125">
        <f>_xlfn.IFERROR(VLOOKUP($A423,'The List'!$B1:$AS665,21,FALSE)," ")</f>
        <v>858</v>
      </c>
      <c r="O423" t="s" s="125">
        <f>_xlfn.IFERROR(VLOOKUP($A423,'The List'!$B1:$AS665,22,FALSE)," ")</f>
        <v>858</v>
      </c>
      <c r="P423" t="s" s="125">
        <f>_xlfn.IFERROR(VLOOKUP($A423,'The List'!$B1:$AS665,23,FALSE)," ")</f>
        <v>858</v>
      </c>
      <c r="Q423" t="s" s="125">
        <f>_xlfn.IFERROR(VLOOKUP($A423,'The List'!$B1:$AS665,24,FALSE)," ")</f>
        <v>858</v>
      </c>
      <c r="R423" t="s" s="125">
        <f>_xlfn.IFERROR(VLOOKUP($A423,'The List'!$B1:$AS665,25,FALSE)," ")</f>
        <v>858</v>
      </c>
      <c r="S423" t="s" s="125">
        <f>_xlfn.IFERROR(VLOOKUP($A423,'The List'!$B1:$AS665,26,FALSE)," ")</f>
        <v>858</v>
      </c>
      <c r="T423" t="s" s="125">
        <f>_xlfn.IFERROR(VLOOKUP($A423,'The List'!$B1:$AS665,27,FALSE)," ")</f>
        <v>858</v>
      </c>
      <c r="U423" t="s" s="125">
        <f>_xlfn.IFERROR(VLOOKUP($A423,'The List'!$B1:$AS665,28,FALSE)," ")</f>
        <v>858</v>
      </c>
      <c r="V423" t="s" s="125">
        <f>_xlfn.IFERROR(VLOOKUP($A423,'The List'!$B1:$AS665,29,FALSE)," ")</f>
        <v>858</v>
      </c>
      <c r="W423" t="s" s="125">
        <f>_xlfn.IFERROR(VLOOKUP($A423,'The List'!$B1:$AS665,30,FALSE)," ")</f>
        <v>858</v>
      </c>
      <c r="X423" t="s" s="125">
        <f>_xlfn.IFERROR(VLOOKUP($A423,'The List'!$B1:$AS665,31,FALSE)," ")</f>
        <v>858</v>
      </c>
      <c r="Y423" t="s" s="125">
        <f>_xlfn.IFERROR(VLOOKUP($A423,'The List'!$B1:$AS665,32,FALSE)," ")</f>
        <v>858</v>
      </c>
      <c r="Z423" t="s" s="125">
        <f>_xlfn.IFERROR(VLOOKUP($A423,'The List'!$B1:$AS665,33,FALSE)," ")</f>
        <v>858</v>
      </c>
      <c r="AA423" s="120"/>
      <c r="AB423" s="121"/>
      <c r="AC423" s="121"/>
      <c r="AD423" s="121"/>
      <c r="AE423" s="121"/>
      <c r="AF423" s="144"/>
    </row>
    <row r="424" ht="21.25" customHeight="1">
      <c r="A424" s="50"/>
      <c r="B424" t="s" s="132">
        <f>_xlfn.IFERROR(VLOOKUP($A424,'The List'!$B1:$AS665,3,FALSE)," ")</f>
        <v>858</v>
      </c>
      <c r="C424" t="s" s="134">
        <f>_xlfn.IFERROR(VLOOKUP($A424,'The List'!$B1:$AS665,4,FALSE)," ")</f>
        <v>858</v>
      </c>
      <c r="D424" t="s" s="86">
        <f>_xlfn.IFERROR(VLOOKUP($A424,'The List'!$B1:$AS665,5,FALSE)," ")</f>
        <v>858</v>
      </c>
      <c r="E424" t="s" s="86">
        <f>_xlfn.IFERROR(VLOOKUP($A424,'The List'!$B1:$AS665,6,FALSE)," ")</f>
        <v>858</v>
      </c>
      <c r="F424" t="s" s="124">
        <f>_xlfn.IFERROR(VLOOKUP($A424,'The List'!$B1:$AS665,8,FALSE)," ")</f>
        <v>858</v>
      </c>
      <c r="G424" t="s" s="124">
        <f>_xlfn.IFERROR(VLOOKUP($A424,'The List'!$B1:$AS665,10,FALSE)," ")</f>
        <v>858</v>
      </c>
      <c r="H424" s="77"/>
      <c r="I424" t="s" s="125">
        <f>_xlfn.IFERROR(VLOOKUP($A424,'The List'!$B1:$AS665,16,FALSE)," ")</f>
        <v>858</v>
      </c>
      <c r="J424" t="s" s="125">
        <f>_xlfn.IFERROR(VLOOKUP($A424,'The List'!$B1:$AS665,17,FALSE)," ")</f>
        <v>858</v>
      </c>
      <c r="K424" t="s" s="125">
        <f>_xlfn.IFERROR(VLOOKUP($A424,'The List'!$B1:$AS665,18,FALSE)," ")</f>
        <v>858</v>
      </c>
      <c r="L424" t="s" s="125">
        <f>_xlfn.IFERROR(VLOOKUP($A424,'The List'!$B1:$AS665,19,FALSE)," ")</f>
        <v>858</v>
      </c>
      <c r="M424" t="s" s="125">
        <f>_xlfn.IFERROR(VLOOKUP($A424,'The List'!$B1:$AS665,20,FALSE)," ")</f>
        <v>858</v>
      </c>
      <c r="N424" t="s" s="125">
        <f>_xlfn.IFERROR(VLOOKUP($A424,'The List'!$B1:$AS665,21,FALSE)," ")</f>
        <v>858</v>
      </c>
      <c r="O424" t="s" s="125">
        <f>_xlfn.IFERROR(VLOOKUP($A424,'The List'!$B1:$AS665,22,FALSE)," ")</f>
        <v>858</v>
      </c>
      <c r="P424" t="s" s="125">
        <f>_xlfn.IFERROR(VLOOKUP($A424,'The List'!$B1:$AS665,23,FALSE)," ")</f>
        <v>858</v>
      </c>
      <c r="Q424" t="s" s="125">
        <f>_xlfn.IFERROR(VLOOKUP($A424,'The List'!$B1:$AS665,24,FALSE)," ")</f>
        <v>858</v>
      </c>
      <c r="R424" t="s" s="125">
        <f>_xlfn.IFERROR(VLOOKUP($A424,'The List'!$B1:$AS665,25,FALSE)," ")</f>
        <v>858</v>
      </c>
      <c r="S424" t="s" s="125">
        <f>_xlfn.IFERROR(VLOOKUP($A424,'The List'!$B1:$AS665,26,FALSE)," ")</f>
        <v>858</v>
      </c>
      <c r="T424" t="s" s="125">
        <f>_xlfn.IFERROR(VLOOKUP($A424,'The List'!$B1:$AS665,27,FALSE)," ")</f>
        <v>858</v>
      </c>
      <c r="U424" t="s" s="125">
        <f>_xlfn.IFERROR(VLOOKUP($A424,'The List'!$B1:$AS665,28,FALSE)," ")</f>
        <v>858</v>
      </c>
      <c r="V424" t="s" s="125">
        <f>_xlfn.IFERROR(VLOOKUP($A424,'The List'!$B1:$AS665,29,FALSE)," ")</f>
        <v>858</v>
      </c>
      <c r="W424" t="s" s="125">
        <f>_xlfn.IFERROR(VLOOKUP($A424,'The List'!$B1:$AS665,30,FALSE)," ")</f>
        <v>858</v>
      </c>
      <c r="X424" t="s" s="125">
        <f>_xlfn.IFERROR(VLOOKUP($A424,'The List'!$B1:$AS665,31,FALSE)," ")</f>
        <v>858</v>
      </c>
      <c r="Y424" t="s" s="125">
        <f>_xlfn.IFERROR(VLOOKUP($A424,'The List'!$B1:$AS665,32,FALSE)," ")</f>
        <v>858</v>
      </c>
      <c r="Z424" t="s" s="125">
        <f>_xlfn.IFERROR(VLOOKUP($A424,'The List'!$B1:$AS665,33,FALSE)," ")</f>
        <v>858</v>
      </c>
      <c r="AA424" s="120"/>
      <c r="AB424" s="121"/>
      <c r="AC424" s="121"/>
      <c r="AD424" s="121"/>
      <c r="AE424" s="121"/>
      <c r="AF424" s="144"/>
    </row>
    <row r="425" ht="21.25" customHeight="1">
      <c r="A425" s="50"/>
      <c r="B425" t="s" s="132">
        <f>_xlfn.IFERROR(VLOOKUP($A425,'The List'!$B1:$AS665,3,FALSE)," ")</f>
        <v>858</v>
      </c>
      <c r="C425" t="s" s="134">
        <f>_xlfn.IFERROR(VLOOKUP($A425,'The List'!$B1:$AS665,4,FALSE)," ")</f>
        <v>858</v>
      </c>
      <c r="D425" t="s" s="86">
        <f>_xlfn.IFERROR(VLOOKUP($A425,'The List'!$B1:$AS665,5,FALSE)," ")</f>
        <v>858</v>
      </c>
      <c r="E425" t="s" s="86">
        <f>_xlfn.IFERROR(VLOOKUP($A425,'The List'!$B1:$AS665,6,FALSE)," ")</f>
        <v>858</v>
      </c>
      <c r="F425" t="s" s="124">
        <f>_xlfn.IFERROR(VLOOKUP($A425,'The List'!$B1:$AS665,8,FALSE)," ")</f>
        <v>858</v>
      </c>
      <c r="G425" t="s" s="124">
        <f>_xlfn.IFERROR(VLOOKUP($A425,'The List'!$B1:$AS665,10,FALSE)," ")</f>
        <v>858</v>
      </c>
      <c r="H425" s="77"/>
      <c r="I425" t="s" s="125">
        <f>_xlfn.IFERROR(VLOOKUP($A425,'The List'!$B1:$AS665,16,FALSE)," ")</f>
        <v>858</v>
      </c>
      <c r="J425" t="s" s="125">
        <f>_xlfn.IFERROR(VLOOKUP($A425,'The List'!$B1:$AS665,17,FALSE)," ")</f>
        <v>858</v>
      </c>
      <c r="K425" t="s" s="125">
        <f>_xlfn.IFERROR(VLOOKUP($A425,'The List'!$B1:$AS665,18,FALSE)," ")</f>
        <v>858</v>
      </c>
      <c r="L425" t="s" s="125">
        <f>_xlfn.IFERROR(VLOOKUP($A425,'The List'!$B1:$AS665,19,FALSE)," ")</f>
        <v>858</v>
      </c>
      <c r="M425" t="s" s="125">
        <f>_xlfn.IFERROR(VLOOKUP($A425,'The List'!$B1:$AS665,20,FALSE)," ")</f>
        <v>858</v>
      </c>
      <c r="N425" t="s" s="125">
        <f>_xlfn.IFERROR(VLOOKUP($A425,'The List'!$B1:$AS665,21,FALSE)," ")</f>
        <v>858</v>
      </c>
      <c r="O425" t="s" s="125">
        <f>_xlfn.IFERROR(VLOOKUP($A425,'The List'!$B1:$AS665,22,FALSE)," ")</f>
        <v>858</v>
      </c>
      <c r="P425" t="s" s="125">
        <f>_xlfn.IFERROR(VLOOKUP($A425,'The List'!$B1:$AS665,23,FALSE)," ")</f>
        <v>858</v>
      </c>
      <c r="Q425" t="s" s="125">
        <f>_xlfn.IFERROR(VLOOKUP($A425,'The List'!$B1:$AS665,24,FALSE)," ")</f>
        <v>858</v>
      </c>
      <c r="R425" t="s" s="125">
        <f>_xlfn.IFERROR(VLOOKUP($A425,'The List'!$B1:$AS665,25,FALSE)," ")</f>
        <v>858</v>
      </c>
      <c r="S425" t="s" s="125">
        <f>_xlfn.IFERROR(VLOOKUP($A425,'The List'!$B1:$AS665,26,FALSE)," ")</f>
        <v>858</v>
      </c>
      <c r="T425" t="s" s="125">
        <f>_xlfn.IFERROR(VLOOKUP($A425,'The List'!$B1:$AS665,27,FALSE)," ")</f>
        <v>858</v>
      </c>
      <c r="U425" t="s" s="125">
        <f>_xlfn.IFERROR(VLOOKUP($A425,'The List'!$B1:$AS665,28,FALSE)," ")</f>
        <v>858</v>
      </c>
      <c r="V425" t="s" s="125">
        <f>_xlfn.IFERROR(VLOOKUP($A425,'The List'!$B1:$AS665,29,FALSE)," ")</f>
        <v>858</v>
      </c>
      <c r="W425" t="s" s="125">
        <f>_xlfn.IFERROR(VLOOKUP($A425,'The List'!$B1:$AS665,30,FALSE)," ")</f>
        <v>858</v>
      </c>
      <c r="X425" t="s" s="125">
        <f>_xlfn.IFERROR(VLOOKUP($A425,'The List'!$B1:$AS665,31,FALSE)," ")</f>
        <v>858</v>
      </c>
      <c r="Y425" t="s" s="125">
        <f>_xlfn.IFERROR(VLOOKUP($A425,'The List'!$B1:$AS665,32,FALSE)," ")</f>
        <v>858</v>
      </c>
      <c r="Z425" t="s" s="125">
        <f>_xlfn.IFERROR(VLOOKUP($A425,'The List'!$B1:$AS665,33,FALSE)," ")</f>
        <v>858</v>
      </c>
      <c r="AA425" s="120"/>
      <c r="AB425" s="121"/>
      <c r="AC425" s="121"/>
      <c r="AD425" s="121"/>
      <c r="AE425" s="121"/>
      <c r="AF425" s="144"/>
    </row>
    <row r="426" ht="21.25" customHeight="1">
      <c r="A426" s="50"/>
      <c r="B426" t="s" s="132">
        <f>_xlfn.IFERROR(VLOOKUP($A426,'The List'!$B1:$AS665,3,FALSE)," ")</f>
        <v>858</v>
      </c>
      <c r="C426" t="s" s="134">
        <f>_xlfn.IFERROR(VLOOKUP($A426,'The List'!$B1:$AS665,4,FALSE)," ")</f>
        <v>858</v>
      </c>
      <c r="D426" t="s" s="86">
        <f>_xlfn.IFERROR(VLOOKUP($A426,'The List'!$B1:$AS665,5,FALSE)," ")</f>
        <v>858</v>
      </c>
      <c r="E426" t="s" s="86">
        <f>_xlfn.IFERROR(VLOOKUP($A426,'The List'!$B1:$AS665,6,FALSE)," ")</f>
        <v>858</v>
      </c>
      <c r="F426" t="s" s="124">
        <f>_xlfn.IFERROR(VLOOKUP($A426,'The List'!$B1:$AS665,8,FALSE)," ")</f>
        <v>858</v>
      </c>
      <c r="G426" t="s" s="124">
        <f>_xlfn.IFERROR(VLOOKUP($A426,'The List'!$B1:$AS665,10,FALSE)," ")</f>
        <v>858</v>
      </c>
      <c r="H426" s="77"/>
      <c r="I426" t="s" s="125">
        <f>_xlfn.IFERROR(VLOOKUP($A426,'The List'!$B1:$AS665,16,FALSE)," ")</f>
        <v>858</v>
      </c>
      <c r="J426" t="s" s="125">
        <f>_xlfn.IFERROR(VLOOKUP($A426,'The List'!$B1:$AS665,17,FALSE)," ")</f>
        <v>858</v>
      </c>
      <c r="K426" t="s" s="125">
        <f>_xlfn.IFERROR(VLOOKUP($A426,'The List'!$B1:$AS665,18,FALSE)," ")</f>
        <v>858</v>
      </c>
      <c r="L426" t="s" s="125">
        <f>_xlfn.IFERROR(VLOOKUP($A426,'The List'!$B1:$AS665,19,FALSE)," ")</f>
        <v>858</v>
      </c>
      <c r="M426" t="s" s="125">
        <f>_xlfn.IFERROR(VLOOKUP($A426,'The List'!$B1:$AS665,20,FALSE)," ")</f>
        <v>858</v>
      </c>
      <c r="N426" t="s" s="125">
        <f>_xlfn.IFERROR(VLOOKUP($A426,'The List'!$B1:$AS665,21,FALSE)," ")</f>
        <v>858</v>
      </c>
      <c r="O426" t="s" s="125">
        <f>_xlfn.IFERROR(VLOOKUP($A426,'The List'!$B1:$AS665,22,FALSE)," ")</f>
        <v>858</v>
      </c>
      <c r="P426" t="s" s="125">
        <f>_xlfn.IFERROR(VLOOKUP($A426,'The List'!$B1:$AS665,23,FALSE)," ")</f>
        <v>858</v>
      </c>
      <c r="Q426" t="s" s="125">
        <f>_xlfn.IFERROR(VLOOKUP($A426,'The List'!$B1:$AS665,24,FALSE)," ")</f>
        <v>858</v>
      </c>
      <c r="R426" t="s" s="125">
        <f>_xlfn.IFERROR(VLOOKUP($A426,'The List'!$B1:$AS665,25,FALSE)," ")</f>
        <v>858</v>
      </c>
      <c r="S426" t="s" s="125">
        <f>_xlfn.IFERROR(VLOOKUP($A426,'The List'!$B1:$AS665,26,FALSE)," ")</f>
        <v>858</v>
      </c>
      <c r="T426" t="s" s="125">
        <f>_xlfn.IFERROR(VLOOKUP($A426,'The List'!$B1:$AS665,27,FALSE)," ")</f>
        <v>858</v>
      </c>
      <c r="U426" t="s" s="125">
        <f>_xlfn.IFERROR(VLOOKUP($A426,'The List'!$B1:$AS665,28,FALSE)," ")</f>
        <v>858</v>
      </c>
      <c r="V426" t="s" s="125">
        <f>_xlfn.IFERROR(VLOOKUP($A426,'The List'!$B1:$AS665,29,FALSE)," ")</f>
        <v>858</v>
      </c>
      <c r="W426" t="s" s="125">
        <f>_xlfn.IFERROR(VLOOKUP($A426,'The List'!$B1:$AS665,30,FALSE)," ")</f>
        <v>858</v>
      </c>
      <c r="X426" t="s" s="125">
        <f>_xlfn.IFERROR(VLOOKUP($A426,'The List'!$B1:$AS665,31,FALSE)," ")</f>
        <v>858</v>
      </c>
      <c r="Y426" t="s" s="125">
        <f>_xlfn.IFERROR(VLOOKUP($A426,'The List'!$B1:$AS665,32,FALSE)," ")</f>
        <v>858</v>
      </c>
      <c r="Z426" t="s" s="125">
        <f>_xlfn.IFERROR(VLOOKUP($A426,'The List'!$B1:$AS665,33,FALSE)," ")</f>
        <v>858</v>
      </c>
      <c r="AA426" s="120"/>
      <c r="AB426" s="121"/>
      <c r="AC426" s="121"/>
      <c r="AD426" s="121"/>
      <c r="AE426" s="121"/>
      <c r="AF426" s="144"/>
    </row>
    <row r="427" ht="21.25" customHeight="1">
      <c r="A427" s="137"/>
      <c r="B427" t="s" s="138">
        <f>_xlfn.IFERROR(VLOOKUP($A427,'The List'!$B1:$AS665,3,FALSE)," ")</f>
        <v>858</v>
      </c>
      <c r="C427" t="s" s="139">
        <f>_xlfn.IFERROR(VLOOKUP($A427,'The List'!$B1:$AS665,4,FALSE)," ")</f>
        <v>858</v>
      </c>
      <c r="D427" t="s" s="140">
        <f>_xlfn.IFERROR(VLOOKUP($A427,'The List'!$B1:$AS665,5,FALSE)," ")</f>
        <v>858</v>
      </c>
      <c r="E427" t="s" s="140">
        <f>_xlfn.IFERROR(VLOOKUP($A427,'The List'!$B1:$AS665,6,FALSE)," ")</f>
        <v>858</v>
      </c>
      <c r="F427" t="s" s="141">
        <f>_xlfn.IFERROR(VLOOKUP($A427,'The List'!$B1:$AS665,8,FALSE)," ")</f>
        <v>858</v>
      </c>
      <c r="G427" t="s" s="141">
        <f>_xlfn.IFERROR(VLOOKUP($A427,'The List'!$B1:$AS665,10,FALSE)," ")</f>
        <v>858</v>
      </c>
      <c r="H427" s="142"/>
      <c r="I427" t="s" s="143">
        <f>_xlfn.IFERROR(VLOOKUP($A427,'The List'!$B1:$AS665,16,FALSE)," ")</f>
        <v>858</v>
      </c>
      <c r="J427" t="s" s="143">
        <f>_xlfn.IFERROR(VLOOKUP($A427,'The List'!$B1:$AS665,17,FALSE)," ")</f>
        <v>858</v>
      </c>
      <c r="K427" t="s" s="143">
        <f>_xlfn.IFERROR(VLOOKUP($A427,'The List'!$B1:$AS665,18,FALSE)," ")</f>
        <v>858</v>
      </c>
      <c r="L427" t="s" s="143">
        <f>_xlfn.IFERROR(VLOOKUP($A427,'The List'!$B1:$AS665,19,FALSE)," ")</f>
        <v>858</v>
      </c>
      <c r="M427" t="s" s="143">
        <f>_xlfn.IFERROR(VLOOKUP($A427,'The List'!$B1:$AS665,20,FALSE)," ")</f>
        <v>858</v>
      </c>
      <c r="N427" t="s" s="143">
        <f>_xlfn.IFERROR(VLOOKUP($A427,'The List'!$B1:$AS665,21,FALSE)," ")</f>
        <v>858</v>
      </c>
      <c r="O427" t="s" s="143">
        <f>_xlfn.IFERROR(VLOOKUP($A427,'The List'!$B1:$AS665,22,FALSE)," ")</f>
        <v>858</v>
      </c>
      <c r="P427" t="s" s="143">
        <f>_xlfn.IFERROR(VLOOKUP($A427,'The List'!$B1:$AS665,23,FALSE)," ")</f>
        <v>858</v>
      </c>
      <c r="Q427" t="s" s="143">
        <f>_xlfn.IFERROR(VLOOKUP($A427,'The List'!$B1:$AS665,24,FALSE)," ")</f>
        <v>858</v>
      </c>
      <c r="R427" t="s" s="143">
        <f>_xlfn.IFERROR(VLOOKUP($A427,'The List'!$B1:$AS665,25,FALSE)," ")</f>
        <v>858</v>
      </c>
      <c r="S427" t="s" s="143">
        <f>_xlfn.IFERROR(VLOOKUP($A427,'The List'!$B1:$AS665,26,FALSE)," ")</f>
        <v>858</v>
      </c>
      <c r="T427" t="s" s="143">
        <f>_xlfn.IFERROR(VLOOKUP($A427,'The List'!$B1:$AS665,27,FALSE)," ")</f>
        <v>858</v>
      </c>
      <c r="U427" t="s" s="143">
        <f>_xlfn.IFERROR(VLOOKUP($A427,'The List'!$B1:$AS665,28,FALSE)," ")</f>
        <v>858</v>
      </c>
      <c r="V427" t="s" s="143">
        <f>_xlfn.IFERROR(VLOOKUP($A427,'The List'!$B1:$AS665,29,FALSE)," ")</f>
        <v>858</v>
      </c>
      <c r="W427" t="s" s="143">
        <f>_xlfn.IFERROR(VLOOKUP($A427,'The List'!$B1:$AS665,30,FALSE)," ")</f>
        <v>858</v>
      </c>
      <c r="X427" t="s" s="143">
        <f>_xlfn.IFERROR(VLOOKUP($A427,'The List'!$B1:$AS665,31,FALSE)," ")</f>
        <v>858</v>
      </c>
      <c r="Y427" t="s" s="143">
        <f>_xlfn.IFERROR(VLOOKUP($A427,'The List'!$B1:$AS665,32,FALSE)," ")</f>
        <v>858</v>
      </c>
      <c r="Z427" t="s" s="143">
        <f>_xlfn.IFERROR(VLOOKUP($A427,'The List'!$B1:$AS665,33,FALSE)," ")</f>
        <v>858</v>
      </c>
      <c r="AA427" s="120"/>
      <c r="AB427" s="121"/>
      <c r="AC427" s="121"/>
      <c r="AD427" s="121"/>
      <c r="AE427" s="121"/>
      <c r="AF427" s="144"/>
    </row>
    <row r="428" ht="21.25" customHeight="1">
      <c r="A428" s="145"/>
      <c r="B428" s="146"/>
      <c r="C428" s="147"/>
      <c r="D428" s="148"/>
      <c r="E428" t="s" s="193">
        <f>_xlfn.IFERROR(AVERAGE(E408:E427)," ")</f>
        <v>858</v>
      </c>
      <c r="F428" s="150">
        <f>SUM(F408:F427)</f>
        <v>0</v>
      </c>
      <c r="G428" s="150">
        <f>SUM(G408:G427)</f>
        <v>0</v>
      </c>
      <c r="H428" s="151"/>
      <c r="I428" s="152">
        <f>SUM(I408:I427)</f>
        <v>0</v>
      </c>
      <c r="J428" s="151">
        <f>AVERAGE(J408:J427)</f>
      </c>
      <c r="K428" s="152">
        <f>SUM(K408:K427)</f>
        <v>0</v>
      </c>
      <c r="L428" s="152">
        <f>SUM(L408:L427)</f>
        <v>0</v>
      </c>
      <c r="M428" s="152">
        <f>SUM(M408:M427)</f>
        <v>0</v>
      </c>
      <c r="N428" s="152">
        <f>SUM(N408:N427)</f>
        <v>0</v>
      </c>
      <c r="O428" s="152">
        <f>SUM(O408:O427)</f>
        <v>0</v>
      </c>
      <c r="P428" s="152">
        <f>SUM(P408:P427)</f>
        <v>0</v>
      </c>
      <c r="Q428" s="152">
        <f>SUM(Q408:Q427)</f>
        <v>0</v>
      </c>
      <c r="R428" s="152">
        <f>SUM(R408:R427)</f>
        <v>0</v>
      </c>
      <c r="S428" s="152">
        <f>SUM(S408:S427)</f>
        <v>0</v>
      </c>
      <c r="T428" s="152">
        <f>SUM(T408:T427)</f>
        <v>0</v>
      </c>
      <c r="U428" s="152">
        <f>SUM(U408:U427)</f>
        <v>0</v>
      </c>
      <c r="V428" s="152">
        <f>SUM(V408:V427)</f>
        <v>0</v>
      </c>
      <c r="W428" s="152">
        <f>SUM(W408:W427)</f>
        <v>0</v>
      </c>
      <c r="X428" s="152">
        <f>SUM(X408:X427)</f>
        <v>0</v>
      </c>
      <c r="Y428" s="152">
        <f>SUM(Y408:Y427)</f>
        <v>0</v>
      </c>
      <c r="Z428" s="153">
        <f>_xlfn.IFERROR(X428/(X428+Y428),0)</f>
        <v>0</v>
      </c>
      <c r="AA428" s="120"/>
      <c r="AB428" s="154"/>
      <c r="AC428" s="154"/>
      <c r="AD428" s="154"/>
      <c r="AE428" s="154"/>
      <c r="AF428" s="155"/>
    </row>
    <row r="429" ht="21.25" customHeight="1">
      <c r="A429" s="156"/>
      <c r="B429" s="157"/>
      <c r="C429" s="158"/>
      <c r="D429" s="13"/>
      <c r="E429" s="13"/>
      <c r="F429" s="159"/>
      <c r="G429" s="160"/>
      <c r="H429" s="161"/>
      <c r="I429" s="162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  <c r="AB429" s="121"/>
      <c r="AC429" s="121"/>
      <c r="AD429" s="121"/>
      <c r="AE429" s="121"/>
      <c r="AF429" s="144"/>
    </row>
    <row r="430" ht="21.25" customHeight="1">
      <c r="A430" t="s" s="163">
        <v>89</v>
      </c>
      <c r="B430" t="s" s="164">
        <v>91</v>
      </c>
      <c r="C430" s="31"/>
      <c r="D430" t="s" s="164">
        <v>92</v>
      </c>
      <c r="E430" t="s" s="164">
        <v>93</v>
      </c>
      <c r="F430" t="s" s="165">
        <v>95</v>
      </c>
      <c r="G430" t="s" s="165">
        <v>97</v>
      </c>
      <c r="H430" s="166"/>
      <c r="I430" t="s" s="167">
        <v>102</v>
      </c>
      <c r="J430" t="s" s="167">
        <v>118</v>
      </c>
      <c r="K430" t="s" s="167">
        <v>119</v>
      </c>
      <c r="L430" t="s" s="167">
        <v>120</v>
      </c>
      <c r="M430" t="s" s="167">
        <v>121</v>
      </c>
      <c r="N430" t="s" s="167">
        <v>122</v>
      </c>
      <c r="O430" t="s" s="167">
        <v>123</v>
      </c>
      <c r="P430" t="s" s="167">
        <v>124</v>
      </c>
      <c r="Q430" t="s" s="167">
        <v>125</v>
      </c>
      <c r="R430" s="120"/>
      <c r="S430" s="120"/>
      <c r="T430" s="120"/>
      <c r="U430" t="s" s="164">
        <v>876</v>
      </c>
      <c r="V430" s="166"/>
      <c r="W430" s="166"/>
      <c r="X430" t="s" s="164">
        <v>877</v>
      </c>
      <c r="Y430" s="166"/>
      <c r="Z430" s="166"/>
      <c r="AA430" s="120"/>
      <c r="AB430" s="120"/>
      <c r="AC430" s="120"/>
      <c r="AD430" s="120"/>
      <c r="AE430" s="120"/>
      <c r="AF430" s="168"/>
    </row>
    <row r="431" ht="21.25" customHeight="1">
      <c r="A431" s="194"/>
      <c r="B431" t="s" s="170">
        <f>_xlfn.IFERROR(VLOOKUP($A431,'The List'!$B1:$AS665,3,FALSE)," ")</f>
        <v>858</v>
      </c>
      <c r="C431" t="s" s="195">
        <f>_xlfn.IFERROR(VLOOKUP($A431,'The List'!$B1:$AS665,4,FALSE)," ")</f>
        <v>858</v>
      </c>
      <c r="D431" t="s" s="72">
        <f>_xlfn.IFERROR(VLOOKUP($A431,'The List'!$B1:$AS665,5,FALSE)," ")</f>
        <v>858</v>
      </c>
      <c r="E431" t="s" s="72">
        <f>_xlfn.IFERROR(VLOOKUP($A431,'The List'!$B1:$AS665,6,FALSE)," ")</f>
        <v>858</v>
      </c>
      <c r="F431" t="s" s="196">
        <f>_xlfn.IFERROR(VLOOKUP($A431,'The List'!$B1:$AS665,8,FALSE)," ")</f>
        <v>858</v>
      </c>
      <c r="G431" t="s" s="196">
        <f>_xlfn.IFERROR(VLOOKUP($A431,'The List'!$B1:$AS665,10,FALSE)," ")</f>
        <v>858</v>
      </c>
      <c r="H431" s="174"/>
      <c r="I431" t="s" s="197">
        <f>_xlfn.IFERROR(VLOOKUP($A431,'The List'!$B1:$AS665,35,FALSE)," ")</f>
        <v>858</v>
      </c>
      <c r="J431" t="s" s="197">
        <f>_xlfn.IFERROR(VLOOKUP($A431,'The List'!$B1:$AS665,36,FALSE)," ")</f>
        <v>858</v>
      </c>
      <c r="K431" t="s" s="197">
        <f>_xlfn.IFERROR(VLOOKUP($A431,'The List'!$B1:$AS665,37,FALSE)," ")</f>
        <v>858</v>
      </c>
      <c r="L431" t="s" s="197">
        <f>_xlfn.IFERROR(VLOOKUP($A431,'The List'!$B1:$AS665,38,FALSE)," ")</f>
        <v>858</v>
      </c>
      <c r="M431" t="s" s="197">
        <f>_xlfn.IFERROR(VLOOKUP($A431,'The List'!$B1:$AS665,39,FALSE)," ")</f>
        <v>858</v>
      </c>
      <c r="N431" t="s" s="197">
        <f>_xlfn.IFERROR(VLOOKUP($A431,'The List'!$B1:$AS665,40,FALSE)," ")</f>
        <v>858</v>
      </c>
      <c r="O431" t="s" s="197">
        <f>_xlfn.IFERROR(VLOOKUP($A431,'The List'!$B1:$AS665,41,FALSE)," ")</f>
        <v>858</v>
      </c>
      <c r="P431" t="s" s="197">
        <f>_xlfn.IFERROR(VLOOKUP($A431,'The List'!$B1:$AS665,42,FALSE)," ")</f>
        <v>858</v>
      </c>
      <c r="Q431" t="s" s="197">
        <f>_xlfn.IFERROR(VLOOKUP($A431,'The List'!$B1:$AS665,43,FALSE)," ")</f>
        <v>858</v>
      </c>
      <c r="R431" s="120"/>
      <c r="S431" s="120"/>
      <c r="T431" t="s" s="178">
        <f>A407</f>
        <v>893</v>
      </c>
      <c r="U431" s="179">
        <f>F428+F434</f>
        <v>0</v>
      </c>
      <c r="V431" s="31"/>
      <c r="W431" s="31"/>
      <c r="X431" s="179">
        <f>G434+G428</f>
        <v>0</v>
      </c>
      <c r="Y431" s="31"/>
      <c r="Z431" s="31"/>
      <c r="AA431" s="120"/>
      <c r="AB431" s="120"/>
      <c r="AC431" s="120"/>
      <c r="AD431" s="120"/>
      <c r="AE431" s="120"/>
      <c r="AF431" s="168"/>
    </row>
    <row r="432" ht="21.25" customHeight="1">
      <c r="A432" s="50"/>
      <c r="B432" t="s" s="180">
        <f>_xlfn.IFERROR(VLOOKUP($A432,'The List'!$B1:$AS665,3,FALSE)," ")</f>
        <v>858</v>
      </c>
      <c r="C432" t="s" s="181">
        <f>_xlfn.IFERROR(VLOOKUP($A432,'The List'!$B1:$AS665,4,FALSE)," ")</f>
        <v>858</v>
      </c>
      <c r="D432" t="s" s="86">
        <f>_xlfn.IFERROR(VLOOKUP($A432,'The List'!$B1:$AS665,5,FALSE)," ")</f>
        <v>858</v>
      </c>
      <c r="E432" t="s" s="86">
        <f>_xlfn.IFERROR(VLOOKUP($A432,'The List'!$B1:$AS665,6,FALSE)," ")</f>
        <v>858</v>
      </c>
      <c r="F432" t="s" s="124">
        <f>_xlfn.IFERROR(VLOOKUP($A432,'The List'!$B1:$AS665,8,FALSE)," ")</f>
        <v>858</v>
      </c>
      <c r="G432" t="s" s="124">
        <f>_xlfn.IFERROR(VLOOKUP($A432,'The List'!$B1:$AS665,10,FALSE)," ")</f>
        <v>858</v>
      </c>
      <c r="H432" s="77"/>
      <c r="I432" t="s" s="125">
        <f>_xlfn.IFERROR(VLOOKUP($A432,'The List'!$B1:$AS665,35,FALSE)," ")</f>
        <v>858</v>
      </c>
      <c r="J432" t="s" s="125">
        <f>_xlfn.IFERROR(VLOOKUP($A432,'The List'!$B1:$AS665,36,FALSE)," ")</f>
        <v>858</v>
      </c>
      <c r="K432" t="s" s="125">
        <f>_xlfn.IFERROR(VLOOKUP($A432,'The List'!$B1:$AS665,37,FALSE)," ")</f>
        <v>858</v>
      </c>
      <c r="L432" t="s" s="125">
        <f>_xlfn.IFERROR(VLOOKUP($A432,'The List'!$B1:$AS665,38,FALSE)," ")</f>
        <v>858</v>
      </c>
      <c r="M432" t="s" s="125">
        <f>_xlfn.IFERROR(VLOOKUP($A432,'The List'!$B1:$AS665,39,FALSE)," ")</f>
        <v>858</v>
      </c>
      <c r="N432" t="s" s="125">
        <f>_xlfn.IFERROR(VLOOKUP($A432,'The List'!$B1:$AS665,40,FALSE)," ")</f>
        <v>858</v>
      </c>
      <c r="O432" t="s" s="125">
        <f>_xlfn.IFERROR(VLOOKUP($A432,'The List'!$B1:$AS665,41,FALSE)," ")</f>
        <v>858</v>
      </c>
      <c r="P432" t="s" s="125">
        <f>_xlfn.IFERROR(VLOOKUP($A432,'The List'!$B1:$AS665,42,FALSE)," ")</f>
        <v>858</v>
      </c>
      <c r="Q432" t="s" s="125">
        <f>_xlfn.IFERROR(VLOOKUP($A432,'The List'!$B1:$AS665,43,FALSE)," ")</f>
        <v>858</v>
      </c>
      <c r="R432" s="120"/>
      <c r="S432" s="120"/>
      <c r="T432" s="120"/>
      <c r="U432" s="31"/>
      <c r="V432" s="31"/>
      <c r="W432" s="31"/>
      <c r="X432" s="31"/>
      <c r="Y432" s="31"/>
      <c r="Z432" s="31"/>
      <c r="AA432" s="120"/>
      <c r="AB432" s="120"/>
      <c r="AC432" s="120"/>
      <c r="AD432" s="120"/>
      <c r="AE432" s="120"/>
      <c r="AF432" s="168"/>
    </row>
    <row r="433" ht="21.25" customHeight="1">
      <c r="A433" s="137"/>
      <c r="B433" t="s" s="182">
        <f>_xlfn.IFERROR(VLOOKUP($A433,'The List'!$B1:$AS665,3,FALSE)," ")</f>
        <v>858</v>
      </c>
      <c r="C433" t="s" s="183">
        <f>_xlfn.IFERROR(VLOOKUP($A433,'The List'!$B1:$AS665,4,FALSE)," ")</f>
        <v>858</v>
      </c>
      <c r="D433" t="s" s="140">
        <f>_xlfn.IFERROR(VLOOKUP($A433,'The List'!$B1:$AS665,5,FALSE)," ")</f>
        <v>858</v>
      </c>
      <c r="E433" t="s" s="140">
        <f>_xlfn.IFERROR(VLOOKUP($A433,'The List'!$B1:$AS665,6,FALSE)," ")</f>
        <v>858</v>
      </c>
      <c r="F433" t="s" s="141">
        <f>_xlfn.IFERROR(VLOOKUP($A433,'The List'!$B1:$AS665,8,FALSE)," ")</f>
        <v>858</v>
      </c>
      <c r="G433" t="s" s="141">
        <f>_xlfn.IFERROR(VLOOKUP($A433,'The List'!$B1:$AS665,10,FALSE)," ")</f>
        <v>858</v>
      </c>
      <c r="H433" s="142"/>
      <c r="I433" t="s" s="143">
        <f>_xlfn.IFERROR(VLOOKUP($A433,'The List'!$B1:$AS665,35,FALSE)," ")</f>
        <v>858</v>
      </c>
      <c r="J433" t="s" s="143">
        <f>_xlfn.IFERROR(VLOOKUP($A433,'The List'!$B1:$AS665,36,FALSE)," ")</f>
        <v>858</v>
      </c>
      <c r="K433" t="s" s="143">
        <f>_xlfn.IFERROR(VLOOKUP($A433,'The List'!$B1:$AS665,37,FALSE)," ")</f>
        <v>858</v>
      </c>
      <c r="L433" t="s" s="143">
        <f>_xlfn.IFERROR(VLOOKUP($A433,'The List'!$B1:$AS665,38,FALSE)," ")</f>
        <v>858</v>
      </c>
      <c r="M433" t="s" s="143">
        <f>_xlfn.IFERROR(VLOOKUP($A433,'The List'!$B1:$AS665,39,FALSE)," ")</f>
        <v>858</v>
      </c>
      <c r="N433" t="s" s="143">
        <f>_xlfn.IFERROR(VLOOKUP($A433,'The List'!$B1:$AS665,40,FALSE)," ")</f>
        <v>858</v>
      </c>
      <c r="O433" t="s" s="143">
        <f>_xlfn.IFERROR(VLOOKUP($A433,'The List'!$B1:$AS665,41,FALSE)," ")</f>
        <v>858</v>
      </c>
      <c r="P433" t="s" s="143">
        <f>_xlfn.IFERROR(VLOOKUP($A433,'The List'!$B1:$AS665,42,FALSE)," ")</f>
        <v>858</v>
      </c>
      <c r="Q433" t="s" s="143">
        <f>_xlfn.IFERROR(VLOOKUP($A433,'The List'!$B1:$AS665,43,FALSE)," ")</f>
        <v>858</v>
      </c>
      <c r="R433" s="120"/>
      <c r="S433" s="120"/>
      <c r="T433" s="120"/>
      <c r="U433" s="31"/>
      <c r="V433" s="31"/>
      <c r="W433" s="31"/>
      <c r="X433" s="31"/>
      <c r="Y433" s="31"/>
      <c r="Z433" s="31"/>
      <c r="AA433" s="120"/>
      <c r="AB433" s="120"/>
      <c r="AC433" s="120"/>
      <c r="AD433" s="120"/>
      <c r="AE433" s="120"/>
      <c r="AF433" s="168"/>
    </row>
    <row r="434" ht="21.25" customHeight="1">
      <c r="A434" s="145"/>
      <c r="B434" s="146"/>
      <c r="C434" s="147"/>
      <c r="D434" s="148"/>
      <c r="E434" t="s" s="193">
        <f>_xlfn.IFERROR(AVERAGE(E431:E433)," ")</f>
        <v>858</v>
      </c>
      <c r="F434" s="150">
        <f>SUM(F431:F433)</f>
        <v>0</v>
      </c>
      <c r="G434" s="150">
        <f>SUM(G431:G433)</f>
        <v>0</v>
      </c>
      <c r="H434" s="151"/>
      <c r="I434" s="152">
        <f>SUM(I431:I433)</f>
        <v>0</v>
      </c>
      <c r="J434" s="151">
        <f>SUM(J431:J433)</f>
        <v>0</v>
      </c>
      <c r="K434" s="152">
        <f>SUM(K431:K433)</f>
        <v>0</v>
      </c>
      <c r="L434" s="152">
        <f>SUM(L431:L433)</f>
        <v>0</v>
      </c>
      <c r="M434" s="152">
        <f>SUM(M431:M433)</f>
        <v>0</v>
      </c>
      <c r="N434" s="152">
        <f>SUM(N431:N433)</f>
        <v>0</v>
      </c>
      <c r="O434" s="152">
        <f>SUM(O431:O433)</f>
        <v>0</v>
      </c>
      <c r="P434" s="184">
        <f>1-(O434/(N434+O434))</f>
      </c>
      <c r="Q434" s="185">
        <f>O434/I434</f>
      </c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  <c r="AB434" s="120"/>
      <c r="AC434" s="120"/>
      <c r="AD434" s="120"/>
      <c r="AE434" s="120"/>
      <c r="AF434" s="168"/>
    </row>
    <row r="435" ht="70.75" customHeight="1">
      <c r="A435" s="156"/>
      <c r="B435" s="157"/>
      <c r="C435" s="158"/>
      <c r="D435" s="13"/>
      <c r="E435" s="13"/>
      <c r="F435" s="159"/>
      <c r="G435" s="160"/>
      <c r="H435" s="161"/>
      <c r="I435" s="162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1"/>
      <c r="AB435" s="121"/>
      <c r="AC435" s="121"/>
      <c r="AD435" s="121"/>
      <c r="AE435" s="121"/>
      <c r="AF435" s="144"/>
    </row>
    <row r="436" ht="21.25" customHeight="1">
      <c r="A436" t="s" s="186">
        <v>875</v>
      </c>
      <c r="B436" t="s" s="187">
        <v>91</v>
      </c>
      <c r="C436" s="45"/>
      <c r="D436" t="s" s="187">
        <v>92</v>
      </c>
      <c r="E436" t="s" s="187">
        <v>93</v>
      </c>
      <c r="F436" t="s" s="188">
        <v>95</v>
      </c>
      <c r="G436" t="s" s="188">
        <v>97</v>
      </c>
      <c r="H436" s="189"/>
      <c r="I436" t="s" s="190">
        <v>102</v>
      </c>
      <c r="J436" t="s" s="190">
        <v>55</v>
      </c>
      <c r="K436" t="s" s="190">
        <v>103</v>
      </c>
      <c r="L436" t="s" s="190">
        <v>104</v>
      </c>
      <c r="M436" t="s" s="190">
        <v>105</v>
      </c>
      <c r="N436" t="s" s="190">
        <v>106</v>
      </c>
      <c r="O436" t="s" s="190">
        <v>107</v>
      </c>
      <c r="P436" t="s" s="190">
        <v>63</v>
      </c>
      <c r="Q436" t="s" s="190">
        <v>108</v>
      </c>
      <c r="R436" t="s" s="190">
        <v>109</v>
      </c>
      <c r="S436" t="s" s="190">
        <v>110</v>
      </c>
      <c r="T436" t="s" s="190">
        <v>111</v>
      </c>
      <c r="U436" t="s" s="190">
        <v>112</v>
      </c>
      <c r="V436" t="s" s="190">
        <v>113</v>
      </c>
      <c r="W436" t="s" s="190">
        <v>114</v>
      </c>
      <c r="X436" t="s" s="190">
        <v>115</v>
      </c>
      <c r="Y436" t="s" s="190">
        <v>116</v>
      </c>
      <c r="Z436" t="s" s="190">
        <v>117</v>
      </c>
      <c r="AA436" s="120"/>
      <c r="AB436" s="191"/>
      <c r="AC436" s="191"/>
      <c r="AD436" s="191"/>
      <c r="AE436" s="191"/>
      <c r="AF436" s="192"/>
    </row>
    <row r="437" ht="21.25" customHeight="1">
      <c r="A437" s="50"/>
      <c r="B437" t="s" s="117">
        <f>_xlfn.IFERROR(VLOOKUP($A437,'The List'!$B1:$AS665,3,FALSE)," ")</f>
        <v>858</v>
      </c>
      <c r="C437" t="s" s="123">
        <f>_xlfn.IFERROR(VLOOKUP($A437,'The List'!$B1:$AS665,4,FALSE)," ")</f>
        <v>858</v>
      </c>
      <c r="D437" t="s" s="86">
        <f>_xlfn.IFERROR(VLOOKUP($A437,'The List'!$B1:$AS665,5,FALSE)," ")</f>
        <v>858</v>
      </c>
      <c r="E437" t="s" s="86">
        <f>_xlfn.IFERROR(VLOOKUP($A437,'The List'!$B1:$AS665,6,FALSE)," ")</f>
        <v>858</v>
      </c>
      <c r="F437" t="s" s="124">
        <f>_xlfn.IFERROR(VLOOKUP($A437,'The List'!$B1:$AS665,8,FALSE)," ")</f>
        <v>858</v>
      </c>
      <c r="G437" t="s" s="124">
        <f>_xlfn.IFERROR(VLOOKUP($A437,'The List'!$B1:$AS665,10,FALSE)," ")</f>
        <v>858</v>
      </c>
      <c r="H437" s="77"/>
      <c r="I437" t="s" s="125">
        <f>_xlfn.IFERROR(VLOOKUP($A437,'The List'!$B1:$AS665,16,FALSE)," ")</f>
        <v>858</v>
      </c>
      <c r="J437" t="s" s="125">
        <f>_xlfn.IFERROR(VLOOKUP($A437,'The List'!$B1:$AS665,17,FALSE)," ")</f>
        <v>858</v>
      </c>
      <c r="K437" t="s" s="125">
        <f>_xlfn.IFERROR(VLOOKUP($A437,'The List'!$B1:$AS665,18,FALSE)," ")</f>
        <v>858</v>
      </c>
      <c r="L437" t="s" s="125">
        <f>_xlfn.IFERROR(VLOOKUP($A437,'The List'!$B1:$AS665,19,FALSE)," ")</f>
        <v>858</v>
      </c>
      <c r="M437" t="s" s="125">
        <f>_xlfn.IFERROR(VLOOKUP($A437,'The List'!$B1:$AS665,20,FALSE)," ")</f>
        <v>858</v>
      </c>
      <c r="N437" t="s" s="125">
        <f>_xlfn.IFERROR(VLOOKUP($A437,'The List'!$B1:$AS665,21,FALSE)," ")</f>
        <v>858</v>
      </c>
      <c r="O437" t="s" s="125">
        <f>_xlfn.IFERROR(VLOOKUP($A437,'The List'!$B1:$AS665,22,FALSE)," ")</f>
        <v>858</v>
      </c>
      <c r="P437" t="s" s="125">
        <f>_xlfn.IFERROR(VLOOKUP($A437,'The List'!$B1:$AS665,23,FALSE)," ")</f>
        <v>858</v>
      </c>
      <c r="Q437" t="s" s="125">
        <f>_xlfn.IFERROR(VLOOKUP($A437,'The List'!$B1:$AS665,24,FALSE)," ")</f>
        <v>858</v>
      </c>
      <c r="R437" t="s" s="125">
        <f>_xlfn.IFERROR(VLOOKUP($A437,'The List'!$B1:$AS665,25,FALSE)," ")</f>
        <v>858</v>
      </c>
      <c r="S437" t="s" s="125">
        <f>_xlfn.IFERROR(VLOOKUP($A437,'The List'!$B1:$AS665,26,FALSE)," ")</f>
        <v>858</v>
      </c>
      <c r="T437" t="s" s="125">
        <f>_xlfn.IFERROR(VLOOKUP($A437,'The List'!$B1:$AS665,27,FALSE)," ")</f>
        <v>858</v>
      </c>
      <c r="U437" t="s" s="125">
        <f>_xlfn.IFERROR(VLOOKUP($A437,'The List'!$B1:$AS665,28,FALSE)," ")</f>
        <v>858</v>
      </c>
      <c r="V437" t="s" s="125">
        <f>_xlfn.IFERROR(VLOOKUP($A437,'The List'!$B1:$AS665,29,FALSE)," ")</f>
        <v>858</v>
      </c>
      <c r="W437" t="s" s="125">
        <f>_xlfn.IFERROR(VLOOKUP($A437,'The List'!$B1:$AS665,30,FALSE)," ")</f>
        <v>858</v>
      </c>
      <c r="X437" t="s" s="125">
        <f>_xlfn.IFERROR(VLOOKUP($A437,'The List'!$B1:$AS665,31,FALSE)," ")</f>
        <v>858</v>
      </c>
      <c r="Y437" t="s" s="125">
        <f>_xlfn.IFERROR(VLOOKUP($A437,'The List'!$B1:$AS665,32,FALSE)," ")</f>
        <v>858</v>
      </c>
      <c r="Z437" t="s" s="125">
        <f>_xlfn.IFERROR(VLOOKUP($A437,'The List'!$B1:$AS665,33,FALSE)," ")</f>
        <v>858</v>
      </c>
      <c r="AA437" s="120"/>
      <c r="AB437" s="121"/>
      <c r="AC437" s="121"/>
      <c r="AD437" s="121"/>
      <c r="AE437" s="121"/>
      <c r="AF437" s="144"/>
    </row>
    <row r="438" ht="21.25" customHeight="1">
      <c r="A438" s="50"/>
      <c r="B438" t="s" s="117">
        <f>_xlfn.IFERROR(VLOOKUP($A438,'The List'!$B1:$AS665,3,FALSE)," ")</f>
        <v>858</v>
      </c>
      <c r="C438" t="s" s="123">
        <f>_xlfn.IFERROR(VLOOKUP($A438,'The List'!$B1:$AS665,4,FALSE)," ")</f>
        <v>858</v>
      </c>
      <c r="D438" t="s" s="86">
        <f>_xlfn.IFERROR(VLOOKUP($A438,'The List'!$B1:$AS665,5,FALSE)," ")</f>
        <v>858</v>
      </c>
      <c r="E438" t="s" s="86">
        <f>_xlfn.IFERROR(VLOOKUP($A438,'The List'!$B1:$AS665,6,FALSE)," ")</f>
        <v>858</v>
      </c>
      <c r="F438" t="s" s="124">
        <f>_xlfn.IFERROR(VLOOKUP($A438,'The List'!$B1:$AS665,8,FALSE)," ")</f>
        <v>858</v>
      </c>
      <c r="G438" t="s" s="124">
        <f>_xlfn.IFERROR(VLOOKUP($A438,'The List'!$B1:$AS665,10,FALSE)," ")</f>
        <v>858</v>
      </c>
      <c r="H438" s="77"/>
      <c r="I438" t="s" s="125">
        <f>_xlfn.IFERROR(VLOOKUP($A438,'The List'!$B1:$AS665,16,FALSE)," ")</f>
        <v>858</v>
      </c>
      <c r="J438" t="s" s="125">
        <f>_xlfn.IFERROR(VLOOKUP($A438,'The List'!$B1:$AS665,17,FALSE)," ")</f>
        <v>858</v>
      </c>
      <c r="K438" t="s" s="125">
        <f>_xlfn.IFERROR(VLOOKUP($A438,'The List'!$B1:$AS665,18,FALSE)," ")</f>
        <v>858</v>
      </c>
      <c r="L438" t="s" s="125">
        <f>_xlfn.IFERROR(VLOOKUP($A438,'The List'!$B1:$AS665,19,FALSE)," ")</f>
        <v>858</v>
      </c>
      <c r="M438" t="s" s="125">
        <f>_xlfn.IFERROR(VLOOKUP($A438,'The List'!$B1:$AS665,20,FALSE)," ")</f>
        <v>858</v>
      </c>
      <c r="N438" t="s" s="125">
        <f>_xlfn.IFERROR(VLOOKUP($A438,'The List'!$B1:$AS665,21,FALSE)," ")</f>
        <v>858</v>
      </c>
      <c r="O438" t="s" s="125">
        <f>_xlfn.IFERROR(VLOOKUP($A438,'The List'!$B1:$AS665,22,FALSE)," ")</f>
        <v>858</v>
      </c>
      <c r="P438" t="s" s="125">
        <f>_xlfn.IFERROR(VLOOKUP($A438,'The List'!$B1:$AS665,23,FALSE)," ")</f>
        <v>858</v>
      </c>
      <c r="Q438" t="s" s="125">
        <f>_xlfn.IFERROR(VLOOKUP($A438,'The List'!$B1:$AS665,24,FALSE)," ")</f>
        <v>858</v>
      </c>
      <c r="R438" t="s" s="125">
        <f>_xlfn.IFERROR(VLOOKUP($A438,'The List'!$B1:$AS665,25,FALSE)," ")</f>
        <v>858</v>
      </c>
      <c r="S438" t="s" s="125">
        <f>_xlfn.IFERROR(VLOOKUP($A438,'The List'!$B1:$AS665,26,FALSE)," ")</f>
        <v>858</v>
      </c>
      <c r="T438" t="s" s="125">
        <f>_xlfn.IFERROR(VLOOKUP($A438,'The List'!$B1:$AS665,27,FALSE)," ")</f>
        <v>858</v>
      </c>
      <c r="U438" t="s" s="125">
        <f>_xlfn.IFERROR(VLOOKUP($A438,'The List'!$B1:$AS665,28,FALSE)," ")</f>
        <v>858</v>
      </c>
      <c r="V438" t="s" s="125">
        <f>_xlfn.IFERROR(VLOOKUP($A438,'The List'!$B1:$AS665,29,FALSE)," ")</f>
        <v>858</v>
      </c>
      <c r="W438" t="s" s="125">
        <f>_xlfn.IFERROR(VLOOKUP($A438,'The List'!$B1:$AS665,30,FALSE)," ")</f>
        <v>858</v>
      </c>
      <c r="X438" t="s" s="125">
        <f>_xlfn.IFERROR(VLOOKUP($A438,'The List'!$B1:$AS665,31,FALSE)," ")</f>
        <v>858</v>
      </c>
      <c r="Y438" t="s" s="125">
        <f>_xlfn.IFERROR(VLOOKUP($A438,'The List'!$B1:$AS665,32,FALSE)," ")</f>
        <v>858</v>
      </c>
      <c r="Z438" t="s" s="125">
        <f>_xlfn.IFERROR(VLOOKUP($A438,'The List'!$B1:$AS665,33,FALSE)," ")</f>
        <v>858</v>
      </c>
      <c r="AA438" s="120"/>
      <c r="AB438" s="121"/>
      <c r="AC438" s="121"/>
      <c r="AD438" s="121"/>
      <c r="AE438" s="121"/>
      <c r="AF438" s="144"/>
    </row>
    <row r="439" ht="21.25" customHeight="1">
      <c r="A439" s="50"/>
      <c r="B439" t="s" s="117">
        <f>_xlfn.IFERROR(VLOOKUP($A439,'The List'!$B1:$AS665,3,FALSE)," ")</f>
        <v>858</v>
      </c>
      <c r="C439" t="s" s="123">
        <f>_xlfn.IFERROR(VLOOKUP($A439,'The List'!$B1:$AS665,4,FALSE)," ")</f>
        <v>858</v>
      </c>
      <c r="D439" t="s" s="86">
        <f>_xlfn.IFERROR(VLOOKUP($A439,'The List'!$B1:$AS665,5,FALSE)," ")</f>
        <v>858</v>
      </c>
      <c r="E439" t="s" s="86">
        <f>_xlfn.IFERROR(VLOOKUP($A439,'The List'!$B1:$AS665,6,FALSE)," ")</f>
        <v>858</v>
      </c>
      <c r="F439" t="s" s="124">
        <f>_xlfn.IFERROR(VLOOKUP($A439,'The List'!$B1:$AS665,8,FALSE)," ")</f>
        <v>858</v>
      </c>
      <c r="G439" t="s" s="124">
        <f>_xlfn.IFERROR(VLOOKUP($A439,'The List'!$B1:$AS665,10,FALSE)," ")</f>
        <v>858</v>
      </c>
      <c r="H439" s="77"/>
      <c r="I439" t="s" s="125">
        <f>_xlfn.IFERROR(VLOOKUP($A439,'The List'!$B1:$AS665,16,FALSE)," ")</f>
        <v>858</v>
      </c>
      <c r="J439" t="s" s="125">
        <f>_xlfn.IFERROR(VLOOKUP($A439,'The List'!$B1:$AS665,17,FALSE)," ")</f>
        <v>858</v>
      </c>
      <c r="K439" t="s" s="125">
        <f>_xlfn.IFERROR(VLOOKUP($A439,'The List'!$B1:$AS665,18,FALSE)," ")</f>
        <v>858</v>
      </c>
      <c r="L439" t="s" s="125">
        <f>_xlfn.IFERROR(VLOOKUP($A439,'The List'!$B1:$AS665,19,FALSE)," ")</f>
        <v>858</v>
      </c>
      <c r="M439" t="s" s="125">
        <f>_xlfn.IFERROR(VLOOKUP($A439,'The List'!$B1:$AS665,20,FALSE)," ")</f>
        <v>858</v>
      </c>
      <c r="N439" t="s" s="125">
        <f>_xlfn.IFERROR(VLOOKUP($A439,'The List'!$B1:$AS665,21,FALSE)," ")</f>
        <v>858</v>
      </c>
      <c r="O439" t="s" s="125">
        <f>_xlfn.IFERROR(VLOOKUP($A439,'The List'!$B1:$AS665,22,FALSE)," ")</f>
        <v>858</v>
      </c>
      <c r="P439" t="s" s="125">
        <f>_xlfn.IFERROR(VLOOKUP($A439,'The List'!$B1:$AS665,23,FALSE)," ")</f>
        <v>858</v>
      </c>
      <c r="Q439" t="s" s="125">
        <f>_xlfn.IFERROR(VLOOKUP($A439,'The List'!$B1:$AS665,24,FALSE)," ")</f>
        <v>858</v>
      </c>
      <c r="R439" t="s" s="125">
        <f>_xlfn.IFERROR(VLOOKUP($A439,'The List'!$B1:$AS665,25,FALSE)," ")</f>
        <v>858</v>
      </c>
      <c r="S439" t="s" s="125">
        <f>_xlfn.IFERROR(VLOOKUP($A439,'The List'!$B1:$AS665,26,FALSE)," ")</f>
        <v>858</v>
      </c>
      <c r="T439" t="s" s="125">
        <f>_xlfn.IFERROR(VLOOKUP($A439,'The List'!$B1:$AS665,27,FALSE)," ")</f>
        <v>858</v>
      </c>
      <c r="U439" t="s" s="125">
        <f>_xlfn.IFERROR(VLOOKUP($A439,'The List'!$B1:$AS665,28,FALSE)," ")</f>
        <v>858</v>
      </c>
      <c r="V439" t="s" s="125">
        <f>_xlfn.IFERROR(VLOOKUP($A439,'The List'!$B1:$AS665,29,FALSE)," ")</f>
        <v>858</v>
      </c>
      <c r="W439" t="s" s="125">
        <f>_xlfn.IFERROR(VLOOKUP($A439,'The List'!$B1:$AS665,30,FALSE)," ")</f>
        <v>858</v>
      </c>
      <c r="X439" t="s" s="125">
        <f>_xlfn.IFERROR(VLOOKUP($A439,'The List'!$B1:$AS665,31,FALSE)," ")</f>
        <v>858</v>
      </c>
      <c r="Y439" t="s" s="125">
        <f>_xlfn.IFERROR(VLOOKUP($A439,'The List'!$B1:$AS665,32,FALSE)," ")</f>
        <v>858</v>
      </c>
      <c r="Z439" t="s" s="125">
        <f>_xlfn.IFERROR(VLOOKUP($A439,'The List'!$B1:$AS665,33,FALSE)," ")</f>
        <v>858</v>
      </c>
      <c r="AA439" s="120"/>
      <c r="AB439" s="121"/>
      <c r="AC439" s="121"/>
      <c r="AD439" s="121"/>
      <c r="AE439" s="121"/>
      <c r="AF439" s="144"/>
    </row>
    <row r="440" ht="21.25" customHeight="1">
      <c r="A440" s="50"/>
      <c r="B440" t="s" s="117">
        <f>_xlfn.IFERROR(VLOOKUP($A440,'The List'!$B1:$AS665,3,FALSE)," ")</f>
        <v>858</v>
      </c>
      <c r="C440" t="s" s="123">
        <f>_xlfn.IFERROR(VLOOKUP($A440,'The List'!$B1:$AS665,4,FALSE)," ")</f>
        <v>858</v>
      </c>
      <c r="D440" t="s" s="86">
        <f>_xlfn.IFERROR(VLOOKUP($A440,'The List'!$B1:$AS665,5,FALSE)," ")</f>
        <v>858</v>
      </c>
      <c r="E440" t="s" s="86">
        <f>_xlfn.IFERROR(VLOOKUP($A440,'The List'!$B1:$AS665,6,FALSE)," ")</f>
        <v>858</v>
      </c>
      <c r="F440" t="s" s="124">
        <f>_xlfn.IFERROR(VLOOKUP($A440,'The List'!$B1:$AS665,8,FALSE)," ")</f>
        <v>858</v>
      </c>
      <c r="G440" t="s" s="124">
        <f>_xlfn.IFERROR(VLOOKUP($A440,'The List'!$B1:$AS665,10,FALSE)," ")</f>
        <v>858</v>
      </c>
      <c r="H440" s="77"/>
      <c r="I440" t="s" s="125">
        <f>_xlfn.IFERROR(VLOOKUP($A440,'The List'!$B1:$AS665,16,FALSE)," ")</f>
        <v>858</v>
      </c>
      <c r="J440" t="s" s="125">
        <f>_xlfn.IFERROR(VLOOKUP($A440,'The List'!$B1:$AS665,17,FALSE)," ")</f>
        <v>858</v>
      </c>
      <c r="K440" t="s" s="125">
        <f>_xlfn.IFERROR(VLOOKUP($A440,'The List'!$B1:$AS665,18,FALSE)," ")</f>
        <v>858</v>
      </c>
      <c r="L440" t="s" s="125">
        <f>_xlfn.IFERROR(VLOOKUP($A440,'The List'!$B1:$AS665,19,FALSE)," ")</f>
        <v>858</v>
      </c>
      <c r="M440" t="s" s="125">
        <f>_xlfn.IFERROR(VLOOKUP($A440,'The List'!$B1:$AS665,20,FALSE)," ")</f>
        <v>858</v>
      </c>
      <c r="N440" t="s" s="125">
        <f>_xlfn.IFERROR(VLOOKUP($A440,'The List'!$B1:$AS665,21,FALSE)," ")</f>
        <v>858</v>
      </c>
      <c r="O440" t="s" s="125">
        <f>_xlfn.IFERROR(VLOOKUP($A440,'The List'!$B1:$AS665,22,FALSE)," ")</f>
        <v>858</v>
      </c>
      <c r="P440" t="s" s="125">
        <f>_xlfn.IFERROR(VLOOKUP($A440,'The List'!$B1:$AS665,23,FALSE)," ")</f>
        <v>858</v>
      </c>
      <c r="Q440" t="s" s="125">
        <f>_xlfn.IFERROR(VLOOKUP($A440,'The List'!$B1:$AS665,24,FALSE)," ")</f>
        <v>858</v>
      </c>
      <c r="R440" t="s" s="125">
        <f>_xlfn.IFERROR(VLOOKUP($A440,'The List'!$B1:$AS665,25,FALSE)," ")</f>
        <v>858</v>
      </c>
      <c r="S440" t="s" s="125">
        <f>_xlfn.IFERROR(VLOOKUP($A440,'The List'!$B1:$AS665,26,FALSE)," ")</f>
        <v>858</v>
      </c>
      <c r="T440" t="s" s="125">
        <f>_xlfn.IFERROR(VLOOKUP($A440,'The List'!$B1:$AS665,27,FALSE)," ")</f>
        <v>858</v>
      </c>
      <c r="U440" t="s" s="125">
        <f>_xlfn.IFERROR(VLOOKUP($A440,'The List'!$B1:$AS665,28,FALSE)," ")</f>
        <v>858</v>
      </c>
      <c r="V440" t="s" s="125">
        <f>_xlfn.IFERROR(VLOOKUP($A440,'The List'!$B1:$AS665,29,FALSE)," ")</f>
        <v>858</v>
      </c>
      <c r="W440" t="s" s="125">
        <f>_xlfn.IFERROR(VLOOKUP($A440,'The List'!$B1:$AS665,30,FALSE)," ")</f>
        <v>858</v>
      </c>
      <c r="X440" t="s" s="125">
        <f>_xlfn.IFERROR(VLOOKUP($A440,'The List'!$B1:$AS665,31,FALSE)," ")</f>
        <v>858</v>
      </c>
      <c r="Y440" t="s" s="125">
        <f>_xlfn.IFERROR(VLOOKUP($A440,'The List'!$B1:$AS665,32,FALSE)," ")</f>
        <v>858</v>
      </c>
      <c r="Z440" t="s" s="125">
        <f>_xlfn.IFERROR(VLOOKUP($A440,'The List'!$B1:$AS665,33,FALSE)," ")</f>
        <v>858</v>
      </c>
      <c r="AA440" s="120"/>
      <c r="AB440" s="121"/>
      <c r="AC440" s="121"/>
      <c r="AD440" s="121"/>
      <c r="AE440" s="121"/>
      <c r="AF440" s="144"/>
    </row>
    <row r="441" ht="21.25" customHeight="1">
      <c r="A441" s="50"/>
      <c r="B441" t="s" s="126">
        <f>_xlfn.IFERROR(VLOOKUP($A441,'The List'!$B1:$AS665,3,FALSE)," ")</f>
        <v>858</v>
      </c>
      <c r="C441" t="s" s="128">
        <f>_xlfn.IFERROR(VLOOKUP($A441,'The List'!$B1:$AS665,4,FALSE)," ")</f>
        <v>858</v>
      </c>
      <c r="D441" t="s" s="86">
        <f>_xlfn.IFERROR(VLOOKUP($A441,'The List'!$B1:$AS665,5,FALSE)," ")</f>
        <v>858</v>
      </c>
      <c r="E441" t="s" s="86">
        <f>_xlfn.IFERROR(VLOOKUP($A441,'The List'!$B1:$AS665,6,FALSE)," ")</f>
        <v>858</v>
      </c>
      <c r="F441" t="s" s="124">
        <f>_xlfn.IFERROR(VLOOKUP($A441,'The List'!$B1:$AS665,8,FALSE)," ")</f>
        <v>858</v>
      </c>
      <c r="G441" t="s" s="124">
        <f>_xlfn.IFERROR(VLOOKUP($A441,'The List'!$B1:$AS665,10,FALSE)," ")</f>
        <v>858</v>
      </c>
      <c r="H441" s="77"/>
      <c r="I441" t="s" s="125">
        <f>_xlfn.IFERROR(VLOOKUP($A441,'The List'!$B1:$AS665,16,FALSE)," ")</f>
        <v>858</v>
      </c>
      <c r="J441" t="s" s="125">
        <f>_xlfn.IFERROR(VLOOKUP($A441,'The List'!$B1:$AS665,17,FALSE)," ")</f>
        <v>858</v>
      </c>
      <c r="K441" t="s" s="125">
        <f>_xlfn.IFERROR(VLOOKUP($A441,'The List'!$B1:$AS665,18,FALSE)," ")</f>
        <v>858</v>
      </c>
      <c r="L441" t="s" s="125">
        <f>_xlfn.IFERROR(VLOOKUP($A441,'The List'!$B1:$AS665,19,FALSE)," ")</f>
        <v>858</v>
      </c>
      <c r="M441" t="s" s="125">
        <f>_xlfn.IFERROR(VLOOKUP($A441,'The List'!$B1:$AS665,20,FALSE)," ")</f>
        <v>858</v>
      </c>
      <c r="N441" t="s" s="125">
        <f>_xlfn.IFERROR(VLOOKUP($A441,'The List'!$B1:$AS665,21,FALSE)," ")</f>
        <v>858</v>
      </c>
      <c r="O441" t="s" s="125">
        <f>_xlfn.IFERROR(VLOOKUP($A441,'The List'!$B1:$AS665,22,FALSE)," ")</f>
        <v>858</v>
      </c>
      <c r="P441" t="s" s="125">
        <f>_xlfn.IFERROR(VLOOKUP($A441,'The List'!$B1:$AS665,23,FALSE)," ")</f>
        <v>858</v>
      </c>
      <c r="Q441" t="s" s="125">
        <f>_xlfn.IFERROR(VLOOKUP($A441,'The List'!$B1:$AS665,24,FALSE)," ")</f>
        <v>858</v>
      </c>
      <c r="R441" t="s" s="125">
        <f>_xlfn.IFERROR(VLOOKUP($A441,'The List'!$B1:$AS665,25,FALSE)," ")</f>
        <v>858</v>
      </c>
      <c r="S441" t="s" s="125">
        <f>_xlfn.IFERROR(VLOOKUP($A441,'The List'!$B1:$AS665,26,FALSE)," ")</f>
        <v>858</v>
      </c>
      <c r="T441" t="s" s="125">
        <f>_xlfn.IFERROR(VLOOKUP($A441,'The List'!$B1:$AS665,27,FALSE)," ")</f>
        <v>858</v>
      </c>
      <c r="U441" t="s" s="125">
        <f>_xlfn.IFERROR(VLOOKUP($A441,'The List'!$B1:$AS665,28,FALSE)," ")</f>
        <v>858</v>
      </c>
      <c r="V441" t="s" s="125">
        <f>_xlfn.IFERROR(VLOOKUP($A441,'The List'!$B1:$AS665,29,FALSE)," ")</f>
        <v>858</v>
      </c>
      <c r="W441" t="s" s="125">
        <f>_xlfn.IFERROR(VLOOKUP($A441,'The List'!$B1:$AS665,30,FALSE)," ")</f>
        <v>858</v>
      </c>
      <c r="X441" t="s" s="125">
        <f>_xlfn.IFERROR(VLOOKUP($A441,'The List'!$B1:$AS665,31,FALSE)," ")</f>
        <v>858</v>
      </c>
      <c r="Y441" t="s" s="125">
        <f>_xlfn.IFERROR(VLOOKUP($A441,'The List'!$B1:$AS665,32,FALSE)," ")</f>
        <v>858</v>
      </c>
      <c r="Z441" t="s" s="125">
        <f>_xlfn.IFERROR(VLOOKUP($A441,'The List'!$B1:$AS665,33,FALSE)," ")</f>
        <v>858</v>
      </c>
      <c r="AA441" s="120"/>
      <c r="AB441" s="121"/>
      <c r="AC441" s="121"/>
      <c r="AD441" s="121"/>
      <c r="AE441" s="121"/>
      <c r="AF441" s="144"/>
    </row>
    <row r="442" ht="21.25" customHeight="1">
      <c r="A442" s="50"/>
      <c r="B442" t="s" s="126">
        <f>_xlfn.IFERROR(VLOOKUP($A442,'The List'!$B1:$AS665,3,FALSE)," ")</f>
        <v>858</v>
      </c>
      <c r="C442" t="s" s="128">
        <f>_xlfn.IFERROR(VLOOKUP($A442,'The List'!$B1:$AS665,4,FALSE)," ")</f>
        <v>858</v>
      </c>
      <c r="D442" t="s" s="86">
        <f>_xlfn.IFERROR(VLOOKUP($A442,'The List'!$B1:$AS665,5,FALSE)," ")</f>
        <v>858</v>
      </c>
      <c r="E442" t="s" s="86">
        <f>_xlfn.IFERROR(VLOOKUP($A442,'The List'!$B1:$AS665,6,FALSE)," ")</f>
        <v>858</v>
      </c>
      <c r="F442" t="s" s="124">
        <f>_xlfn.IFERROR(VLOOKUP($A442,'The List'!$B1:$AS665,8,FALSE)," ")</f>
        <v>858</v>
      </c>
      <c r="G442" t="s" s="124">
        <f>_xlfn.IFERROR(VLOOKUP($A442,'The List'!$B1:$AS665,10,FALSE)," ")</f>
        <v>858</v>
      </c>
      <c r="H442" s="77"/>
      <c r="I442" t="s" s="125">
        <f>_xlfn.IFERROR(VLOOKUP($A442,'The List'!$B1:$AS665,16,FALSE)," ")</f>
        <v>858</v>
      </c>
      <c r="J442" t="s" s="125">
        <f>_xlfn.IFERROR(VLOOKUP($A442,'The List'!$B1:$AS665,17,FALSE)," ")</f>
        <v>858</v>
      </c>
      <c r="K442" t="s" s="125">
        <f>_xlfn.IFERROR(VLOOKUP($A442,'The List'!$B1:$AS665,18,FALSE)," ")</f>
        <v>858</v>
      </c>
      <c r="L442" t="s" s="125">
        <f>_xlfn.IFERROR(VLOOKUP($A442,'The List'!$B1:$AS665,19,FALSE)," ")</f>
        <v>858</v>
      </c>
      <c r="M442" t="s" s="125">
        <f>_xlfn.IFERROR(VLOOKUP($A442,'The List'!$B1:$AS665,20,FALSE)," ")</f>
        <v>858</v>
      </c>
      <c r="N442" t="s" s="125">
        <f>_xlfn.IFERROR(VLOOKUP($A442,'The List'!$B1:$AS665,21,FALSE)," ")</f>
        <v>858</v>
      </c>
      <c r="O442" t="s" s="125">
        <f>_xlfn.IFERROR(VLOOKUP($A442,'The List'!$B1:$AS665,22,FALSE)," ")</f>
        <v>858</v>
      </c>
      <c r="P442" t="s" s="125">
        <f>_xlfn.IFERROR(VLOOKUP($A442,'The List'!$B1:$AS665,23,FALSE)," ")</f>
        <v>858</v>
      </c>
      <c r="Q442" t="s" s="125">
        <f>_xlfn.IFERROR(VLOOKUP($A442,'The List'!$B1:$AS665,24,FALSE)," ")</f>
        <v>858</v>
      </c>
      <c r="R442" t="s" s="125">
        <f>_xlfn.IFERROR(VLOOKUP($A442,'The List'!$B1:$AS665,25,FALSE)," ")</f>
        <v>858</v>
      </c>
      <c r="S442" t="s" s="125">
        <f>_xlfn.IFERROR(VLOOKUP($A442,'The List'!$B1:$AS665,26,FALSE)," ")</f>
        <v>858</v>
      </c>
      <c r="T442" t="s" s="125">
        <f>_xlfn.IFERROR(VLOOKUP($A442,'The List'!$B1:$AS665,27,FALSE)," ")</f>
        <v>858</v>
      </c>
      <c r="U442" t="s" s="125">
        <f>_xlfn.IFERROR(VLOOKUP($A442,'The List'!$B1:$AS665,28,FALSE)," ")</f>
        <v>858</v>
      </c>
      <c r="V442" t="s" s="125">
        <f>_xlfn.IFERROR(VLOOKUP($A442,'The List'!$B1:$AS665,29,FALSE)," ")</f>
        <v>858</v>
      </c>
      <c r="W442" t="s" s="125">
        <f>_xlfn.IFERROR(VLOOKUP($A442,'The List'!$B1:$AS665,30,FALSE)," ")</f>
        <v>858</v>
      </c>
      <c r="X442" t="s" s="125">
        <f>_xlfn.IFERROR(VLOOKUP($A442,'The List'!$B1:$AS665,31,FALSE)," ")</f>
        <v>858</v>
      </c>
      <c r="Y442" t="s" s="125">
        <f>_xlfn.IFERROR(VLOOKUP($A442,'The List'!$B1:$AS665,32,FALSE)," ")</f>
        <v>858</v>
      </c>
      <c r="Z442" t="s" s="125">
        <f>_xlfn.IFERROR(VLOOKUP($A442,'The List'!$B1:$AS665,33,FALSE)," ")</f>
        <v>858</v>
      </c>
      <c r="AA442" s="120"/>
      <c r="AB442" s="121"/>
      <c r="AC442" s="121"/>
      <c r="AD442" s="121"/>
      <c r="AE442" s="121"/>
      <c r="AF442" s="144"/>
    </row>
    <row r="443" ht="21.25" customHeight="1">
      <c r="A443" s="50"/>
      <c r="B443" t="s" s="126">
        <f>_xlfn.IFERROR(VLOOKUP($A443,'The List'!$B1:$AS665,3,FALSE)," ")</f>
        <v>858</v>
      </c>
      <c r="C443" t="s" s="128">
        <f>_xlfn.IFERROR(VLOOKUP($A443,'The List'!$B1:$AS665,4,FALSE)," ")</f>
        <v>858</v>
      </c>
      <c r="D443" t="s" s="86">
        <f>_xlfn.IFERROR(VLOOKUP($A443,'The List'!$B1:$AS665,5,FALSE)," ")</f>
        <v>858</v>
      </c>
      <c r="E443" t="s" s="86">
        <f>_xlfn.IFERROR(VLOOKUP($A443,'The List'!$B1:$AS665,6,FALSE)," ")</f>
        <v>858</v>
      </c>
      <c r="F443" t="s" s="124">
        <f>_xlfn.IFERROR(VLOOKUP($A443,'The List'!$B1:$AS665,8,FALSE)," ")</f>
        <v>858</v>
      </c>
      <c r="G443" t="s" s="124">
        <f>_xlfn.IFERROR(VLOOKUP($A443,'The List'!$B1:$AS665,10,FALSE)," ")</f>
        <v>858</v>
      </c>
      <c r="H443" s="77"/>
      <c r="I443" t="s" s="125">
        <f>_xlfn.IFERROR(VLOOKUP($A443,'The List'!$B1:$AS665,16,FALSE)," ")</f>
        <v>858</v>
      </c>
      <c r="J443" t="s" s="125">
        <f>_xlfn.IFERROR(VLOOKUP($A443,'The List'!$B1:$AS665,17,FALSE)," ")</f>
        <v>858</v>
      </c>
      <c r="K443" t="s" s="125">
        <f>_xlfn.IFERROR(VLOOKUP($A443,'The List'!$B1:$AS665,18,FALSE)," ")</f>
        <v>858</v>
      </c>
      <c r="L443" t="s" s="125">
        <f>_xlfn.IFERROR(VLOOKUP($A443,'The List'!$B1:$AS665,19,FALSE)," ")</f>
        <v>858</v>
      </c>
      <c r="M443" t="s" s="125">
        <f>_xlfn.IFERROR(VLOOKUP($A443,'The List'!$B1:$AS665,20,FALSE)," ")</f>
        <v>858</v>
      </c>
      <c r="N443" t="s" s="125">
        <f>_xlfn.IFERROR(VLOOKUP($A443,'The List'!$B1:$AS665,21,FALSE)," ")</f>
        <v>858</v>
      </c>
      <c r="O443" t="s" s="125">
        <f>_xlfn.IFERROR(VLOOKUP($A443,'The List'!$B1:$AS665,22,FALSE)," ")</f>
        <v>858</v>
      </c>
      <c r="P443" t="s" s="125">
        <f>_xlfn.IFERROR(VLOOKUP($A443,'The List'!$B1:$AS665,23,FALSE)," ")</f>
        <v>858</v>
      </c>
      <c r="Q443" t="s" s="125">
        <f>_xlfn.IFERROR(VLOOKUP($A443,'The List'!$B1:$AS665,24,FALSE)," ")</f>
        <v>858</v>
      </c>
      <c r="R443" t="s" s="125">
        <f>_xlfn.IFERROR(VLOOKUP($A443,'The List'!$B1:$AS665,25,FALSE)," ")</f>
        <v>858</v>
      </c>
      <c r="S443" t="s" s="125">
        <f>_xlfn.IFERROR(VLOOKUP($A443,'The List'!$B1:$AS665,26,FALSE)," ")</f>
        <v>858</v>
      </c>
      <c r="T443" t="s" s="125">
        <f>_xlfn.IFERROR(VLOOKUP($A443,'The List'!$B1:$AS665,27,FALSE)," ")</f>
        <v>858</v>
      </c>
      <c r="U443" t="s" s="125">
        <f>_xlfn.IFERROR(VLOOKUP($A443,'The List'!$B1:$AS665,28,FALSE)," ")</f>
        <v>858</v>
      </c>
      <c r="V443" t="s" s="125">
        <f>_xlfn.IFERROR(VLOOKUP($A443,'The List'!$B1:$AS665,29,FALSE)," ")</f>
        <v>858</v>
      </c>
      <c r="W443" t="s" s="125">
        <f>_xlfn.IFERROR(VLOOKUP($A443,'The List'!$B1:$AS665,30,FALSE)," ")</f>
        <v>858</v>
      </c>
      <c r="X443" t="s" s="125">
        <f>_xlfn.IFERROR(VLOOKUP($A443,'The List'!$B1:$AS665,31,FALSE)," ")</f>
        <v>858</v>
      </c>
      <c r="Y443" t="s" s="125">
        <f>_xlfn.IFERROR(VLOOKUP($A443,'The List'!$B1:$AS665,32,FALSE)," ")</f>
        <v>858</v>
      </c>
      <c r="Z443" t="s" s="125">
        <f>_xlfn.IFERROR(VLOOKUP($A443,'The List'!$B1:$AS665,33,FALSE)," ")</f>
        <v>858</v>
      </c>
      <c r="AA443" s="120"/>
      <c r="AB443" s="121"/>
      <c r="AC443" s="121"/>
      <c r="AD443" s="121"/>
      <c r="AE443" s="121"/>
      <c r="AF443" s="144"/>
    </row>
    <row r="444" ht="21.25" customHeight="1">
      <c r="A444" s="50"/>
      <c r="B444" t="s" s="126">
        <f>_xlfn.IFERROR(VLOOKUP($A444,'The List'!$B1:$AS665,3,FALSE)," ")</f>
        <v>858</v>
      </c>
      <c r="C444" t="s" s="128">
        <f>_xlfn.IFERROR(VLOOKUP($A444,'The List'!$B1:$AS665,4,FALSE)," ")</f>
        <v>858</v>
      </c>
      <c r="D444" t="s" s="86">
        <f>_xlfn.IFERROR(VLOOKUP($A444,'The List'!$B1:$AS665,5,FALSE)," ")</f>
        <v>858</v>
      </c>
      <c r="E444" t="s" s="86">
        <f>_xlfn.IFERROR(VLOOKUP($A444,'The List'!$B1:$AS665,6,FALSE)," ")</f>
        <v>858</v>
      </c>
      <c r="F444" t="s" s="124">
        <f>_xlfn.IFERROR(VLOOKUP($A444,'The List'!$B1:$AS665,8,FALSE)," ")</f>
        <v>858</v>
      </c>
      <c r="G444" t="s" s="124">
        <f>_xlfn.IFERROR(VLOOKUP($A444,'The List'!$B1:$AS665,10,FALSE)," ")</f>
        <v>858</v>
      </c>
      <c r="H444" s="77"/>
      <c r="I444" t="s" s="125">
        <f>_xlfn.IFERROR(VLOOKUP($A444,'The List'!$B1:$AS665,16,FALSE)," ")</f>
        <v>858</v>
      </c>
      <c r="J444" t="s" s="125">
        <f>_xlfn.IFERROR(VLOOKUP($A444,'The List'!$B1:$AS665,17,FALSE)," ")</f>
        <v>858</v>
      </c>
      <c r="K444" t="s" s="125">
        <f>_xlfn.IFERROR(VLOOKUP($A444,'The List'!$B1:$AS665,18,FALSE)," ")</f>
        <v>858</v>
      </c>
      <c r="L444" t="s" s="125">
        <f>_xlfn.IFERROR(VLOOKUP($A444,'The List'!$B1:$AS665,19,FALSE)," ")</f>
        <v>858</v>
      </c>
      <c r="M444" t="s" s="125">
        <f>_xlfn.IFERROR(VLOOKUP($A444,'The List'!$B1:$AS665,20,FALSE)," ")</f>
        <v>858</v>
      </c>
      <c r="N444" t="s" s="125">
        <f>_xlfn.IFERROR(VLOOKUP($A444,'The List'!$B1:$AS665,21,FALSE)," ")</f>
        <v>858</v>
      </c>
      <c r="O444" t="s" s="125">
        <f>_xlfn.IFERROR(VLOOKUP($A444,'The List'!$B1:$AS665,22,FALSE)," ")</f>
        <v>858</v>
      </c>
      <c r="P444" t="s" s="125">
        <f>_xlfn.IFERROR(VLOOKUP($A444,'The List'!$B1:$AS665,23,FALSE)," ")</f>
        <v>858</v>
      </c>
      <c r="Q444" t="s" s="125">
        <f>_xlfn.IFERROR(VLOOKUP($A444,'The List'!$B1:$AS665,24,FALSE)," ")</f>
        <v>858</v>
      </c>
      <c r="R444" t="s" s="125">
        <f>_xlfn.IFERROR(VLOOKUP($A444,'The List'!$B1:$AS665,25,FALSE)," ")</f>
        <v>858</v>
      </c>
      <c r="S444" t="s" s="125">
        <f>_xlfn.IFERROR(VLOOKUP($A444,'The List'!$B1:$AS665,26,FALSE)," ")</f>
        <v>858</v>
      </c>
      <c r="T444" t="s" s="125">
        <f>_xlfn.IFERROR(VLOOKUP($A444,'The List'!$B1:$AS665,27,FALSE)," ")</f>
        <v>858</v>
      </c>
      <c r="U444" t="s" s="125">
        <f>_xlfn.IFERROR(VLOOKUP($A444,'The List'!$B1:$AS665,28,FALSE)," ")</f>
        <v>858</v>
      </c>
      <c r="V444" t="s" s="125">
        <f>_xlfn.IFERROR(VLOOKUP($A444,'The List'!$B1:$AS665,29,FALSE)," ")</f>
        <v>858</v>
      </c>
      <c r="W444" t="s" s="125">
        <f>_xlfn.IFERROR(VLOOKUP($A444,'The List'!$B1:$AS665,30,FALSE)," ")</f>
        <v>858</v>
      </c>
      <c r="X444" t="s" s="125">
        <f>_xlfn.IFERROR(VLOOKUP($A444,'The List'!$B1:$AS665,31,FALSE)," ")</f>
        <v>858</v>
      </c>
      <c r="Y444" t="s" s="125">
        <f>_xlfn.IFERROR(VLOOKUP($A444,'The List'!$B1:$AS665,32,FALSE)," ")</f>
        <v>858</v>
      </c>
      <c r="Z444" t="s" s="125">
        <f>_xlfn.IFERROR(VLOOKUP($A444,'The List'!$B1:$AS665,33,FALSE)," ")</f>
        <v>858</v>
      </c>
      <c r="AA444" s="120"/>
      <c r="AB444" s="121"/>
      <c r="AC444" s="121"/>
      <c r="AD444" s="121"/>
      <c r="AE444" s="121"/>
      <c r="AF444" s="144"/>
    </row>
    <row r="445" ht="21.25" customHeight="1">
      <c r="A445" s="50"/>
      <c r="B445" t="s" s="129">
        <f>_xlfn.IFERROR(VLOOKUP($A445,'The List'!$B1:$AS665,3,FALSE)," ")</f>
        <v>858</v>
      </c>
      <c r="C445" t="s" s="131">
        <f>_xlfn.IFERROR(VLOOKUP($A445,'The List'!$B1:$AS665,4,FALSE)," ")</f>
        <v>858</v>
      </c>
      <c r="D445" t="s" s="86">
        <f>_xlfn.IFERROR(VLOOKUP($A445,'The List'!$B1:$AS665,5,FALSE)," ")</f>
        <v>858</v>
      </c>
      <c r="E445" t="s" s="86">
        <f>_xlfn.IFERROR(VLOOKUP($A445,'The List'!$B1:$AS665,6,FALSE)," ")</f>
        <v>858</v>
      </c>
      <c r="F445" t="s" s="124">
        <f>_xlfn.IFERROR(VLOOKUP($A445,'The List'!$B1:$AS665,8,FALSE)," ")</f>
        <v>858</v>
      </c>
      <c r="G445" t="s" s="124">
        <f>_xlfn.IFERROR(VLOOKUP($A445,'The List'!$B1:$AS665,10,FALSE)," ")</f>
        <v>858</v>
      </c>
      <c r="H445" s="77"/>
      <c r="I445" t="s" s="125">
        <f>_xlfn.IFERROR(VLOOKUP($A445,'The List'!$B1:$AS665,16,FALSE)," ")</f>
        <v>858</v>
      </c>
      <c r="J445" t="s" s="125">
        <f>_xlfn.IFERROR(VLOOKUP($A445,'The List'!$B1:$AS665,17,FALSE)," ")</f>
        <v>858</v>
      </c>
      <c r="K445" t="s" s="125">
        <f>_xlfn.IFERROR(VLOOKUP($A445,'The List'!$B1:$AS665,18,FALSE)," ")</f>
        <v>858</v>
      </c>
      <c r="L445" t="s" s="125">
        <f>_xlfn.IFERROR(VLOOKUP($A445,'The List'!$B1:$AS665,19,FALSE)," ")</f>
        <v>858</v>
      </c>
      <c r="M445" t="s" s="125">
        <f>_xlfn.IFERROR(VLOOKUP($A445,'The List'!$B1:$AS665,20,FALSE)," ")</f>
        <v>858</v>
      </c>
      <c r="N445" t="s" s="125">
        <f>_xlfn.IFERROR(VLOOKUP($A445,'The List'!$B1:$AS665,21,FALSE)," ")</f>
        <v>858</v>
      </c>
      <c r="O445" t="s" s="125">
        <f>_xlfn.IFERROR(VLOOKUP($A445,'The List'!$B1:$AS665,22,FALSE)," ")</f>
        <v>858</v>
      </c>
      <c r="P445" t="s" s="125">
        <f>_xlfn.IFERROR(VLOOKUP($A445,'The List'!$B1:$AS665,23,FALSE)," ")</f>
        <v>858</v>
      </c>
      <c r="Q445" t="s" s="125">
        <f>_xlfn.IFERROR(VLOOKUP($A445,'The List'!$B1:$AS665,24,FALSE)," ")</f>
        <v>858</v>
      </c>
      <c r="R445" t="s" s="125">
        <f>_xlfn.IFERROR(VLOOKUP($A445,'The List'!$B1:$AS665,25,FALSE)," ")</f>
        <v>858</v>
      </c>
      <c r="S445" t="s" s="125">
        <f>_xlfn.IFERROR(VLOOKUP($A445,'The List'!$B1:$AS665,26,FALSE)," ")</f>
        <v>858</v>
      </c>
      <c r="T445" t="s" s="125">
        <f>_xlfn.IFERROR(VLOOKUP($A445,'The List'!$B1:$AS665,27,FALSE)," ")</f>
        <v>858</v>
      </c>
      <c r="U445" t="s" s="125">
        <f>_xlfn.IFERROR(VLOOKUP($A445,'The List'!$B1:$AS665,28,FALSE)," ")</f>
        <v>858</v>
      </c>
      <c r="V445" t="s" s="125">
        <f>_xlfn.IFERROR(VLOOKUP($A445,'The List'!$B1:$AS665,29,FALSE)," ")</f>
        <v>858</v>
      </c>
      <c r="W445" t="s" s="125">
        <f>_xlfn.IFERROR(VLOOKUP($A445,'The List'!$B1:$AS665,30,FALSE)," ")</f>
        <v>858</v>
      </c>
      <c r="X445" t="s" s="125">
        <f>_xlfn.IFERROR(VLOOKUP($A445,'The List'!$B1:$AS665,31,FALSE)," ")</f>
        <v>858</v>
      </c>
      <c r="Y445" t="s" s="125">
        <f>_xlfn.IFERROR(VLOOKUP($A445,'The List'!$B1:$AS665,32,FALSE)," ")</f>
        <v>858</v>
      </c>
      <c r="Z445" t="s" s="125">
        <f>_xlfn.IFERROR(VLOOKUP($A445,'The List'!$B1:$AS665,33,FALSE)," ")</f>
        <v>858</v>
      </c>
      <c r="AA445" s="120"/>
      <c r="AB445" s="121"/>
      <c r="AC445" s="121"/>
      <c r="AD445" s="121"/>
      <c r="AE445" s="121"/>
      <c r="AF445" s="144"/>
    </row>
    <row r="446" ht="21.25" customHeight="1">
      <c r="A446" s="50"/>
      <c r="B446" t="s" s="129">
        <f>_xlfn.IFERROR(VLOOKUP($A446,'The List'!$B1:$AS665,3,FALSE)," ")</f>
        <v>858</v>
      </c>
      <c r="C446" t="s" s="131">
        <f>_xlfn.IFERROR(VLOOKUP($A446,'The List'!$B1:$AS665,4,FALSE)," ")</f>
        <v>858</v>
      </c>
      <c r="D446" t="s" s="86">
        <f>_xlfn.IFERROR(VLOOKUP($A446,'The List'!$B1:$AS665,5,FALSE)," ")</f>
        <v>858</v>
      </c>
      <c r="E446" t="s" s="86">
        <f>_xlfn.IFERROR(VLOOKUP($A446,'The List'!$B1:$AS665,6,FALSE)," ")</f>
        <v>858</v>
      </c>
      <c r="F446" t="s" s="124">
        <f>_xlfn.IFERROR(VLOOKUP($A446,'The List'!$B1:$AS665,8,FALSE)," ")</f>
        <v>858</v>
      </c>
      <c r="G446" t="s" s="124">
        <f>_xlfn.IFERROR(VLOOKUP($A446,'The List'!$B1:$AS665,10,FALSE)," ")</f>
        <v>858</v>
      </c>
      <c r="H446" s="77"/>
      <c r="I446" t="s" s="125">
        <f>_xlfn.IFERROR(VLOOKUP($A446,'The List'!$B1:$AS665,16,FALSE)," ")</f>
        <v>858</v>
      </c>
      <c r="J446" t="s" s="125">
        <f>_xlfn.IFERROR(VLOOKUP($A446,'The List'!$B1:$AS665,17,FALSE)," ")</f>
        <v>858</v>
      </c>
      <c r="K446" t="s" s="125">
        <f>_xlfn.IFERROR(VLOOKUP($A446,'The List'!$B1:$AS665,18,FALSE)," ")</f>
        <v>858</v>
      </c>
      <c r="L446" t="s" s="125">
        <f>_xlfn.IFERROR(VLOOKUP($A446,'The List'!$B1:$AS665,19,FALSE)," ")</f>
        <v>858</v>
      </c>
      <c r="M446" t="s" s="125">
        <f>_xlfn.IFERROR(VLOOKUP($A446,'The List'!$B1:$AS665,20,FALSE)," ")</f>
        <v>858</v>
      </c>
      <c r="N446" t="s" s="125">
        <f>_xlfn.IFERROR(VLOOKUP($A446,'The List'!$B1:$AS665,21,FALSE)," ")</f>
        <v>858</v>
      </c>
      <c r="O446" t="s" s="125">
        <f>_xlfn.IFERROR(VLOOKUP($A446,'The List'!$B1:$AS665,22,FALSE)," ")</f>
        <v>858</v>
      </c>
      <c r="P446" t="s" s="125">
        <f>_xlfn.IFERROR(VLOOKUP($A446,'The List'!$B1:$AS665,23,FALSE)," ")</f>
        <v>858</v>
      </c>
      <c r="Q446" t="s" s="125">
        <f>_xlfn.IFERROR(VLOOKUP($A446,'The List'!$B1:$AS665,24,FALSE)," ")</f>
        <v>858</v>
      </c>
      <c r="R446" t="s" s="125">
        <f>_xlfn.IFERROR(VLOOKUP($A446,'The List'!$B1:$AS665,25,FALSE)," ")</f>
        <v>858</v>
      </c>
      <c r="S446" t="s" s="125">
        <f>_xlfn.IFERROR(VLOOKUP($A446,'The List'!$B1:$AS665,26,FALSE)," ")</f>
        <v>858</v>
      </c>
      <c r="T446" t="s" s="125">
        <f>_xlfn.IFERROR(VLOOKUP($A446,'The List'!$B1:$AS665,27,FALSE)," ")</f>
        <v>858</v>
      </c>
      <c r="U446" t="s" s="125">
        <f>_xlfn.IFERROR(VLOOKUP($A446,'The List'!$B1:$AS665,28,FALSE)," ")</f>
        <v>858</v>
      </c>
      <c r="V446" t="s" s="125">
        <f>_xlfn.IFERROR(VLOOKUP($A446,'The List'!$B1:$AS665,29,FALSE)," ")</f>
        <v>858</v>
      </c>
      <c r="W446" t="s" s="125">
        <f>_xlfn.IFERROR(VLOOKUP($A446,'The List'!$B1:$AS665,30,FALSE)," ")</f>
        <v>858</v>
      </c>
      <c r="X446" t="s" s="125">
        <f>_xlfn.IFERROR(VLOOKUP($A446,'The List'!$B1:$AS665,31,FALSE)," ")</f>
        <v>858</v>
      </c>
      <c r="Y446" t="s" s="125">
        <f>_xlfn.IFERROR(VLOOKUP($A446,'The List'!$B1:$AS665,32,FALSE)," ")</f>
        <v>858</v>
      </c>
      <c r="Z446" t="s" s="125">
        <f>_xlfn.IFERROR(VLOOKUP($A446,'The List'!$B1:$AS665,33,FALSE)," ")</f>
        <v>858</v>
      </c>
      <c r="AA446" s="120"/>
      <c r="AB446" s="121"/>
      <c r="AC446" s="121"/>
      <c r="AD446" s="121"/>
      <c r="AE446" s="121"/>
      <c r="AF446" s="144"/>
    </row>
    <row r="447" ht="21.25" customHeight="1">
      <c r="A447" s="50"/>
      <c r="B447" t="s" s="129">
        <f>_xlfn.IFERROR(VLOOKUP($A447,'The List'!$B1:$AS665,3,FALSE)," ")</f>
        <v>858</v>
      </c>
      <c r="C447" t="s" s="131">
        <f>_xlfn.IFERROR(VLOOKUP($A447,'The List'!$B1:$AS665,4,FALSE)," ")</f>
        <v>858</v>
      </c>
      <c r="D447" t="s" s="86">
        <f>_xlfn.IFERROR(VLOOKUP($A447,'The List'!$B1:$AS665,5,FALSE)," ")</f>
        <v>858</v>
      </c>
      <c r="E447" t="s" s="86">
        <f>_xlfn.IFERROR(VLOOKUP($A447,'The List'!$B1:$AS665,6,FALSE)," ")</f>
        <v>858</v>
      </c>
      <c r="F447" t="s" s="124">
        <f>_xlfn.IFERROR(VLOOKUP($A447,'The List'!$B1:$AS665,8,FALSE)," ")</f>
        <v>858</v>
      </c>
      <c r="G447" t="s" s="124">
        <f>_xlfn.IFERROR(VLOOKUP($A447,'The List'!$B1:$AS665,10,FALSE)," ")</f>
        <v>858</v>
      </c>
      <c r="H447" s="77"/>
      <c r="I447" t="s" s="125">
        <f>_xlfn.IFERROR(VLOOKUP($A447,'The List'!$B1:$AS665,16,FALSE)," ")</f>
        <v>858</v>
      </c>
      <c r="J447" t="s" s="125">
        <f>_xlfn.IFERROR(VLOOKUP($A447,'The List'!$B1:$AS665,17,FALSE)," ")</f>
        <v>858</v>
      </c>
      <c r="K447" t="s" s="125">
        <f>_xlfn.IFERROR(VLOOKUP($A447,'The List'!$B1:$AS665,18,FALSE)," ")</f>
        <v>858</v>
      </c>
      <c r="L447" t="s" s="125">
        <f>_xlfn.IFERROR(VLOOKUP($A447,'The List'!$B1:$AS665,19,FALSE)," ")</f>
        <v>858</v>
      </c>
      <c r="M447" t="s" s="125">
        <f>_xlfn.IFERROR(VLOOKUP($A447,'The List'!$B1:$AS665,20,FALSE)," ")</f>
        <v>858</v>
      </c>
      <c r="N447" t="s" s="125">
        <f>_xlfn.IFERROR(VLOOKUP($A447,'The List'!$B1:$AS665,21,FALSE)," ")</f>
        <v>858</v>
      </c>
      <c r="O447" t="s" s="125">
        <f>_xlfn.IFERROR(VLOOKUP($A447,'The List'!$B1:$AS665,22,FALSE)," ")</f>
        <v>858</v>
      </c>
      <c r="P447" t="s" s="125">
        <f>_xlfn.IFERROR(VLOOKUP($A447,'The List'!$B1:$AS665,23,FALSE)," ")</f>
        <v>858</v>
      </c>
      <c r="Q447" t="s" s="125">
        <f>_xlfn.IFERROR(VLOOKUP($A447,'The List'!$B1:$AS665,24,FALSE)," ")</f>
        <v>858</v>
      </c>
      <c r="R447" t="s" s="125">
        <f>_xlfn.IFERROR(VLOOKUP($A447,'The List'!$B1:$AS665,25,FALSE)," ")</f>
        <v>858</v>
      </c>
      <c r="S447" t="s" s="125">
        <f>_xlfn.IFERROR(VLOOKUP($A447,'The List'!$B1:$AS665,26,FALSE)," ")</f>
        <v>858</v>
      </c>
      <c r="T447" t="s" s="125">
        <f>_xlfn.IFERROR(VLOOKUP($A447,'The List'!$B1:$AS665,27,FALSE)," ")</f>
        <v>858</v>
      </c>
      <c r="U447" t="s" s="125">
        <f>_xlfn.IFERROR(VLOOKUP($A447,'The List'!$B1:$AS665,28,FALSE)," ")</f>
        <v>858</v>
      </c>
      <c r="V447" t="s" s="125">
        <f>_xlfn.IFERROR(VLOOKUP($A447,'The List'!$B1:$AS665,29,FALSE)," ")</f>
        <v>858</v>
      </c>
      <c r="W447" t="s" s="125">
        <f>_xlfn.IFERROR(VLOOKUP($A447,'The List'!$B1:$AS665,30,FALSE)," ")</f>
        <v>858</v>
      </c>
      <c r="X447" t="s" s="125">
        <f>_xlfn.IFERROR(VLOOKUP($A447,'The List'!$B1:$AS665,31,FALSE)," ")</f>
        <v>858</v>
      </c>
      <c r="Y447" t="s" s="125">
        <f>_xlfn.IFERROR(VLOOKUP($A447,'The List'!$B1:$AS665,32,FALSE)," ")</f>
        <v>858</v>
      </c>
      <c r="Z447" t="s" s="125">
        <f>_xlfn.IFERROR(VLOOKUP($A447,'The List'!$B1:$AS665,33,FALSE)," ")</f>
        <v>858</v>
      </c>
      <c r="AA447" s="120"/>
      <c r="AB447" s="121"/>
      <c r="AC447" s="121"/>
      <c r="AD447" s="121"/>
      <c r="AE447" s="121"/>
      <c r="AF447" s="144"/>
    </row>
    <row r="448" ht="21.25" customHeight="1">
      <c r="A448" s="50"/>
      <c r="B448" t="s" s="129">
        <f>_xlfn.IFERROR(VLOOKUP($A448,'The List'!$B1:$AS665,3,FALSE)," ")</f>
        <v>858</v>
      </c>
      <c r="C448" t="s" s="131">
        <f>_xlfn.IFERROR(VLOOKUP($A448,'The List'!$B1:$AS665,4,FALSE)," ")</f>
        <v>858</v>
      </c>
      <c r="D448" t="s" s="86">
        <f>_xlfn.IFERROR(VLOOKUP($A448,'The List'!$B1:$AS665,5,FALSE)," ")</f>
        <v>858</v>
      </c>
      <c r="E448" t="s" s="86">
        <f>_xlfn.IFERROR(VLOOKUP($A448,'The List'!$B1:$AS665,6,FALSE)," ")</f>
        <v>858</v>
      </c>
      <c r="F448" t="s" s="124">
        <f>_xlfn.IFERROR(VLOOKUP($A448,'The List'!$B1:$AS665,8,FALSE)," ")</f>
        <v>858</v>
      </c>
      <c r="G448" t="s" s="124">
        <f>_xlfn.IFERROR(VLOOKUP($A448,'The List'!$B1:$AS665,10,FALSE)," ")</f>
        <v>858</v>
      </c>
      <c r="H448" s="77"/>
      <c r="I448" t="s" s="125">
        <f>_xlfn.IFERROR(VLOOKUP($A448,'The List'!$B1:$AS665,16,FALSE)," ")</f>
        <v>858</v>
      </c>
      <c r="J448" t="s" s="125">
        <f>_xlfn.IFERROR(VLOOKUP($A448,'The List'!$B1:$AS665,17,FALSE)," ")</f>
        <v>858</v>
      </c>
      <c r="K448" t="s" s="125">
        <f>_xlfn.IFERROR(VLOOKUP($A448,'The List'!$B1:$AS665,18,FALSE)," ")</f>
        <v>858</v>
      </c>
      <c r="L448" t="s" s="125">
        <f>_xlfn.IFERROR(VLOOKUP($A448,'The List'!$B1:$AS665,19,FALSE)," ")</f>
        <v>858</v>
      </c>
      <c r="M448" t="s" s="125">
        <f>_xlfn.IFERROR(VLOOKUP($A448,'The List'!$B1:$AS665,20,FALSE)," ")</f>
        <v>858</v>
      </c>
      <c r="N448" t="s" s="125">
        <f>_xlfn.IFERROR(VLOOKUP($A448,'The List'!$B1:$AS665,21,FALSE)," ")</f>
        <v>858</v>
      </c>
      <c r="O448" t="s" s="125">
        <f>_xlfn.IFERROR(VLOOKUP($A448,'The List'!$B1:$AS665,22,FALSE)," ")</f>
        <v>858</v>
      </c>
      <c r="P448" t="s" s="125">
        <f>_xlfn.IFERROR(VLOOKUP($A448,'The List'!$B1:$AS665,23,FALSE)," ")</f>
        <v>858</v>
      </c>
      <c r="Q448" t="s" s="125">
        <f>_xlfn.IFERROR(VLOOKUP($A448,'The List'!$B1:$AS665,24,FALSE)," ")</f>
        <v>858</v>
      </c>
      <c r="R448" t="s" s="125">
        <f>_xlfn.IFERROR(VLOOKUP($A448,'The List'!$B1:$AS665,25,FALSE)," ")</f>
        <v>858</v>
      </c>
      <c r="S448" t="s" s="125">
        <f>_xlfn.IFERROR(VLOOKUP($A448,'The List'!$B1:$AS665,26,FALSE)," ")</f>
        <v>858</v>
      </c>
      <c r="T448" t="s" s="125">
        <f>_xlfn.IFERROR(VLOOKUP($A448,'The List'!$B1:$AS665,27,FALSE)," ")</f>
        <v>858</v>
      </c>
      <c r="U448" t="s" s="125">
        <f>_xlfn.IFERROR(VLOOKUP($A448,'The List'!$B1:$AS665,28,FALSE)," ")</f>
        <v>858</v>
      </c>
      <c r="V448" t="s" s="125">
        <f>_xlfn.IFERROR(VLOOKUP($A448,'The List'!$B1:$AS665,29,FALSE)," ")</f>
        <v>858</v>
      </c>
      <c r="W448" t="s" s="125">
        <f>_xlfn.IFERROR(VLOOKUP($A448,'The List'!$B1:$AS665,30,FALSE)," ")</f>
        <v>858</v>
      </c>
      <c r="X448" t="s" s="125">
        <f>_xlfn.IFERROR(VLOOKUP($A448,'The List'!$B1:$AS665,31,FALSE)," ")</f>
        <v>858</v>
      </c>
      <c r="Y448" t="s" s="125">
        <f>_xlfn.IFERROR(VLOOKUP($A448,'The List'!$B1:$AS665,32,FALSE)," ")</f>
        <v>858</v>
      </c>
      <c r="Z448" t="s" s="125">
        <f>_xlfn.IFERROR(VLOOKUP($A448,'The List'!$B1:$AS665,33,FALSE)," ")</f>
        <v>858</v>
      </c>
      <c r="AA448" s="120"/>
      <c r="AB448" s="121"/>
      <c r="AC448" s="121"/>
      <c r="AD448" s="121"/>
      <c r="AE448" s="121"/>
      <c r="AF448" s="144"/>
    </row>
    <row r="449" ht="21.25" customHeight="1">
      <c r="A449" s="50"/>
      <c r="B449" t="s" s="132">
        <f>_xlfn.IFERROR(VLOOKUP($A449,'The List'!$B1:$AS665,3,FALSE)," ")</f>
        <v>858</v>
      </c>
      <c r="C449" t="s" s="134">
        <f>_xlfn.IFERROR(VLOOKUP($A449,'The List'!$B1:$AS665,4,FALSE)," ")</f>
        <v>858</v>
      </c>
      <c r="D449" t="s" s="86">
        <f>_xlfn.IFERROR(VLOOKUP($A449,'The List'!$B1:$AS665,5,FALSE)," ")</f>
        <v>858</v>
      </c>
      <c r="E449" t="s" s="86">
        <f>_xlfn.IFERROR(VLOOKUP($A449,'The List'!$B1:$AS665,6,FALSE)," ")</f>
        <v>858</v>
      </c>
      <c r="F449" t="s" s="124">
        <f>_xlfn.IFERROR(VLOOKUP($A449,'The List'!$B1:$AS665,8,FALSE)," ")</f>
        <v>858</v>
      </c>
      <c r="G449" t="s" s="124">
        <f>_xlfn.IFERROR(VLOOKUP($A449,'The List'!$B1:$AS665,10,FALSE)," ")</f>
        <v>858</v>
      </c>
      <c r="H449" s="77"/>
      <c r="I449" t="s" s="125">
        <f>_xlfn.IFERROR(VLOOKUP($A449,'The List'!$B1:$AS665,16,FALSE)," ")</f>
        <v>858</v>
      </c>
      <c r="J449" t="s" s="125">
        <f>_xlfn.IFERROR(VLOOKUP($A449,'The List'!$B1:$AS665,17,FALSE)," ")</f>
        <v>858</v>
      </c>
      <c r="K449" t="s" s="125">
        <f>_xlfn.IFERROR(VLOOKUP($A449,'The List'!$B1:$AS665,18,FALSE)," ")</f>
        <v>858</v>
      </c>
      <c r="L449" t="s" s="125">
        <f>_xlfn.IFERROR(VLOOKUP($A449,'The List'!$B1:$AS665,19,FALSE)," ")</f>
        <v>858</v>
      </c>
      <c r="M449" t="s" s="125">
        <f>_xlfn.IFERROR(VLOOKUP($A449,'The List'!$B1:$AS665,20,FALSE)," ")</f>
        <v>858</v>
      </c>
      <c r="N449" t="s" s="125">
        <f>_xlfn.IFERROR(VLOOKUP($A449,'The List'!$B1:$AS665,21,FALSE)," ")</f>
        <v>858</v>
      </c>
      <c r="O449" t="s" s="125">
        <f>_xlfn.IFERROR(VLOOKUP($A449,'The List'!$B1:$AS665,22,FALSE)," ")</f>
        <v>858</v>
      </c>
      <c r="P449" t="s" s="125">
        <f>_xlfn.IFERROR(VLOOKUP($A449,'The List'!$B1:$AS665,23,FALSE)," ")</f>
        <v>858</v>
      </c>
      <c r="Q449" t="s" s="125">
        <f>_xlfn.IFERROR(VLOOKUP($A449,'The List'!$B1:$AS665,24,FALSE)," ")</f>
        <v>858</v>
      </c>
      <c r="R449" t="s" s="125">
        <f>_xlfn.IFERROR(VLOOKUP($A449,'The List'!$B1:$AS665,25,FALSE)," ")</f>
        <v>858</v>
      </c>
      <c r="S449" t="s" s="125">
        <f>_xlfn.IFERROR(VLOOKUP($A449,'The List'!$B1:$AS665,26,FALSE)," ")</f>
        <v>858</v>
      </c>
      <c r="T449" t="s" s="125">
        <f>_xlfn.IFERROR(VLOOKUP($A449,'The List'!$B1:$AS665,27,FALSE)," ")</f>
        <v>858</v>
      </c>
      <c r="U449" t="s" s="125">
        <f>_xlfn.IFERROR(VLOOKUP($A449,'The List'!$B1:$AS665,28,FALSE)," ")</f>
        <v>858</v>
      </c>
      <c r="V449" t="s" s="125">
        <f>_xlfn.IFERROR(VLOOKUP($A449,'The List'!$B1:$AS665,29,FALSE)," ")</f>
        <v>858</v>
      </c>
      <c r="W449" t="s" s="125">
        <f>_xlfn.IFERROR(VLOOKUP($A449,'The List'!$B1:$AS665,30,FALSE)," ")</f>
        <v>858</v>
      </c>
      <c r="X449" t="s" s="125">
        <f>_xlfn.IFERROR(VLOOKUP($A449,'The List'!$B1:$AS665,31,FALSE)," ")</f>
        <v>858</v>
      </c>
      <c r="Y449" t="s" s="125">
        <f>_xlfn.IFERROR(VLOOKUP($A449,'The List'!$B1:$AS665,32,FALSE)," ")</f>
        <v>858</v>
      </c>
      <c r="Z449" t="s" s="125">
        <f>_xlfn.IFERROR(VLOOKUP($A449,'The List'!$B1:$AS665,33,FALSE)," ")</f>
        <v>858</v>
      </c>
      <c r="AA449" s="120"/>
      <c r="AB449" s="121"/>
      <c r="AC449" s="121"/>
      <c r="AD449" s="121"/>
      <c r="AE449" s="121"/>
      <c r="AF449" s="144"/>
    </row>
    <row r="450" ht="21.25" customHeight="1">
      <c r="A450" s="50"/>
      <c r="B450" t="s" s="132">
        <f>_xlfn.IFERROR(VLOOKUP($A450,'The List'!$B1:$AS665,3,FALSE)," ")</f>
        <v>858</v>
      </c>
      <c r="C450" t="s" s="134">
        <f>_xlfn.IFERROR(VLOOKUP($A450,'The List'!$B1:$AS665,4,FALSE)," ")</f>
        <v>858</v>
      </c>
      <c r="D450" t="s" s="86">
        <f>_xlfn.IFERROR(VLOOKUP($A450,'The List'!$B1:$AS665,5,FALSE)," ")</f>
        <v>858</v>
      </c>
      <c r="E450" t="s" s="86">
        <f>_xlfn.IFERROR(VLOOKUP($A450,'The List'!$B1:$AS665,6,FALSE)," ")</f>
        <v>858</v>
      </c>
      <c r="F450" t="s" s="124">
        <f>_xlfn.IFERROR(VLOOKUP($A450,'The List'!$B1:$AS665,8,FALSE)," ")</f>
        <v>858</v>
      </c>
      <c r="G450" t="s" s="124">
        <f>_xlfn.IFERROR(VLOOKUP($A450,'The List'!$B1:$AS665,10,FALSE)," ")</f>
        <v>858</v>
      </c>
      <c r="H450" s="77"/>
      <c r="I450" t="s" s="125">
        <f>_xlfn.IFERROR(VLOOKUP($A450,'The List'!$B1:$AS665,16,FALSE)," ")</f>
        <v>858</v>
      </c>
      <c r="J450" t="s" s="125">
        <f>_xlfn.IFERROR(VLOOKUP($A450,'The List'!$B1:$AS665,17,FALSE)," ")</f>
        <v>858</v>
      </c>
      <c r="K450" t="s" s="125">
        <f>_xlfn.IFERROR(VLOOKUP($A450,'The List'!$B1:$AS665,18,FALSE)," ")</f>
        <v>858</v>
      </c>
      <c r="L450" t="s" s="125">
        <f>_xlfn.IFERROR(VLOOKUP($A450,'The List'!$B1:$AS665,19,FALSE)," ")</f>
        <v>858</v>
      </c>
      <c r="M450" t="s" s="125">
        <f>_xlfn.IFERROR(VLOOKUP($A450,'The List'!$B1:$AS665,20,FALSE)," ")</f>
        <v>858</v>
      </c>
      <c r="N450" t="s" s="125">
        <f>_xlfn.IFERROR(VLOOKUP($A450,'The List'!$B1:$AS665,21,FALSE)," ")</f>
        <v>858</v>
      </c>
      <c r="O450" t="s" s="125">
        <f>_xlfn.IFERROR(VLOOKUP($A450,'The List'!$B1:$AS665,22,FALSE)," ")</f>
        <v>858</v>
      </c>
      <c r="P450" t="s" s="125">
        <f>_xlfn.IFERROR(VLOOKUP($A450,'The List'!$B1:$AS665,23,FALSE)," ")</f>
        <v>858</v>
      </c>
      <c r="Q450" t="s" s="125">
        <f>_xlfn.IFERROR(VLOOKUP($A450,'The List'!$B1:$AS665,24,FALSE)," ")</f>
        <v>858</v>
      </c>
      <c r="R450" t="s" s="125">
        <f>_xlfn.IFERROR(VLOOKUP($A450,'The List'!$B1:$AS665,25,FALSE)," ")</f>
        <v>858</v>
      </c>
      <c r="S450" t="s" s="125">
        <f>_xlfn.IFERROR(VLOOKUP($A450,'The List'!$B1:$AS665,26,FALSE)," ")</f>
        <v>858</v>
      </c>
      <c r="T450" t="s" s="125">
        <f>_xlfn.IFERROR(VLOOKUP($A450,'The List'!$B1:$AS665,27,FALSE)," ")</f>
        <v>858</v>
      </c>
      <c r="U450" t="s" s="125">
        <f>_xlfn.IFERROR(VLOOKUP($A450,'The List'!$B1:$AS665,28,FALSE)," ")</f>
        <v>858</v>
      </c>
      <c r="V450" t="s" s="125">
        <f>_xlfn.IFERROR(VLOOKUP($A450,'The List'!$B1:$AS665,29,FALSE)," ")</f>
        <v>858</v>
      </c>
      <c r="W450" t="s" s="125">
        <f>_xlfn.IFERROR(VLOOKUP($A450,'The List'!$B1:$AS665,30,FALSE)," ")</f>
        <v>858</v>
      </c>
      <c r="X450" t="s" s="125">
        <f>_xlfn.IFERROR(VLOOKUP($A450,'The List'!$B1:$AS665,31,FALSE)," ")</f>
        <v>858</v>
      </c>
      <c r="Y450" t="s" s="125">
        <f>_xlfn.IFERROR(VLOOKUP($A450,'The List'!$B1:$AS665,32,FALSE)," ")</f>
        <v>858</v>
      </c>
      <c r="Z450" t="s" s="125">
        <f>_xlfn.IFERROR(VLOOKUP($A450,'The List'!$B1:$AS665,33,FALSE)," ")</f>
        <v>858</v>
      </c>
      <c r="AA450" s="120"/>
      <c r="AB450" s="121"/>
      <c r="AC450" s="121"/>
      <c r="AD450" s="121"/>
      <c r="AE450" s="121"/>
      <c r="AF450" s="144"/>
    </row>
    <row r="451" ht="21.25" customHeight="1">
      <c r="A451" s="50"/>
      <c r="B451" t="s" s="132">
        <f>_xlfn.IFERROR(VLOOKUP($A451,'The List'!$B1:$AS665,3,FALSE)," ")</f>
        <v>858</v>
      </c>
      <c r="C451" t="s" s="134">
        <f>_xlfn.IFERROR(VLOOKUP($A451,'The List'!$B1:$AS665,4,FALSE)," ")</f>
        <v>858</v>
      </c>
      <c r="D451" t="s" s="86">
        <f>_xlfn.IFERROR(VLOOKUP($A451,'The List'!$B1:$AS665,5,FALSE)," ")</f>
        <v>858</v>
      </c>
      <c r="E451" t="s" s="86">
        <f>_xlfn.IFERROR(VLOOKUP($A451,'The List'!$B1:$AS665,6,FALSE)," ")</f>
        <v>858</v>
      </c>
      <c r="F451" t="s" s="124">
        <f>_xlfn.IFERROR(VLOOKUP($A451,'The List'!$B1:$AS665,8,FALSE)," ")</f>
        <v>858</v>
      </c>
      <c r="G451" t="s" s="124">
        <f>_xlfn.IFERROR(VLOOKUP($A451,'The List'!$B1:$AS665,10,FALSE)," ")</f>
        <v>858</v>
      </c>
      <c r="H451" s="77"/>
      <c r="I451" t="s" s="125">
        <f>_xlfn.IFERROR(VLOOKUP($A451,'The List'!$B1:$AS665,16,FALSE)," ")</f>
        <v>858</v>
      </c>
      <c r="J451" t="s" s="125">
        <f>_xlfn.IFERROR(VLOOKUP($A451,'The List'!$B1:$AS665,17,FALSE)," ")</f>
        <v>858</v>
      </c>
      <c r="K451" t="s" s="125">
        <f>_xlfn.IFERROR(VLOOKUP($A451,'The List'!$B1:$AS665,18,FALSE)," ")</f>
        <v>858</v>
      </c>
      <c r="L451" t="s" s="125">
        <f>_xlfn.IFERROR(VLOOKUP($A451,'The List'!$B1:$AS665,19,FALSE)," ")</f>
        <v>858</v>
      </c>
      <c r="M451" t="s" s="125">
        <f>_xlfn.IFERROR(VLOOKUP($A451,'The List'!$B1:$AS665,20,FALSE)," ")</f>
        <v>858</v>
      </c>
      <c r="N451" t="s" s="125">
        <f>_xlfn.IFERROR(VLOOKUP($A451,'The List'!$B1:$AS665,21,FALSE)," ")</f>
        <v>858</v>
      </c>
      <c r="O451" t="s" s="125">
        <f>_xlfn.IFERROR(VLOOKUP($A451,'The List'!$B1:$AS665,22,FALSE)," ")</f>
        <v>858</v>
      </c>
      <c r="P451" t="s" s="125">
        <f>_xlfn.IFERROR(VLOOKUP($A451,'The List'!$B1:$AS665,23,FALSE)," ")</f>
        <v>858</v>
      </c>
      <c r="Q451" t="s" s="125">
        <f>_xlfn.IFERROR(VLOOKUP($A451,'The List'!$B1:$AS665,24,FALSE)," ")</f>
        <v>858</v>
      </c>
      <c r="R451" t="s" s="125">
        <f>_xlfn.IFERROR(VLOOKUP($A451,'The List'!$B1:$AS665,25,FALSE)," ")</f>
        <v>858</v>
      </c>
      <c r="S451" t="s" s="125">
        <f>_xlfn.IFERROR(VLOOKUP($A451,'The List'!$B1:$AS665,26,FALSE)," ")</f>
        <v>858</v>
      </c>
      <c r="T451" t="s" s="125">
        <f>_xlfn.IFERROR(VLOOKUP($A451,'The List'!$B1:$AS665,27,FALSE)," ")</f>
        <v>858</v>
      </c>
      <c r="U451" t="s" s="125">
        <f>_xlfn.IFERROR(VLOOKUP($A451,'The List'!$B1:$AS665,28,FALSE)," ")</f>
        <v>858</v>
      </c>
      <c r="V451" t="s" s="125">
        <f>_xlfn.IFERROR(VLOOKUP($A451,'The List'!$B1:$AS665,29,FALSE)," ")</f>
        <v>858</v>
      </c>
      <c r="W451" t="s" s="125">
        <f>_xlfn.IFERROR(VLOOKUP($A451,'The List'!$B1:$AS665,30,FALSE)," ")</f>
        <v>858</v>
      </c>
      <c r="X451" t="s" s="125">
        <f>_xlfn.IFERROR(VLOOKUP($A451,'The List'!$B1:$AS665,31,FALSE)," ")</f>
        <v>858</v>
      </c>
      <c r="Y451" t="s" s="125">
        <f>_xlfn.IFERROR(VLOOKUP($A451,'The List'!$B1:$AS665,32,FALSE)," ")</f>
        <v>858</v>
      </c>
      <c r="Z451" t="s" s="125">
        <f>_xlfn.IFERROR(VLOOKUP($A451,'The List'!$B1:$AS665,33,FALSE)," ")</f>
        <v>858</v>
      </c>
      <c r="AA451" s="120"/>
      <c r="AB451" s="121"/>
      <c r="AC451" s="121"/>
      <c r="AD451" s="121"/>
      <c r="AE451" s="121"/>
      <c r="AF451" s="144"/>
    </row>
    <row r="452" ht="21.25" customHeight="1">
      <c r="A452" s="50"/>
      <c r="B452" t="s" s="132">
        <f>_xlfn.IFERROR(VLOOKUP($A452,'The List'!$B1:$AS665,3,FALSE)," ")</f>
        <v>858</v>
      </c>
      <c r="C452" t="s" s="134">
        <f>_xlfn.IFERROR(VLOOKUP($A452,'The List'!$B1:$AS665,4,FALSE)," ")</f>
        <v>858</v>
      </c>
      <c r="D452" t="s" s="86">
        <f>_xlfn.IFERROR(VLOOKUP($A452,'The List'!$B1:$AS665,5,FALSE)," ")</f>
        <v>858</v>
      </c>
      <c r="E452" t="s" s="86">
        <f>_xlfn.IFERROR(VLOOKUP($A452,'The List'!$B1:$AS665,6,FALSE)," ")</f>
        <v>858</v>
      </c>
      <c r="F452" t="s" s="124">
        <f>_xlfn.IFERROR(VLOOKUP($A452,'The List'!$B1:$AS665,8,FALSE)," ")</f>
        <v>858</v>
      </c>
      <c r="G452" t="s" s="124">
        <f>_xlfn.IFERROR(VLOOKUP($A452,'The List'!$B1:$AS665,10,FALSE)," ")</f>
        <v>858</v>
      </c>
      <c r="H452" s="77"/>
      <c r="I452" t="s" s="125">
        <f>_xlfn.IFERROR(VLOOKUP($A452,'The List'!$B1:$AS665,16,FALSE)," ")</f>
        <v>858</v>
      </c>
      <c r="J452" t="s" s="125">
        <f>_xlfn.IFERROR(VLOOKUP($A452,'The List'!$B1:$AS665,17,FALSE)," ")</f>
        <v>858</v>
      </c>
      <c r="K452" t="s" s="125">
        <f>_xlfn.IFERROR(VLOOKUP($A452,'The List'!$B1:$AS665,18,FALSE)," ")</f>
        <v>858</v>
      </c>
      <c r="L452" t="s" s="125">
        <f>_xlfn.IFERROR(VLOOKUP($A452,'The List'!$B1:$AS665,19,FALSE)," ")</f>
        <v>858</v>
      </c>
      <c r="M452" t="s" s="125">
        <f>_xlfn.IFERROR(VLOOKUP($A452,'The List'!$B1:$AS665,20,FALSE)," ")</f>
        <v>858</v>
      </c>
      <c r="N452" t="s" s="125">
        <f>_xlfn.IFERROR(VLOOKUP($A452,'The List'!$B1:$AS665,21,FALSE)," ")</f>
        <v>858</v>
      </c>
      <c r="O452" t="s" s="125">
        <f>_xlfn.IFERROR(VLOOKUP($A452,'The List'!$B1:$AS665,22,FALSE)," ")</f>
        <v>858</v>
      </c>
      <c r="P452" t="s" s="125">
        <f>_xlfn.IFERROR(VLOOKUP($A452,'The List'!$B1:$AS665,23,FALSE)," ")</f>
        <v>858</v>
      </c>
      <c r="Q452" t="s" s="125">
        <f>_xlfn.IFERROR(VLOOKUP($A452,'The List'!$B1:$AS665,24,FALSE)," ")</f>
        <v>858</v>
      </c>
      <c r="R452" t="s" s="125">
        <f>_xlfn.IFERROR(VLOOKUP($A452,'The List'!$B1:$AS665,25,FALSE)," ")</f>
        <v>858</v>
      </c>
      <c r="S452" t="s" s="125">
        <f>_xlfn.IFERROR(VLOOKUP($A452,'The List'!$B1:$AS665,26,FALSE)," ")</f>
        <v>858</v>
      </c>
      <c r="T452" t="s" s="125">
        <f>_xlfn.IFERROR(VLOOKUP($A452,'The List'!$B1:$AS665,27,FALSE)," ")</f>
        <v>858</v>
      </c>
      <c r="U452" t="s" s="125">
        <f>_xlfn.IFERROR(VLOOKUP($A452,'The List'!$B1:$AS665,28,FALSE)," ")</f>
        <v>858</v>
      </c>
      <c r="V452" t="s" s="125">
        <f>_xlfn.IFERROR(VLOOKUP($A452,'The List'!$B1:$AS665,29,FALSE)," ")</f>
        <v>858</v>
      </c>
      <c r="W452" t="s" s="125">
        <f>_xlfn.IFERROR(VLOOKUP($A452,'The List'!$B1:$AS665,30,FALSE)," ")</f>
        <v>858</v>
      </c>
      <c r="X452" t="s" s="125">
        <f>_xlfn.IFERROR(VLOOKUP($A452,'The List'!$B1:$AS665,31,FALSE)," ")</f>
        <v>858</v>
      </c>
      <c r="Y452" t="s" s="125">
        <f>_xlfn.IFERROR(VLOOKUP($A452,'The List'!$B1:$AS665,32,FALSE)," ")</f>
        <v>858</v>
      </c>
      <c r="Z452" t="s" s="125">
        <f>_xlfn.IFERROR(VLOOKUP($A452,'The List'!$B1:$AS665,33,FALSE)," ")</f>
        <v>858</v>
      </c>
      <c r="AA452" s="120"/>
      <c r="AB452" s="121"/>
      <c r="AC452" s="121"/>
      <c r="AD452" s="121"/>
      <c r="AE452" s="121"/>
      <c r="AF452" s="144"/>
    </row>
    <row r="453" ht="21.25" customHeight="1">
      <c r="A453" s="50"/>
      <c r="B453" t="s" s="132">
        <f>_xlfn.IFERROR(VLOOKUP($A453,'The List'!$B1:$AS665,3,FALSE)," ")</f>
        <v>858</v>
      </c>
      <c r="C453" t="s" s="134">
        <f>_xlfn.IFERROR(VLOOKUP($A453,'The List'!$B1:$AS665,4,FALSE)," ")</f>
        <v>858</v>
      </c>
      <c r="D453" t="s" s="86">
        <f>_xlfn.IFERROR(VLOOKUP($A453,'The List'!$B1:$AS665,5,FALSE)," ")</f>
        <v>858</v>
      </c>
      <c r="E453" t="s" s="86">
        <f>_xlfn.IFERROR(VLOOKUP($A453,'The List'!$B1:$AS665,6,FALSE)," ")</f>
        <v>858</v>
      </c>
      <c r="F453" t="s" s="124">
        <f>_xlfn.IFERROR(VLOOKUP($A453,'The List'!$B1:$AS665,8,FALSE)," ")</f>
        <v>858</v>
      </c>
      <c r="G453" t="s" s="124">
        <f>_xlfn.IFERROR(VLOOKUP($A453,'The List'!$B1:$AS665,10,FALSE)," ")</f>
        <v>858</v>
      </c>
      <c r="H453" s="77"/>
      <c r="I453" t="s" s="125">
        <f>_xlfn.IFERROR(VLOOKUP($A453,'The List'!$B1:$AS665,16,FALSE)," ")</f>
        <v>858</v>
      </c>
      <c r="J453" t="s" s="125">
        <f>_xlfn.IFERROR(VLOOKUP($A453,'The List'!$B1:$AS665,17,FALSE)," ")</f>
        <v>858</v>
      </c>
      <c r="K453" t="s" s="125">
        <f>_xlfn.IFERROR(VLOOKUP($A453,'The List'!$B1:$AS665,18,FALSE)," ")</f>
        <v>858</v>
      </c>
      <c r="L453" t="s" s="125">
        <f>_xlfn.IFERROR(VLOOKUP($A453,'The List'!$B1:$AS665,19,FALSE)," ")</f>
        <v>858</v>
      </c>
      <c r="M453" t="s" s="125">
        <f>_xlfn.IFERROR(VLOOKUP($A453,'The List'!$B1:$AS665,20,FALSE)," ")</f>
        <v>858</v>
      </c>
      <c r="N453" t="s" s="125">
        <f>_xlfn.IFERROR(VLOOKUP($A453,'The List'!$B1:$AS665,21,FALSE)," ")</f>
        <v>858</v>
      </c>
      <c r="O453" t="s" s="125">
        <f>_xlfn.IFERROR(VLOOKUP($A453,'The List'!$B1:$AS665,22,FALSE)," ")</f>
        <v>858</v>
      </c>
      <c r="P453" t="s" s="125">
        <f>_xlfn.IFERROR(VLOOKUP($A453,'The List'!$B1:$AS665,23,FALSE)," ")</f>
        <v>858</v>
      </c>
      <c r="Q453" t="s" s="125">
        <f>_xlfn.IFERROR(VLOOKUP($A453,'The List'!$B1:$AS665,24,FALSE)," ")</f>
        <v>858</v>
      </c>
      <c r="R453" t="s" s="125">
        <f>_xlfn.IFERROR(VLOOKUP($A453,'The List'!$B1:$AS665,25,FALSE)," ")</f>
        <v>858</v>
      </c>
      <c r="S453" t="s" s="125">
        <f>_xlfn.IFERROR(VLOOKUP($A453,'The List'!$B1:$AS665,26,FALSE)," ")</f>
        <v>858</v>
      </c>
      <c r="T453" t="s" s="125">
        <f>_xlfn.IFERROR(VLOOKUP($A453,'The List'!$B1:$AS665,27,FALSE)," ")</f>
        <v>858</v>
      </c>
      <c r="U453" t="s" s="125">
        <f>_xlfn.IFERROR(VLOOKUP($A453,'The List'!$B1:$AS665,28,FALSE)," ")</f>
        <v>858</v>
      </c>
      <c r="V453" t="s" s="125">
        <f>_xlfn.IFERROR(VLOOKUP($A453,'The List'!$B1:$AS665,29,FALSE)," ")</f>
        <v>858</v>
      </c>
      <c r="W453" t="s" s="125">
        <f>_xlfn.IFERROR(VLOOKUP($A453,'The List'!$B1:$AS665,30,FALSE)," ")</f>
        <v>858</v>
      </c>
      <c r="X453" t="s" s="125">
        <f>_xlfn.IFERROR(VLOOKUP($A453,'The List'!$B1:$AS665,31,FALSE)," ")</f>
        <v>858</v>
      </c>
      <c r="Y453" t="s" s="125">
        <f>_xlfn.IFERROR(VLOOKUP($A453,'The List'!$B1:$AS665,32,FALSE)," ")</f>
        <v>858</v>
      </c>
      <c r="Z453" t="s" s="125">
        <f>_xlfn.IFERROR(VLOOKUP($A453,'The List'!$B1:$AS665,33,FALSE)," ")</f>
        <v>858</v>
      </c>
      <c r="AA453" s="120"/>
      <c r="AB453" s="121"/>
      <c r="AC453" s="121"/>
      <c r="AD453" s="121"/>
      <c r="AE453" s="121"/>
      <c r="AF453" s="144"/>
    </row>
    <row r="454" ht="21.25" customHeight="1">
      <c r="A454" s="50"/>
      <c r="B454" t="s" s="132">
        <f>_xlfn.IFERROR(VLOOKUP($A454,'The List'!$B1:$AS665,3,FALSE)," ")</f>
        <v>858</v>
      </c>
      <c r="C454" t="s" s="134">
        <f>_xlfn.IFERROR(VLOOKUP($A454,'The List'!$B1:$AS665,4,FALSE)," ")</f>
        <v>858</v>
      </c>
      <c r="D454" t="s" s="86">
        <f>_xlfn.IFERROR(VLOOKUP($A454,'The List'!$B1:$AS665,5,FALSE)," ")</f>
        <v>858</v>
      </c>
      <c r="E454" t="s" s="86">
        <f>_xlfn.IFERROR(VLOOKUP($A454,'The List'!$B1:$AS665,6,FALSE)," ")</f>
        <v>858</v>
      </c>
      <c r="F454" t="s" s="124">
        <f>_xlfn.IFERROR(VLOOKUP($A454,'The List'!$B1:$AS665,8,FALSE)," ")</f>
        <v>858</v>
      </c>
      <c r="G454" t="s" s="124">
        <f>_xlfn.IFERROR(VLOOKUP($A454,'The List'!$B1:$AS665,10,FALSE)," ")</f>
        <v>858</v>
      </c>
      <c r="H454" s="77"/>
      <c r="I454" t="s" s="125">
        <f>_xlfn.IFERROR(VLOOKUP($A454,'The List'!$B1:$AS665,16,FALSE)," ")</f>
        <v>858</v>
      </c>
      <c r="J454" t="s" s="125">
        <f>_xlfn.IFERROR(VLOOKUP($A454,'The List'!$B1:$AS665,17,FALSE)," ")</f>
        <v>858</v>
      </c>
      <c r="K454" t="s" s="125">
        <f>_xlfn.IFERROR(VLOOKUP($A454,'The List'!$B1:$AS665,18,FALSE)," ")</f>
        <v>858</v>
      </c>
      <c r="L454" t="s" s="125">
        <f>_xlfn.IFERROR(VLOOKUP($A454,'The List'!$B1:$AS665,19,FALSE)," ")</f>
        <v>858</v>
      </c>
      <c r="M454" t="s" s="125">
        <f>_xlfn.IFERROR(VLOOKUP($A454,'The List'!$B1:$AS665,20,FALSE)," ")</f>
        <v>858</v>
      </c>
      <c r="N454" t="s" s="125">
        <f>_xlfn.IFERROR(VLOOKUP($A454,'The List'!$B1:$AS665,21,FALSE)," ")</f>
        <v>858</v>
      </c>
      <c r="O454" t="s" s="125">
        <f>_xlfn.IFERROR(VLOOKUP($A454,'The List'!$B1:$AS665,22,FALSE)," ")</f>
        <v>858</v>
      </c>
      <c r="P454" t="s" s="125">
        <f>_xlfn.IFERROR(VLOOKUP($A454,'The List'!$B1:$AS665,23,FALSE)," ")</f>
        <v>858</v>
      </c>
      <c r="Q454" t="s" s="125">
        <f>_xlfn.IFERROR(VLOOKUP($A454,'The List'!$B1:$AS665,24,FALSE)," ")</f>
        <v>858</v>
      </c>
      <c r="R454" t="s" s="125">
        <f>_xlfn.IFERROR(VLOOKUP($A454,'The List'!$B1:$AS665,25,FALSE)," ")</f>
        <v>858</v>
      </c>
      <c r="S454" t="s" s="125">
        <f>_xlfn.IFERROR(VLOOKUP($A454,'The List'!$B1:$AS665,26,FALSE)," ")</f>
        <v>858</v>
      </c>
      <c r="T454" t="s" s="125">
        <f>_xlfn.IFERROR(VLOOKUP($A454,'The List'!$B1:$AS665,27,FALSE)," ")</f>
        <v>858</v>
      </c>
      <c r="U454" t="s" s="125">
        <f>_xlfn.IFERROR(VLOOKUP($A454,'The List'!$B1:$AS665,28,FALSE)," ")</f>
        <v>858</v>
      </c>
      <c r="V454" t="s" s="125">
        <f>_xlfn.IFERROR(VLOOKUP($A454,'The List'!$B1:$AS665,29,FALSE)," ")</f>
        <v>858</v>
      </c>
      <c r="W454" t="s" s="125">
        <f>_xlfn.IFERROR(VLOOKUP($A454,'The List'!$B1:$AS665,30,FALSE)," ")</f>
        <v>858</v>
      </c>
      <c r="X454" t="s" s="125">
        <f>_xlfn.IFERROR(VLOOKUP($A454,'The List'!$B1:$AS665,31,FALSE)," ")</f>
        <v>858</v>
      </c>
      <c r="Y454" t="s" s="125">
        <f>_xlfn.IFERROR(VLOOKUP($A454,'The List'!$B1:$AS665,32,FALSE)," ")</f>
        <v>858</v>
      </c>
      <c r="Z454" t="s" s="125">
        <f>_xlfn.IFERROR(VLOOKUP($A454,'The List'!$B1:$AS665,33,FALSE)," ")</f>
        <v>858</v>
      </c>
      <c r="AA454" s="120"/>
      <c r="AB454" s="121"/>
      <c r="AC454" s="121"/>
      <c r="AD454" s="121"/>
      <c r="AE454" s="121"/>
      <c r="AF454" s="144"/>
    </row>
    <row r="455" ht="21.25" customHeight="1">
      <c r="A455" s="50"/>
      <c r="B455" t="s" s="132">
        <f>_xlfn.IFERROR(VLOOKUP($A455,'The List'!$B1:$AS665,3,FALSE)," ")</f>
        <v>858</v>
      </c>
      <c r="C455" t="s" s="134">
        <f>_xlfn.IFERROR(VLOOKUP($A455,'The List'!$B1:$AS665,4,FALSE)," ")</f>
        <v>858</v>
      </c>
      <c r="D455" t="s" s="86">
        <f>_xlfn.IFERROR(VLOOKUP($A455,'The List'!$B1:$AS665,5,FALSE)," ")</f>
        <v>858</v>
      </c>
      <c r="E455" t="s" s="86">
        <f>_xlfn.IFERROR(VLOOKUP($A455,'The List'!$B1:$AS665,6,FALSE)," ")</f>
        <v>858</v>
      </c>
      <c r="F455" t="s" s="124">
        <f>_xlfn.IFERROR(VLOOKUP($A455,'The List'!$B1:$AS665,8,FALSE)," ")</f>
        <v>858</v>
      </c>
      <c r="G455" t="s" s="124">
        <f>_xlfn.IFERROR(VLOOKUP($A455,'The List'!$B1:$AS665,10,FALSE)," ")</f>
        <v>858</v>
      </c>
      <c r="H455" s="77"/>
      <c r="I455" t="s" s="125">
        <f>_xlfn.IFERROR(VLOOKUP($A455,'The List'!$B1:$AS665,16,FALSE)," ")</f>
        <v>858</v>
      </c>
      <c r="J455" t="s" s="125">
        <f>_xlfn.IFERROR(VLOOKUP($A455,'The List'!$B1:$AS665,17,FALSE)," ")</f>
        <v>858</v>
      </c>
      <c r="K455" t="s" s="125">
        <f>_xlfn.IFERROR(VLOOKUP($A455,'The List'!$B1:$AS665,18,FALSE)," ")</f>
        <v>858</v>
      </c>
      <c r="L455" t="s" s="125">
        <f>_xlfn.IFERROR(VLOOKUP($A455,'The List'!$B1:$AS665,19,FALSE)," ")</f>
        <v>858</v>
      </c>
      <c r="M455" t="s" s="125">
        <f>_xlfn.IFERROR(VLOOKUP($A455,'The List'!$B1:$AS665,20,FALSE)," ")</f>
        <v>858</v>
      </c>
      <c r="N455" t="s" s="125">
        <f>_xlfn.IFERROR(VLOOKUP($A455,'The List'!$B1:$AS665,21,FALSE)," ")</f>
        <v>858</v>
      </c>
      <c r="O455" t="s" s="125">
        <f>_xlfn.IFERROR(VLOOKUP($A455,'The List'!$B1:$AS665,22,FALSE)," ")</f>
        <v>858</v>
      </c>
      <c r="P455" t="s" s="125">
        <f>_xlfn.IFERROR(VLOOKUP($A455,'The List'!$B1:$AS665,23,FALSE)," ")</f>
        <v>858</v>
      </c>
      <c r="Q455" t="s" s="125">
        <f>_xlfn.IFERROR(VLOOKUP($A455,'The List'!$B1:$AS665,24,FALSE)," ")</f>
        <v>858</v>
      </c>
      <c r="R455" t="s" s="125">
        <f>_xlfn.IFERROR(VLOOKUP($A455,'The List'!$B1:$AS665,25,FALSE)," ")</f>
        <v>858</v>
      </c>
      <c r="S455" t="s" s="125">
        <f>_xlfn.IFERROR(VLOOKUP($A455,'The List'!$B1:$AS665,26,FALSE)," ")</f>
        <v>858</v>
      </c>
      <c r="T455" t="s" s="125">
        <f>_xlfn.IFERROR(VLOOKUP($A455,'The List'!$B1:$AS665,27,FALSE)," ")</f>
        <v>858</v>
      </c>
      <c r="U455" t="s" s="125">
        <f>_xlfn.IFERROR(VLOOKUP($A455,'The List'!$B1:$AS665,28,FALSE)," ")</f>
        <v>858</v>
      </c>
      <c r="V455" t="s" s="125">
        <f>_xlfn.IFERROR(VLOOKUP($A455,'The List'!$B1:$AS665,29,FALSE)," ")</f>
        <v>858</v>
      </c>
      <c r="W455" t="s" s="125">
        <f>_xlfn.IFERROR(VLOOKUP($A455,'The List'!$B1:$AS665,30,FALSE)," ")</f>
        <v>858</v>
      </c>
      <c r="X455" t="s" s="125">
        <f>_xlfn.IFERROR(VLOOKUP($A455,'The List'!$B1:$AS665,31,FALSE)," ")</f>
        <v>858</v>
      </c>
      <c r="Y455" t="s" s="125">
        <f>_xlfn.IFERROR(VLOOKUP($A455,'The List'!$B1:$AS665,32,FALSE)," ")</f>
        <v>858</v>
      </c>
      <c r="Z455" t="s" s="125">
        <f>_xlfn.IFERROR(VLOOKUP($A455,'The List'!$B1:$AS665,33,FALSE)," ")</f>
        <v>858</v>
      </c>
      <c r="AA455" s="120"/>
      <c r="AB455" s="121"/>
      <c r="AC455" s="121"/>
      <c r="AD455" s="121"/>
      <c r="AE455" s="121"/>
      <c r="AF455" s="144"/>
    </row>
    <row r="456" ht="21.25" customHeight="1">
      <c r="A456" s="137"/>
      <c r="B456" t="s" s="138">
        <f>_xlfn.IFERROR(VLOOKUP($A456,'The List'!$B1:$AS665,3,FALSE)," ")</f>
        <v>858</v>
      </c>
      <c r="C456" t="s" s="139">
        <f>_xlfn.IFERROR(VLOOKUP($A456,'The List'!$B1:$AS665,4,FALSE)," ")</f>
        <v>858</v>
      </c>
      <c r="D456" t="s" s="140">
        <f>_xlfn.IFERROR(VLOOKUP($A456,'The List'!$B1:$AS665,5,FALSE)," ")</f>
        <v>858</v>
      </c>
      <c r="E456" t="s" s="140">
        <f>_xlfn.IFERROR(VLOOKUP($A456,'The List'!$B1:$AS665,6,FALSE)," ")</f>
        <v>858</v>
      </c>
      <c r="F456" t="s" s="141">
        <f>_xlfn.IFERROR(VLOOKUP($A456,'The List'!$B1:$AS665,8,FALSE)," ")</f>
        <v>858</v>
      </c>
      <c r="G456" t="s" s="141">
        <f>_xlfn.IFERROR(VLOOKUP($A456,'The List'!$B1:$AS665,10,FALSE)," ")</f>
        <v>858</v>
      </c>
      <c r="H456" s="142"/>
      <c r="I456" t="s" s="143">
        <f>_xlfn.IFERROR(VLOOKUP($A456,'The List'!$B1:$AS665,16,FALSE)," ")</f>
        <v>858</v>
      </c>
      <c r="J456" t="s" s="143">
        <f>_xlfn.IFERROR(VLOOKUP($A456,'The List'!$B1:$AS665,17,FALSE)," ")</f>
        <v>858</v>
      </c>
      <c r="K456" t="s" s="143">
        <f>_xlfn.IFERROR(VLOOKUP($A456,'The List'!$B1:$AS665,18,FALSE)," ")</f>
        <v>858</v>
      </c>
      <c r="L456" t="s" s="143">
        <f>_xlfn.IFERROR(VLOOKUP($A456,'The List'!$B1:$AS665,19,FALSE)," ")</f>
        <v>858</v>
      </c>
      <c r="M456" t="s" s="143">
        <f>_xlfn.IFERROR(VLOOKUP($A456,'The List'!$B1:$AS665,20,FALSE)," ")</f>
        <v>858</v>
      </c>
      <c r="N456" t="s" s="143">
        <f>_xlfn.IFERROR(VLOOKUP($A456,'The List'!$B1:$AS665,21,FALSE)," ")</f>
        <v>858</v>
      </c>
      <c r="O456" t="s" s="143">
        <f>_xlfn.IFERROR(VLOOKUP($A456,'The List'!$B1:$AS665,22,FALSE)," ")</f>
        <v>858</v>
      </c>
      <c r="P456" t="s" s="143">
        <f>_xlfn.IFERROR(VLOOKUP($A456,'The List'!$B1:$AS665,23,FALSE)," ")</f>
        <v>858</v>
      </c>
      <c r="Q456" t="s" s="143">
        <f>_xlfn.IFERROR(VLOOKUP($A456,'The List'!$B1:$AS665,24,FALSE)," ")</f>
        <v>858</v>
      </c>
      <c r="R456" t="s" s="143">
        <f>_xlfn.IFERROR(VLOOKUP($A456,'The List'!$B1:$AS665,25,FALSE)," ")</f>
        <v>858</v>
      </c>
      <c r="S456" t="s" s="143">
        <f>_xlfn.IFERROR(VLOOKUP($A456,'The List'!$B1:$AS665,26,FALSE)," ")</f>
        <v>858</v>
      </c>
      <c r="T456" t="s" s="143">
        <f>_xlfn.IFERROR(VLOOKUP($A456,'The List'!$B1:$AS665,27,FALSE)," ")</f>
        <v>858</v>
      </c>
      <c r="U456" t="s" s="143">
        <f>_xlfn.IFERROR(VLOOKUP($A456,'The List'!$B1:$AS665,28,FALSE)," ")</f>
        <v>858</v>
      </c>
      <c r="V456" t="s" s="143">
        <f>_xlfn.IFERROR(VLOOKUP($A456,'The List'!$B1:$AS665,29,FALSE)," ")</f>
        <v>858</v>
      </c>
      <c r="W456" t="s" s="143">
        <f>_xlfn.IFERROR(VLOOKUP($A456,'The List'!$B1:$AS665,30,FALSE)," ")</f>
        <v>858</v>
      </c>
      <c r="X456" t="s" s="143">
        <f>_xlfn.IFERROR(VLOOKUP($A456,'The List'!$B1:$AS665,31,FALSE)," ")</f>
        <v>858</v>
      </c>
      <c r="Y456" t="s" s="143">
        <f>_xlfn.IFERROR(VLOOKUP($A456,'The List'!$B1:$AS665,32,FALSE)," ")</f>
        <v>858</v>
      </c>
      <c r="Z456" t="s" s="143">
        <f>_xlfn.IFERROR(VLOOKUP($A456,'The List'!$B1:$AS665,33,FALSE)," ")</f>
        <v>858</v>
      </c>
      <c r="AA456" s="120"/>
      <c r="AB456" s="121"/>
      <c r="AC456" s="121"/>
      <c r="AD456" s="121"/>
      <c r="AE456" s="121"/>
      <c r="AF456" s="144"/>
    </row>
    <row r="457" ht="21.25" customHeight="1">
      <c r="A457" s="145"/>
      <c r="B457" s="146"/>
      <c r="C457" s="147"/>
      <c r="D457" s="148"/>
      <c r="E457" t="s" s="193">
        <f>_xlfn.IFERROR(AVERAGE(E437:E456)," ")</f>
        <v>858</v>
      </c>
      <c r="F457" s="150">
        <f>SUM(F437:F456)</f>
        <v>0</v>
      </c>
      <c r="G457" s="150">
        <f>SUM(G437:G456)</f>
        <v>0</v>
      </c>
      <c r="H457" s="151"/>
      <c r="I457" s="152">
        <f>SUM(I437:I456)</f>
        <v>0</v>
      </c>
      <c r="J457" s="151">
        <f>AVERAGE(J437:J456)</f>
      </c>
      <c r="K457" s="152">
        <f>SUM(K437:K456)</f>
        <v>0</v>
      </c>
      <c r="L457" s="152">
        <f>SUM(L437:L456)</f>
        <v>0</v>
      </c>
      <c r="M457" s="152">
        <f>SUM(M437:M456)</f>
        <v>0</v>
      </c>
      <c r="N457" s="152">
        <f>SUM(N437:N456)</f>
        <v>0</v>
      </c>
      <c r="O457" s="152">
        <f>SUM(O437:O456)</f>
        <v>0</v>
      </c>
      <c r="P457" s="152">
        <f>SUM(P437:P456)</f>
        <v>0</v>
      </c>
      <c r="Q457" s="152">
        <f>SUM(Q437:Q456)</f>
        <v>0</v>
      </c>
      <c r="R457" s="152">
        <f>SUM(R437:R456)</f>
        <v>0</v>
      </c>
      <c r="S457" s="152">
        <f>SUM(S437:S456)</f>
        <v>0</v>
      </c>
      <c r="T457" s="152">
        <f>SUM(T437:T456)</f>
        <v>0</v>
      </c>
      <c r="U457" s="152">
        <f>SUM(U437:U456)</f>
        <v>0</v>
      </c>
      <c r="V457" s="152">
        <f>SUM(V437:V456)</f>
        <v>0</v>
      </c>
      <c r="W457" s="152">
        <f>SUM(W437:W456)</f>
        <v>0</v>
      </c>
      <c r="X457" s="152">
        <f>SUM(X437:X456)</f>
        <v>0</v>
      </c>
      <c r="Y457" s="152">
        <f>SUM(Y437:Y456)</f>
        <v>0</v>
      </c>
      <c r="Z457" s="153">
        <f>_xlfn.IFERROR(X457/(X457+Y457),0)</f>
        <v>0</v>
      </c>
      <c r="AA457" s="120"/>
      <c r="AB457" s="154"/>
      <c r="AC457" s="154"/>
      <c r="AD457" s="154"/>
      <c r="AE457" s="154"/>
      <c r="AF457" s="155"/>
    </row>
    <row r="458" ht="21.25" customHeight="1">
      <c r="A458" s="156"/>
      <c r="B458" s="157"/>
      <c r="C458" s="158"/>
      <c r="D458" s="13"/>
      <c r="E458" s="13"/>
      <c r="F458" s="159"/>
      <c r="G458" s="160"/>
      <c r="H458" s="161"/>
      <c r="I458" s="162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  <c r="AB458" s="121"/>
      <c r="AC458" s="121"/>
      <c r="AD458" s="121"/>
      <c r="AE458" s="121"/>
      <c r="AF458" s="144"/>
    </row>
    <row r="459" ht="21.25" customHeight="1">
      <c r="A459" t="s" s="163">
        <v>89</v>
      </c>
      <c r="B459" t="s" s="164">
        <v>91</v>
      </c>
      <c r="C459" s="31"/>
      <c r="D459" t="s" s="164">
        <v>92</v>
      </c>
      <c r="E459" t="s" s="164">
        <v>93</v>
      </c>
      <c r="F459" t="s" s="165">
        <v>95</v>
      </c>
      <c r="G459" t="s" s="165">
        <v>97</v>
      </c>
      <c r="H459" s="166"/>
      <c r="I459" t="s" s="167">
        <v>102</v>
      </c>
      <c r="J459" t="s" s="167">
        <v>118</v>
      </c>
      <c r="K459" t="s" s="167">
        <v>119</v>
      </c>
      <c r="L459" t="s" s="167">
        <v>120</v>
      </c>
      <c r="M459" t="s" s="167">
        <v>121</v>
      </c>
      <c r="N459" t="s" s="167">
        <v>122</v>
      </c>
      <c r="O459" t="s" s="167">
        <v>123</v>
      </c>
      <c r="P459" t="s" s="167">
        <v>124</v>
      </c>
      <c r="Q459" t="s" s="167">
        <v>125</v>
      </c>
      <c r="R459" s="120"/>
      <c r="S459" s="120"/>
      <c r="T459" s="120"/>
      <c r="U459" t="s" s="164">
        <v>876</v>
      </c>
      <c r="V459" s="166"/>
      <c r="W459" s="166"/>
      <c r="X459" t="s" s="164">
        <v>877</v>
      </c>
      <c r="Y459" s="166"/>
      <c r="Z459" s="166"/>
      <c r="AA459" s="120"/>
      <c r="AB459" s="120"/>
      <c r="AC459" s="120"/>
      <c r="AD459" s="120"/>
      <c r="AE459" s="120"/>
      <c r="AF459" s="168"/>
    </row>
    <row r="460" ht="21.25" customHeight="1">
      <c r="A460" s="194"/>
      <c r="B460" t="s" s="170">
        <f>_xlfn.IFERROR(VLOOKUP($A460,'The List'!$B1:$AS665,3,FALSE)," ")</f>
        <v>858</v>
      </c>
      <c r="C460" t="s" s="195">
        <f>_xlfn.IFERROR(VLOOKUP($A460,'The List'!$B1:$AS665,4,FALSE)," ")</f>
        <v>858</v>
      </c>
      <c r="D460" t="s" s="72">
        <f>_xlfn.IFERROR(VLOOKUP($A460,'The List'!$B1:$AS665,5,FALSE)," ")</f>
        <v>858</v>
      </c>
      <c r="E460" t="s" s="72">
        <f>_xlfn.IFERROR(VLOOKUP($A460,'The List'!$B1:$AS665,6,FALSE)," ")</f>
        <v>858</v>
      </c>
      <c r="F460" t="s" s="196">
        <f>_xlfn.IFERROR(VLOOKUP($A460,'The List'!$B1:$AS665,8,FALSE)," ")</f>
        <v>858</v>
      </c>
      <c r="G460" t="s" s="196">
        <f>_xlfn.IFERROR(VLOOKUP($A460,'The List'!$B1:$AS665,10,FALSE)," ")</f>
        <v>858</v>
      </c>
      <c r="H460" s="174"/>
      <c r="I460" t="s" s="197">
        <f>_xlfn.IFERROR(VLOOKUP($A460,'The List'!$B1:$AS665,35,FALSE)," ")</f>
        <v>858</v>
      </c>
      <c r="J460" t="s" s="197">
        <f>_xlfn.IFERROR(VLOOKUP($A460,'The List'!$B1:$AS665,36,FALSE)," ")</f>
        <v>858</v>
      </c>
      <c r="K460" t="s" s="197">
        <f>_xlfn.IFERROR(VLOOKUP($A460,'The List'!$B1:$AS665,37,FALSE)," ")</f>
        <v>858</v>
      </c>
      <c r="L460" t="s" s="197">
        <f>_xlfn.IFERROR(VLOOKUP($A460,'The List'!$B1:$AS665,38,FALSE)," ")</f>
        <v>858</v>
      </c>
      <c r="M460" t="s" s="197">
        <f>_xlfn.IFERROR(VLOOKUP($A460,'The List'!$B1:$AS665,39,FALSE)," ")</f>
        <v>858</v>
      </c>
      <c r="N460" t="s" s="197">
        <f>_xlfn.IFERROR(VLOOKUP($A460,'The List'!$B1:$AS665,40,FALSE)," ")</f>
        <v>858</v>
      </c>
      <c r="O460" t="s" s="197">
        <f>_xlfn.IFERROR(VLOOKUP($A460,'The List'!$B1:$AS665,41,FALSE)," ")</f>
        <v>858</v>
      </c>
      <c r="P460" t="s" s="197">
        <f>_xlfn.IFERROR(VLOOKUP($A460,'The List'!$B1:$AS665,42,FALSE)," ")</f>
        <v>858</v>
      </c>
      <c r="Q460" t="s" s="197">
        <f>_xlfn.IFERROR(VLOOKUP($A460,'The List'!$B1:$AS665,43,FALSE)," ")</f>
        <v>858</v>
      </c>
      <c r="R460" s="120"/>
      <c r="S460" s="120"/>
      <c r="T460" t="s" s="178">
        <f>A436</f>
        <v>894</v>
      </c>
      <c r="U460" s="179">
        <f>F457+F463</f>
        <v>0</v>
      </c>
      <c r="V460" s="31"/>
      <c r="W460" s="31"/>
      <c r="X460" s="179">
        <f>G463+G457</f>
        <v>0</v>
      </c>
      <c r="Y460" s="31"/>
      <c r="Z460" s="31"/>
      <c r="AA460" s="120"/>
      <c r="AB460" s="120"/>
      <c r="AC460" s="120"/>
      <c r="AD460" s="120"/>
      <c r="AE460" s="120"/>
      <c r="AF460" s="168"/>
    </row>
    <row r="461" ht="21.25" customHeight="1">
      <c r="A461" s="50"/>
      <c r="B461" t="s" s="180">
        <f>_xlfn.IFERROR(VLOOKUP($A461,'The List'!$B1:$AS665,3,FALSE)," ")</f>
        <v>858</v>
      </c>
      <c r="C461" t="s" s="181">
        <f>_xlfn.IFERROR(VLOOKUP($A461,'The List'!$B1:$AS665,4,FALSE)," ")</f>
        <v>858</v>
      </c>
      <c r="D461" t="s" s="86">
        <f>_xlfn.IFERROR(VLOOKUP($A461,'The List'!$B1:$AS665,5,FALSE)," ")</f>
        <v>858</v>
      </c>
      <c r="E461" t="s" s="86">
        <f>_xlfn.IFERROR(VLOOKUP($A461,'The List'!$B1:$AS665,6,FALSE)," ")</f>
        <v>858</v>
      </c>
      <c r="F461" t="s" s="124">
        <f>_xlfn.IFERROR(VLOOKUP($A461,'The List'!$B1:$AS665,8,FALSE)," ")</f>
        <v>858</v>
      </c>
      <c r="G461" t="s" s="124">
        <f>_xlfn.IFERROR(VLOOKUP($A461,'The List'!$B1:$AS665,10,FALSE)," ")</f>
        <v>858</v>
      </c>
      <c r="H461" s="77"/>
      <c r="I461" t="s" s="125">
        <f>_xlfn.IFERROR(VLOOKUP($A461,'The List'!$B1:$AS665,35,FALSE)," ")</f>
        <v>858</v>
      </c>
      <c r="J461" t="s" s="125">
        <f>_xlfn.IFERROR(VLOOKUP($A461,'The List'!$B1:$AS665,36,FALSE)," ")</f>
        <v>858</v>
      </c>
      <c r="K461" t="s" s="125">
        <f>_xlfn.IFERROR(VLOOKUP($A461,'The List'!$B1:$AS665,37,FALSE)," ")</f>
        <v>858</v>
      </c>
      <c r="L461" t="s" s="125">
        <f>_xlfn.IFERROR(VLOOKUP($A461,'The List'!$B1:$AS665,38,FALSE)," ")</f>
        <v>858</v>
      </c>
      <c r="M461" t="s" s="125">
        <f>_xlfn.IFERROR(VLOOKUP($A461,'The List'!$B1:$AS665,39,FALSE)," ")</f>
        <v>858</v>
      </c>
      <c r="N461" t="s" s="125">
        <f>_xlfn.IFERROR(VLOOKUP($A461,'The List'!$B1:$AS665,40,FALSE)," ")</f>
        <v>858</v>
      </c>
      <c r="O461" t="s" s="125">
        <f>_xlfn.IFERROR(VLOOKUP($A461,'The List'!$B1:$AS665,41,FALSE)," ")</f>
        <v>858</v>
      </c>
      <c r="P461" t="s" s="125">
        <f>_xlfn.IFERROR(VLOOKUP($A461,'The List'!$B1:$AS665,42,FALSE)," ")</f>
        <v>858</v>
      </c>
      <c r="Q461" t="s" s="125">
        <f>_xlfn.IFERROR(VLOOKUP($A461,'The List'!$B1:$AS665,43,FALSE)," ")</f>
        <v>858</v>
      </c>
      <c r="R461" s="120"/>
      <c r="S461" s="120"/>
      <c r="T461" s="120"/>
      <c r="U461" s="31"/>
      <c r="V461" s="31"/>
      <c r="W461" s="31"/>
      <c r="X461" s="31"/>
      <c r="Y461" s="31"/>
      <c r="Z461" s="31"/>
      <c r="AA461" s="120"/>
      <c r="AB461" s="120"/>
      <c r="AC461" s="120"/>
      <c r="AD461" s="120"/>
      <c r="AE461" s="120"/>
      <c r="AF461" s="168"/>
    </row>
    <row r="462" ht="21.25" customHeight="1">
      <c r="A462" s="137"/>
      <c r="B462" t="s" s="182">
        <f>_xlfn.IFERROR(VLOOKUP($A462,'The List'!$B1:$AS665,3,FALSE)," ")</f>
        <v>858</v>
      </c>
      <c r="C462" t="s" s="183">
        <f>_xlfn.IFERROR(VLOOKUP($A462,'The List'!$B1:$AS665,4,FALSE)," ")</f>
        <v>858</v>
      </c>
      <c r="D462" t="s" s="140">
        <f>_xlfn.IFERROR(VLOOKUP($A462,'The List'!$B1:$AS665,5,FALSE)," ")</f>
        <v>858</v>
      </c>
      <c r="E462" t="s" s="140">
        <f>_xlfn.IFERROR(VLOOKUP($A462,'The List'!$B1:$AS665,6,FALSE)," ")</f>
        <v>858</v>
      </c>
      <c r="F462" t="s" s="141">
        <f>_xlfn.IFERROR(VLOOKUP($A462,'The List'!$B1:$AS665,8,FALSE)," ")</f>
        <v>858</v>
      </c>
      <c r="G462" t="s" s="141">
        <f>_xlfn.IFERROR(VLOOKUP($A462,'The List'!$B1:$AS665,10,FALSE)," ")</f>
        <v>858</v>
      </c>
      <c r="H462" s="142"/>
      <c r="I462" t="s" s="143">
        <f>_xlfn.IFERROR(VLOOKUP($A462,'The List'!$B1:$AS665,35,FALSE)," ")</f>
        <v>858</v>
      </c>
      <c r="J462" t="s" s="143">
        <f>_xlfn.IFERROR(VLOOKUP($A462,'The List'!$B1:$AS665,36,FALSE)," ")</f>
        <v>858</v>
      </c>
      <c r="K462" t="s" s="143">
        <f>_xlfn.IFERROR(VLOOKUP($A462,'The List'!$B1:$AS665,37,FALSE)," ")</f>
        <v>858</v>
      </c>
      <c r="L462" t="s" s="143">
        <f>_xlfn.IFERROR(VLOOKUP($A462,'The List'!$B1:$AS665,38,FALSE)," ")</f>
        <v>858</v>
      </c>
      <c r="M462" t="s" s="143">
        <f>_xlfn.IFERROR(VLOOKUP($A462,'The List'!$B1:$AS665,39,FALSE)," ")</f>
        <v>858</v>
      </c>
      <c r="N462" t="s" s="143">
        <f>_xlfn.IFERROR(VLOOKUP($A462,'The List'!$B1:$AS665,40,FALSE)," ")</f>
        <v>858</v>
      </c>
      <c r="O462" t="s" s="143">
        <f>_xlfn.IFERROR(VLOOKUP($A462,'The List'!$B1:$AS665,41,FALSE)," ")</f>
        <v>858</v>
      </c>
      <c r="P462" t="s" s="143">
        <f>_xlfn.IFERROR(VLOOKUP($A462,'The List'!$B1:$AS665,42,FALSE)," ")</f>
        <v>858</v>
      </c>
      <c r="Q462" t="s" s="143">
        <f>_xlfn.IFERROR(VLOOKUP($A462,'The List'!$B1:$AS665,43,FALSE)," ")</f>
        <v>858</v>
      </c>
      <c r="R462" s="120"/>
      <c r="S462" s="120"/>
      <c r="T462" s="120"/>
      <c r="U462" s="31"/>
      <c r="V462" s="31"/>
      <c r="W462" s="31"/>
      <c r="X462" s="31"/>
      <c r="Y462" s="31"/>
      <c r="Z462" s="31"/>
      <c r="AA462" s="120"/>
      <c r="AB462" s="120"/>
      <c r="AC462" s="120"/>
      <c r="AD462" s="120"/>
      <c r="AE462" s="120"/>
      <c r="AF462" s="168"/>
    </row>
    <row r="463" ht="21.25" customHeight="1">
      <c r="A463" s="145"/>
      <c r="B463" s="146"/>
      <c r="C463" s="147"/>
      <c r="D463" s="148"/>
      <c r="E463" t="s" s="193">
        <f>_xlfn.IFERROR(AVERAGE(E460:E462)," ")</f>
        <v>858</v>
      </c>
      <c r="F463" s="150">
        <f>SUM(F460:F462)</f>
        <v>0</v>
      </c>
      <c r="G463" s="150">
        <f>SUM(G460:G462)</f>
        <v>0</v>
      </c>
      <c r="H463" s="151"/>
      <c r="I463" s="152">
        <f>SUM(I460:I462)</f>
        <v>0</v>
      </c>
      <c r="J463" s="151">
        <f>SUM(J460:J462)</f>
        <v>0</v>
      </c>
      <c r="K463" s="152">
        <f>SUM(K460:K462)</f>
        <v>0</v>
      </c>
      <c r="L463" s="152">
        <f>SUM(L460:L462)</f>
        <v>0</v>
      </c>
      <c r="M463" s="152">
        <f>SUM(M460:M462)</f>
        <v>0</v>
      </c>
      <c r="N463" s="152">
        <f>SUM(N460:N462)</f>
        <v>0</v>
      </c>
      <c r="O463" s="152">
        <f>SUM(O460:O462)</f>
        <v>0</v>
      </c>
      <c r="P463" s="184">
        <f>1-(O463/(N463+O463))</f>
      </c>
      <c r="Q463" s="185">
        <f>O463/I463</f>
      </c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  <c r="AB463" s="120"/>
      <c r="AC463" s="120"/>
      <c r="AD463" s="120"/>
      <c r="AE463" s="120"/>
      <c r="AF463" s="168"/>
    </row>
    <row r="464" ht="21.25" customHeight="1">
      <c r="A464" s="198"/>
      <c r="B464" s="199"/>
      <c r="C464" s="200"/>
      <c r="D464" s="51"/>
      <c r="E464" s="51"/>
      <c r="F464" s="201"/>
      <c r="G464" s="202"/>
      <c r="H464" s="203"/>
      <c r="I464" s="204"/>
      <c r="J464" s="205"/>
      <c r="K464" s="205"/>
      <c r="L464" s="205"/>
      <c r="M464" s="205"/>
      <c r="N464" s="205"/>
      <c r="O464" s="205"/>
      <c r="P464" s="205"/>
      <c r="Q464" s="205"/>
      <c r="R464" s="205"/>
      <c r="S464" s="205"/>
      <c r="T464" s="205"/>
      <c r="U464" s="205"/>
      <c r="V464" s="205"/>
      <c r="W464" s="205"/>
      <c r="X464" s="205"/>
      <c r="Y464" s="205"/>
      <c r="Z464" s="205"/>
      <c r="AA464" s="206"/>
      <c r="AB464" s="206"/>
      <c r="AC464" s="206"/>
      <c r="AD464" s="206"/>
      <c r="AE464" s="206"/>
      <c r="AF464" s="207"/>
    </row>
  </sheetData>
  <mergeCells count="96">
    <mergeCell ref="U460:W462"/>
    <mergeCell ref="X459:Z459"/>
    <mergeCell ref="X460:Z462"/>
    <mergeCell ref="U431:W433"/>
    <mergeCell ref="X430:Z430"/>
    <mergeCell ref="X431:Z433"/>
    <mergeCell ref="B459:C459"/>
    <mergeCell ref="U459:W459"/>
    <mergeCell ref="U402:W404"/>
    <mergeCell ref="X401:Z401"/>
    <mergeCell ref="X402:Z404"/>
    <mergeCell ref="B430:C430"/>
    <mergeCell ref="U430:W430"/>
    <mergeCell ref="U373:W375"/>
    <mergeCell ref="X372:Z372"/>
    <mergeCell ref="X373:Z375"/>
    <mergeCell ref="B401:C401"/>
    <mergeCell ref="U401:W401"/>
    <mergeCell ref="U344:W346"/>
    <mergeCell ref="X343:Z343"/>
    <mergeCell ref="X344:Z346"/>
    <mergeCell ref="B372:C372"/>
    <mergeCell ref="U372:W372"/>
    <mergeCell ref="U315:W317"/>
    <mergeCell ref="X314:Z314"/>
    <mergeCell ref="X315:Z317"/>
    <mergeCell ref="B343:C343"/>
    <mergeCell ref="U343:W343"/>
    <mergeCell ref="U286:W288"/>
    <mergeCell ref="X285:Z285"/>
    <mergeCell ref="X286:Z288"/>
    <mergeCell ref="B314:C314"/>
    <mergeCell ref="U314:W314"/>
    <mergeCell ref="U257:W259"/>
    <mergeCell ref="X256:Z256"/>
    <mergeCell ref="X257:Z259"/>
    <mergeCell ref="B285:C285"/>
    <mergeCell ref="U285:W285"/>
    <mergeCell ref="U228:W230"/>
    <mergeCell ref="X227:Z227"/>
    <mergeCell ref="X228:Z230"/>
    <mergeCell ref="B256:C256"/>
    <mergeCell ref="U256:W256"/>
    <mergeCell ref="U199:W201"/>
    <mergeCell ref="X198:Z198"/>
    <mergeCell ref="X199:Z201"/>
    <mergeCell ref="B227:C227"/>
    <mergeCell ref="U227:W227"/>
    <mergeCell ref="U170:W172"/>
    <mergeCell ref="X169:Z169"/>
    <mergeCell ref="X170:Z172"/>
    <mergeCell ref="B198:C198"/>
    <mergeCell ref="U198:W198"/>
    <mergeCell ref="U141:W143"/>
    <mergeCell ref="X140:Z140"/>
    <mergeCell ref="X141:Z143"/>
    <mergeCell ref="B169:C169"/>
    <mergeCell ref="U169:W169"/>
    <mergeCell ref="U112:W114"/>
    <mergeCell ref="X111:Z111"/>
    <mergeCell ref="X112:Z114"/>
    <mergeCell ref="B140:C140"/>
    <mergeCell ref="U140:W140"/>
    <mergeCell ref="U83:W85"/>
    <mergeCell ref="X82:Z82"/>
    <mergeCell ref="X83:Z85"/>
    <mergeCell ref="B111:C111"/>
    <mergeCell ref="U111:W111"/>
    <mergeCell ref="U53:W53"/>
    <mergeCell ref="U54:W56"/>
    <mergeCell ref="X53:Z53"/>
    <mergeCell ref="X54:Z56"/>
    <mergeCell ref="B82:C82"/>
    <mergeCell ref="U82:W82"/>
    <mergeCell ref="B320:C320"/>
    <mergeCell ref="B349:C349"/>
    <mergeCell ref="B378:C378"/>
    <mergeCell ref="B407:C407"/>
    <mergeCell ref="B436:C436"/>
    <mergeCell ref="B175:C175"/>
    <mergeCell ref="B204:C204"/>
    <mergeCell ref="B233:C233"/>
    <mergeCell ref="B262:C262"/>
    <mergeCell ref="B291:C291"/>
    <mergeCell ref="B30:C30"/>
    <mergeCell ref="B59:C59"/>
    <mergeCell ref="B88:C88"/>
    <mergeCell ref="B117:C117"/>
    <mergeCell ref="B146:C146"/>
    <mergeCell ref="B53:C53"/>
    <mergeCell ref="B1:C1"/>
    <mergeCell ref="B24:C24"/>
    <mergeCell ref="U24:W24"/>
    <mergeCell ref="U25:W27"/>
    <mergeCell ref="X24:Z24"/>
    <mergeCell ref="X25:Z27"/>
  </mergeCells>
  <conditionalFormatting sqref="C2:C23 C25:C29 C31:C52 C54:C58 C60:C81 C83:C87 C89:C110 C112:C116 C118:C139 C141:C145 C147:C168 C170:C174 C176:C197 C199:C203 C205:C226 C228:C232 C234:C255 C257:C261 C263:C284 C286:C290 C292:C313 C315:C319 C321:C342 C344:C348 C350:C371 C373:C377 C379:C400 C402:C406 C408:C429 C431:C435 C437:C458 C460:C464">
    <cfRule type="containsText" dxfId="11" priority="1" stopIfTrue="1" text="/">
      <formula>NOT(ISERROR(FIND(UPPER("/"),UPPER(C2))))</formula>
      <formula>"/"</formula>
    </cfRule>
    <cfRule type="containsText" dxfId="12" priority="2" stopIfTrue="1" text="C">
      <formula>NOT(ISERROR(FIND(UPPER("C"),UPPER(C2))))</formula>
      <formula>"C"</formula>
    </cfRule>
    <cfRule type="containsText" dxfId="13" priority="3" stopIfTrue="1" text="D">
      <formula>NOT(ISERROR(FIND(UPPER("D"),UPPER(C2))))</formula>
      <formula>"D"</formula>
    </cfRule>
    <cfRule type="containsText" dxfId="14" priority="4" stopIfTrue="1" text="LW">
      <formula>NOT(ISERROR(FIND(UPPER("LW"),UPPER(C2))))</formula>
      <formula>"LW"</formula>
    </cfRule>
    <cfRule type="containsText" dxfId="15" priority="5" stopIfTrue="1" text="RW">
      <formula>NOT(ISERROR(FIND(UPPER("RW"),UPPER(C2))))</formula>
      <formula>"RW"</formula>
    </cfRule>
    <cfRule type="containsText" dxfId="16" priority="6" stopIfTrue="1" text="G">
      <formula>NOT(ISERROR(FIND(UPPER("G"),UPPER(C2))))</formula>
      <formula>"G"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392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08" customWidth="1"/>
    <col min="2" max="2" width="7.17188" style="208" customWidth="1"/>
    <col min="3" max="3" width="6" style="208" customWidth="1"/>
    <col min="4" max="6" width="8.35156" style="208" customWidth="1"/>
    <col min="7" max="10" width="1.35156" style="208" customWidth="1"/>
    <col min="11" max="16384" width="8" style="208" customWidth="1"/>
  </cols>
  <sheetData>
    <row r="1" ht="28.25" customHeight="1">
      <c r="A1" t="s" s="209">
        <v>895</v>
      </c>
      <c r="B1" t="s" s="210">
        <v>896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'Settings'!F2+'Settings'!F3+'Settings'!F4</f>
        <v>67</v>
      </c>
      <c r="C2" s="218"/>
      <c r="D2" s="219"/>
      <c r="E2" s="220"/>
      <c r="F2" s="220"/>
      <c r="G2" s="220"/>
      <c r="H2" s="219"/>
      <c r="I2" s="220"/>
      <c r="J2" s="221"/>
    </row>
    <row r="3" ht="21.25" customHeight="1">
      <c r="A3" t="s" s="10">
        <v>126</v>
      </c>
      <c r="B3" t="s" s="222">
        <f>VLOOKUP(A3,'The List'!B1:D665,3,FALSE)</f>
        <v>128</v>
      </c>
      <c r="C3" s="87">
        <f>IF('Settings'!$E$15="POINTS",RANK(E3,E3:E392),H3)</f>
        <v>1</v>
      </c>
      <c r="D3" t="s" s="86">
        <f>VLOOKUP(A3,'The List'!B1:F665,5,FALSE)</f>
        <v>129</v>
      </c>
      <c r="E3" s="77">
        <f>VLOOKUP(A3,'The List'!B1:I665,8,FALSE)</f>
        <v>538.262931176885</v>
      </c>
      <c r="F3" s="77">
        <f>IF('Settings'!$E$15="POINTS",E3-VLOOKUP(B$2,C1:E392,3,FALSE),J3)</f>
        <v>231.356926747294</v>
      </c>
      <c r="G3" s="77"/>
      <c r="H3" s="223">
        <f>RANK(I3,I3:I392)</f>
        <v>1</v>
      </c>
      <c r="I3" s="77">
        <f>VLOOKUP(A3,'Standard Deviations'!A1:C666,3,FALSE)</f>
        <v>17.888068165153</v>
      </c>
      <c r="J3" s="84">
        <f>I3-VLOOKUP(B$2,H1:J392,2,FALSE)</f>
        <v>13.2979367345935</v>
      </c>
    </row>
    <row r="4" ht="21.25" customHeight="1">
      <c r="A4" t="s" s="10">
        <v>133</v>
      </c>
      <c r="B4" t="s" s="222">
        <f>VLOOKUP(A4,'The List'!B1:D665,3,FALSE)</f>
        <v>128</v>
      </c>
      <c r="C4" s="87">
        <f>IF('Settings'!$E$15="POINTS",RANK(E4,E3:E392),H4)</f>
        <v>3</v>
      </c>
      <c r="D4" t="s" s="86">
        <f>VLOOKUP(A4,'The List'!B1:F665,5,FALSE)</f>
        <v>871</v>
      </c>
      <c r="E4" s="77">
        <f>VLOOKUP(A4,'The List'!B1:I665,8,FALSE)</f>
        <v>493.067142317071</v>
      </c>
      <c r="F4" s="77">
        <f>IF('Settings'!$E$15="POINTS",E4-VLOOKUP(B$2,C1:E392,3,FALSE),J4)</f>
        <v>186.161137887480</v>
      </c>
      <c r="G4" s="77"/>
      <c r="H4" s="223">
        <f>RANK(I4,I3:I392)</f>
        <v>3</v>
      </c>
      <c r="I4" s="77">
        <f>VLOOKUP(A4,'Standard Deviations'!A1:C666,3,FALSE)</f>
        <v>16.2391061255574</v>
      </c>
      <c r="J4" s="84">
        <f>I4-VLOOKUP(B$2,H1:J392,2,FALSE)</f>
        <v>11.6489746949979</v>
      </c>
    </row>
    <row r="5" ht="21.25" customHeight="1">
      <c r="A5" t="s" s="10">
        <v>131</v>
      </c>
      <c r="B5" t="s" s="222">
        <f>VLOOKUP(A5,'The List'!B1:D665,3,FALSE)</f>
        <v>128</v>
      </c>
      <c r="C5" s="87">
        <f>IF('Settings'!$E$15="POINTS",RANK(E5,E3:E392),H5)</f>
        <v>2</v>
      </c>
      <c r="D5" t="s" s="86">
        <f>VLOOKUP(A5,'The List'!B1:F665,5,FALSE)</f>
        <v>132</v>
      </c>
      <c r="E5" s="77">
        <f>VLOOKUP(A5,'The List'!B1:I665,8,FALSE)</f>
        <v>515.437788085147</v>
      </c>
      <c r="F5" s="77">
        <f>IF('Settings'!$E$15="POINTS",E5-VLOOKUP(B$2,C1:E392,3,FALSE),J5)</f>
        <v>208.531783655556</v>
      </c>
      <c r="G5" s="77"/>
      <c r="H5" s="223">
        <f>RANK(I5,I3:I392)</f>
        <v>2</v>
      </c>
      <c r="I5" s="77">
        <f>VLOOKUP(A5,'Standard Deviations'!A1:C666,3,FALSE)</f>
        <v>16.2778208961252</v>
      </c>
      <c r="J5" s="84">
        <f>I5-VLOOKUP(B$2,H1:J392,2,FALSE)</f>
        <v>11.6876894655657</v>
      </c>
    </row>
    <row r="6" ht="21.25" customHeight="1">
      <c r="A6" t="s" s="10">
        <v>139</v>
      </c>
      <c r="B6" t="s" s="222">
        <f>VLOOKUP(A6,'The List'!B1:D665,3,FALSE)</f>
        <v>140</v>
      </c>
      <c r="C6" s="87">
        <f>IF('Settings'!$E$15="POINTS",RANK(E6,E3:E392),H6)</f>
        <v>5</v>
      </c>
      <c r="D6" t="s" s="86">
        <f>VLOOKUP(A6,'The List'!B1:F665,5,FALSE)</f>
        <v>866</v>
      </c>
      <c r="E6" s="77">
        <f>VLOOKUP(A6,'The List'!B1:I665,8,FALSE)</f>
        <v>443.587937119207</v>
      </c>
      <c r="F6" s="77">
        <f>IF('Settings'!$E$15="POINTS",E6-VLOOKUP(B$2,C1:E392,3,FALSE),J6)</f>
        <v>136.681932689616</v>
      </c>
      <c r="G6" s="77"/>
      <c r="H6" s="223">
        <f>RANK(I6,I3:I392)</f>
        <v>5</v>
      </c>
      <c r="I6" s="77">
        <f>VLOOKUP(A6,'Standard Deviations'!A1:C666,3,FALSE)</f>
        <v>13.2137748341471</v>
      </c>
      <c r="J6" s="84">
        <f>I6-VLOOKUP(B$2,H1:J392,2,FALSE)</f>
        <v>8.6236434035876</v>
      </c>
    </row>
    <row r="7" ht="21.25" customHeight="1">
      <c r="A7" t="s" s="10">
        <v>142</v>
      </c>
      <c r="B7" t="s" s="222">
        <f>VLOOKUP(A7,'The List'!B1:D665,3,FALSE)</f>
        <v>140</v>
      </c>
      <c r="C7" s="87">
        <f>IF('Settings'!$E$15="POINTS",RANK(E7,E3:E392),H7)</f>
        <v>6</v>
      </c>
      <c r="D7" t="s" s="86">
        <f>VLOOKUP(A7,'The List'!B1:F665,5,FALSE)</f>
        <v>899</v>
      </c>
      <c r="E7" s="77">
        <f>VLOOKUP(A7,'The List'!B1:I665,8,FALSE)</f>
        <v>441.322544136839</v>
      </c>
      <c r="F7" s="77">
        <f>IF('Settings'!$E$15="POINTS",E7-VLOOKUP(B$2,C1:E392,3,FALSE),J7)</f>
        <v>134.416539707248</v>
      </c>
      <c r="G7" s="77"/>
      <c r="H7" s="223">
        <f>RANK(I7,I3:I392)</f>
        <v>6</v>
      </c>
      <c r="I7" s="77">
        <f>VLOOKUP(A7,'Standard Deviations'!A1:C666,3,FALSE)</f>
        <v>12.7557164948618</v>
      </c>
      <c r="J7" s="84">
        <f>I7-VLOOKUP(B$2,H1:J392,2,FALSE)</f>
        <v>8.1655850643023</v>
      </c>
    </row>
    <row r="8" ht="21.25" customHeight="1">
      <c r="A8" t="s" s="10">
        <v>150</v>
      </c>
      <c r="B8" t="s" s="222">
        <f>VLOOKUP(A8,'The List'!B1:D665,3,FALSE)</f>
        <v>136</v>
      </c>
      <c r="C8" s="87">
        <f>IF('Settings'!$E$15="POINTS",RANK(E8,E3:E392),H8)</f>
        <v>9</v>
      </c>
      <c r="D8" t="s" s="86">
        <f>VLOOKUP(A8,'The List'!B1:F665,5,FALSE)</f>
        <v>129</v>
      </c>
      <c r="E8" s="77">
        <f>VLOOKUP(A8,'The List'!B1:I665,8,FALSE)</f>
        <v>434.174277848426</v>
      </c>
      <c r="F8" s="77">
        <f>IF('Settings'!$E$15="POINTS",E8-VLOOKUP(B$2,C1:E392,3,FALSE),J8)</f>
        <v>127.268273418835</v>
      </c>
      <c r="G8" s="77"/>
      <c r="H8" s="223">
        <f>RANK(I8,I3:I392)</f>
        <v>4</v>
      </c>
      <c r="I8" s="77">
        <f>VLOOKUP(A8,'Standard Deviations'!A1:C666,3,FALSE)</f>
        <v>13.2534884048484</v>
      </c>
      <c r="J8" s="84">
        <f>I8-VLOOKUP(B$2,H1:J392,2,FALSE)</f>
        <v>8.663356974288901</v>
      </c>
    </row>
    <row r="9" ht="21.25" customHeight="1">
      <c r="A9" t="s" s="10">
        <v>193</v>
      </c>
      <c r="B9" t="s" s="222">
        <f>VLOOKUP(A9,'The List'!B1:D665,3,FALSE)</f>
        <v>136</v>
      </c>
      <c r="C9" s="87">
        <f>IF('Settings'!$E$15="POINTS",RANK(E9,E3:E392),H9)</f>
        <v>19</v>
      </c>
      <c r="D9" t="s" s="86">
        <f>VLOOKUP(A9,'The List'!B1:F665,5,FALSE)</f>
        <v>900</v>
      </c>
      <c r="E9" s="77">
        <f>VLOOKUP(A9,'The List'!B1:I665,8,FALSE)</f>
        <v>376.928308347434</v>
      </c>
      <c r="F9" s="77">
        <f>IF('Settings'!$E$15="POINTS",E9-VLOOKUP(B$2,C1:E392,3,FALSE),J9)</f>
        <v>70.022303917843</v>
      </c>
      <c r="G9" s="77"/>
      <c r="H9" s="223">
        <f>RANK(I9,I3:I392)</f>
        <v>10</v>
      </c>
      <c r="I9" s="77">
        <f>VLOOKUP(A9,'Standard Deviations'!A1:C666,3,FALSE)</f>
        <v>11.2257035689631</v>
      </c>
      <c r="J9" s="84">
        <f>I9-VLOOKUP(B$2,H1:J392,2,FALSE)</f>
        <v>6.6355721384036</v>
      </c>
    </row>
    <row r="10" ht="21.25" customHeight="1">
      <c r="A10" t="s" s="10">
        <v>159</v>
      </c>
      <c r="B10" t="s" s="222">
        <f>VLOOKUP(A10,'The List'!B1:D665,3,FALSE)</f>
        <v>140</v>
      </c>
      <c r="C10" s="87">
        <f>IF('Settings'!$E$15="POINTS",RANK(E10,E3:E392),H10)</f>
        <v>11</v>
      </c>
      <c r="D10" t="s" s="86">
        <f>VLOOKUP(A10,'The List'!B1:F665,5,FALSE)</f>
        <v>871</v>
      </c>
      <c r="E10" s="77">
        <f>VLOOKUP(A10,'The List'!B1:I665,8,FALSE)</f>
        <v>419.247272115142</v>
      </c>
      <c r="F10" s="77">
        <f>IF('Settings'!$E$15="POINTS",E10-VLOOKUP(B$2,C1:E392,3,FALSE),J10)</f>
        <v>112.341267685551</v>
      </c>
      <c r="G10" s="77"/>
      <c r="H10" s="223">
        <f>RANK(I10,I3:I392)</f>
        <v>7</v>
      </c>
      <c r="I10" s="77">
        <f>VLOOKUP(A10,'Standard Deviations'!A1:C666,3,FALSE)</f>
        <v>11.9730522774097</v>
      </c>
      <c r="J10" s="84">
        <f>I10-VLOOKUP(B$2,H1:J392,2,FALSE)</f>
        <v>7.3829208468502</v>
      </c>
    </row>
    <row r="11" ht="21.25" customHeight="1">
      <c r="A11" t="s" s="10">
        <v>147</v>
      </c>
      <c r="B11" t="s" s="222">
        <f>VLOOKUP(A11,'The List'!B1:D665,3,FALSE)</f>
        <v>148</v>
      </c>
      <c r="C11" s="87">
        <f>IF('Settings'!$E$15="POINTS",RANK(E11,E3:E392),H11)</f>
        <v>8</v>
      </c>
      <c r="D11" t="s" s="86">
        <f>VLOOKUP(A11,'The List'!B1:F665,5,FALSE)</f>
        <v>149</v>
      </c>
      <c r="E11" s="77">
        <f>VLOOKUP(A11,'The List'!B1:I665,8,FALSE)</f>
        <v>434.348325800968</v>
      </c>
      <c r="F11" s="77">
        <f>IF('Settings'!$E$15="POINTS",E11-VLOOKUP(B$2,C1:E392,3,FALSE),J11)</f>
        <v>127.442321371377</v>
      </c>
      <c r="G11" s="77"/>
      <c r="H11" s="223">
        <f>RANK(I11,I3:I392)</f>
        <v>8</v>
      </c>
      <c r="I11" s="77">
        <f>VLOOKUP(A11,'Standard Deviations'!A1:C666,3,FALSE)</f>
        <v>11.9174081313296</v>
      </c>
      <c r="J11" s="84">
        <f>I11-VLOOKUP(B$2,H1:J392,2,FALSE)</f>
        <v>7.3272767007701</v>
      </c>
    </row>
    <row r="12" ht="21.25" customHeight="1">
      <c r="A12" t="s" s="10">
        <v>183</v>
      </c>
      <c r="B12" t="s" s="222">
        <f>VLOOKUP(A12,'The List'!B1:D665,3,FALSE)</f>
        <v>140</v>
      </c>
      <c r="C12" s="87">
        <f>IF('Settings'!$E$15="POINTS",RANK(E12,E3:E392),H12)</f>
        <v>17</v>
      </c>
      <c r="D12" t="s" s="86">
        <f>VLOOKUP(A12,'The List'!B1:F665,5,FALSE)</f>
        <v>132</v>
      </c>
      <c r="E12" s="77">
        <f>VLOOKUP(A12,'The List'!B1:I665,8,FALSE)</f>
        <v>386.466461804052</v>
      </c>
      <c r="F12" s="77">
        <f>IF('Settings'!$E$15="POINTS",E12-VLOOKUP(B$2,C1:E392,3,FALSE),J12)</f>
        <v>79.560457374461</v>
      </c>
      <c r="G12" s="77"/>
      <c r="H12" s="223">
        <f>RANK(I12,I3:I392)</f>
        <v>11</v>
      </c>
      <c r="I12" s="77">
        <f>VLOOKUP(A12,'Standard Deviations'!A1:C666,3,FALSE)</f>
        <v>11.1022446751777</v>
      </c>
      <c r="J12" s="84">
        <f>I12-VLOOKUP(B$2,H1:J392,2,FALSE)</f>
        <v>6.5121132446182</v>
      </c>
    </row>
    <row r="13" ht="21.25" customHeight="1">
      <c r="A13" t="s" s="10">
        <v>198</v>
      </c>
      <c r="B13" t="s" s="222">
        <f>VLOOKUP(A13,'The List'!B1:D665,3,FALSE)</f>
        <v>178</v>
      </c>
      <c r="C13" s="87">
        <f>IF('Settings'!$E$15="POINTS",RANK(E13,E3:E392),H13)</f>
        <v>23</v>
      </c>
      <c r="D13" t="s" s="86">
        <f>VLOOKUP(A13,'The List'!B1:F665,5,FALSE)</f>
        <v>878</v>
      </c>
      <c r="E13" s="77">
        <f>VLOOKUP(A13,'The List'!B1:I665,8,FALSE)</f>
        <v>372.444677897683</v>
      </c>
      <c r="F13" s="77">
        <f>IF('Settings'!$E$15="POINTS",E13-VLOOKUP(B$2,C1:E392,3,FALSE),J13)</f>
        <v>65.538673468092</v>
      </c>
      <c r="G13" s="77"/>
      <c r="H13" s="223">
        <f>RANK(I13,I3:I392)</f>
        <v>12</v>
      </c>
      <c r="I13" s="77">
        <f>VLOOKUP(A13,'Standard Deviations'!A1:C666,3,FALSE)</f>
        <v>11.0029371991589</v>
      </c>
      <c r="J13" s="84">
        <f>I13-VLOOKUP(B$2,H1:J392,2,FALSE)</f>
        <v>6.4128057685994</v>
      </c>
    </row>
    <row r="14" ht="21.25" customHeight="1">
      <c r="A14" t="s" s="10">
        <v>166</v>
      </c>
      <c r="B14" t="s" s="222">
        <f>VLOOKUP(A14,'The List'!B1:D665,3,FALSE)</f>
        <v>140</v>
      </c>
      <c r="C14" s="87">
        <f>IF('Settings'!$E$15="POINTS",RANK(E14,E3:E392),H14)</f>
        <v>12</v>
      </c>
      <c r="D14" t="s" s="86">
        <f>VLOOKUP(A14,'The List'!B1:F665,5,FALSE)</f>
        <v>132</v>
      </c>
      <c r="E14" s="77">
        <f>VLOOKUP(A14,'The List'!B1:I665,8,FALSE)</f>
        <v>411.658724468524</v>
      </c>
      <c r="F14" s="77">
        <f>IF('Settings'!$E$15="POINTS",E14-VLOOKUP(B$2,C1:E392,3,FALSE),J14)</f>
        <v>104.752720038933</v>
      </c>
      <c r="G14" s="77"/>
      <c r="H14" s="223">
        <f>RANK(I14,I3:I392)</f>
        <v>9</v>
      </c>
      <c r="I14" s="77">
        <f>VLOOKUP(A14,'Standard Deviations'!A1:C666,3,FALSE)</f>
        <v>11.325545175332</v>
      </c>
      <c r="J14" s="84">
        <f>I14-VLOOKUP(B$2,H1:J392,2,FALSE)</f>
        <v>6.7354137447725</v>
      </c>
    </row>
    <row r="15" ht="21.25" customHeight="1">
      <c r="A15" t="s" s="10">
        <v>181</v>
      </c>
      <c r="B15" t="s" s="222">
        <f>VLOOKUP(A15,'The List'!B1:D665,3,FALSE)</f>
        <v>178</v>
      </c>
      <c r="C15" s="87">
        <f>IF('Settings'!$E$15="POINTS",RANK(E15,E3:E392),H15)</f>
        <v>16</v>
      </c>
      <c r="D15" t="s" s="86">
        <f>VLOOKUP(A15,'The List'!B1:F665,5,FALSE)</f>
        <v>275</v>
      </c>
      <c r="E15" s="77">
        <f>VLOOKUP(A15,'The List'!B1:I665,8,FALSE)</f>
        <v>389.206036292817</v>
      </c>
      <c r="F15" s="77">
        <f>IF('Settings'!$E$15="POINTS",E15-VLOOKUP(B$2,C1:E392,3,FALSE),J15)</f>
        <v>82.300031863226</v>
      </c>
      <c r="G15" s="77"/>
      <c r="H15" s="223">
        <f>RANK(I15,I3:I392)</f>
        <v>15</v>
      </c>
      <c r="I15" s="77">
        <f>VLOOKUP(A15,'Standard Deviations'!A1:C666,3,FALSE)</f>
        <v>9.83957659571405</v>
      </c>
      <c r="J15" s="84">
        <f>I15-VLOOKUP(B$2,H1:J392,2,FALSE)</f>
        <v>5.24944516515455</v>
      </c>
    </row>
    <row r="16" ht="21.25" customHeight="1">
      <c r="A16" t="s" s="10">
        <v>151</v>
      </c>
      <c r="B16" t="s" s="222">
        <f>VLOOKUP(A16,'The List'!B1:D665,3,FALSE)</f>
        <v>136</v>
      </c>
      <c r="C16" s="87">
        <f>IF('Settings'!$E$15="POINTS",RANK(E16,E3:E392),H16)</f>
        <v>10</v>
      </c>
      <c r="D16" t="s" s="86">
        <f>VLOOKUP(A16,'The List'!B1:F665,5,FALSE)</f>
        <v>901</v>
      </c>
      <c r="E16" s="77">
        <f>VLOOKUP(A16,'The List'!B1:I665,8,FALSE)</f>
        <v>423.787729079359</v>
      </c>
      <c r="F16" s="77">
        <f>IF('Settings'!$E$15="POINTS",E16-VLOOKUP(B$2,C1:E392,3,FALSE),J16)</f>
        <v>116.881724649768</v>
      </c>
      <c r="G16" s="77"/>
      <c r="H16" s="223">
        <f>RANK(I16,I3:I392)</f>
        <v>14</v>
      </c>
      <c r="I16" s="77">
        <f>VLOOKUP(A16,'Standard Deviations'!A1:C666,3,FALSE)</f>
        <v>10.1105609461844</v>
      </c>
      <c r="J16" s="84">
        <f>I16-VLOOKUP(B$2,H1:J392,2,FALSE)</f>
        <v>5.5204295156249</v>
      </c>
    </row>
    <row r="17" ht="21.25" customHeight="1">
      <c r="A17" t="s" s="10">
        <v>171</v>
      </c>
      <c r="B17" t="s" s="222">
        <f>VLOOKUP(A17,'The List'!B1:D665,3,FALSE)</f>
        <v>128</v>
      </c>
      <c r="C17" s="87">
        <f>IF('Settings'!$E$15="POINTS",RANK(E17,E3:E392),H17)</f>
        <v>15</v>
      </c>
      <c r="D17" t="s" s="86">
        <f>VLOOKUP(A17,'The List'!B1:F665,5,FALSE)</f>
        <v>259</v>
      </c>
      <c r="E17" s="77">
        <f>VLOOKUP(A17,'The List'!B1:I665,8,FALSE)</f>
        <v>392.539712517407</v>
      </c>
      <c r="F17" s="77">
        <f>IF('Settings'!$E$15="POINTS",E17-VLOOKUP(B$2,C1:E392,3,FALSE),J17)</f>
        <v>85.633708087816</v>
      </c>
      <c r="G17" s="77"/>
      <c r="H17" s="223">
        <f>RANK(I17,I3:I392)</f>
        <v>20</v>
      </c>
      <c r="I17" s="77">
        <f>VLOOKUP(A17,'Standard Deviations'!A1:C666,3,FALSE)</f>
        <v>8.435911471143029</v>
      </c>
      <c r="J17" s="84">
        <f>I17-VLOOKUP(B$2,H1:J392,2,FALSE)</f>
        <v>3.84578004058353</v>
      </c>
    </row>
    <row r="18" ht="21.25" customHeight="1">
      <c r="A18" t="s" s="10">
        <v>203</v>
      </c>
      <c r="B18" t="s" s="222">
        <f>VLOOKUP(A18,'The List'!B1:D665,3,FALSE)</f>
        <v>178</v>
      </c>
      <c r="C18" s="87">
        <f>IF('Settings'!$E$15="POINTS",RANK(E18,E3:E392),H18)</f>
        <v>24</v>
      </c>
      <c r="D18" t="s" s="86">
        <f>VLOOKUP(A18,'The List'!B1:F665,5,FALSE)</f>
        <v>902</v>
      </c>
      <c r="E18" s="77">
        <f>VLOOKUP(A18,'The List'!B1:I665,8,FALSE)</f>
        <v>367.525256853988</v>
      </c>
      <c r="F18" s="77">
        <f>IF('Settings'!$E$15="POINTS",E18-VLOOKUP(B$2,C1:E392,3,FALSE),J18)</f>
        <v>60.619252424397</v>
      </c>
      <c r="G18" s="77"/>
      <c r="H18" s="223">
        <f>RANK(I18,I3:I392)</f>
        <v>13</v>
      </c>
      <c r="I18" s="77">
        <f>VLOOKUP(A18,'Standard Deviations'!A1:C666,3,FALSE)</f>
        <v>10.3124484756616</v>
      </c>
      <c r="J18" s="84">
        <f>I18-VLOOKUP(B$2,H1:J392,2,FALSE)</f>
        <v>5.7223170451021</v>
      </c>
    </row>
    <row r="19" ht="21.25" customHeight="1">
      <c r="A19" t="s" s="10">
        <v>177</v>
      </c>
      <c r="B19" t="s" s="222">
        <f>VLOOKUP(A19,'The List'!B1:D665,3,FALSE)</f>
        <v>178</v>
      </c>
      <c r="C19" s="87">
        <f>IF('Settings'!$E$15="POINTS",RANK(E19,E3:E392),H19)</f>
        <v>14</v>
      </c>
      <c r="D19" t="s" s="86">
        <f>VLOOKUP(A19,'The List'!B1:F665,5,FALSE)</f>
        <v>165</v>
      </c>
      <c r="E19" s="77">
        <f>VLOOKUP(A19,'The List'!B1:I665,8,FALSE)</f>
        <v>394.249894361275</v>
      </c>
      <c r="F19" s="77">
        <f>IF('Settings'!$E$15="POINTS",E19-VLOOKUP(B$2,C1:E392,3,FALSE),J19)</f>
        <v>87.343889931684</v>
      </c>
      <c r="G19" s="77"/>
      <c r="H19" s="223">
        <f>RANK(I19,I3:I392)</f>
        <v>17</v>
      </c>
      <c r="I19" s="77">
        <f>VLOOKUP(A19,'Standard Deviations'!A1:C666,3,FALSE)</f>
        <v>8.75925317331844</v>
      </c>
      <c r="J19" s="84">
        <f>I19-VLOOKUP(B$2,H1:J392,2,FALSE)</f>
        <v>4.16912174275894</v>
      </c>
    </row>
    <row r="20" ht="21.25" customHeight="1">
      <c r="A20" t="s" s="10">
        <v>209</v>
      </c>
      <c r="B20" t="s" s="222">
        <f>VLOOKUP(A20,'The List'!B1:D665,3,FALSE)</f>
        <v>178</v>
      </c>
      <c r="C20" s="87">
        <f>IF('Settings'!$E$15="POINTS",RANK(E20,E3:E392),H20)</f>
        <v>25</v>
      </c>
      <c r="D20" t="s" s="86">
        <f>VLOOKUP(A20,'The List'!B1:F665,5,FALSE)</f>
        <v>866</v>
      </c>
      <c r="E20" s="77">
        <f>VLOOKUP(A20,'The List'!B1:I665,8,FALSE)</f>
        <v>362.475956774604</v>
      </c>
      <c r="F20" s="77">
        <f>IF('Settings'!$E$15="POINTS",E20-VLOOKUP(B$2,C1:E392,3,FALSE),J20)</f>
        <v>55.569952345013</v>
      </c>
      <c r="G20" s="77"/>
      <c r="H20" s="223">
        <f>RANK(I20,I3:I392)</f>
        <v>24</v>
      </c>
      <c r="I20" s="77">
        <f>VLOOKUP(A20,'Standard Deviations'!A1:C666,3,FALSE)</f>
        <v>7.82680490529015</v>
      </c>
      <c r="J20" s="84">
        <f>I20-VLOOKUP(B$2,H1:J392,2,FALSE)</f>
        <v>3.23667347473065</v>
      </c>
    </row>
    <row r="21" ht="21.25" customHeight="1">
      <c r="A21" t="s" s="10">
        <v>214</v>
      </c>
      <c r="B21" t="s" s="222">
        <f>VLOOKUP(A21,'The List'!B1:D665,3,FALSE)</f>
        <v>145</v>
      </c>
      <c r="C21" s="87">
        <f>IF('Settings'!$E$15="POINTS",RANK(E21,E3:E392),H21)</f>
        <v>28</v>
      </c>
      <c r="D21" t="s" s="86">
        <f>VLOOKUP(A21,'The List'!B1:F665,5,FALSE)</f>
        <v>154</v>
      </c>
      <c r="E21" s="77">
        <f>VLOOKUP(A21,'The List'!B1:I665,8,FALSE)</f>
        <v>354.148567502498</v>
      </c>
      <c r="F21" s="77">
        <f>IF('Settings'!$E$15="POINTS",E21-VLOOKUP(B$2,C1:E392,3,FALSE),J21)</f>
        <v>47.242563072907</v>
      </c>
      <c r="G21" s="77"/>
      <c r="H21" s="223">
        <f>RANK(I21,I3:I392)</f>
        <v>30</v>
      </c>
      <c r="I21" s="77">
        <f>VLOOKUP(A21,'Standard Deviations'!A1:C666,3,FALSE)</f>
        <v>7.50177593797388</v>
      </c>
      <c r="J21" s="84">
        <f>I21-VLOOKUP(B$2,H1:J392,2,FALSE)</f>
        <v>2.91164450741438</v>
      </c>
    </row>
    <row r="22" ht="21.25" customHeight="1">
      <c r="A22" t="s" s="10">
        <v>215</v>
      </c>
      <c r="B22" t="s" s="222">
        <f>VLOOKUP(A22,'The List'!B1:D665,3,FALSE)</f>
        <v>128</v>
      </c>
      <c r="C22" s="87">
        <f>IF('Settings'!$E$15="POINTS",RANK(E22,E3:E392),H22)</f>
        <v>31</v>
      </c>
      <c r="D22" t="s" s="86">
        <f>VLOOKUP(A22,'The List'!B1:F665,5,FALSE)</f>
        <v>903</v>
      </c>
      <c r="E22" s="77">
        <f>VLOOKUP(A22,'The List'!B1:I665,8,FALSE)</f>
        <v>347.906538398473</v>
      </c>
      <c r="F22" s="77">
        <f>IF('Settings'!$E$15="POINTS",E22-VLOOKUP(B$2,C1:E392,3,FALSE),J22)</f>
        <v>41.000533968882</v>
      </c>
      <c r="G22" s="77"/>
      <c r="H22" s="223">
        <f>RANK(I22,I3:I392)</f>
        <v>22</v>
      </c>
      <c r="I22" s="77">
        <f>VLOOKUP(A22,'Standard Deviations'!A1:C666,3,FALSE)</f>
        <v>7.98142659320786</v>
      </c>
      <c r="J22" s="84">
        <f>I22-VLOOKUP(B$2,H1:J392,2,FALSE)</f>
        <v>3.39129516264836</v>
      </c>
    </row>
    <row r="23" ht="21.25" customHeight="1">
      <c r="A23" t="s" s="10">
        <v>220</v>
      </c>
      <c r="B23" t="s" s="222">
        <f>VLOOKUP(A23,'The List'!B1:D665,3,FALSE)</f>
        <v>128</v>
      </c>
      <c r="C23" s="87">
        <f>IF('Settings'!$E$15="POINTS",RANK(E23,E3:E392),H23)</f>
        <v>34</v>
      </c>
      <c r="D23" t="s" s="86">
        <f>VLOOKUP(A23,'The List'!B1:F665,5,FALSE)</f>
        <v>866</v>
      </c>
      <c r="E23" s="77">
        <f>VLOOKUP(A23,'The List'!B1:I665,8,FALSE)</f>
        <v>344.513693891404</v>
      </c>
      <c r="F23" s="77">
        <f>IF('Settings'!$E$15="POINTS",E23-VLOOKUP(B$2,C1:E392,3,FALSE),J23)</f>
        <v>37.607689461813</v>
      </c>
      <c r="G23" s="77"/>
      <c r="H23" s="223">
        <f>RANK(I23,I3:I392)</f>
        <v>21</v>
      </c>
      <c r="I23" s="77">
        <f>VLOOKUP(A23,'Standard Deviations'!A1:C666,3,FALSE)</f>
        <v>8.029104277723251</v>
      </c>
      <c r="J23" s="84">
        <f>I23-VLOOKUP(B$2,H1:J392,2,FALSE)</f>
        <v>3.43897284716375</v>
      </c>
    </row>
    <row r="24" ht="21.25" customHeight="1">
      <c r="A24" t="s" s="10">
        <v>135</v>
      </c>
      <c r="B24" t="s" s="222">
        <f>VLOOKUP(A24,'The List'!B1:D665,3,FALSE)</f>
        <v>136</v>
      </c>
      <c r="C24" s="87">
        <f>IF('Settings'!$E$15="POINTS",RANK(E24,E3:E392),H24)</f>
        <v>4</v>
      </c>
      <c r="D24" t="s" s="86">
        <f>VLOOKUP(A24,'The List'!B1:F665,5,FALSE)</f>
        <v>904</v>
      </c>
      <c r="E24" s="77">
        <f>VLOOKUP(A24,'The List'!B1:I665,8,FALSE)</f>
        <v>447.701484892705</v>
      </c>
      <c r="F24" s="77">
        <f>IF('Settings'!$E$15="POINTS",E24-VLOOKUP(B$2,C1:E392,3,FALSE),J24)</f>
        <v>140.795480463114</v>
      </c>
      <c r="G24" s="77"/>
      <c r="H24" s="223">
        <f>RANK(I24,I3:I392)</f>
        <v>35</v>
      </c>
      <c r="I24" s="77">
        <f>VLOOKUP(A24,'Standard Deviations'!A1:C666,3,FALSE)</f>
        <v>7.01141582322105</v>
      </c>
      <c r="J24" s="84">
        <f>I24-VLOOKUP(B$2,H1:J392,2,FALSE)</f>
        <v>2.42128439266155</v>
      </c>
    </row>
    <row r="25" ht="21.25" customHeight="1">
      <c r="A25" t="s" s="10">
        <v>144</v>
      </c>
      <c r="B25" t="s" s="222">
        <f>VLOOKUP(A25,'The List'!B1:D665,3,FALSE)</f>
        <v>145</v>
      </c>
      <c r="C25" s="87">
        <f>IF('Settings'!$E$15="POINTS",RANK(E25,E3:E392),H25)</f>
        <v>7</v>
      </c>
      <c r="D25" t="s" s="86">
        <f>VLOOKUP(A25,'The List'!B1:F665,5,FALSE)</f>
        <v>901</v>
      </c>
      <c r="E25" s="77">
        <f>VLOOKUP(A25,'The List'!B1:I665,8,FALSE)</f>
        <v>438.710474226457</v>
      </c>
      <c r="F25" s="77">
        <f>IF('Settings'!$E$15="POINTS",E25-VLOOKUP(B$2,C1:E392,3,FALSE),J25)</f>
        <v>131.804469796866</v>
      </c>
      <c r="G25" s="77"/>
      <c r="H25" s="223">
        <f>RANK(I25,I3:I392)</f>
        <v>19</v>
      </c>
      <c r="I25" s="77">
        <f>VLOOKUP(A25,'Standard Deviations'!A1:C666,3,FALSE)</f>
        <v>8.471995652896309</v>
      </c>
      <c r="J25" s="84">
        <f>I25-VLOOKUP(B$2,H1:J392,2,FALSE)</f>
        <v>3.88186422233681</v>
      </c>
    </row>
    <row r="26" ht="21.25" customHeight="1">
      <c r="A26" t="s" s="10">
        <v>196</v>
      </c>
      <c r="B26" t="s" s="222">
        <f>VLOOKUP(A26,'The List'!B1:D665,3,FALSE)</f>
        <v>145</v>
      </c>
      <c r="C26" s="87">
        <f>IF('Settings'!$E$15="POINTS",RANK(E26,E3:E392),H26)</f>
        <v>22</v>
      </c>
      <c r="D26" t="s" s="86">
        <f>VLOOKUP(A26,'The List'!B1:F665,5,FALSE)</f>
        <v>149</v>
      </c>
      <c r="E26" s="77">
        <f>VLOOKUP(A26,'The List'!B1:I665,8,FALSE)</f>
        <v>373.831208092319</v>
      </c>
      <c r="F26" s="77">
        <f>IF('Settings'!$E$15="POINTS",E26-VLOOKUP(B$2,C1:E392,3,FALSE),J26)</f>
        <v>66.92520366272799</v>
      </c>
      <c r="G26" s="77"/>
      <c r="H26" s="223">
        <f>RANK(I26,I3:I392)</f>
        <v>27</v>
      </c>
      <c r="I26" s="77">
        <f>VLOOKUP(A26,'Standard Deviations'!A1:C666,3,FALSE)</f>
        <v>7.74008223059075</v>
      </c>
      <c r="J26" s="84">
        <f>I26-VLOOKUP(B$2,H1:J392,2,FALSE)</f>
        <v>3.14995080003125</v>
      </c>
    </row>
    <row r="27" ht="21.25" customHeight="1">
      <c r="A27" t="s" s="10">
        <v>186</v>
      </c>
      <c r="B27" t="s" s="222">
        <f>VLOOKUP(A27,'The List'!B1:D665,3,FALSE)</f>
        <v>128</v>
      </c>
      <c r="C27" s="87">
        <f>IF('Settings'!$E$15="POINTS",RANK(E27,E3:E392),H27)</f>
        <v>20</v>
      </c>
      <c r="D27" t="s" s="86">
        <f>VLOOKUP(A27,'The List'!B1:F665,5,FALSE)</f>
        <v>149</v>
      </c>
      <c r="E27" s="77">
        <f>VLOOKUP(A27,'The List'!B1:I665,8,FALSE)</f>
        <v>375.783938658533</v>
      </c>
      <c r="F27" s="77">
        <f>IF('Settings'!$E$15="POINTS",E27-VLOOKUP(B$2,C1:E392,3,FALSE),J27)</f>
        <v>68.877934228942</v>
      </c>
      <c r="G27" s="77"/>
      <c r="H27" s="223">
        <f>RANK(I27,I3:I392)</f>
        <v>18</v>
      </c>
      <c r="I27" s="77">
        <f>VLOOKUP(A27,'Standard Deviations'!A1:C666,3,FALSE)</f>
        <v>8.58617429910945</v>
      </c>
      <c r="J27" s="84">
        <f>I27-VLOOKUP(B$2,H1:J392,2,FALSE)</f>
        <v>3.99604286854995</v>
      </c>
    </row>
    <row r="28" ht="21.25" customHeight="1">
      <c r="A28" t="s" s="10">
        <v>243</v>
      </c>
      <c r="B28" t="s" s="222">
        <f>VLOOKUP(A28,'The List'!B1:D665,3,FALSE)</f>
        <v>128</v>
      </c>
      <c r="C28" s="87">
        <f>IF('Settings'!$E$15="POINTS",RANK(E28,E3:E392),H28)</f>
        <v>52</v>
      </c>
      <c r="D28" t="s" s="86">
        <f>VLOOKUP(A28,'The List'!B1:F665,5,FALSE)</f>
        <v>905</v>
      </c>
      <c r="E28" s="77">
        <f>VLOOKUP(A28,'The List'!B1:I665,8,FALSE)</f>
        <v>328.397685695025</v>
      </c>
      <c r="F28" s="77">
        <f>IF('Settings'!$E$15="POINTS",E28-VLOOKUP(B$2,C1:E392,3,FALSE),J28)</f>
        <v>21.491681265434</v>
      </c>
      <c r="G28" s="77"/>
      <c r="H28" s="223">
        <f>RANK(I28,I3:I392)</f>
        <v>72</v>
      </c>
      <c r="I28" s="77">
        <f>VLOOKUP(A28,'Standard Deviations'!A1:C666,3,FALSE)</f>
        <v>4.47465875585155</v>
      </c>
      <c r="J28" s="84">
        <f>I28-VLOOKUP(B$2,H1:J392,2,FALSE)</f>
        <v>-0.11547267470795</v>
      </c>
    </row>
    <row r="29" ht="21.25" customHeight="1">
      <c r="A29" t="s" s="10">
        <v>250</v>
      </c>
      <c r="B29" t="s" s="222">
        <f>VLOOKUP(A29,'The List'!B1:D665,3,FALSE)</f>
        <v>145</v>
      </c>
      <c r="C29" s="87">
        <f>IF('Settings'!$E$15="POINTS",RANK(E29,E3:E392),H29)</f>
        <v>48</v>
      </c>
      <c r="D29" t="s" s="86">
        <f>VLOOKUP(A29,'The List'!B1:F665,5,FALSE)</f>
        <v>207</v>
      </c>
      <c r="E29" s="77">
        <f>VLOOKUP(A29,'The List'!B1:I665,8,FALSE)</f>
        <v>329.691894081178</v>
      </c>
      <c r="F29" s="77">
        <f>IF('Settings'!$E$15="POINTS",E29-VLOOKUP(B$2,C1:E392,3,FALSE),J29)</f>
        <v>22.785889651587</v>
      </c>
      <c r="G29" s="77"/>
      <c r="H29" s="223">
        <f>RANK(I29,I3:I392)</f>
        <v>32</v>
      </c>
      <c r="I29" s="77">
        <f>VLOOKUP(A29,'Standard Deviations'!A1:C666,3,FALSE)</f>
        <v>7.3080163776891</v>
      </c>
      <c r="J29" s="84">
        <f>I29-VLOOKUP(B$2,H1:J392,2,FALSE)</f>
        <v>2.7178849471296</v>
      </c>
    </row>
    <row r="30" ht="21.25" customHeight="1">
      <c r="A30" t="s" s="10">
        <v>195</v>
      </c>
      <c r="B30" t="s" s="222">
        <f>VLOOKUP(A30,'The List'!B1:D665,3,FALSE)</f>
        <v>148</v>
      </c>
      <c r="C30" s="87">
        <f>IF('Settings'!$E$15="POINTS",RANK(E30,E3:E392),H30)</f>
        <v>21</v>
      </c>
      <c r="D30" t="s" s="86">
        <f>VLOOKUP(A30,'The List'!B1:F665,5,FALSE)</f>
        <v>900</v>
      </c>
      <c r="E30" s="77">
        <f>VLOOKUP(A30,'The List'!B1:I665,8,FALSE)</f>
        <v>374.535841488805</v>
      </c>
      <c r="F30" s="77">
        <f>IF('Settings'!$E$15="POINTS",E30-VLOOKUP(B$2,C1:E392,3,FALSE),J30)</f>
        <v>67.629837059214</v>
      </c>
      <c r="G30" s="77"/>
      <c r="H30" s="223">
        <f>RANK(I30,I3:I392)</f>
        <v>26</v>
      </c>
      <c r="I30" s="77">
        <f>VLOOKUP(A30,'Standard Deviations'!A1:C666,3,FALSE)</f>
        <v>7.79040001645913</v>
      </c>
      <c r="J30" s="84">
        <f>I30-VLOOKUP(B$2,H1:J392,2,FALSE)</f>
        <v>3.20026858589963</v>
      </c>
    </row>
    <row r="31" ht="21.25" customHeight="1">
      <c r="A31" t="s" s="10">
        <v>247</v>
      </c>
      <c r="B31" t="s" s="222">
        <f>VLOOKUP(A31,'The List'!B1:D665,3,FALSE)</f>
        <v>148</v>
      </c>
      <c r="C31" s="87">
        <f>IF('Settings'!$E$15="POINTS",RANK(E31,E3:E392),H31)</f>
        <v>44</v>
      </c>
      <c r="D31" t="s" s="86">
        <f>VLOOKUP(A31,'The List'!B1:F665,5,FALSE)</f>
        <v>900</v>
      </c>
      <c r="E31" s="77">
        <f>VLOOKUP(A31,'The List'!B1:I665,8,FALSE)</f>
        <v>331.720111766212</v>
      </c>
      <c r="F31" s="77">
        <f>IF('Settings'!$E$15="POINTS",E31-VLOOKUP(B$2,C1:E392,3,FALSE),J31)</f>
        <v>24.814107336621</v>
      </c>
      <c r="G31" s="77"/>
      <c r="H31" s="223">
        <f>RANK(I31,I3:I392)</f>
        <v>25</v>
      </c>
      <c r="I31" s="77">
        <f>VLOOKUP(A31,'Standard Deviations'!A1:C666,3,FALSE)</f>
        <v>7.81499894368299</v>
      </c>
      <c r="J31" s="84">
        <f>I31-VLOOKUP(B$2,H1:J392,2,FALSE)</f>
        <v>3.22486751312349</v>
      </c>
    </row>
    <row r="32" ht="21.25" customHeight="1">
      <c r="A32" t="s" s="10">
        <v>226</v>
      </c>
      <c r="B32" t="s" s="222">
        <f>VLOOKUP(A32,'The List'!B1:D665,3,FALSE)</f>
        <v>128</v>
      </c>
      <c r="C32" s="87">
        <f>IF('Settings'!$E$15="POINTS",RANK(E32,E3:E392),H32)</f>
        <v>35</v>
      </c>
      <c r="D32" t="s" s="86">
        <f>VLOOKUP(A32,'The List'!B1:F665,5,FALSE)</f>
        <v>342</v>
      </c>
      <c r="E32" s="77">
        <f>VLOOKUP(A32,'The List'!B1:I665,8,FALSE)</f>
        <v>342.283887951689</v>
      </c>
      <c r="F32" s="77">
        <f>IF('Settings'!$E$15="POINTS",E32-VLOOKUP(B$2,C1:E392,3,FALSE),J32)</f>
        <v>35.377883522098</v>
      </c>
      <c r="G32" s="77"/>
      <c r="H32" s="223">
        <f>RANK(I32,I3:I392)</f>
        <v>23</v>
      </c>
      <c r="I32" s="77">
        <f>VLOOKUP(A32,'Standard Deviations'!A1:C666,3,FALSE)</f>
        <v>7.95316832539225</v>
      </c>
      <c r="J32" s="84">
        <f>I32-VLOOKUP(B$2,H1:J392,2,FALSE)</f>
        <v>3.36303689483275</v>
      </c>
    </row>
    <row r="33" ht="21.25" customHeight="1">
      <c r="A33" t="s" s="10">
        <v>219</v>
      </c>
      <c r="B33" t="s" s="222">
        <f>VLOOKUP(A33,'The List'!B1:D665,3,FALSE)</f>
        <v>148</v>
      </c>
      <c r="C33" s="87">
        <f>IF('Settings'!$E$15="POINTS",RANK(E33,E3:E392),H33)</f>
        <v>30</v>
      </c>
      <c r="D33" t="s" s="86">
        <f>VLOOKUP(A33,'The List'!B1:F665,5,FALSE)</f>
        <v>129</v>
      </c>
      <c r="E33" s="77">
        <f>VLOOKUP(A33,'The List'!B1:I665,8,FALSE)</f>
        <v>350.019136310129</v>
      </c>
      <c r="F33" s="77">
        <f>IF('Settings'!$E$15="POINTS",E33-VLOOKUP(B$2,C1:E392,3,FALSE),J33)</f>
        <v>43.113131880538</v>
      </c>
      <c r="G33" s="77"/>
      <c r="H33" s="223">
        <f>RANK(I33,I3:I392)</f>
        <v>16</v>
      </c>
      <c r="I33" s="77">
        <f>VLOOKUP(A33,'Standard Deviations'!A1:C666,3,FALSE)</f>
        <v>9.13526212915516</v>
      </c>
      <c r="J33" s="84">
        <f>I33-VLOOKUP(B$2,H1:J392,2,FALSE)</f>
        <v>4.54513069859566</v>
      </c>
    </row>
    <row r="34" ht="21.25" customHeight="1">
      <c r="A34" t="s" s="10">
        <v>230</v>
      </c>
      <c r="B34" t="s" s="222">
        <f>VLOOKUP(A34,'The List'!B1:D665,3,FALSE)</f>
        <v>128</v>
      </c>
      <c r="C34" s="87">
        <f>IF('Settings'!$E$15="POINTS",RANK(E34,E3:E392),H34)</f>
        <v>39</v>
      </c>
      <c r="D34" t="s" s="86">
        <f>VLOOKUP(A34,'The List'!B1:F665,5,FALSE)</f>
        <v>156</v>
      </c>
      <c r="E34" s="77">
        <f>VLOOKUP(A34,'The List'!B1:I665,8,FALSE)</f>
        <v>336.556650896955</v>
      </c>
      <c r="F34" s="77">
        <f>IF('Settings'!$E$15="POINTS",E34-VLOOKUP(B$2,C1:E392,3,FALSE),J34)</f>
        <v>29.650646467364</v>
      </c>
      <c r="G34" s="77"/>
      <c r="H34" s="223">
        <f>RANK(I34,I3:I392)</f>
        <v>51</v>
      </c>
      <c r="I34" s="77">
        <f>VLOOKUP(A34,'Standard Deviations'!A1:C666,3,FALSE)</f>
        <v>5.61392004731672</v>
      </c>
      <c r="J34" s="84">
        <f>I34-VLOOKUP(B$2,H1:J392,2,FALSE)</f>
        <v>1.02378861675722</v>
      </c>
    </row>
    <row r="35" ht="21.25" customHeight="1">
      <c r="A35" t="s" s="10">
        <v>285</v>
      </c>
      <c r="B35" t="s" s="222">
        <f>VLOOKUP(A35,'The List'!B1:D665,3,FALSE)</f>
        <v>178</v>
      </c>
      <c r="C35" s="87">
        <f>IF('Settings'!$E$15="POINTS",RANK(E35,E3:E392),H35)</f>
        <v>61</v>
      </c>
      <c r="D35" t="s" s="86">
        <f>VLOOKUP(A35,'The List'!B1:F665,5,FALSE)</f>
        <v>906</v>
      </c>
      <c r="E35" s="77">
        <f>VLOOKUP(A35,'The List'!B1:I665,8,FALSE)</f>
        <v>311.538199898735</v>
      </c>
      <c r="F35" s="77">
        <f>IF('Settings'!$E$15="POINTS",E35-VLOOKUP(B$2,C1:E392,3,FALSE),J35)</f>
        <v>4.632195469144</v>
      </c>
      <c r="G35" s="77"/>
      <c r="H35" s="223">
        <f>RANK(I35,I3:I392)</f>
        <v>42</v>
      </c>
      <c r="I35" s="77">
        <f>VLOOKUP(A35,'Standard Deviations'!A1:C666,3,FALSE)</f>
        <v>6.22038828736208</v>
      </c>
      <c r="J35" s="84">
        <f>I35-VLOOKUP(B$2,H1:J392,2,FALSE)</f>
        <v>1.63025685680258</v>
      </c>
    </row>
    <row r="36" ht="21.25" customHeight="1">
      <c r="A36" t="s" s="10">
        <v>229</v>
      </c>
      <c r="B36" t="s" s="222">
        <f>VLOOKUP(A36,'The List'!B1:D665,3,FALSE)</f>
        <v>128</v>
      </c>
      <c r="C36" s="87">
        <f>IF('Settings'!$E$15="POINTS",RANK(E36,E3:E392),H36)</f>
        <v>36</v>
      </c>
      <c r="D36" t="s" s="86">
        <f>VLOOKUP(A36,'The List'!B1:F665,5,FALSE)</f>
        <v>878</v>
      </c>
      <c r="E36" s="77">
        <f>VLOOKUP(A36,'The List'!B1:I665,8,FALSE)</f>
        <v>340.969453310165</v>
      </c>
      <c r="F36" s="77">
        <f>IF('Settings'!$E$15="POINTS",E36-VLOOKUP(B$2,C1:E392,3,FALSE),J36)</f>
        <v>34.063448880574</v>
      </c>
      <c r="G36" s="77"/>
      <c r="H36" s="223">
        <f>RANK(I36,I3:I392)</f>
        <v>31</v>
      </c>
      <c r="I36" s="77">
        <f>VLOOKUP(A36,'Standard Deviations'!A1:C666,3,FALSE)</f>
        <v>7.48638233957139</v>
      </c>
      <c r="J36" s="84">
        <f>I36-VLOOKUP(B$2,H1:J392,2,FALSE)</f>
        <v>2.89625090901189</v>
      </c>
    </row>
    <row r="37" ht="21.25" customHeight="1">
      <c r="A37" t="s" s="10">
        <v>191</v>
      </c>
      <c r="B37" t="s" s="222">
        <f>VLOOKUP(A37,'The List'!B1:D665,3,FALSE)</f>
        <v>178</v>
      </c>
      <c r="C37" s="87">
        <f>IF('Settings'!$E$15="POINTS",RANK(E37,E3:E392),H37)</f>
        <v>18</v>
      </c>
      <c r="D37" t="s" s="86">
        <f>VLOOKUP(A37,'The List'!B1:F665,5,FALSE)</f>
        <v>192</v>
      </c>
      <c r="E37" s="77">
        <f>VLOOKUP(A37,'The List'!B1:I665,8,FALSE)</f>
        <v>377.075301193214</v>
      </c>
      <c r="F37" s="77">
        <f>IF('Settings'!$E$15="POINTS",E37-VLOOKUP(B$2,C1:E392,3,FALSE),J37)</f>
        <v>70.169296763623</v>
      </c>
      <c r="G37" s="77"/>
      <c r="H37" s="223">
        <f>RANK(I37,I3:I392)</f>
        <v>50</v>
      </c>
      <c r="I37" s="77">
        <f>VLOOKUP(A37,'Standard Deviations'!A1:C666,3,FALSE)</f>
        <v>5.69396032788783</v>
      </c>
      <c r="J37" s="84">
        <f>I37-VLOOKUP(B$2,H1:J392,2,FALSE)</f>
        <v>1.10382889732833</v>
      </c>
    </row>
    <row r="38" ht="21.25" customHeight="1">
      <c r="A38" t="s" s="10">
        <v>291</v>
      </c>
      <c r="B38" t="s" s="222">
        <f>VLOOKUP(A38,'The List'!B1:D665,3,FALSE)</f>
        <v>145</v>
      </c>
      <c r="C38" s="87">
        <f>IF('Settings'!$E$15="POINTS",RANK(E38,E3:E392),H38)</f>
        <v>65</v>
      </c>
      <c r="D38" t="s" s="86">
        <f>VLOOKUP(A38,'The List'!B1:F665,5,FALSE)</f>
        <v>907</v>
      </c>
      <c r="E38" s="77">
        <f>VLOOKUP(A38,'The List'!B1:I665,8,FALSE)</f>
        <v>308.127612095702</v>
      </c>
      <c r="F38" s="77">
        <f>IF('Settings'!$E$15="POINTS",E38-VLOOKUP(B$2,C1:E392,3,FALSE),J38)</f>
        <v>1.221607666111</v>
      </c>
      <c r="G38" s="77"/>
      <c r="H38" s="223">
        <f>RANK(I38,I3:I392)</f>
        <v>52</v>
      </c>
      <c r="I38" s="77">
        <f>VLOOKUP(A38,'Standard Deviations'!A1:C666,3,FALSE)</f>
        <v>5.44903367425587</v>
      </c>
      <c r="J38" s="84">
        <f>I38-VLOOKUP(B$2,H1:J392,2,FALSE)</f>
        <v>0.85890224369637</v>
      </c>
    </row>
    <row r="39" ht="21.25" customHeight="1">
      <c r="A39" t="s" s="10">
        <v>233</v>
      </c>
      <c r="B39" t="s" s="222">
        <f>VLOOKUP(A39,'The List'!B1:D665,3,FALSE)</f>
        <v>136</v>
      </c>
      <c r="C39" s="87">
        <f>IF('Settings'!$E$15="POINTS",RANK(E39,E3:E392),H39)</f>
        <v>37</v>
      </c>
      <c r="D39" t="s" s="86">
        <f>VLOOKUP(A39,'The List'!B1:F665,5,FALSE)</f>
        <v>165</v>
      </c>
      <c r="E39" s="77">
        <f>VLOOKUP(A39,'The List'!B1:I665,8,FALSE)</f>
        <v>339.341662407457</v>
      </c>
      <c r="F39" s="77">
        <f>IF('Settings'!$E$15="POINTS",E39-VLOOKUP(B$2,C1:E392,3,FALSE),J39)</f>
        <v>32.435657977866</v>
      </c>
      <c r="G39" s="77"/>
      <c r="H39" s="223">
        <f>RANK(I39,I3:I392)</f>
        <v>41</v>
      </c>
      <c r="I39" s="77">
        <f>VLOOKUP(A39,'Standard Deviations'!A1:C666,3,FALSE)</f>
        <v>6.45880956885536</v>
      </c>
      <c r="J39" s="84">
        <f>I39-VLOOKUP(B$2,H1:J392,2,FALSE)</f>
        <v>1.86867813829586</v>
      </c>
    </row>
    <row r="40" ht="21.25" customHeight="1">
      <c r="A40" t="s" s="10">
        <v>293</v>
      </c>
      <c r="B40" t="s" s="222">
        <f>VLOOKUP(A40,'The List'!B1:D665,3,FALSE)</f>
        <v>148</v>
      </c>
      <c r="C40" s="87">
        <f>IF('Settings'!$E$15="POINTS",RANK(E40,E3:E392),H40)</f>
        <v>67</v>
      </c>
      <c r="D40" t="s" s="86">
        <f>VLOOKUP(A40,'The List'!B1:F665,5,FALSE)</f>
        <v>908</v>
      </c>
      <c r="E40" s="77">
        <f>VLOOKUP(A40,'The List'!B1:I665,8,FALSE)</f>
        <v>306.906004429591</v>
      </c>
      <c r="F40" s="77">
        <f>IF('Settings'!$E$15="POINTS",E40-VLOOKUP(B$2,C1:E392,3,FALSE),J40)</f>
        <v>0</v>
      </c>
      <c r="G40" s="77"/>
      <c r="H40" s="223">
        <f>RANK(I40,I3:I392)</f>
        <v>48</v>
      </c>
      <c r="I40" s="77">
        <f>VLOOKUP(A40,'Standard Deviations'!A1:C666,3,FALSE)</f>
        <v>5.78948174178898</v>
      </c>
      <c r="J40" s="84">
        <f>I40-VLOOKUP(B$2,H1:J392,2,FALSE)</f>
        <v>1.19935031122948</v>
      </c>
    </row>
    <row r="41" ht="21.25" customHeight="1">
      <c r="A41" t="s" s="10">
        <v>213</v>
      </c>
      <c r="B41" t="s" s="222">
        <f>VLOOKUP(A41,'The List'!B1:D665,3,FALSE)</f>
        <v>136</v>
      </c>
      <c r="C41" s="87">
        <f>IF('Settings'!$E$15="POINTS",RANK(E41,E3:E392),H41)</f>
        <v>27</v>
      </c>
      <c r="D41" t="s" s="86">
        <f>VLOOKUP(A41,'The List'!B1:F665,5,FALSE)</f>
        <v>904</v>
      </c>
      <c r="E41" s="77">
        <f>VLOOKUP(A41,'The List'!B1:I665,8,FALSE)</f>
        <v>355.276737939928</v>
      </c>
      <c r="F41" s="77">
        <f>IF('Settings'!$E$15="POINTS",E41-VLOOKUP(B$2,C1:E392,3,FALSE),J41)</f>
        <v>48.370733510337</v>
      </c>
      <c r="G41" s="77"/>
      <c r="H41" s="223">
        <f>RANK(I41,I3:I392)</f>
        <v>55</v>
      </c>
      <c r="I41" s="77">
        <f>VLOOKUP(A41,'Standard Deviations'!A1:C666,3,FALSE)</f>
        <v>5.25407288662652</v>
      </c>
      <c r="J41" s="84">
        <f>I41-VLOOKUP(B$2,H1:J392,2,FALSE)</f>
        <v>0.66394145606702</v>
      </c>
    </row>
    <row r="42" ht="21.25" customHeight="1">
      <c r="A42" t="s" s="10">
        <v>231</v>
      </c>
      <c r="B42" t="s" s="222">
        <f>VLOOKUP(A42,'The List'!B1:D665,3,FALSE)</f>
        <v>128</v>
      </c>
      <c r="C42" s="87">
        <f>IF('Settings'!$E$15="POINTS",RANK(E42,E3:E392),H42)</f>
        <v>41</v>
      </c>
      <c r="D42" t="s" s="86">
        <f>VLOOKUP(A42,'The List'!B1:F665,5,FALSE)</f>
        <v>900</v>
      </c>
      <c r="E42" s="77">
        <f>VLOOKUP(A42,'The List'!B1:I665,8,FALSE)</f>
        <v>335.414601610426</v>
      </c>
      <c r="F42" s="77">
        <f>IF('Settings'!$E$15="POINTS",E42-VLOOKUP(B$2,C1:E392,3,FALSE),J42)</f>
        <v>28.508597180835</v>
      </c>
      <c r="G42" s="77"/>
      <c r="H42" s="223">
        <f>RANK(I42,I3:I392)</f>
        <v>37</v>
      </c>
      <c r="I42" s="77">
        <f>VLOOKUP(A42,'Standard Deviations'!A1:C666,3,FALSE)</f>
        <v>6.70121862315256</v>
      </c>
      <c r="J42" s="84">
        <f>I42-VLOOKUP(B$2,H1:J392,2,FALSE)</f>
        <v>2.11108719259306</v>
      </c>
    </row>
    <row r="43" ht="21.25" customHeight="1">
      <c r="A43" t="s" s="10">
        <v>249</v>
      </c>
      <c r="B43" t="s" s="222">
        <f>VLOOKUP(A43,'The List'!B1:D665,3,FALSE)</f>
        <v>145</v>
      </c>
      <c r="C43" s="87">
        <f>IF('Settings'!$E$15="POINTS",RANK(E43,E3:E392),H43)</f>
        <v>46</v>
      </c>
      <c r="D43" t="s" s="86">
        <f>VLOOKUP(A43,'The List'!B1:F665,5,FALSE)</f>
        <v>902</v>
      </c>
      <c r="E43" s="77">
        <f>VLOOKUP(A43,'The List'!B1:I665,8,FALSE)</f>
        <v>330.466334966661</v>
      </c>
      <c r="F43" s="77">
        <f>IF('Settings'!$E$15="POINTS",E43-VLOOKUP(B$2,C1:E392,3,FALSE),J43)</f>
        <v>23.560330537070</v>
      </c>
      <c r="G43" s="77"/>
      <c r="H43" s="223">
        <f>RANK(I43,I3:I392)</f>
        <v>33</v>
      </c>
      <c r="I43" s="77">
        <f>VLOOKUP(A43,'Standard Deviations'!A1:C666,3,FALSE)</f>
        <v>7.18070049133762</v>
      </c>
      <c r="J43" s="84">
        <f>I43-VLOOKUP(B$2,H1:J392,2,FALSE)</f>
        <v>2.59056906077812</v>
      </c>
    </row>
    <row r="44" ht="21.25" customHeight="1">
      <c r="A44" t="s" s="10">
        <v>270</v>
      </c>
      <c r="B44" t="s" s="222">
        <f>VLOOKUP(A44,'The List'!B1:D665,3,FALSE)</f>
        <v>128</v>
      </c>
      <c r="C44" s="87">
        <f>IF('Settings'!$E$15="POINTS",RANK(E44,E3:E392),H44)</f>
        <v>60</v>
      </c>
      <c r="D44" t="s" s="86">
        <f>VLOOKUP(A44,'The List'!B1:F665,5,FALSE)</f>
        <v>907</v>
      </c>
      <c r="E44" s="77">
        <f>VLOOKUP(A44,'The List'!B1:I665,8,FALSE)</f>
        <v>311.673419816241</v>
      </c>
      <c r="F44" s="77">
        <f>IF('Settings'!$E$15="POINTS",E44-VLOOKUP(B$2,C1:E392,3,FALSE),J44)</f>
        <v>4.767415386650</v>
      </c>
      <c r="G44" s="77"/>
      <c r="H44" s="223">
        <f>RANK(I44,I3:I392)</f>
        <v>57</v>
      </c>
      <c r="I44" s="77">
        <f>VLOOKUP(A44,'Standard Deviations'!A1:C666,3,FALSE)</f>
        <v>5.20639963081062</v>
      </c>
      <c r="J44" s="84">
        <f>I44-VLOOKUP(B$2,H1:J392,2,FALSE)</f>
        <v>0.6162682002511199</v>
      </c>
    </row>
    <row r="45" ht="21.25" customHeight="1">
      <c r="A45" t="s" s="10">
        <v>208</v>
      </c>
      <c r="B45" t="s" s="222">
        <f>VLOOKUP(A45,'The List'!B1:D665,3,FALSE)</f>
        <v>128</v>
      </c>
      <c r="C45" s="87">
        <f>IF('Settings'!$E$15="POINTS",RANK(E45,E3:E392),H45)</f>
        <v>26</v>
      </c>
      <c r="D45" t="s" s="86">
        <f>VLOOKUP(A45,'The List'!B1:F665,5,FALSE)</f>
        <v>132</v>
      </c>
      <c r="E45" s="77">
        <f>VLOOKUP(A45,'The List'!B1:I665,8,FALSE)</f>
        <v>360.105476017253</v>
      </c>
      <c r="F45" s="77">
        <f>IF('Settings'!$E$15="POINTS",E45-VLOOKUP(B$2,C1:E392,3,FALSE),J45)</f>
        <v>53.199471587662</v>
      </c>
      <c r="G45" s="77"/>
      <c r="H45" s="223">
        <f>RANK(I45,I3:I392)</f>
        <v>28</v>
      </c>
      <c r="I45" s="77">
        <f>VLOOKUP(A45,'Standard Deviations'!A1:C666,3,FALSE)</f>
        <v>7.57815305165113</v>
      </c>
      <c r="J45" s="84">
        <f>I45-VLOOKUP(B$2,H1:J392,2,FALSE)</f>
        <v>2.98802162109163</v>
      </c>
    </row>
    <row r="46" ht="21.25" customHeight="1">
      <c r="A46" t="s" s="10">
        <v>283</v>
      </c>
      <c r="B46" t="s" s="222">
        <f>VLOOKUP(A46,'The List'!B1:D665,3,FALSE)</f>
        <v>178</v>
      </c>
      <c r="C46" s="87">
        <f>IF('Settings'!$E$15="POINTS",RANK(E46,E3:E392),H46)</f>
        <v>58</v>
      </c>
      <c r="D46" t="s" s="86">
        <f>VLOOKUP(A46,'The List'!B1:F665,5,FALSE)</f>
        <v>267</v>
      </c>
      <c r="E46" s="77">
        <f>VLOOKUP(A46,'The List'!B1:I665,8,FALSE)</f>
        <v>313.895928132871</v>
      </c>
      <c r="F46" s="77">
        <f>IF('Settings'!$E$15="POINTS",E46-VLOOKUP(B$2,C1:E392,3,FALSE),J46)</f>
        <v>6.989923703280</v>
      </c>
      <c r="G46" s="77"/>
      <c r="H46" s="223">
        <f>RANK(I46,I3:I392)</f>
        <v>36</v>
      </c>
      <c r="I46" s="77">
        <f>VLOOKUP(A46,'Standard Deviations'!A1:C666,3,FALSE)</f>
        <v>6.7125754492529</v>
      </c>
      <c r="J46" s="84">
        <f>I46-VLOOKUP(B$2,H1:J392,2,FALSE)</f>
        <v>2.1224440186934</v>
      </c>
    </row>
    <row r="47" ht="21.25" customHeight="1">
      <c r="A47" t="s" s="10">
        <v>169</v>
      </c>
      <c r="B47" t="s" s="222">
        <f>VLOOKUP(A47,'The List'!B1:D665,3,FALSE)</f>
        <v>128</v>
      </c>
      <c r="C47" s="87">
        <f>IF('Settings'!$E$15="POINTS",RANK(E47,E3:E392),H47)</f>
        <v>13</v>
      </c>
      <c r="D47" t="s" s="86">
        <f>VLOOKUP(A47,'The List'!B1:F665,5,FALSE)</f>
        <v>878</v>
      </c>
      <c r="E47" s="77">
        <f>VLOOKUP(A47,'The List'!B1:I665,8,FALSE)</f>
        <v>401.623691281516</v>
      </c>
      <c r="F47" s="77">
        <f>IF('Settings'!$E$15="POINTS",E47-VLOOKUP(B$2,C1:E392,3,FALSE),J47)</f>
        <v>94.717686851925</v>
      </c>
      <c r="G47" s="77"/>
      <c r="H47" s="223">
        <f>RANK(I47,I3:I392)</f>
        <v>38</v>
      </c>
      <c r="I47" s="77">
        <f>VLOOKUP(A47,'Standard Deviations'!A1:C666,3,FALSE)</f>
        <v>6.68420195425249</v>
      </c>
      <c r="J47" s="84">
        <f>I47-VLOOKUP(B$2,H1:J392,2,FALSE)</f>
        <v>2.09407052369299</v>
      </c>
    </row>
    <row r="48" ht="21.25" customHeight="1">
      <c r="A48" t="s" s="10">
        <v>238</v>
      </c>
      <c r="B48" t="s" s="222">
        <f>VLOOKUP(A48,'The List'!B1:D665,3,FALSE)</f>
        <v>128</v>
      </c>
      <c r="C48" s="87">
        <f>IF('Settings'!$E$15="POINTS",RANK(E48,E3:E392),H48)</f>
        <v>47</v>
      </c>
      <c r="D48" t="s" s="86">
        <f>VLOOKUP(A48,'The List'!B1:F665,5,FALSE)</f>
        <v>909</v>
      </c>
      <c r="E48" s="77">
        <f>VLOOKUP(A48,'The List'!B1:I665,8,FALSE)</f>
        <v>330.166903996450</v>
      </c>
      <c r="F48" s="77">
        <f>IF('Settings'!$E$15="POINTS",E48-VLOOKUP(B$2,C1:E392,3,FALSE),J48)</f>
        <v>23.260899566859</v>
      </c>
      <c r="G48" s="77"/>
      <c r="H48" s="223">
        <f>RANK(I48,I3:I392)</f>
        <v>62</v>
      </c>
      <c r="I48" s="77">
        <f>VLOOKUP(A48,'Standard Deviations'!A1:C666,3,FALSE)</f>
        <v>4.8931156643819</v>
      </c>
      <c r="J48" s="84">
        <f>I48-VLOOKUP(B$2,H1:J392,2,FALSE)</f>
        <v>0.3029842338224</v>
      </c>
    </row>
    <row r="49" ht="21.25" customHeight="1">
      <c r="A49" t="s" s="10">
        <v>308</v>
      </c>
      <c r="B49" t="s" s="222">
        <f>VLOOKUP(A49,'The List'!B1:D665,3,FALSE)</f>
        <v>148</v>
      </c>
      <c r="C49" s="87">
        <f>IF('Settings'!$E$15="POINTS",RANK(E49,E3:E392),H49)</f>
        <v>77</v>
      </c>
      <c r="D49" t="s" s="86">
        <f>VLOOKUP(A49,'The List'!B1:F665,5,FALSE)</f>
        <v>909</v>
      </c>
      <c r="E49" s="77">
        <f>VLOOKUP(A49,'The List'!B1:I665,8,FALSE)</f>
        <v>300.588533564741</v>
      </c>
      <c r="F49" s="77">
        <f>IF('Settings'!$E$15="POINTS",E49-VLOOKUP(B$2,C1:E392,3,FALSE),J49)</f>
        <v>-6.317470864850</v>
      </c>
      <c r="G49" s="77"/>
      <c r="H49" s="223">
        <f>RANK(I49,I3:I392)</f>
        <v>61</v>
      </c>
      <c r="I49" s="77">
        <f>VLOOKUP(A49,'Standard Deviations'!A1:C666,3,FALSE)</f>
        <v>4.90694078225459</v>
      </c>
      <c r="J49" s="84">
        <f>I49-VLOOKUP(B$2,H1:J392,2,FALSE)</f>
        <v>0.31680935169509</v>
      </c>
    </row>
    <row r="50" ht="21.25" customHeight="1">
      <c r="A50" t="s" s="10">
        <v>224</v>
      </c>
      <c r="B50" t="s" s="222">
        <f>VLOOKUP(A50,'The List'!B1:D665,3,FALSE)</f>
        <v>145</v>
      </c>
      <c r="C50" s="87">
        <f>IF('Settings'!$E$15="POINTS",RANK(E50,E3:E392),H50)</f>
        <v>32</v>
      </c>
      <c r="D50" t="s" s="86">
        <f>VLOOKUP(A50,'The List'!B1:F665,5,FALSE)</f>
        <v>267</v>
      </c>
      <c r="E50" s="77">
        <f>VLOOKUP(A50,'The List'!B1:I665,8,FALSE)</f>
        <v>347.542979555274</v>
      </c>
      <c r="F50" s="77">
        <f>IF('Settings'!$E$15="POINTS",E50-VLOOKUP(B$2,C1:E392,3,FALSE),J50)</f>
        <v>40.636975125683</v>
      </c>
      <c r="G50" s="77"/>
      <c r="H50" s="223">
        <f>RANK(I50,I3:I392)</f>
        <v>49</v>
      </c>
      <c r="I50" s="77">
        <f>VLOOKUP(A50,'Standard Deviations'!A1:C666,3,FALSE)</f>
        <v>5.76606480855632</v>
      </c>
      <c r="J50" s="84">
        <f>I50-VLOOKUP(B$2,H1:J392,2,FALSE)</f>
        <v>1.17593337799682</v>
      </c>
    </row>
    <row r="51" ht="21.25" customHeight="1">
      <c r="A51" t="s" s="10">
        <v>290</v>
      </c>
      <c r="B51" t="s" s="222">
        <f>VLOOKUP(A51,'The List'!B1:D665,3,FALSE)</f>
        <v>128</v>
      </c>
      <c r="C51" s="87">
        <f>IF('Settings'!$E$15="POINTS",RANK(E51,E3:E392),H51)</f>
        <v>72</v>
      </c>
      <c r="D51" t="s" s="86">
        <f>VLOOKUP(A51,'The List'!B1:F665,5,FALSE)</f>
        <v>174</v>
      </c>
      <c r="E51" s="77">
        <f>VLOOKUP(A51,'The List'!B1:I665,8,FALSE)</f>
        <v>304.254982136035</v>
      </c>
      <c r="F51" s="77">
        <f>IF('Settings'!$E$15="POINTS",E51-VLOOKUP(B$2,C1:E392,3,FALSE),J51)</f>
        <v>-2.651022293556</v>
      </c>
      <c r="G51" s="77"/>
      <c r="H51" s="223">
        <f>RANK(I51,I3:I392)</f>
        <v>65</v>
      </c>
      <c r="I51" s="77">
        <f>VLOOKUP(A51,'Standard Deviations'!A1:C666,3,FALSE)</f>
        <v>4.68096785011885</v>
      </c>
      <c r="J51" s="84">
        <f>I51-VLOOKUP(B$2,H1:J392,2,FALSE)</f>
        <v>0.09083641955935</v>
      </c>
    </row>
    <row r="52" ht="21.25" customHeight="1">
      <c r="A52" t="s" s="10">
        <v>289</v>
      </c>
      <c r="B52" t="s" s="222">
        <f>VLOOKUP(A52,'The List'!B1:D665,3,FALSE)</f>
        <v>136</v>
      </c>
      <c r="C52" s="87">
        <f>IF('Settings'!$E$15="POINTS",RANK(E52,E3:E392),H52)</f>
        <v>64</v>
      </c>
      <c r="D52" t="s" s="86">
        <f>VLOOKUP(A52,'The List'!B1:F665,5,FALSE)</f>
        <v>129</v>
      </c>
      <c r="E52" s="77">
        <f>VLOOKUP(A52,'The List'!B1:I665,8,FALSE)</f>
        <v>310.097085248459</v>
      </c>
      <c r="F52" s="77">
        <f>IF('Settings'!$E$15="POINTS",E52-VLOOKUP(B$2,C1:E392,3,FALSE),J52)</f>
        <v>3.191080818868</v>
      </c>
      <c r="G52" s="77"/>
      <c r="H52" s="223">
        <f>RANK(I52,I3:I392)</f>
        <v>29</v>
      </c>
      <c r="I52" s="77">
        <f>VLOOKUP(A52,'Standard Deviations'!A1:C666,3,FALSE)</f>
        <v>7.52906892026699</v>
      </c>
      <c r="J52" s="84">
        <f>I52-VLOOKUP(B$2,H1:J392,2,FALSE)</f>
        <v>2.93893748970749</v>
      </c>
    </row>
    <row r="53" ht="21.25" customHeight="1">
      <c r="A53" t="s" s="10">
        <v>240</v>
      </c>
      <c r="B53" t="s" s="222">
        <f>VLOOKUP(A53,'The List'!B1:D665,3,FALSE)</f>
        <v>128</v>
      </c>
      <c r="C53" s="87">
        <f>IF('Settings'!$E$15="POINTS",RANK(E53,E3:E392),H53)</f>
        <v>49</v>
      </c>
      <c r="D53" t="s" s="86">
        <f>VLOOKUP(A53,'The List'!B1:F665,5,FALSE)</f>
        <v>207</v>
      </c>
      <c r="E53" s="77">
        <f>VLOOKUP(A53,'The List'!B1:I665,8,FALSE)</f>
        <v>329.270027925468</v>
      </c>
      <c r="F53" s="77">
        <f>IF('Settings'!$E$15="POINTS",E53-VLOOKUP(B$2,C1:E392,3,FALSE),J53)</f>
        <v>22.364023495877</v>
      </c>
      <c r="G53" s="77"/>
      <c r="H53" s="223">
        <f>RANK(I53,I3:I392)</f>
        <v>45</v>
      </c>
      <c r="I53" s="77">
        <f>VLOOKUP(A53,'Standard Deviations'!A1:C666,3,FALSE)</f>
        <v>5.91278652471946</v>
      </c>
      <c r="J53" s="84">
        <f>I53-VLOOKUP(B$2,H1:J392,2,FALSE)</f>
        <v>1.32265509415996</v>
      </c>
    </row>
    <row r="54" ht="21.25" customHeight="1">
      <c r="A54" t="s" s="10">
        <v>292</v>
      </c>
      <c r="B54" t="s" s="222">
        <f>VLOOKUP(A54,'The List'!B1:D665,3,FALSE)</f>
        <v>136</v>
      </c>
      <c r="C54" s="87">
        <f>IF('Settings'!$E$15="POINTS",RANK(E54,E3:E392),H54)</f>
        <v>66</v>
      </c>
      <c r="D54" t="s" s="86">
        <f>VLOOKUP(A54,'The List'!B1:F665,5,FALSE)</f>
        <v>149</v>
      </c>
      <c r="E54" s="77">
        <f>VLOOKUP(A54,'The List'!B1:I665,8,FALSE)</f>
        <v>306.987600152579</v>
      </c>
      <c r="F54" s="77">
        <f>IF('Settings'!$E$15="POINTS",E54-VLOOKUP(B$2,C1:E392,3,FALSE),J54)</f>
        <v>0.081595722988</v>
      </c>
      <c r="G54" s="77"/>
      <c r="H54" s="223">
        <f>RANK(I54,I3:I392)</f>
        <v>39</v>
      </c>
      <c r="I54" s="77">
        <f>VLOOKUP(A54,'Standard Deviations'!A1:C666,3,FALSE)</f>
        <v>6.67771973517782</v>
      </c>
      <c r="J54" s="84">
        <f>I54-VLOOKUP(B$2,H1:J392,2,FALSE)</f>
        <v>2.08758830461832</v>
      </c>
    </row>
    <row r="55" ht="21.25" customHeight="1">
      <c r="A55" t="s" s="10">
        <v>252</v>
      </c>
      <c r="B55" t="s" s="222">
        <f>VLOOKUP(A55,'The List'!B1:D665,3,FALSE)</f>
        <v>140</v>
      </c>
      <c r="C55" s="87">
        <f>IF('Settings'!$E$15="POINTS",RANK(E55,E3:E392),H55)</f>
        <v>51</v>
      </c>
      <c r="D55" t="s" s="86">
        <f>VLOOKUP(A55,'The List'!B1:F665,5,FALSE)</f>
        <v>154</v>
      </c>
      <c r="E55" s="77">
        <f>VLOOKUP(A55,'The List'!B1:I665,8,FALSE)</f>
        <v>328.948973168702</v>
      </c>
      <c r="F55" s="77">
        <f>IF('Settings'!$E$15="POINTS",E55-VLOOKUP(B$2,C1:E392,3,FALSE),J55)</f>
        <v>22.042968739111</v>
      </c>
      <c r="G55" s="77"/>
      <c r="H55" s="223">
        <f>RANK(I55,I3:I392)</f>
        <v>58</v>
      </c>
      <c r="I55" s="77">
        <f>VLOOKUP(A55,'Standard Deviations'!A1:C666,3,FALSE)</f>
        <v>5.11741566362531</v>
      </c>
      <c r="J55" s="84">
        <f>I55-VLOOKUP(B$2,H1:J392,2,FALSE)</f>
        <v>0.52728423306581</v>
      </c>
    </row>
    <row r="56" ht="21.25" customHeight="1">
      <c r="A56" t="s" s="10">
        <v>310</v>
      </c>
      <c r="B56" t="s" s="222">
        <f>VLOOKUP(A56,'The List'!B1:D665,3,FALSE)</f>
        <v>148</v>
      </c>
      <c r="C56" s="87">
        <f>IF('Settings'!$E$15="POINTS",RANK(E56,E3:E392),H56)</f>
        <v>80</v>
      </c>
      <c r="D56" t="s" s="86">
        <f>VLOOKUP(A56,'The List'!B1:F665,5,FALSE)</f>
        <v>275</v>
      </c>
      <c r="E56" s="77">
        <f>VLOOKUP(A56,'The List'!B1:I665,8,FALSE)</f>
        <v>298.307773346820</v>
      </c>
      <c r="F56" s="77">
        <f>IF('Settings'!$E$15="POINTS",E56-VLOOKUP(B$2,C1:E392,3,FALSE),J56)</f>
        <v>-8.598231082770999</v>
      </c>
      <c r="G56" s="77"/>
      <c r="H56" s="223">
        <f>RANK(I56,I3:I392)</f>
        <v>44</v>
      </c>
      <c r="I56" s="77">
        <f>VLOOKUP(A56,'Standard Deviations'!A1:C666,3,FALSE)</f>
        <v>6.01506888006094</v>
      </c>
      <c r="J56" s="84">
        <f>I56-VLOOKUP(B$2,H1:J392,2,FALSE)</f>
        <v>1.42493744950144</v>
      </c>
    </row>
    <row r="57" ht="21.25" customHeight="1">
      <c r="A57" t="s" s="10">
        <v>287</v>
      </c>
      <c r="B57" t="s" s="222">
        <f>VLOOKUP(A57,'The List'!B1:D665,3,FALSE)</f>
        <v>128</v>
      </c>
      <c r="C57" s="87">
        <f>IF('Settings'!$E$15="POINTS",RANK(E57,E3:E392),H57)</f>
        <v>69</v>
      </c>
      <c r="D57" t="s" s="86">
        <f>VLOOKUP(A57,'The List'!B1:F665,5,FALSE)</f>
        <v>207</v>
      </c>
      <c r="E57" s="77">
        <f>VLOOKUP(A57,'The List'!B1:I665,8,FALSE)</f>
        <v>305.991524204619</v>
      </c>
      <c r="F57" s="77">
        <f>IF('Settings'!$E$15="POINTS",E57-VLOOKUP(B$2,C1:E392,3,FALSE),J57)</f>
        <v>-0.914480224972</v>
      </c>
      <c r="G57" s="77"/>
      <c r="H57" s="223">
        <f>RANK(I57,I3:I392)</f>
        <v>47</v>
      </c>
      <c r="I57" s="77">
        <f>VLOOKUP(A57,'Standard Deviations'!A1:C666,3,FALSE)</f>
        <v>5.88191145606507</v>
      </c>
      <c r="J57" s="84">
        <f>I57-VLOOKUP(B$2,H1:J392,2,FALSE)</f>
        <v>1.29178002550557</v>
      </c>
    </row>
    <row r="58" ht="21.25" customHeight="1">
      <c r="A58" t="s" s="10">
        <v>255</v>
      </c>
      <c r="B58" t="s" s="222">
        <f>VLOOKUP(A58,'The List'!B1:D665,3,FALSE)</f>
        <v>128</v>
      </c>
      <c r="C58" s="87">
        <f>IF('Settings'!$E$15="POINTS",RANK(E58,E3:E392),H58)</f>
        <v>55</v>
      </c>
      <c r="D58" t="s" s="86">
        <f>VLOOKUP(A58,'The List'!B1:F665,5,FALSE)</f>
        <v>902</v>
      </c>
      <c r="E58" s="77">
        <f>VLOOKUP(A58,'The List'!B1:I665,8,FALSE)</f>
        <v>321.037300797620</v>
      </c>
      <c r="F58" s="77">
        <f>IF('Settings'!$E$15="POINTS",E58-VLOOKUP(B$2,C1:E392,3,FALSE),J58)</f>
        <v>14.131296368029</v>
      </c>
      <c r="G58" s="77"/>
      <c r="H58" s="223">
        <f>RANK(I58,I3:I392)</f>
        <v>34</v>
      </c>
      <c r="I58" s="77">
        <f>VLOOKUP(A58,'Standard Deviations'!A1:C666,3,FALSE)</f>
        <v>7.11568444046407</v>
      </c>
      <c r="J58" s="84">
        <f>I58-VLOOKUP(B$2,H1:J392,2,FALSE)</f>
        <v>2.52555300990457</v>
      </c>
    </row>
    <row r="59" ht="21.25" customHeight="1">
      <c r="A59" t="s" s="10">
        <v>286</v>
      </c>
      <c r="B59" t="s" s="222">
        <f>VLOOKUP(A59,'The List'!B1:D665,3,FALSE)</f>
        <v>148</v>
      </c>
      <c r="C59" s="87">
        <f>IF('Settings'!$E$15="POINTS",RANK(E59,E3:E392),H59)</f>
        <v>62</v>
      </c>
      <c r="D59" t="s" s="86">
        <f>VLOOKUP(A59,'The List'!B1:F665,5,FALSE)</f>
        <v>156</v>
      </c>
      <c r="E59" s="77">
        <f>VLOOKUP(A59,'The List'!B1:I665,8,FALSE)</f>
        <v>311.185759768805</v>
      </c>
      <c r="F59" s="77">
        <f>IF('Settings'!$E$15="POINTS",E59-VLOOKUP(B$2,C1:E392,3,FALSE),J59)</f>
        <v>4.279755339214</v>
      </c>
      <c r="G59" s="77"/>
      <c r="H59" s="223">
        <f>RANK(I59,I3:I392)</f>
        <v>69</v>
      </c>
      <c r="I59" s="77">
        <f>VLOOKUP(A59,'Standard Deviations'!A1:C666,3,FALSE)</f>
        <v>4.52385699241967</v>
      </c>
      <c r="J59" s="84">
        <f>I59-VLOOKUP(B$2,H1:J392,2,FALSE)</f>
        <v>-0.06627443813983</v>
      </c>
    </row>
    <row r="60" ht="21.25" customHeight="1">
      <c r="A60" t="s" s="10">
        <v>262</v>
      </c>
      <c r="B60" t="s" s="222">
        <f>VLOOKUP(A60,'The List'!B1:D665,3,FALSE)</f>
        <v>148</v>
      </c>
      <c r="C60" s="87">
        <f>IF('Settings'!$E$15="POINTS",RANK(E60,E3:E392),H60)</f>
        <v>54</v>
      </c>
      <c r="D60" t="s" s="86">
        <f>VLOOKUP(A60,'The List'!B1:F665,5,FALSE)</f>
        <v>866</v>
      </c>
      <c r="E60" s="77">
        <f>VLOOKUP(A60,'The List'!B1:I665,8,FALSE)</f>
        <v>321.741508062660</v>
      </c>
      <c r="F60" s="77">
        <f>IF('Settings'!$E$15="POINTS",E60-VLOOKUP(B$2,C1:E392,3,FALSE),J60)</f>
        <v>14.835503633069</v>
      </c>
      <c r="G60" s="77"/>
      <c r="H60" s="223">
        <f>RANK(I60,I3:I392)</f>
        <v>54</v>
      </c>
      <c r="I60" s="77">
        <f>VLOOKUP(A60,'Standard Deviations'!A1:C666,3,FALSE)</f>
        <v>5.35801486708004</v>
      </c>
      <c r="J60" s="84">
        <f>I60-VLOOKUP(B$2,H1:J392,2,FALSE)</f>
        <v>0.76788343652054</v>
      </c>
    </row>
    <row r="61" ht="21.25" customHeight="1">
      <c r="A61" t="s" s="10">
        <v>241</v>
      </c>
      <c r="B61" t="s" s="222">
        <f>VLOOKUP(A61,'The List'!B1:D665,3,FALSE)</f>
        <v>148</v>
      </c>
      <c r="C61" s="87">
        <f>IF('Settings'!$E$15="POINTS",RANK(E61,E3:E392),H61)</f>
        <v>42</v>
      </c>
      <c r="D61" t="s" s="86">
        <f>VLOOKUP(A61,'The List'!B1:F665,5,FALSE)</f>
        <v>910</v>
      </c>
      <c r="E61" s="77">
        <f>VLOOKUP(A61,'The List'!B1:I665,8,FALSE)</f>
        <v>334.098127711234</v>
      </c>
      <c r="F61" s="77">
        <f>IF('Settings'!$E$15="POINTS",E61-VLOOKUP(B$2,C1:E392,3,FALSE),J61)</f>
        <v>27.192123281643</v>
      </c>
      <c r="G61" s="77"/>
      <c r="H61" s="223">
        <f>RANK(I61,I3:I392)</f>
        <v>85</v>
      </c>
      <c r="I61" s="77">
        <f>VLOOKUP(A61,'Standard Deviations'!A1:C666,3,FALSE)</f>
        <v>3.683394045759</v>
      </c>
      <c r="J61" s="84">
        <f>I61-VLOOKUP(B$2,H1:J392,2,FALSE)</f>
        <v>-0.9067373848005</v>
      </c>
    </row>
    <row r="62" ht="21.25" customHeight="1">
      <c r="A62" t="s" s="10">
        <v>237</v>
      </c>
      <c r="B62" t="s" s="222">
        <f>VLOOKUP(A62,'The List'!B1:D665,3,FALSE)</f>
        <v>178</v>
      </c>
      <c r="C62" s="87">
        <f>IF('Settings'!$E$15="POINTS",RANK(E62,E3:E392),H62)</f>
        <v>40</v>
      </c>
      <c r="D62" t="s" s="86">
        <f>VLOOKUP(A62,'The List'!B1:F665,5,FALSE)</f>
        <v>878</v>
      </c>
      <c r="E62" s="77">
        <f>VLOOKUP(A62,'The List'!B1:I665,8,FALSE)</f>
        <v>335.803194624843</v>
      </c>
      <c r="F62" s="77">
        <f>IF('Settings'!$E$15="POINTS",E62-VLOOKUP(B$2,C1:E392,3,FALSE),J62)</f>
        <v>28.897190195252</v>
      </c>
      <c r="G62" s="77"/>
      <c r="H62" s="223">
        <f>RANK(I62,I3:I392)</f>
        <v>43</v>
      </c>
      <c r="I62" s="77">
        <f>VLOOKUP(A62,'Standard Deviations'!A1:C666,3,FALSE)</f>
        <v>6.19533123745265</v>
      </c>
      <c r="J62" s="84">
        <f>I62-VLOOKUP(B$2,H1:J392,2,FALSE)</f>
        <v>1.60519980689315</v>
      </c>
    </row>
    <row r="63" ht="21.25" customHeight="1">
      <c r="A63" t="s" s="10">
        <v>210</v>
      </c>
      <c r="B63" t="s" s="222">
        <f>VLOOKUP(A63,'The List'!B1:D665,3,FALSE)</f>
        <v>128</v>
      </c>
      <c r="C63" s="87">
        <f>IF('Settings'!$E$15="POINTS",RANK(E63,E3:E392),H63)</f>
        <v>29</v>
      </c>
      <c r="D63" t="s" s="86">
        <f>VLOOKUP(A63,'The List'!B1:F665,5,FALSE)</f>
        <v>275</v>
      </c>
      <c r="E63" s="77">
        <f>VLOOKUP(A63,'The List'!B1:I665,8,FALSE)</f>
        <v>352.837609537559</v>
      </c>
      <c r="F63" s="77">
        <f>IF('Settings'!$E$15="POINTS",E63-VLOOKUP(B$2,C1:E392,3,FALSE),J63)</f>
        <v>45.931605107968</v>
      </c>
      <c r="G63" s="77"/>
      <c r="H63" s="223">
        <f>RANK(I63,I3:I392)</f>
        <v>53</v>
      </c>
      <c r="I63" s="77">
        <f>VLOOKUP(A63,'Standard Deviations'!A1:C666,3,FALSE)</f>
        <v>5.38236107352089</v>
      </c>
      <c r="J63" s="84">
        <f>I63-VLOOKUP(B$2,H1:J392,2,FALSE)</f>
        <v>0.79222964296139</v>
      </c>
    </row>
    <row r="64" ht="21.25" customHeight="1">
      <c r="A64" t="s" s="10">
        <v>315</v>
      </c>
      <c r="B64" t="s" s="222">
        <f>VLOOKUP(A64,'The List'!B1:D665,3,FALSE)</f>
        <v>136</v>
      </c>
      <c r="C64" s="87">
        <f>IF('Settings'!$E$15="POINTS",RANK(E64,E3:E392),H64)</f>
        <v>81</v>
      </c>
      <c r="D64" t="s" s="86">
        <f>VLOOKUP(A64,'The List'!B1:F665,5,FALSE)</f>
        <v>907</v>
      </c>
      <c r="E64" s="77">
        <f>VLOOKUP(A64,'The List'!B1:I665,8,FALSE)</f>
        <v>296.193841845545</v>
      </c>
      <c r="F64" s="77">
        <f>IF('Settings'!$E$15="POINTS",E64-VLOOKUP(B$2,C1:E392,3,FALSE),J64)</f>
        <v>-10.712162584046</v>
      </c>
      <c r="G64" s="77"/>
      <c r="H64" s="223">
        <f>RANK(I64,I3:I392)</f>
        <v>74</v>
      </c>
      <c r="I64" s="77">
        <f>VLOOKUP(A64,'Standard Deviations'!A1:C666,3,FALSE)</f>
        <v>4.38687363798802</v>
      </c>
      <c r="J64" s="84">
        <f>I64-VLOOKUP(B$2,H1:J392,2,FALSE)</f>
        <v>-0.20325779257148</v>
      </c>
    </row>
    <row r="65" ht="21.25" customHeight="1">
      <c r="A65" t="s" s="10">
        <v>303</v>
      </c>
      <c r="B65" t="s" s="222">
        <f>VLOOKUP(A65,'The List'!B1:D665,3,FALSE)</f>
        <v>136</v>
      </c>
      <c r="C65" s="87">
        <f>IF('Settings'!$E$15="POINTS",RANK(E65,E3:E392),H65)</f>
        <v>73</v>
      </c>
      <c r="D65" t="s" s="86">
        <f>VLOOKUP(A65,'The List'!B1:F665,5,FALSE)</f>
        <v>911</v>
      </c>
      <c r="E65" s="77">
        <f>VLOOKUP(A65,'The List'!B1:I665,8,FALSE)</f>
        <v>303.759524742097</v>
      </c>
      <c r="F65" s="77">
        <f>IF('Settings'!$E$15="POINTS",E65-VLOOKUP(B$2,C1:E392,3,FALSE),J65)</f>
        <v>-3.146479687494</v>
      </c>
      <c r="G65" s="77"/>
      <c r="H65" s="223">
        <f>RANK(I65,I3:I392)</f>
        <v>68</v>
      </c>
      <c r="I65" s="77">
        <f>VLOOKUP(A65,'Standard Deviations'!A1:C666,3,FALSE)</f>
        <v>4.5424847105712</v>
      </c>
      <c r="J65" s="84">
        <f>I65-VLOOKUP(B$2,H1:J392,2,FALSE)</f>
        <v>-0.0476467199883</v>
      </c>
    </row>
    <row r="66" ht="21.25" customHeight="1">
      <c r="A66" t="s" s="10">
        <v>236</v>
      </c>
      <c r="B66" t="s" s="222">
        <f>VLOOKUP(A66,'The List'!B1:D665,3,FALSE)</f>
        <v>145</v>
      </c>
      <c r="C66" s="87">
        <f>IF('Settings'!$E$15="POINTS",RANK(E66,E3:E392),H66)</f>
        <v>38</v>
      </c>
      <c r="D66" t="s" s="86">
        <f>VLOOKUP(A66,'The List'!B1:F665,5,FALSE)</f>
        <v>342</v>
      </c>
      <c r="E66" s="77">
        <f>VLOOKUP(A66,'The List'!B1:I665,8,FALSE)</f>
        <v>337.649822652502</v>
      </c>
      <c r="F66" s="77">
        <f>IF('Settings'!$E$15="POINTS",E66-VLOOKUP(B$2,C1:E392,3,FALSE),J66)</f>
        <v>30.743818222911</v>
      </c>
      <c r="G66" s="77"/>
      <c r="H66" s="223">
        <f>RANK(I66,I3:I392)</f>
        <v>40</v>
      </c>
      <c r="I66" s="77">
        <f>VLOOKUP(A66,'Standard Deviations'!A1:C666,3,FALSE)</f>
        <v>6.49877902735164</v>
      </c>
      <c r="J66" s="84">
        <f>I66-VLOOKUP(B$2,H1:J392,2,FALSE)</f>
        <v>1.90864759679214</v>
      </c>
    </row>
    <row r="67" ht="21.25" customHeight="1">
      <c r="A67" t="s" s="10">
        <v>306</v>
      </c>
      <c r="B67" t="s" s="222">
        <f>VLOOKUP(A67,'The List'!B1:D665,3,FALSE)</f>
        <v>148</v>
      </c>
      <c r="C67" s="87">
        <f>IF('Settings'!$E$15="POINTS",RANK(E67,E3:E392),H67)</f>
        <v>75</v>
      </c>
      <c r="D67" t="s" s="86">
        <f>VLOOKUP(A67,'The List'!B1:F665,5,FALSE)</f>
        <v>156</v>
      </c>
      <c r="E67" s="77">
        <f>VLOOKUP(A67,'The List'!B1:I665,8,FALSE)</f>
        <v>302.120509318090</v>
      </c>
      <c r="F67" s="77">
        <f>IF('Settings'!$E$15="POINTS",E67-VLOOKUP(B$2,C1:E392,3,FALSE),J67)</f>
        <v>-4.785495111501</v>
      </c>
      <c r="G67" s="77"/>
      <c r="H67" s="223">
        <f>RANK(I67,I3:I392)</f>
        <v>92</v>
      </c>
      <c r="I67" s="77">
        <f>VLOOKUP(A67,'Standard Deviations'!A1:C666,3,FALSE)</f>
        <v>3.18788634863182</v>
      </c>
      <c r="J67" s="84">
        <f>I67-VLOOKUP(B$2,H1:J392,2,FALSE)</f>
        <v>-1.40224508192768</v>
      </c>
    </row>
    <row r="68" ht="21.25" customHeight="1">
      <c r="A68" t="s" s="10">
        <v>228</v>
      </c>
      <c r="B68" t="s" s="222">
        <f>VLOOKUP(A68,'The List'!B1:D665,3,FALSE)</f>
        <v>148</v>
      </c>
      <c r="C68" s="87">
        <f>IF('Settings'!$E$15="POINTS",RANK(E68,E3:E392),H68)</f>
        <v>33</v>
      </c>
      <c r="D68" t="s" s="86">
        <f>VLOOKUP(A68,'The List'!B1:F665,5,FALSE)</f>
        <v>342</v>
      </c>
      <c r="E68" s="77">
        <f>VLOOKUP(A68,'The List'!B1:I665,8,FALSE)</f>
        <v>347.360344458535</v>
      </c>
      <c r="F68" s="77">
        <f>IF('Settings'!$E$15="POINTS",E68-VLOOKUP(B$2,C1:E392,3,FALSE),J68)</f>
        <v>40.454340028944</v>
      </c>
      <c r="G68" s="77"/>
      <c r="H68" s="223">
        <f>RANK(I68,I3:I392)</f>
        <v>46</v>
      </c>
      <c r="I68" s="77">
        <f>VLOOKUP(A68,'Standard Deviations'!A1:C666,3,FALSE)</f>
        <v>5.8995100982243</v>
      </c>
      <c r="J68" s="84">
        <f>I68-VLOOKUP(B$2,H1:J392,2,FALSE)</f>
        <v>1.3093786676648</v>
      </c>
    </row>
    <row r="69" ht="21.25" customHeight="1">
      <c r="A69" t="s" s="10">
        <v>269</v>
      </c>
      <c r="B69" t="s" s="222">
        <f>VLOOKUP(A69,'The List'!B1:D665,3,FALSE)</f>
        <v>128</v>
      </c>
      <c r="C69" s="87">
        <f>IF('Settings'!$E$15="POINTS",RANK(E69,E3:E392),H69)</f>
        <v>59</v>
      </c>
      <c r="D69" t="s" s="86">
        <f>VLOOKUP(A69,'The List'!B1:F665,5,FALSE)</f>
        <v>154</v>
      </c>
      <c r="E69" s="77">
        <f>VLOOKUP(A69,'The List'!B1:I665,8,FALSE)</f>
        <v>311.712644061643</v>
      </c>
      <c r="F69" s="77">
        <f>IF('Settings'!$E$15="POINTS",E69-VLOOKUP(B$2,C1:E392,3,FALSE),J69)</f>
        <v>4.806639632052</v>
      </c>
      <c r="G69" s="77"/>
      <c r="H69" s="223">
        <f>RANK(I69,I3:I392)</f>
        <v>82</v>
      </c>
      <c r="I69" s="77">
        <f>VLOOKUP(A69,'Standard Deviations'!A1:C666,3,FALSE)</f>
        <v>3.8150620862711</v>
      </c>
      <c r="J69" s="84">
        <f>I69-VLOOKUP(B$2,H1:J392,2,FALSE)</f>
        <v>-0.7750693442884</v>
      </c>
    </row>
    <row r="70" ht="21.25" customHeight="1">
      <c r="A70" t="s" s="10">
        <v>295</v>
      </c>
      <c r="B70" t="s" s="222">
        <f>VLOOKUP(A70,'The List'!B1:D665,3,FALSE)</f>
        <v>128</v>
      </c>
      <c r="C70" s="87">
        <f>IF('Settings'!$E$15="POINTS",RANK(E70,E3:E392),H70)</f>
        <v>76</v>
      </c>
      <c r="D70" t="s" s="86">
        <f>VLOOKUP(A70,'The List'!B1:F665,5,FALSE)</f>
        <v>906</v>
      </c>
      <c r="E70" s="77">
        <f>VLOOKUP(A70,'The List'!B1:I665,8,FALSE)</f>
        <v>301.581697526914</v>
      </c>
      <c r="F70" s="77">
        <f>IF('Settings'!$E$15="POINTS",E70-VLOOKUP(B$2,C1:E392,3,FALSE),J70)</f>
        <v>-5.324306902677</v>
      </c>
      <c r="G70" s="77"/>
      <c r="H70" s="223">
        <f>RANK(I70,I3:I392)</f>
        <v>67</v>
      </c>
      <c r="I70" s="77">
        <f>VLOOKUP(A70,'Standard Deviations'!A1:C666,3,FALSE)</f>
        <v>4.5901314305595</v>
      </c>
      <c r="J70" s="84">
        <f>I70-VLOOKUP(B$2,H1:J392,2,FALSE)</f>
        <v>0</v>
      </c>
    </row>
    <row r="71" ht="21.25" customHeight="1">
      <c r="A71" t="s" s="10">
        <v>296</v>
      </c>
      <c r="B71" t="s" s="222">
        <f>VLOOKUP(A71,'The List'!B1:D665,3,FALSE)</f>
        <v>140</v>
      </c>
      <c r="C71" s="87">
        <f>IF('Settings'!$E$15="POINTS",RANK(E71,E3:E392),H71)</f>
        <v>68</v>
      </c>
      <c r="D71" t="s" s="86">
        <f>VLOOKUP(A71,'The List'!B1:F665,5,FALSE)</f>
        <v>165</v>
      </c>
      <c r="E71" s="77">
        <f>VLOOKUP(A71,'The List'!B1:I665,8,FALSE)</f>
        <v>306.478660755373</v>
      </c>
      <c r="F71" s="77">
        <f>IF('Settings'!$E$15="POINTS",E71-VLOOKUP(B$2,C1:E392,3,FALSE),J71)</f>
        <v>-0.427343674218</v>
      </c>
      <c r="G71" s="77"/>
      <c r="H71" s="223">
        <f>RANK(I71,I3:I392)</f>
        <v>71</v>
      </c>
      <c r="I71" s="77">
        <f>VLOOKUP(A71,'Standard Deviations'!A1:C666,3,FALSE)</f>
        <v>4.4848331879569</v>
      </c>
      <c r="J71" s="84">
        <f>I71-VLOOKUP(B$2,H1:J392,2,FALSE)</f>
        <v>-0.1052982426026</v>
      </c>
    </row>
    <row r="72" ht="21.25" customHeight="1">
      <c r="A72" t="s" s="10">
        <v>298</v>
      </c>
      <c r="B72" t="s" s="222">
        <f>VLOOKUP(A72,'The List'!B1:D665,3,FALSE)</f>
        <v>140</v>
      </c>
      <c r="C72" s="87">
        <f>IF('Settings'!$E$15="POINTS",RANK(E72,E3:E392),H72)</f>
        <v>70</v>
      </c>
      <c r="D72" t="s" s="86">
        <f>VLOOKUP(A72,'The List'!B1:F665,5,FALSE)</f>
        <v>259</v>
      </c>
      <c r="E72" s="77">
        <f>VLOOKUP(A72,'The List'!B1:I665,8,FALSE)</f>
        <v>305.569612734609</v>
      </c>
      <c r="F72" s="77">
        <f>IF('Settings'!$E$15="POINTS",E72-VLOOKUP(B$2,C1:E392,3,FALSE),J72)</f>
        <v>-1.336391694982</v>
      </c>
      <c r="G72" s="77"/>
      <c r="H72" s="223">
        <f>RANK(I72,I3:I392)</f>
        <v>63</v>
      </c>
      <c r="I72" s="77">
        <f>VLOOKUP(A72,'Standard Deviations'!A1:C666,3,FALSE)</f>
        <v>4.89108982395752</v>
      </c>
      <c r="J72" s="84">
        <f>I72-VLOOKUP(B$2,H1:J392,2,FALSE)</f>
        <v>0.30095839339802</v>
      </c>
    </row>
    <row r="73" ht="21.25" customHeight="1">
      <c r="A73" t="s" s="10">
        <v>234</v>
      </c>
      <c r="B73" t="s" s="222">
        <f>VLOOKUP(A73,'The List'!B1:D665,3,FALSE)</f>
        <v>128</v>
      </c>
      <c r="C73" s="87">
        <f>IF('Settings'!$E$15="POINTS",RANK(E73,E3:E392),H73)</f>
        <v>43</v>
      </c>
      <c r="D73" t="s" s="86">
        <f>VLOOKUP(A73,'The List'!B1:F665,5,FALSE)</f>
        <v>899</v>
      </c>
      <c r="E73" s="77">
        <f>VLOOKUP(A73,'The List'!B1:I665,8,FALSE)</f>
        <v>333.350336300328</v>
      </c>
      <c r="F73" s="77">
        <f>IF('Settings'!$E$15="POINTS",E73-VLOOKUP(B$2,C1:E392,3,FALSE),J73)</f>
        <v>26.444331870737</v>
      </c>
      <c r="G73" s="77"/>
      <c r="H73" s="223">
        <f>RANK(I73,I3:I392)</f>
        <v>77</v>
      </c>
      <c r="I73" s="77">
        <f>VLOOKUP(A73,'Standard Deviations'!A1:C666,3,FALSE)</f>
        <v>4.24824898214315</v>
      </c>
      <c r="J73" s="84">
        <f>I73-VLOOKUP(B$2,H1:J392,2,FALSE)</f>
        <v>-0.34188244841635</v>
      </c>
    </row>
    <row r="74" ht="21.25" customHeight="1">
      <c r="A74" t="s" s="10">
        <v>334</v>
      </c>
      <c r="B74" t="s" s="222">
        <f>VLOOKUP(A74,'The List'!B1:D665,3,FALSE)</f>
        <v>128</v>
      </c>
      <c r="C74" s="87">
        <f>IF('Settings'!$E$15="POINTS",RANK(E74,E3:E392),H74)</f>
        <v>91</v>
      </c>
      <c r="D74" t="s" s="86">
        <f>VLOOKUP(A74,'The List'!B1:F665,5,FALSE)</f>
        <v>192</v>
      </c>
      <c r="E74" s="77">
        <f>VLOOKUP(A74,'The List'!B1:I665,8,FALSE)</f>
        <v>280.753737933816</v>
      </c>
      <c r="F74" s="77">
        <f>IF('Settings'!$E$15="POINTS",E74-VLOOKUP(B$2,C1:E392,3,FALSE),J74)</f>
        <v>-26.152266495775</v>
      </c>
      <c r="G74" s="77"/>
      <c r="H74" s="223">
        <f>RANK(I74,I3:I392)</f>
        <v>70</v>
      </c>
      <c r="I74" s="77">
        <f>VLOOKUP(A74,'Standard Deviations'!A1:C666,3,FALSE)</f>
        <v>4.49611444519018</v>
      </c>
      <c r="J74" s="84">
        <f>I74-VLOOKUP(B$2,H1:J392,2,FALSE)</f>
        <v>-0.09401698536932</v>
      </c>
    </row>
    <row r="75" ht="21.25" customHeight="1">
      <c r="A75" t="s" s="10">
        <v>288</v>
      </c>
      <c r="B75" t="s" s="222">
        <f>VLOOKUP(A75,'The List'!B1:D665,3,FALSE)</f>
        <v>178</v>
      </c>
      <c r="C75" s="87">
        <f>IF('Settings'!$E$15="POINTS",RANK(E75,E3:E392),H75)</f>
        <v>63</v>
      </c>
      <c r="D75" t="s" s="86">
        <f>VLOOKUP(A75,'The List'!B1:F665,5,FALSE)</f>
        <v>899</v>
      </c>
      <c r="E75" s="77">
        <f>VLOOKUP(A75,'The List'!B1:I665,8,FALSE)</f>
        <v>311.009789530945</v>
      </c>
      <c r="F75" s="77">
        <f>IF('Settings'!$E$15="POINTS",E75-VLOOKUP(B$2,C1:E392,3,FALSE),J75)</f>
        <v>4.103785101354</v>
      </c>
      <c r="G75" s="77"/>
      <c r="H75" s="223">
        <f>RANK(I75,I3:I392)</f>
        <v>56</v>
      </c>
      <c r="I75" s="77">
        <f>VLOOKUP(A75,'Standard Deviations'!A1:C666,3,FALSE)</f>
        <v>5.21366861768853</v>
      </c>
      <c r="J75" s="84">
        <f>I75-VLOOKUP(B$2,H1:J392,2,FALSE)</f>
        <v>0.6235371871290299</v>
      </c>
    </row>
    <row r="76" ht="21.25" customHeight="1">
      <c r="A76" t="s" s="10">
        <v>248</v>
      </c>
      <c r="B76" t="s" s="222">
        <f>VLOOKUP(A76,'The List'!B1:D665,3,FALSE)</f>
        <v>148</v>
      </c>
      <c r="C76" s="87">
        <f>IF('Settings'!$E$15="POINTS",RANK(E76,E3:E392),H76)</f>
        <v>45</v>
      </c>
      <c r="D76" t="s" s="86">
        <f>VLOOKUP(A76,'The List'!B1:F665,5,FALSE)</f>
        <v>910</v>
      </c>
      <c r="E76" s="77">
        <f>VLOOKUP(A76,'The List'!B1:I665,8,FALSE)</f>
        <v>331.526586077197</v>
      </c>
      <c r="F76" s="77">
        <f>IF('Settings'!$E$15="POINTS",E76-VLOOKUP(B$2,C1:E392,3,FALSE),J76)</f>
        <v>24.620581647606</v>
      </c>
      <c r="G76" s="77"/>
      <c r="H76" s="223">
        <f>RANK(I76,I3:I392)</f>
        <v>91</v>
      </c>
      <c r="I76" s="77">
        <f>VLOOKUP(A76,'Standard Deviations'!A1:C666,3,FALSE)</f>
        <v>3.1888434956216</v>
      </c>
      <c r="J76" s="84">
        <f>I76-VLOOKUP(B$2,H1:J392,2,FALSE)</f>
        <v>-1.4012879349379</v>
      </c>
    </row>
    <row r="77" ht="21.25" customHeight="1">
      <c r="A77" t="s" s="10">
        <v>359</v>
      </c>
      <c r="B77" t="s" s="222">
        <f>VLOOKUP(A77,'The List'!B1:D665,3,FALSE)</f>
        <v>128</v>
      </c>
      <c r="C77" s="87">
        <f>IF('Settings'!$E$15="POINTS",RANK(E77,E3:E392),H77)</f>
        <v>103</v>
      </c>
      <c r="D77" t="s" s="86">
        <f>VLOOKUP(A77,'The List'!B1:F665,5,FALSE)</f>
        <v>259</v>
      </c>
      <c r="E77" s="77">
        <f>VLOOKUP(A77,'The List'!B1:I665,8,FALSE)</f>
        <v>271.041117324558</v>
      </c>
      <c r="F77" s="77">
        <f>IF('Settings'!$E$15="POINTS",E77-VLOOKUP(B$2,C1:E392,3,FALSE),J77)</f>
        <v>-35.864887105033</v>
      </c>
      <c r="G77" s="77"/>
      <c r="H77" s="223">
        <f>RANK(I77,I3:I392)</f>
        <v>75</v>
      </c>
      <c r="I77" s="77">
        <f>VLOOKUP(A77,'Standard Deviations'!A1:C666,3,FALSE)</f>
        <v>4.38439471800499</v>
      </c>
      <c r="J77" s="84">
        <f>I77-VLOOKUP(B$2,H1:J392,2,FALSE)</f>
        <v>-0.20573671255451</v>
      </c>
    </row>
    <row r="78" ht="21.25" customHeight="1">
      <c r="A78" t="s" s="10">
        <v>273</v>
      </c>
      <c r="B78" t="s" s="222">
        <f>VLOOKUP(A78,'The List'!B1:D665,3,FALSE)</f>
        <v>148</v>
      </c>
      <c r="C78" s="87">
        <f>IF('Settings'!$E$15="POINTS",RANK(E78,E3:E392),H78)</f>
        <v>56</v>
      </c>
      <c r="D78" t="s" s="86">
        <f>VLOOKUP(A78,'The List'!B1:F665,5,FALSE)</f>
        <v>901</v>
      </c>
      <c r="E78" s="77">
        <f>VLOOKUP(A78,'The List'!B1:I665,8,FALSE)</f>
        <v>316.787179073946</v>
      </c>
      <c r="F78" s="77">
        <f>IF('Settings'!$E$15="POINTS",E78-VLOOKUP(B$2,C1:E392,3,FALSE),J78)</f>
        <v>9.881174644354999</v>
      </c>
      <c r="G78" s="77"/>
      <c r="H78" s="223">
        <f>RANK(I78,I3:I392)</f>
        <v>60</v>
      </c>
      <c r="I78" s="77">
        <f>VLOOKUP(A78,'Standard Deviations'!A1:C666,3,FALSE)</f>
        <v>4.92796906091226</v>
      </c>
      <c r="J78" s="84">
        <f>I78-VLOOKUP(B$2,H1:J392,2,FALSE)</f>
        <v>0.33783763035276</v>
      </c>
    </row>
    <row r="79" ht="21.25" customHeight="1">
      <c r="A79" t="s" s="10">
        <v>374</v>
      </c>
      <c r="B79" t="s" s="222">
        <f>VLOOKUP(A79,'The List'!B1:D665,3,FALSE)</f>
        <v>178</v>
      </c>
      <c r="C79" s="87">
        <f>IF('Settings'!$E$15="POINTS",RANK(E79,E3:E392),H79)</f>
        <v>104</v>
      </c>
      <c r="D79" t="s" s="86">
        <f>VLOOKUP(A79,'The List'!B1:F665,5,FALSE)</f>
        <v>906</v>
      </c>
      <c r="E79" s="77">
        <f>VLOOKUP(A79,'The List'!B1:I665,8,FALSE)</f>
        <v>270.347527857760</v>
      </c>
      <c r="F79" s="77">
        <f>IF('Settings'!$E$15="POINTS",E79-VLOOKUP(B$2,C1:E392,3,FALSE),J79)</f>
        <v>-36.558476571831</v>
      </c>
      <c r="G79" s="77"/>
      <c r="H79" s="223">
        <f>RANK(I79,I3:I392)</f>
        <v>64</v>
      </c>
      <c r="I79" s="77">
        <f>VLOOKUP(A79,'Standard Deviations'!A1:C666,3,FALSE)</f>
        <v>4.80595025209068</v>
      </c>
      <c r="J79" s="84">
        <f>I79-VLOOKUP(B$2,H1:J392,2,FALSE)</f>
        <v>0.21581882153118</v>
      </c>
    </row>
    <row r="80" ht="21.25" customHeight="1">
      <c r="A80" t="s" s="10">
        <v>343</v>
      </c>
      <c r="B80" t="s" s="222">
        <f>VLOOKUP(A80,'The List'!B1:D665,3,FALSE)</f>
        <v>145</v>
      </c>
      <c r="C80" s="87">
        <f>IF('Settings'!$E$15="POINTS",RANK(E80,E3:E392),H80)</f>
        <v>89</v>
      </c>
      <c r="D80" t="s" s="86">
        <f>VLOOKUP(A80,'The List'!B1:F665,5,FALSE)</f>
        <v>342</v>
      </c>
      <c r="E80" s="77">
        <f>VLOOKUP(A80,'The List'!B1:I665,8,FALSE)</f>
        <v>281.577108864490</v>
      </c>
      <c r="F80" s="77">
        <f>IF('Settings'!$E$15="POINTS",E80-VLOOKUP(B$2,C1:E392,3,FALSE),J80)</f>
        <v>-25.328895565101</v>
      </c>
      <c r="G80" s="77"/>
      <c r="H80" s="223">
        <f>RANK(I80,I3:I392)</f>
        <v>66</v>
      </c>
      <c r="I80" s="77">
        <f>VLOOKUP(A80,'Standard Deviations'!A1:C666,3,FALSE)</f>
        <v>4.63968199030756</v>
      </c>
      <c r="J80" s="84">
        <f>I80-VLOOKUP(B$2,H1:J392,2,FALSE)</f>
        <v>0.04955055974806</v>
      </c>
    </row>
    <row r="81" ht="21.25" customHeight="1">
      <c r="A81" t="s" s="10">
        <v>352</v>
      </c>
      <c r="B81" t="s" s="222">
        <f>VLOOKUP(A81,'The List'!B1:D665,3,FALSE)</f>
        <v>128</v>
      </c>
      <c r="C81" s="87">
        <f>IF('Settings'!$E$15="POINTS",RANK(E81,E3:E392),H81)</f>
        <v>100</v>
      </c>
      <c r="D81" t="s" s="86">
        <f>VLOOKUP(A81,'The List'!B1:F665,5,FALSE)</f>
        <v>908</v>
      </c>
      <c r="E81" s="77">
        <f>VLOOKUP(A81,'The List'!B1:I665,8,FALSE)</f>
        <v>273.647517106312</v>
      </c>
      <c r="F81" s="77">
        <f>IF('Settings'!$E$15="POINTS",E81-VLOOKUP(B$2,C1:E392,3,FALSE),J81)</f>
        <v>-33.258487323279</v>
      </c>
      <c r="G81" s="77"/>
      <c r="H81" s="223">
        <f>RANK(I81,I3:I392)</f>
        <v>81</v>
      </c>
      <c r="I81" s="77">
        <f>VLOOKUP(A81,'Standard Deviations'!A1:C666,3,FALSE)</f>
        <v>3.93233015235487</v>
      </c>
      <c r="J81" s="84">
        <f>I81-VLOOKUP(B$2,H1:J392,2,FALSE)</f>
        <v>-0.65780127820463</v>
      </c>
    </row>
    <row r="82" ht="21.25" customHeight="1">
      <c r="A82" t="s" s="10">
        <v>339</v>
      </c>
      <c r="B82" t="s" s="222">
        <f>VLOOKUP(A82,'The List'!B1:D665,3,FALSE)</f>
        <v>178</v>
      </c>
      <c r="C82" s="87">
        <f>IF('Settings'!$E$15="POINTS",RANK(E82,E3:E392),H82)</f>
        <v>88</v>
      </c>
      <c r="D82" t="s" s="86">
        <f>VLOOKUP(A82,'The List'!B1:F665,5,FALSE)</f>
        <v>908</v>
      </c>
      <c r="E82" s="77">
        <f>VLOOKUP(A82,'The List'!B1:I665,8,FALSE)</f>
        <v>284.435506955399</v>
      </c>
      <c r="F82" s="77">
        <f>IF('Settings'!$E$15="POINTS",E82-VLOOKUP(B$2,C1:E392,3,FALSE),J82)</f>
        <v>-22.470497474192</v>
      </c>
      <c r="G82" s="77"/>
      <c r="H82" s="223">
        <f>RANK(I82,I3:I392)</f>
        <v>79</v>
      </c>
      <c r="I82" s="77">
        <f>VLOOKUP(A82,'Standard Deviations'!A1:C666,3,FALSE)</f>
        <v>4.1890248373706</v>
      </c>
      <c r="J82" s="84">
        <f>I82-VLOOKUP(B$2,H1:J392,2,FALSE)</f>
        <v>-0.4011065931889</v>
      </c>
    </row>
    <row r="83" ht="21.25" customHeight="1">
      <c r="A83" t="s" s="10">
        <v>358</v>
      </c>
      <c r="B83" t="s" s="222">
        <f>VLOOKUP(A83,'The List'!B1:D665,3,FALSE)</f>
        <v>140</v>
      </c>
      <c r="C83" s="87">
        <f>IF('Settings'!$E$15="POINTS",RANK(E83,E3:E392),H83)</f>
        <v>95</v>
      </c>
      <c r="D83" t="s" s="86">
        <f>VLOOKUP(A83,'The List'!B1:F665,5,FALSE)</f>
        <v>901</v>
      </c>
      <c r="E83" s="77">
        <f>VLOOKUP(A83,'The List'!B1:I665,8,FALSE)</f>
        <v>276.521261673615</v>
      </c>
      <c r="F83" s="77">
        <f>IF('Settings'!$E$15="POINTS",E83-VLOOKUP(B$2,C1:E392,3,FALSE),J83)</f>
        <v>-30.384742755976</v>
      </c>
      <c r="G83" s="77"/>
      <c r="H83" s="223">
        <f>RANK(I83,I3:I392)</f>
        <v>59</v>
      </c>
      <c r="I83" s="77">
        <f>VLOOKUP(A83,'Standard Deviations'!A1:C666,3,FALSE)</f>
        <v>4.95172624905608</v>
      </c>
      <c r="J83" s="84">
        <f>I83-VLOOKUP(B$2,H1:J392,2,FALSE)</f>
        <v>0.36159481849658</v>
      </c>
    </row>
    <row r="84" ht="21.25" customHeight="1">
      <c r="A84" t="s" s="10">
        <v>404</v>
      </c>
      <c r="B84" t="s" s="222">
        <f>VLOOKUP(A84,'The List'!B1:D665,3,FALSE)</f>
        <v>145</v>
      </c>
      <c r="C84" s="87">
        <f>IF('Settings'!$E$15="POINTS",RANK(E84,E3:E392),H84)</f>
        <v>120</v>
      </c>
      <c r="D84" t="s" s="86">
        <f>VLOOKUP(A84,'The List'!B1:F665,5,FALSE)</f>
        <v>912</v>
      </c>
      <c r="E84" s="77">
        <f>VLOOKUP(A84,'The List'!B1:I665,8,FALSE)</f>
        <v>258.075093138858</v>
      </c>
      <c r="F84" s="77">
        <f>IF('Settings'!$E$15="POINTS",E84-VLOOKUP(B$2,C1:E392,3,FALSE),J84)</f>
        <v>-48.830911290733</v>
      </c>
      <c r="G84" s="77"/>
      <c r="H84" s="223">
        <f>RANK(I84,I3:I392)</f>
        <v>117</v>
      </c>
      <c r="I84" s="77">
        <f>VLOOKUP(A84,'Standard Deviations'!A1:C666,3,FALSE)</f>
        <v>1.93583717795528</v>
      </c>
      <c r="J84" s="84">
        <f>I84-VLOOKUP(B$2,H1:J392,2,FALSE)</f>
        <v>-2.65429425260422</v>
      </c>
    </row>
    <row r="85" ht="21.25" customHeight="1">
      <c r="A85" t="s" s="10">
        <v>403</v>
      </c>
      <c r="B85" t="s" s="222">
        <f>VLOOKUP(A85,'The List'!B1:D665,3,FALSE)</f>
        <v>140</v>
      </c>
      <c r="C85" s="87">
        <f>IF('Settings'!$E$15="POINTS",RANK(E85,E3:E392),H85)</f>
        <v>118</v>
      </c>
      <c r="D85" t="s" s="86">
        <f>VLOOKUP(A85,'The List'!B1:F665,5,FALSE)</f>
        <v>154</v>
      </c>
      <c r="E85" s="77">
        <f>VLOOKUP(A85,'The List'!B1:I665,8,FALSE)</f>
        <v>258.474524297259</v>
      </c>
      <c r="F85" s="77">
        <f>IF('Settings'!$E$15="POINTS",E85-VLOOKUP(B$2,C1:E392,3,FALSE),J85)</f>
        <v>-48.431480132332</v>
      </c>
      <c r="G85" s="77"/>
      <c r="H85" s="223">
        <f>RANK(I85,I3:I392)</f>
        <v>87</v>
      </c>
      <c r="I85" s="77">
        <f>VLOOKUP(A85,'Standard Deviations'!A1:C666,3,FALSE)</f>
        <v>3.3579003618021</v>
      </c>
      <c r="J85" s="84">
        <f>I85-VLOOKUP(B$2,H1:J392,2,FALSE)</f>
        <v>-1.2322310687574</v>
      </c>
    </row>
    <row r="86" ht="21.25" customHeight="1">
      <c r="A86" t="s" s="10">
        <v>299</v>
      </c>
      <c r="B86" t="s" s="222">
        <f>VLOOKUP(A86,'The List'!B1:D665,3,FALSE)</f>
        <v>128</v>
      </c>
      <c r="C86" s="87">
        <f>IF('Settings'!$E$15="POINTS",RANK(E86,E3:E392),H86)</f>
        <v>79</v>
      </c>
      <c r="D86" t="s" s="86">
        <f>VLOOKUP(A86,'The List'!B1:F665,5,FALSE)</f>
        <v>267</v>
      </c>
      <c r="E86" s="77">
        <f>VLOOKUP(A86,'The List'!B1:I665,8,FALSE)</f>
        <v>300.254605669244</v>
      </c>
      <c r="F86" s="77">
        <f>IF('Settings'!$E$15="POINTS",E86-VLOOKUP(B$2,C1:E392,3,FALSE),J86)</f>
        <v>-6.651398760347</v>
      </c>
      <c r="G86" s="77"/>
      <c r="H86" s="223">
        <f>RANK(I86,I3:I392)</f>
        <v>73</v>
      </c>
      <c r="I86" s="77">
        <f>VLOOKUP(A86,'Standard Deviations'!A1:C666,3,FALSE)</f>
        <v>4.42825062369793</v>
      </c>
      <c r="J86" s="84">
        <f>I86-VLOOKUP(B$2,H1:J392,2,FALSE)</f>
        <v>-0.16188080686157</v>
      </c>
    </row>
    <row r="87" ht="21.25" customHeight="1">
      <c r="A87" t="s" s="10">
        <v>251</v>
      </c>
      <c r="B87" t="s" s="222">
        <f>VLOOKUP(A87,'The List'!B1:D665,3,FALSE)</f>
        <v>178</v>
      </c>
      <c r="C87" s="87">
        <f>IF('Settings'!$E$15="POINTS",RANK(E87,E3:E392),H87)</f>
        <v>50</v>
      </c>
      <c r="D87" t="s" s="86">
        <f>VLOOKUP(A87,'The List'!B1:F665,5,FALSE)</f>
        <v>909</v>
      </c>
      <c r="E87" s="77">
        <f>VLOOKUP(A87,'The List'!B1:I665,8,FALSE)</f>
        <v>329.060709527179</v>
      </c>
      <c r="F87" s="77">
        <f>IF('Settings'!$E$15="POINTS",E87-VLOOKUP(B$2,C1:E392,3,FALSE),J87)</f>
        <v>22.154705097588</v>
      </c>
      <c r="G87" s="77"/>
      <c r="H87" s="223">
        <f>RANK(I87,I3:I392)</f>
        <v>95</v>
      </c>
      <c r="I87" s="77">
        <f>VLOOKUP(A87,'Standard Deviations'!A1:C666,3,FALSE)</f>
        <v>2.83154181027599</v>
      </c>
      <c r="J87" s="84">
        <f>I87-VLOOKUP(B$2,H1:J392,2,FALSE)</f>
        <v>-1.75858962028351</v>
      </c>
    </row>
    <row r="88" ht="21.25" customHeight="1">
      <c r="A88" t="s" s="10">
        <v>375</v>
      </c>
      <c r="B88" t="s" s="222">
        <f>VLOOKUP(A88,'The List'!B1:D665,3,FALSE)</f>
        <v>145</v>
      </c>
      <c r="C88" s="87">
        <f>IF('Settings'!$E$15="POINTS",RANK(E88,E3:E392),H88)</f>
        <v>106</v>
      </c>
      <c r="D88" t="s" s="86">
        <f>VLOOKUP(A88,'The List'!B1:F665,5,FALSE)</f>
        <v>174</v>
      </c>
      <c r="E88" s="77">
        <f>VLOOKUP(A88,'The List'!B1:I665,8,FALSE)</f>
        <v>269.588445524555</v>
      </c>
      <c r="F88" s="77">
        <f>IF('Settings'!$E$15="POINTS",E88-VLOOKUP(B$2,C1:E392,3,FALSE),J88)</f>
        <v>-37.317558905036</v>
      </c>
      <c r="G88" s="77"/>
      <c r="H88" s="223">
        <f>RANK(I88,I3:I392)</f>
        <v>109</v>
      </c>
      <c r="I88" s="77">
        <f>VLOOKUP(A88,'Standard Deviations'!A1:C666,3,FALSE)</f>
        <v>2.2861546248777</v>
      </c>
      <c r="J88" s="84">
        <f>I88-VLOOKUP(B$2,H1:J392,2,FALSE)</f>
        <v>-2.3039768056818</v>
      </c>
    </row>
    <row r="89" ht="21.25" customHeight="1">
      <c r="A89" t="s" s="10">
        <v>368</v>
      </c>
      <c r="B89" t="s" s="222">
        <f>VLOOKUP(A89,'The List'!B1:D665,3,FALSE)</f>
        <v>136</v>
      </c>
      <c r="C89" s="87">
        <f>IF('Settings'!$E$15="POINTS",RANK(E89,E3:E392),H89)</f>
        <v>99</v>
      </c>
      <c r="D89" t="s" s="86">
        <f>VLOOKUP(A89,'The List'!B1:F665,5,FALSE)</f>
        <v>174</v>
      </c>
      <c r="E89" s="77">
        <f>VLOOKUP(A89,'The List'!B1:I665,8,FALSE)</f>
        <v>273.841798447359</v>
      </c>
      <c r="F89" s="77">
        <f>IF('Settings'!$E$15="POINTS",E89-VLOOKUP(B$2,C1:E392,3,FALSE),J89)</f>
        <v>-33.064205982232</v>
      </c>
      <c r="G89" s="77"/>
      <c r="H89" s="223">
        <f>RANK(I89,I3:I392)</f>
        <v>100</v>
      </c>
      <c r="I89" s="77">
        <f>VLOOKUP(A89,'Standard Deviations'!A1:C666,3,FALSE)</f>
        <v>2.67527244924765</v>
      </c>
      <c r="J89" s="84">
        <f>I89-VLOOKUP(B$2,H1:J392,2,FALSE)</f>
        <v>-1.91485898131185</v>
      </c>
    </row>
    <row r="90" ht="21.25" customHeight="1">
      <c r="A90" t="s" s="10">
        <v>297</v>
      </c>
      <c r="B90" t="s" s="222">
        <f>VLOOKUP(A90,'The List'!B1:D665,3,FALSE)</f>
        <v>128</v>
      </c>
      <c r="C90" s="87">
        <f>IF('Settings'!$E$15="POINTS",RANK(E90,E3:E392),H90)</f>
        <v>78</v>
      </c>
      <c r="D90" t="s" s="86">
        <f>VLOOKUP(A90,'The List'!B1:F665,5,FALSE)</f>
        <v>903</v>
      </c>
      <c r="E90" s="77">
        <f>VLOOKUP(A90,'The List'!B1:I665,8,FALSE)</f>
        <v>300.560242430703</v>
      </c>
      <c r="F90" s="77">
        <f>IF('Settings'!$E$15="POINTS",E90-VLOOKUP(B$2,C1:E392,3,FALSE),J90)</f>
        <v>-6.345761998888</v>
      </c>
      <c r="G90" s="77"/>
      <c r="H90" s="223">
        <f>RANK(I90,I3:I392)</f>
        <v>83</v>
      </c>
      <c r="I90" s="77">
        <f>VLOOKUP(A90,'Standard Deviations'!A1:C666,3,FALSE)</f>
        <v>3.77776432760113</v>
      </c>
      <c r="J90" s="84">
        <f>I90-VLOOKUP(B$2,H1:J392,2,FALSE)</f>
        <v>-0.81236710295837</v>
      </c>
    </row>
    <row r="91" ht="21.25" customHeight="1">
      <c r="A91" t="s" s="10">
        <v>365</v>
      </c>
      <c r="B91" t="s" s="222">
        <f>VLOOKUP(A91,'The List'!B1:D665,3,FALSE)</f>
        <v>128</v>
      </c>
      <c r="C91" s="87">
        <f>IF('Settings'!$E$15="POINTS",RANK(E91,E3:E392),H91)</f>
        <v>105</v>
      </c>
      <c r="D91" t="s" s="86">
        <f>VLOOKUP(A91,'The List'!B1:F665,5,FALSE)</f>
        <v>165</v>
      </c>
      <c r="E91" s="77">
        <f>VLOOKUP(A91,'The List'!B1:I665,8,FALSE)</f>
        <v>270.004573608843</v>
      </c>
      <c r="F91" s="77">
        <f>IF('Settings'!$E$15="POINTS",E91-VLOOKUP(B$2,C1:E392,3,FALSE),J91)</f>
        <v>-36.901430820748</v>
      </c>
      <c r="G91" s="77"/>
      <c r="H91" s="223">
        <f>RANK(I91,I3:I392)</f>
        <v>78</v>
      </c>
      <c r="I91" s="77">
        <f>VLOOKUP(A91,'Standard Deviations'!A1:C666,3,FALSE)</f>
        <v>4.24712151991631</v>
      </c>
      <c r="J91" s="84">
        <f>I91-VLOOKUP(B$2,H1:J392,2,FALSE)</f>
        <v>-0.34300991064319</v>
      </c>
    </row>
    <row r="92" ht="21.25" customHeight="1">
      <c r="A92" t="s" s="10">
        <v>446</v>
      </c>
      <c r="B92" t="s" s="222">
        <f>VLOOKUP(A92,'The List'!B1:D665,3,FALSE)</f>
        <v>140</v>
      </c>
      <c r="C92" s="87">
        <f>IF('Settings'!$E$15="POINTS",RANK(E92,E3:E392),H92)</f>
        <v>141</v>
      </c>
      <c r="D92" t="s" s="86">
        <f>VLOOKUP(A92,'The List'!B1:F665,5,FALSE)</f>
        <v>156</v>
      </c>
      <c r="E92" s="77">
        <f>VLOOKUP(A92,'The List'!B1:I665,8,FALSE)</f>
        <v>241.867105108624</v>
      </c>
      <c r="F92" s="77">
        <f>IF('Settings'!$E$15="POINTS",E92-VLOOKUP(B$2,C1:E392,3,FALSE),J92)</f>
        <v>-65.038899320967</v>
      </c>
      <c r="G92" s="77"/>
      <c r="H92" s="223">
        <f>RANK(I92,I3:I392)</f>
        <v>101</v>
      </c>
      <c r="I92" s="77">
        <f>VLOOKUP(A92,'Standard Deviations'!A1:C666,3,FALSE)</f>
        <v>2.6586913573416</v>
      </c>
      <c r="J92" s="84">
        <f>I92-VLOOKUP(B$2,H1:J392,2,FALSE)</f>
        <v>-1.9314400732179</v>
      </c>
    </row>
    <row r="93" ht="21.25" customHeight="1">
      <c r="A93" t="s" s="10">
        <v>327</v>
      </c>
      <c r="B93" t="s" s="222">
        <f>VLOOKUP(A93,'The List'!B1:D665,3,FALSE)</f>
        <v>136</v>
      </c>
      <c r="C93" s="87">
        <f>IF('Settings'!$E$15="POINTS",RANK(E93,E3:E392),H93)</f>
        <v>84</v>
      </c>
      <c r="D93" t="s" s="86">
        <f>VLOOKUP(A93,'The List'!B1:F665,5,FALSE)</f>
        <v>192</v>
      </c>
      <c r="E93" s="77">
        <f>VLOOKUP(A93,'The List'!B1:I665,8,FALSE)</f>
        <v>288.904443173583</v>
      </c>
      <c r="F93" s="77">
        <f>IF('Settings'!$E$15="POINTS",E93-VLOOKUP(B$2,C1:E392,3,FALSE),J93)</f>
        <v>-18.001561256008</v>
      </c>
      <c r="G93" s="77"/>
      <c r="H93" s="223">
        <f>RANK(I93,I3:I392)</f>
        <v>84</v>
      </c>
      <c r="I93" s="77">
        <f>VLOOKUP(A93,'Standard Deviations'!A1:C666,3,FALSE)</f>
        <v>3.69364528788546</v>
      </c>
      <c r="J93" s="84">
        <f>I93-VLOOKUP(B$2,H1:J392,2,FALSE)</f>
        <v>-0.89648614267404</v>
      </c>
    </row>
    <row r="94" ht="21.25" customHeight="1">
      <c r="A94" t="s" s="10">
        <v>383</v>
      </c>
      <c r="B94" t="s" s="222">
        <f>VLOOKUP(A94,'The List'!B1:D665,3,FALSE)</f>
        <v>148</v>
      </c>
      <c r="C94" s="87">
        <f>IF('Settings'!$E$15="POINTS",RANK(E94,E3:E392),H94)</f>
        <v>111</v>
      </c>
      <c r="D94" t="s" s="86">
        <f>VLOOKUP(A94,'The List'!B1:F665,5,FALSE)</f>
        <v>913</v>
      </c>
      <c r="E94" s="77">
        <f>VLOOKUP(A94,'The List'!B1:I665,8,FALSE)</f>
        <v>266.708586778935</v>
      </c>
      <c r="F94" s="77">
        <f>IF('Settings'!$E$15="POINTS",E94-VLOOKUP(B$2,C1:E392,3,FALSE),J94)</f>
        <v>-40.197417650656</v>
      </c>
      <c r="G94" s="77"/>
      <c r="H94" s="223">
        <f>RANK(I94,I3:I392)</f>
        <v>86</v>
      </c>
      <c r="I94" s="77">
        <f>VLOOKUP(A94,'Standard Deviations'!A1:C666,3,FALSE)</f>
        <v>3.41999354821168</v>
      </c>
      <c r="J94" s="84">
        <f>I94-VLOOKUP(B$2,H1:J392,2,FALSE)</f>
        <v>-1.17013788234782</v>
      </c>
    </row>
    <row r="95" ht="21.25" customHeight="1">
      <c r="A95" t="s" s="10">
        <v>432</v>
      </c>
      <c r="B95" t="s" s="222">
        <f>VLOOKUP(A95,'The List'!B1:D665,3,FALSE)</f>
        <v>145</v>
      </c>
      <c r="C95" s="87">
        <f>IF('Settings'!$E$15="POINTS",RANK(E95,E3:E392),H95)</f>
        <v>132</v>
      </c>
      <c r="D95" t="s" s="86">
        <f>VLOOKUP(A95,'The List'!B1:F665,5,FALSE)</f>
        <v>908</v>
      </c>
      <c r="E95" s="77">
        <f>VLOOKUP(A95,'The List'!B1:I665,8,FALSE)</f>
        <v>246.559075242969</v>
      </c>
      <c r="F95" s="77">
        <f>IF('Settings'!$E$15="POINTS",E95-VLOOKUP(B$2,C1:E392,3,FALSE),J95)</f>
        <v>-60.346929186622</v>
      </c>
      <c r="G95" s="77"/>
      <c r="H95" s="223">
        <f>RANK(I95,I3:I392)</f>
        <v>94</v>
      </c>
      <c r="I95" s="77">
        <f>VLOOKUP(A95,'Standard Deviations'!A1:C666,3,FALSE)</f>
        <v>2.93786437389904</v>
      </c>
      <c r="J95" s="84">
        <f>I95-VLOOKUP(B$2,H1:J392,2,FALSE)</f>
        <v>-1.65226705666046</v>
      </c>
    </row>
    <row r="96" ht="21.25" customHeight="1">
      <c r="A96" t="s" s="10">
        <v>335</v>
      </c>
      <c r="B96" t="s" s="222">
        <f>VLOOKUP(A96,'The List'!B1:D665,3,FALSE)</f>
        <v>128</v>
      </c>
      <c r="C96" s="87">
        <f>IF('Settings'!$E$15="POINTS",RANK(E96,E3:E392),H96)</f>
        <v>92</v>
      </c>
      <c r="D96" t="s" s="86">
        <f>VLOOKUP(A96,'The List'!B1:F665,5,FALSE)</f>
        <v>912</v>
      </c>
      <c r="E96" s="77">
        <f>VLOOKUP(A96,'The List'!B1:I665,8,FALSE)</f>
        <v>280.077443543182</v>
      </c>
      <c r="F96" s="77">
        <f>IF('Settings'!$E$15="POINTS",E96-VLOOKUP(B$2,C1:E392,3,FALSE),J96)</f>
        <v>-26.828560886409</v>
      </c>
      <c r="G96" s="77"/>
      <c r="H96" s="223">
        <f>RANK(I96,I3:I392)</f>
        <v>138</v>
      </c>
      <c r="I96" s="77">
        <f>VLOOKUP(A96,'Standard Deviations'!A1:C666,3,FALSE)</f>
        <v>0.911176069198333</v>
      </c>
      <c r="J96" s="84">
        <f>I96-VLOOKUP(B$2,H1:J392,2,FALSE)</f>
        <v>-3.67895536136117</v>
      </c>
    </row>
    <row r="97" ht="21.25" customHeight="1">
      <c r="A97" t="s" s="10">
        <v>338</v>
      </c>
      <c r="B97" t="s" s="222">
        <f>VLOOKUP(A97,'The List'!B1:D665,3,FALSE)</f>
        <v>148</v>
      </c>
      <c r="C97" s="87">
        <f>IF('Settings'!$E$15="POINTS",RANK(E97,E3:E392),H97)</f>
        <v>87</v>
      </c>
      <c r="D97" t="s" s="86">
        <f>VLOOKUP(A97,'The List'!B1:F665,5,FALSE)</f>
        <v>878</v>
      </c>
      <c r="E97" s="77">
        <f>VLOOKUP(A97,'The List'!B1:I665,8,FALSE)</f>
        <v>284.584532285043</v>
      </c>
      <c r="F97" s="77">
        <f>IF('Settings'!$E$15="POINTS",E97-VLOOKUP(B$2,C1:E392,3,FALSE),J97)</f>
        <v>-22.321472144548</v>
      </c>
      <c r="G97" s="77"/>
      <c r="H97" s="223">
        <f>RANK(I97,I3:I392)</f>
        <v>90</v>
      </c>
      <c r="I97" s="77">
        <f>VLOOKUP(A97,'Standard Deviations'!A1:C666,3,FALSE)</f>
        <v>3.23696397194368</v>
      </c>
      <c r="J97" s="84">
        <f>I97-VLOOKUP(B$2,H1:J392,2,FALSE)</f>
        <v>-1.35316745861582</v>
      </c>
    </row>
    <row r="98" ht="21.25" customHeight="1">
      <c r="A98" t="s" s="10">
        <v>369</v>
      </c>
      <c r="B98" t="s" s="222">
        <f>VLOOKUP(A98,'The List'!B1:D665,3,FALSE)</f>
        <v>140</v>
      </c>
      <c r="C98" s="87">
        <f>IF('Settings'!$E$15="POINTS",RANK(E98,E3:E392),H98)</f>
        <v>101</v>
      </c>
      <c r="D98" t="s" s="86">
        <f>VLOOKUP(A98,'The List'!B1:F665,5,FALSE)</f>
        <v>904</v>
      </c>
      <c r="E98" s="77">
        <f>VLOOKUP(A98,'The List'!B1:I665,8,FALSE)</f>
        <v>273.621830933101</v>
      </c>
      <c r="F98" s="77">
        <f>IF('Settings'!$E$15="POINTS",E98-VLOOKUP(B$2,C1:E392,3,FALSE),J98)</f>
        <v>-33.284173496490</v>
      </c>
      <c r="G98" s="77"/>
      <c r="H98" s="223">
        <f>RANK(I98,I3:I392)</f>
        <v>104</v>
      </c>
      <c r="I98" s="77">
        <f>VLOOKUP(A98,'Standard Deviations'!A1:C666,3,FALSE)</f>
        <v>2.55075723144756</v>
      </c>
      <c r="J98" s="84">
        <f>I98-VLOOKUP(B$2,H1:J392,2,FALSE)</f>
        <v>-2.03937419911194</v>
      </c>
    </row>
    <row r="99" ht="21.25" customHeight="1">
      <c r="A99" t="s" s="10">
        <v>356</v>
      </c>
      <c r="B99" t="s" s="222">
        <f>VLOOKUP(A99,'The List'!B1:D665,3,FALSE)</f>
        <v>148</v>
      </c>
      <c r="C99" s="87">
        <f>IF('Settings'!$E$15="POINTS",RANK(E99,E3:E392),H99)</f>
        <v>94</v>
      </c>
      <c r="D99" t="s" s="86">
        <f>VLOOKUP(A99,'The List'!B1:F665,5,FALSE)</f>
        <v>904</v>
      </c>
      <c r="E99" s="77">
        <f>VLOOKUP(A99,'The List'!B1:I665,8,FALSE)</f>
        <v>277.184025795833</v>
      </c>
      <c r="F99" s="77">
        <f>IF('Settings'!$E$15="POINTS",E99-VLOOKUP(B$2,C1:E392,3,FALSE),J99)</f>
        <v>-29.721978633758</v>
      </c>
      <c r="G99" s="77"/>
      <c r="H99" s="223">
        <f>RANK(I99,I3:I392)</f>
        <v>108</v>
      </c>
      <c r="I99" s="77">
        <f>VLOOKUP(A99,'Standard Deviations'!A1:C666,3,FALSE)</f>
        <v>2.36746544763063</v>
      </c>
      <c r="J99" s="84">
        <f>I99-VLOOKUP(B$2,H1:J392,2,FALSE)</f>
        <v>-2.22266598292887</v>
      </c>
    </row>
    <row r="100" ht="21.25" customHeight="1">
      <c r="A100" t="s" s="10">
        <v>305</v>
      </c>
      <c r="B100" t="s" s="222">
        <f>VLOOKUP(A100,'The List'!B1:D665,3,FALSE)</f>
        <v>178</v>
      </c>
      <c r="C100" s="87">
        <f>IF('Settings'!$E$15="POINTS",RANK(E100,E3:E392),H100)</f>
        <v>74</v>
      </c>
      <c r="D100" t="s" s="86">
        <f>VLOOKUP(A100,'The List'!B1:F665,5,FALSE)</f>
        <v>902</v>
      </c>
      <c r="E100" s="77">
        <f>VLOOKUP(A100,'The List'!B1:I665,8,FALSE)</f>
        <v>302.497231583934</v>
      </c>
      <c r="F100" s="77">
        <f>IF('Settings'!$E$15="POINTS",E100-VLOOKUP(B$2,C1:E392,3,FALSE),J100)</f>
        <v>-4.408772845657</v>
      </c>
      <c r="G100" s="77"/>
      <c r="H100" s="223">
        <f>RANK(I100,I3:I392)</f>
        <v>76</v>
      </c>
      <c r="I100" s="77">
        <f>VLOOKUP(A100,'Standard Deviations'!A1:C666,3,FALSE)</f>
        <v>4.30058704896177</v>
      </c>
      <c r="J100" s="84">
        <f>I100-VLOOKUP(B$2,H1:J392,2,FALSE)</f>
        <v>-0.28954438159773</v>
      </c>
    </row>
    <row r="101" ht="21.25" customHeight="1">
      <c r="A101" t="s" s="10">
        <v>431</v>
      </c>
      <c r="B101" t="s" s="222">
        <f>VLOOKUP(A101,'The List'!B1:D665,3,FALSE)</f>
        <v>148</v>
      </c>
      <c r="C101" s="87">
        <f>IF('Settings'!$E$15="POINTS",RANK(E101,E3:E392),H101)</f>
        <v>131</v>
      </c>
      <c r="D101" t="s" s="86">
        <f>VLOOKUP(A101,'The List'!B1:F665,5,FALSE)</f>
        <v>905</v>
      </c>
      <c r="E101" s="77">
        <f>VLOOKUP(A101,'The List'!B1:I665,8,FALSE)</f>
        <v>246.829452360016</v>
      </c>
      <c r="F101" s="77">
        <f>IF('Settings'!$E$15="POINTS",E101-VLOOKUP(B$2,C1:E392,3,FALSE),J101)</f>
        <v>-60.076552069575</v>
      </c>
      <c r="G101" s="77"/>
      <c r="H101" s="223">
        <f>RANK(I101,I3:I392)</f>
        <v>80</v>
      </c>
      <c r="I101" s="77">
        <f>VLOOKUP(A101,'Standard Deviations'!A1:C666,3,FALSE)</f>
        <v>4.08378093813798</v>
      </c>
      <c r="J101" s="84">
        <f>I101-VLOOKUP(B$2,H1:J392,2,FALSE)</f>
        <v>-0.50635049242152</v>
      </c>
    </row>
    <row r="102" ht="21.25" customHeight="1">
      <c r="A102" t="s" s="10">
        <v>301</v>
      </c>
      <c r="B102" t="s" s="222">
        <f>VLOOKUP(A102,'The List'!B1:D665,3,FALSE)</f>
        <v>136</v>
      </c>
      <c r="C102" s="87">
        <f>IF('Settings'!$E$15="POINTS",RANK(E102,E3:E392),H102)</f>
        <v>71</v>
      </c>
      <c r="D102" t="s" s="86">
        <f>VLOOKUP(A102,'The List'!B1:F665,5,FALSE)</f>
        <v>912</v>
      </c>
      <c r="E102" s="77">
        <f>VLOOKUP(A102,'The List'!B1:I665,8,FALSE)</f>
        <v>304.347272950626</v>
      </c>
      <c r="F102" s="77">
        <f>IF('Settings'!$E$15="POINTS",E102-VLOOKUP(B$2,C1:E392,3,FALSE),J102)</f>
        <v>-2.558731478965</v>
      </c>
      <c r="G102" s="77"/>
      <c r="H102" s="223">
        <f>RANK(I102,I3:I392)</f>
        <v>152</v>
      </c>
      <c r="I102" s="77">
        <f>VLOOKUP(A102,'Standard Deviations'!A1:C666,3,FALSE)</f>
        <v>0.525014549771521</v>
      </c>
      <c r="J102" s="84">
        <f>I102-VLOOKUP(B$2,H1:J392,2,FALSE)</f>
        <v>-4.06511688078798</v>
      </c>
    </row>
    <row r="103" ht="21.25" customHeight="1">
      <c r="A103" t="s" s="10">
        <v>367</v>
      </c>
      <c r="B103" t="s" s="222">
        <f>VLOOKUP(A103,'The List'!B1:D665,3,FALSE)</f>
        <v>128</v>
      </c>
      <c r="C103" s="87">
        <f>IF('Settings'!$E$15="POINTS",RANK(E103,E3:E392),H103)</f>
        <v>107</v>
      </c>
      <c r="D103" t="s" s="86">
        <f>VLOOKUP(A103,'The List'!B1:F665,5,FALSE)</f>
        <v>913</v>
      </c>
      <c r="E103" s="77">
        <f>VLOOKUP(A103,'The List'!B1:I665,8,FALSE)</f>
        <v>269.276009294918</v>
      </c>
      <c r="F103" s="77">
        <f>IF('Settings'!$E$15="POINTS",E103-VLOOKUP(B$2,C1:E392,3,FALSE),J103)</f>
        <v>-37.629995134673</v>
      </c>
      <c r="G103" s="77"/>
      <c r="H103" s="223">
        <f>RANK(I103,I3:I392)</f>
        <v>131</v>
      </c>
      <c r="I103" s="77">
        <f>VLOOKUP(A103,'Standard Deviations'!A1:C666,3,FALSE)</f>
        <v>1.11500494574375</v>
      </c>
      <c r="J103" s="84">
        <f>I103-VLOOKUP(B$2,H1:J392,2,FALSE)</f>
        <v>-3.47512648481575</v>
      </c>
    </row>
    <row r="104" ht="21.25" customHeight="1">
      <c r="A104" t="s" s="10">
        <v>448</v>
      </c>
      <c r="B104" t="s" s="222">
        <f>VLOOKUP(A104,'The List'!B1:D665,3,FALSE)</f>
        <v>178</v>
      </c>
      <c r="C104" s="87">
        <f>IF('Settings'!$E$15="POINTS",RANK(E104,E3:E392),H104)</f>
        <v>144</v>
      </c>
      <c r="D104" t="s" s="86">
        <f>VLOOKUP(A104,'The List'!B1:F665,5,FALSE)</f>
        <v>909</v>
      </c>
      <c r="E104" s="77">
        <f>VLOOKUP(A104,'The List'!B1:I665,8,FALSE)</f>
        <v>241.612340422803</v>
      </c>
      <c r="F104" s="77">
        <f>IF('Settings'!$E$15="POINTS",E104-VLOOKUP(B$2,C1:E392,3,FALSE),J104)</f>
        <v>-65.29366400678801</v>
      </c>
      <c r="G104" s="77"/>
      <c r="H104" s="223">
        <f>RANK(I104,I3:I392)</f>
        <v>130</v>
      </c>
      <c r="I104" s="77">
        <f>VLOOKUP(A104,'Standard Deviations'!A1:C666,3,FALSE)</f>
        <v>1.14212306030947</v>
      </c>
      <c r="J104" s="84">
        <f>I104-VLOOKUP(B$2,H1:J392,2,FALSE)</f>
        <v>-3.44800837025003</v>
      </c>
    </row>
    <row r="105" ht="21.25" customHeight="1">
      <c r="A105" t="s" s="10">
        <v>390</v>
      </c>
      <c r="B105" t="s" s="222">
        <f>VLOOKUP(A105,'The List'!B1:D665,3,FALSE)</f>
        <v>128</v>
      </c>
      <c r="C105" s="87">
        <f>IF('Settings'!$E$15="POINTS",RANK(E105,E3:E392),H105)</f>
        <v>119</v>
      </c>
      <c r="D105" t="s" s="86">
        <f>VLOOKUP(A105,'The List'!B1:F665,5,FALSE)</f>
        <v>267</v>
      </c>
      <c r="E105" s="77">
        <f>VLOOKUP(A105,'The List'!B1:I665,8,FALSE)</f>
        <v>258.329883759428</v>
      </c>
      <c r="F105" s="77">
        <f>IF('Settings'!$E$15="POINTS",E105-VLOOKUP(B$2,C1:E392,3,FALSE),J105)</f>
        <v>-48.576120670163</v>
      </c>
      <c r="G105" s="77"/>
      <c r="H105" s="223">
        <f>RANK(I105,I3:I392)</f>
        <v>88</v>
      </c>
      <c r="I105" s="77">
        <f>VLOOKUP(A105,'Standard Deviations'!A1:C666,3,FALSE)</f>
        <v>3.27101414631076</v>
      </c>
      <c r="J105" s="84">
        <f>I105-VLOOKUP(B$2,H1:J392,2,FALSE)</f>
        <v>-1.31911728424874</v>
      </c>
    </row>
    <row r="106" ht="21.25" customHeight="1">
      <c r="A106" t="s" s="10">
        <v>280</v>
      </c>
      <c r="B106" t="s" s="222">
        <f>VLOOKUP(A106,'The List'!B1:D665,3,FALSE)</f>
        <v>136</v>
      </c>
      <c r="C106" s="87">
        <f>IF('Settings'!$E$15="POINTS",RANK(E106,E3:E392),H106)</f>
        <v>57</v>
      </c>
      <c r="D106" t="s" s="86">
        <f>VLOOKUP(A106,'The List'!B1:F665,5,FALSE)</f>
        <v>914</v>
      </c>
      <c r="E106" s="77">
        <f>VLOOKUP(A106,'The List'!B1:I665,8,FALSE)</f>
        <v>314.505784228817</v>
      </c>
      <c r="F106" s="77">
        <f>IF('Settings'!$E$15="POINTS",E106-VLOOKUP(B$2,C1:E392,3,FALSE),J106)</f>
        <v>7.599779799226</v>
      </c>
      <c r="G106" s="77"/>
      <c r="H106" s="223">
        <f>RANK(I106,I3:I392)</f>
        <v>135</v>
      </c>
      <c r="I106" s="77">
        <f>VLOOKUP(A106,'Standard Deviations'!A1:C666,3,FALSE)</f>
        <v>0.958323956213622</v>
      </c>
      <c r="J106" s="84">
        <f>I106-VLOOKUP(B$2,H1:J392,2,FALSE)</f>
        <v>-3.63180747434588</v>
      </c>
    </row>
    <row r="107" ht="21.25" customHeight="1">
      <c r="A107" t="s" s="10">
        <v>427</v>
      </c>
      <c r="B107" t="s" s="222">
        <f>VLOOKUP(A107,'The List'!B1:D665,3,FALSE)</f>
        <v>178</v>
      </c>
      <c r="C107" s="87">
        <f>IF('Settings'!$E$15="POINTS",RANK(E107,E3:E392),H107)</f>
        <v>129</v>
      </c>
      <c r="D107" t="s" s="86">
        <f>VLOOKUP(A107,'The List'!B1:F665,5,FALSE)</f>
        <v>259</v>
      </c>
      <c r="E107" s="77">
        <f>VLOOKUP(A107,'The List'!B1:I665,8,FALSE)</f>
        <v>247.018352061362</v>
      </c>
      <c r="F107" s="77">
        <f>IF('Settings'!$E$15="POINTS",E107-VLOOKUP(B$2,C1:E392,3,FALSE),J107)</f>
        <v>-59.887652368229</v>
      </c>
      <c r="G107" s="77"/>
      <c r="H107" s="223">
        <f>RANK(I107,I3:I392)</f>
        <v>103</v>
      </c>
      <c r="I107" s="77">
        <f>VLOOKUP(A107,'Standard Deviations'!A1:C666,3,FALSE)</f>
        <v>2.62478476215622</v>
      </c>
      <c r="J107" s="84">
        <f>I107-VLOOKUP(B$2,H1:J392,2,FALSE)</f>
        <v>-1.96534666840328</v>
      </c>
    </row>
    <row r="108" ht="21.25" customHeight="1">
      <c r="A108" t="s" s="10">
        <v>393</v>
      </c>
      <c r="B108" t="s" s="222">
        <f>VLOOKUP(A108,'The List'!B1:D665,3,FALSE)</f>
        <v>128</v>
      </c>
      <c r="C108" s="87">
        <f>IF('Settings'!$E$15="POINTS",RANK(E108,E3:E392),H108)</f>
        <v>122</v>
      </c>
      <c r="D108" t="s" s="86">
        <f>VLOOKUP(A108,'The List'!B1:F665,5,FALSE)</f>
        <v>911</v>
      </c>
      <c r="E108" s="77">
        <f>VLOOKUP(A108,'The List'!B1:I665,8,FALSE)</f>
        <v>256.541922725089</v>
      </c>
      <c r="F108" s="77">
        <f>IF('Settings'!$E$15="POINTS",E108-VLOOKUP(B$2,C1:E392,3,FALSE),J108)</f>
        <v>-50.364081704502</v>
      </c>
      <c r="G108" s="77"/>
      <c r="H108" s="223">
        <f>RANK(I108,I3:I392)</f>
        <v>110</v>
      </c>
      <c r="I108" s="77">
        <f>VLOOKUP(A108,'Standard Deviations'!A1:C666,3,FALSE)</f>
        <v>2.24545932200994</v>
      </c>
      <c r="J108" s="84">
        <f>I108-VLOOKUP(B$2,H1:J392,2,FALSE)</f>
        <v>-2.34467210854956</v>
      </c>
    </row>
    <row r="109" ht="21.25" customHeight="1">
      <c r="A109" t="s" s="10">
        <v>410</v>
      </c>
      <c r="B109" t="s" s="222">
        <f>VLOOKUP(A109,'The List'!B1:D665,3,FALSE)</f>
        <v>140</v>
      </c>
      <c r="C109" s="87">
        <f>IF('Settings'!$E$15="POINTS",RANK(E109,E3:E392),H109)</f>
        <v>123</v>
      </c>
      <c r="D109" t="s" s="86">
        <f>VLOOKUP(A109,'The List'!B1:F665,5,FALSE)</f>
        <v>903</v>
      </c>
      <c r="E109" s="77">
        <f>VLOOKUP(A109,'The List'!B1:I665,8,FALSE)</f>
        <v>253.966436493610</v>
      </c>
      <c r="F109" s="77">
        <f>IF('Settings'!$E$15="POINTS",E109-VLOOKUP(B$2,C1:E392,3,FALSE),J109)</f>
        <v>-52.939567935981</v>
      </c>
      <c r="G109" s="77"/>
      <c r="H109" s="223">
        <f>RANK(I109,I3:I392)</f>
        <v>99</v>
      </c>
      <c r="I109" s="77">
        <f>VLOOKUP(A109,'Standard Deviations'!A1:C666,3,FALSE)</f>
        <v>2.72588080498184</v>
      </c>
      <c r="J109" s="84">
        <f>I109-VLOOKUP(B$2,H1:J392,2,FALSE)</f>
        <v>-1.86425062557766</v>
      </c>
    </row>
    <row r="110" ht="21.25" customHeight="1">
      <c r="A110" t="s" s="10">
        <v>451</v>
      </c>
      <c r="B110" t="s" s="222">
        <f>VLOOKUP(A110,'The List'!B1:D665,3,FALSE)</f>
        <v>128</v>
      </c>
      <c r="C110" s="87">
        <f>IF('Settings'!$E$15="POINTS",RANK(E110,E3:E392),H110)</f>
        <v>157</v>
      </c>
      <c r="D110" t="s" s="86">
        <f>VLOOKUP(A110,'The List'!B1:F665,5,FALSE)</f>
        <v>912</v>
      </c>
      <c r="E110" s="77">
        <f>VLOOKUP(A110,'The List'!B1:I665,8,FALSE)</f>
        <v>234.718952480169</v>
      </c>
      <c r="F110" s="77">
        <f>IF('Settings'!$E$15="POINTS",E110-VLOOKUP(B$2,C1:E392,3,FALSE),J110)</f>
        <v>-72.187051949422</v>
      </c>
      <c r="G110" s="77"/>
      <c r="H110" s="223">
        <f>RANK(I110,I3:I392)</f>
        <v>151</v>
      </c>
      <c r="I110" s="77">
        <f>VLOOKUP(A110,'Standard Deviations'!A1:C666,3,FALSE)</f>
        <v>0.576806775967215</v>
      </c>
      <c r="J110" s="84">
        <f>I110-VLOOKUP(B$2,H1:J392,2,FALSE)</f>
        <v>-4.01332465459229</v>
      </c>
    </row>
    <row r="111" ht="21.25" customHeight="1">
      <c r="A111" t="s" s="10">
        <v>482</v>
      </c>
      <c r="B111" t="s" s="222">
        <f>VLOOKUP(A111,'The List'!B1:D665,3,FALSE)</f>
        <v>140</v>
      </c>
      <c r="C111" s="87">
        <f>IF('Settings'!$E$15="POINTS",RANK(E111,E3:E392),H111)</f>
        <v>161</v>
      </c>
      <c r="D111" t="s" s="86">
        <f>VLOOKUP(A111,'The List'!B1:F665,5,FALSE)</f>
        <v>275</v>
      </c>
      <c r="E111" s="77">
        <f>VLOOKUP(A111,'The List'!B1:I665,8,FALSE)</f>
        <v>231.298947623602</v>
      </c>
      <c r="F111" s="77">
        <f>IF('Settings'!$E$15="POINTS",E111-VLOOKUP(B$2,C1:E392,3,FALSE),J111)</f>
        <v>-75.607056805989</v>
      </c>
      <c r="G111" s="77"/>
      <c r="H111" s="223">
        <f>RANK(I111,I3:I392)</f>
        <v>102</v>
      </c>
      <c r="I111" s="77">
        <f>VLOOKUP(A111,'Standard Deviations'!A1:C666,3,FALSE)</f>
        <v>2.65421783317857</v>
      </c>
      <c r="J111" s="84">
        <f>I111-VLOOKUP(B$2,H1:J392,2,FALSE)</f>
        <v>-1.93591359738093</v>
      </c>
    </row>
    <row r="112" ht="21.25" customHeight="1">
      <c r="A112" t="s" s="10">
        <v>381</v>
      </c>
      <c r="B112" t="s" s="222">
        <f>VLOOKUP(A112,'The List'!B1:D665,3,FALSE)</f>
        <v>128</v>
      </c>
      <c r="C112" s="87">
        <f>IF('Settings'!$E$15="POINTS",RANK(E112,E3:E392),H112)</f>
        <v>114</v>
      </c>
      <c r="D112" t="s" s="86">
        <f>VLOOKUP(A112,'The List'!B1:F665,5,FALSE)</f>
        <v>903</v>
      </c>
      <c r="E112" s="77">
        <f>VLOOKUP(A112,'The List'!B1:I665,8,FALSE)</f>
        <v>262.681917286389</v>
      </c>
      <c r="F112" s="77">
        <f>IF('Settings'!$E$15="POINTS",E112-VLOOKUP(B$2,C1:E392,3,FALSE),J112)</f>
        <v>-44.224087143202</v>
      </c>
      <c r="G112" s="77"/>
      <c r="H112" s="223">
        <f>RANK(I112,I3:I392)</f>
        <v>98</v>
      </c>
      <c r="I112" s="77">
        <f>VLOOKUP(A112,'Standard Deviations'!A1:C666,3,FALSE)</f>
        <v>2.77525046723824</v>
      </c>
      <c r="J112" s="84">
        <f>I112-VLOOKUP(B$2,H1:J392,2,FALSE)</f>
        <v>-1.81488096332126</v>
      </c>
    </row>
    <row r="113" ht="21.25" customHeight="1">
      <c r="A113" t="s" s="10">
        <v>376</v>
      </c>
      <c r="B113" t="s" s="222">
        <f>VLOOKUP(A113,'The List'!B1:D665,3,FALSE)</f>
        <v>128</v>
      </c>
      <c r="C113" s="87">
        <f>IF('Settings'!$E$15="POINTS",RANK(E113,E3:E392),H113)</f>
        <v>113</v>
      </c>
      <c r="D113" t="s" s="86">
        <f>VLOOKUP(A113,'The List'!B1:F665,5,FALSE)</f>
        <v>914</v>
      </c>
      <c r="E113" s="77">
        <f>VLOOKUP(A113,'The List'!B1:I665,8,FALSE)</f>
        <v>264.346088183893</v>
      </c>
      <c r="F113" s="77">
        <f>IF('Settings'!$E$15="POINTS",E113-VLOOKUP(B$2,C1:E392,3,FALSE),J113)</f>
        <v>-42.559916245698</v>
      </c>
      <c r="G113" s="77"/>
      <c r="H113" s="223">
        <f>RANK(I113,I3:I392)</f>
        <v>169</v>
      </c>
      <c r="I113" s="77">
        <f>VLOOKUP(A113,'Standard Deviations'!A1:C666,3,FALSE)</f>
        <v>-0.047440966549967</v>
      </c>
      <c r="J113" s="84">
        <f>I113-VLOOKUP(B$2,H1:J392,2,FALSE)</f>
        <v>-4.63757239710947</v>
      </c>
    </row>
    <row r="114" ht="21.25" customHeight="1">
      <c r="A114" t="s" s="10">
        <v>447</v>
      </c>
      <c r="B114" t="s" s="222">
        <f>VLOOKUP(A114,'The List'!B1:D665,3,FALSE)</f>
        <v>145</v>
      </c>
      <c r="C114" s="87">
        <f>IF('Settings'!$E$15="POINTS",RANK(E114,E3:E392),H114)</f>
        <v>143</v>
      </c>
      <c r="D114" t="s" s="86">
        <f>VLOOKUP(A114,'The List'!B1:F665,5,FALSE)</f>
        <v>902</v>
      </c>
      <c r="E114" s="77">
        <f>VLOOKUP(A114,'The List'!B1:I665,8,FALSE)</f>
        <v>241.700695791079</v>
      </c>
      <c r="F114" s="77">
        <f>IF('Settings'!$E$15="POINTS",E114-VLOOKUP(B$2,C1:E392,3,FALSE),J114)</f>
        <v>-65.20530863851199</v>
      </c>
      <c r="G114" s="77"/>
      <c r="H114" s="223">
        <f>RANK(I114,I3:I392)</f>
        <v>89</v>
      </c>
      <c r="I114" s="77">
        <f>VLOOKUP(A114,'Standard Deviations'!A1:C666,3,FALSE)</f>
        <v>3.25842229780808</v>
      </c>
      <c r="J114" s="84">
        <f>I114-VLOOKUP(B$2,H1:J392,2,FALSE)</f>
        <v>-1.33170913275142</v>
      </c>
    </row>
    <row r="115" ht="21.25" customHeight="1">
      <c r="A115" t="s" s="10">
        <v>387</v>
      </c>
      <c r="B115" t="s" s="222">
        <f>VLOOKUP(A115,'The List'!B1:D665,3,FALSE)</f>
        <v>178</v>
      </c>
      <c r="C115" s="87">
        <f>IF('Settings'!$E$15="POINTS",RANK(E115,E3:E392),H115)</f>
        <v>112</v>
      </c>
      <c r="D115" t="s" s="86">
        <f>VLOOKUP(A115,'The List'!B1:F665,5,FALSE)</f>
        <v>905</v>
      </c>
      <c r="E115" s="77">
        <f>VLOOKUP(A115,'The List'!B1:I665,8,FALSE)</f>
        <v>264.854741829322</v>
      </c>
      <c r="F115" s="77">
        <f>IF('Settings'!$E$15="POINTS",E115-VLOOKUP(B$2,C1:E392,3,FALSE),J115)</f>
        <v>-42.051262600269</v>
      </c>
      <c r="G115" s="77"/>
      <c r="H115" s="223">
        <f>RANK(I115,I3:I392)</f>
        <v>107</v>
      </c>
      <c r="I115" s="77">
        <f>VLOOKUP(A115,'Standard Deviations'!A1:C666,3,FALSE)</f>
        <v>2.43304199853305</v>
      </c>
      <c r="J115" s="84">
        <f>I115-VLOOKUP(B$2,H1:J392,2,FALSE)</f>
        <v>-2.15708943202645</v>
      </c>
    </row>
    <row r="116" ht="21.25" customHeight="1">
      <c r="A116" t="s" s="10">
        <v>379</v>
      </c>
      <c r="B116" t="s" s="222">
        <f>VLOOKUP(A116,'The List'!B1:D665,3,FALSE)</f>
        <v>148</v>
      </c>
      <c r="C116" s="87">
        <f>IF('Settings'!$E$15="POINTS",RANK(E116,E3:E392),H116)</f>
        <v>109</v>
      </c>
      <c r="D116" t="s" s="86">
        <f>VLOOKUP(A116,'The List'!B1:F665,5,FALSE)</f>
        <v>267</v>
      </c>
      <c r="E116" s="77">
        <f>VLOOKUP(A116,'The List'!B1:I665,8,FALSE)</f>
        <v>268.054128376422</v>
      </c>
      <c r="F116" s="77">
        <f>IF('Settings'!$E$15="POINTS",E116-VLOOKUP(B$2,C1:E392,3,FALSE),J116)</f>
        <v>-38.851876053169</v>
      </c>
      <c r="G116" s="77"/>
      <c r="H116" s="223">
        <f>RANK(I116,I3:I392)</f>
        <v>105</v>
      </c>
      <c r="I116" s="77">
        <f>VLOOKUP(A116,'Standard Deviations'!A1:C666,3,FALSE)</f>
        <v>2.48761535392673</v>
      </c>
      <c r="J116" s="84">
        <f>I116-VLOOKUP(B$2,H1:J392,2,FALSE)</f>
        <v>-2.10251607663277</v>
      </c>
    </row>
    <row r="117" ht="21.25" customHeight="1">
      <c r="A117" t="s" s="10">
        <v>438</v>
      </c>
      <c r="B117" t="s" s="222">
        <f>VLOOKUP(A117,'The List'!B1:D665,3,FALSE)</f>
        <v>128</v>
      </c>
      <c r="C117" s="87">
        <f>IF('Settings'!$E$15="POINTS",RANK(E117,E3:E392),H117)</f>
        <v>146</v>
      </c>
      <c r="D117" t="s" s="86">
        <f>VLOOKUP(A117,'The List'!B1:F665,5,FALSE)</f>
        <v>913</v>
      </c>
      <c r="E117" s="77">
        <f>VLOOKUP(A117,'The List'!B1:I665,8,FALSE)</f>
        <v>240.204740191501</v>
      </c>
      <c r="F117" s="77">
        <f>IF('Settings'!$E$15="POINTS",E117-VLOOKUP(B$2,C1:E392,3,FALSE),J117)</f>
        <v>-66.701264238090</v>
      </c>
      <c r="G117" s="77"/>
      <c r="H117" s="223">
        <f>RANK(I117,I3:I392)</f>
        <v>173</v>
      </c>
      <c r="I117" s="77">
        <f>VLOOKUP(A117,'Standard Deviations'!A1:C666,3,FALSE)</f>
        <v>-0.160936404009059</v>
      </c>
      <c r="J117" s="84">
        <f>I117-VLOOKUP(B$2,H1:J392,2,FALSE)</f>
        <v>-4.75106783456856</v>
      </c>
    </row>
    <row r="118" ht="21.25" customHeight="1">
      <c r="A118" t="s" s="10">
        <v>370</v>
      </c>
      <c r="B118" t="s" s="222">
        <f>VLOOKUP(A118,'The List'!B1:D665,3,FALSE)</f>
        <v>128</v>
      </c>
      <c r="C118" s="87">
        <f>IF('Settings'!$E$15="POINTS",RANK(E118,E3:E392),H118)</f>
        <v>110</v>
      </c>
      <c r="D118" t="s" s="86">
        <f>VLOOKUP(A118,'The List'!B1:F665,5,FALSE)</f>
        <v>899</v>
      </c>
      <c r="E118" s="77">
        <f>VLOOKUP(A118,'The List'!B1:I665,8,FALSE)</f>
        <v>267.553627635774</v>
      </c>
      <c r="F118" s="77">
        <f>IF('Settings'!$E$15="POINTS",E118-VLOOKUP(B$2,C1:E392,3,FALSE),J118)</f>
        <v>-39.352376793817</v>
      </c>
      <c r="G118" s="77"/>
      <c r="H118" s="223">
        <f>RANK(I118,I3:I392)</f>
        <v>106</v>
      </c>
      <c r="I118" s="77">
        <f>VLOOKUP(A118,'Standard Deviations'!A1:C666,3,FALSE)</f>
        <v>2.43556258208297</v>
      </c>
      <c r="J118" s="84">
        <f>I118-VLOOKUP(B$2,H1:J392,2,FALSE)</f>
        <v>-2.15456884847653</v>
      </c>
    </row>
    <row r="119" ht="21.25" customHeight="1">
      <c r="A119" t="s" s="10">
        <v>329</v>
      </c>
      <c r="B119" t="s" s="222">
        <f>VLOOKUP(A119,'The List'!B1:D665,3,FALSE)</f>
        <v>136</v>
      </c>
      <c r="C119" s="87">
        <f>IF('Settings'!$E$15="POINTS",RANK(E119,E3:E392),H119)</f>
        <v>86</v>
      </c>
      <c r="D119" t="s" s="86">
        <f>VLOOKUP(A119,'The List'!B1:F665,5,FALSE)</f>
        <v>907</v>
      </c>
      <c r="E119" s="77">
        <f>VLOOKUP(A119,'The List'!B1:I665,8,FALSE)</f>
        <v>288.638952942063</v>
      </c>
      <c r="F119" s="77">
        <f>IF('Settings'!$E$15="POINTS",E119-VLOOKUP(B$2,C1:E392,3,FALSE),J119)</f>
        <v>-18.267051487528</v>
      </c>
      <c r="G119" s="77"/>
      <c r="H119" s="223">
        <f>RANK(I119,I3:I392)</f>
        <v>157</v>
      </c>
      <c r="I119" s="77">
        <f>VLOOKUP(A119,'Standard Deviations'!A1:C666,3,FALSE)</f>
        <v>0.466865306476788</v>
      </c>
      <c r="J119" s="84">
        <f>I119-VLOOKUP(B$2,H1:J392,2,FALSE)</f>
        <v>-4.12326612408271</v>
      </c>
    </row>
    <row r="120" ht="21.25" customHeight="1">
      <c r="A120" t="s" s="10">
        <v>516</v>
      </c>
      <c r="B120" t="s" s="222">
        <f>VLOOKUP(A120,'The List'!B1:D665,3,FALSE)</f>
        <v>178</v>
      </c>
      <c r="C120" s="87">
        <f>IF('Settings'!$E$15="POINTS",RANK(E120,E3:E392),H120)</f>
        <v>176</v>
      </c>
      <c r="D120" t="s" s="86">
        <f>VLOOKUP(A120,'The List'!B1:F665,5,FALSE)</f>
        <v>129</v>
      </c>
      <c r="E120" s="77">
        <f>VLOOKUP(A120,'The List'!B1:I665,8,FALSE)</f>
        <v>222.087802660626</v>
      </c>
      <c r="F120" s="77">
        <f>IF('Settings'!$E$15="POINTS",E120-VLOOKUP(B$2,C1:E392,3,FALSE),J120)</f>
        <v>-84.818201768965</v>
      </c>
      <c r="G120" s="77"/>
      <c r="H120" s="223">
        <f>RANK(I120,I3:I392)</f>
        <v>127</v>
      </c>
      <c r="I120" s="77">
        <f>VLOOKUP(A120,'Standard Deviations'!A1:C666,3,FALSE)</f>
        <v>1.17291088746866</v>
      </c>
      <c r="J120" s="84">
        <f>I120-VLOOKUP(B$2,H1:J392,2,FALSE)</f>
        <v>-3.41722054309084</v>
      </c>
    </row>
    <row r="121" ht="21.25" customHeight="1">
      <c r="A121" t="s" s="10">
        <v>514</v>
      </c>
      <c r="B121" t="s" s="222">
        <f>VLOOKUP(A121,'The List'!B1:D665,3,FALSE)</f>
        <v>148</v>
      </c>
      <c r="C121" s="87">
        <f>IF('Settings'!$E$15="POINTS",RANK(E121,E3:E392),H121)</f>
        <v>175</v>
      </c>
      <c r="D121" t="s" s="86">
        <f>VLOOKUP(A121,'The List'!B1:F665,5,FALSE)</f>
        <v>174</v>
      </c>
      <c r="E121" s="77">
        <f>VLOOKUP(A121,'The List'!B1:I665,8,FALSE)</f>
        <v>222.330790224466</v>
      </c>
      <c r="F121" s="77">
        <f>IF('Settings'!$E$15="POINTS",E121-VLOOKUP(B$2,C1:E392,3,FALSE),J121)</f>
        <v>-84.57521420512499</v>
      </c>
      <c r="G121" s="77"/>
      <c r="H121" s="223">
        <f>RANK(I121,I3:I392)</f>
        <v>115</v>
      </c>
      <c r="I121" s="77">
        <f>VLOOKUP(A121,'Standard Deviations'!A1:C666,3,FALSE)</f>
        <v>2.01861825315289</v>
      </c>
      <c r="J121" s="84">
        <f>I121-VLOOKUP(B$2,H1:J392,2,FALSE)</f>
        <v>-2.57151317740661</v>
      </c>
    </row>
    <row r="122" ht="21.25" customHeight="1">
      <c r="A122" t="s" s="10">
        <v>412</v>
      </c>
      <c r="B122" t="s" s="222">
        <f>VLOOKUP(A122,'The List'!B1:D665,3,FALSE)</f>
        <v>178</v>
      </c>
      <c r="C122" s="87">
        <f>IF('Settings'!$E$15="POINTS",RANK(E122,E3:E392),H122)</f>
        <v>124</v>
      </c>
      <c r="D122" t="s" s="86">
        <f>VLOOKUP(A122,'The List'!B1:F665,5,FALSE)</f>
        <v>871</v>
      </c>
      <c r="E122" s="77">
        <f>VLOOKUP(A122,'The List'!B1:I665,8,FALSE)</f>
        <v>253.008506425512</v>
      </c>
      <c r="F122" s="77">
        <f>IF('Settings'!$E$15="POINTS",E122-VLOOKUP(B$2,C1:E392,3,FALSE),J122)</f>
        <v>-53.897498004079</v>
      </c>
      <c r="G122" s="77"/>
      <c r="H122" s="223">
        <f>RANK(I122,I3:I392)</f>
        <v>96</v>
      </c>
      <c r="I122" s="77">
        <f>VLOOKUP(A122,'Standard Deviations'!A1:C666,3,FALSE)</f>
        <v>2.80128135142334</v>
      </c>
      <c r="J122" s="84">
        <f>I122-VLOOKUP(B$2,H1:J392,2,FALSE)</f>
        <v>-1.78885007913616</v>
      </c>
    </row>
    <row r="123" ht="21.25" customHeight="1">
      <c r="A123" t="s" s="10">
        <v>328</v>
      </c>
      <c r="B123" t="s" s="222">
        <f>VLOOKUP(A123,'The List'!B1:D665,3,FALSE)</f>
        <v>148</v>
      </c>
      <c r="C123" s="87">
        <f>IF('Settings'!$E$15="POINTS",RANK(E123,E3:E392),H123)</f>
        <v>85</v>
      </c>
      <c r="D123" t="s" s="86">
        <f>VLOOKUP(A123,'The List'!B1:F665,5,FALSE)</f>
        <v>907</v>
      </c>
      <c r="E123" s="77">
        <f>VLOOKUP(A123,'The List'!B1:I665,8,FALSE)</f>
        <v>288.768652094550</v>
      </c>
      <c r="F123" s="77">
        <f>IF('Settings'!$E$15="POINTS",E123-VLOOKUP(B$2,C1:E392,3,FALSE),J123)</f>
        <v>-18.137352335041</v>
      </c>
      <c r="G123" s="77"/>
      <c r="H123" s="223">
        <f>RANK(I123,I3:I392)</f>
        <v>140</v>
      </c>
      <c r="I123" s="77">
        <f>VLOOKUP(A123,'Standard Deviations'!A1:C666,3,FALSE)</f>
        <v>0.88808862255828</v>
      </c>
      <c r="J123" s="84">
        <f>I123-VLOOKUP(B$2,H1:J392,2,FALSE)</f>
        <v>-3.70204280800122</v>
      </c>
    </row>
    <row r="124" ht="21.25" customHeight="1">
      <c r="A124" t="s" s="10">
        <v>524</v>
      </c>
      <c r="B124" t="s" s="222">
        <f>VLOOKUP(A124,'The List'!B1:D665,3,FALSE)</f>
        <v>128</v>
      </c>
      <c r="C124" s="87">
        <f>IF('Settings'!$E$15="POINTS",RANK(E124,E3:E392),H124)</f>
        <v>196</v>
      </c>
      <c r="D124" t="s" s="86">
        <f>VLOOKUP(A124,'The List'!B1:F665,5,FALSE)</f>
        <v>912</v>
      </c>
      <c r="E124" s="77">
        <f>VLOOKUP(A124,'The List'!B1:I665,8,FALSE)</f>
        <v>215.356966527661</v>
      </c>
      <c r="F124" s="77">
        <f>IF('Settings'!$E$15="POINTS",E124-VLOOKUP(B$2,C1:E392,3,FALSE),J124)</f>
        <v>-91.54903790193001</v>
      </c>
      <c r="G124" s="77"/>
      <c r="H124" s="223">
        <f>RANK(I124,I3:I392)</f>
        <v>155</v>
      </c>
      <c r="I124" s="77">
        <f>VLOOKUP(A124,'Standard Deviations'!A1:C666,3,FALSE)</f>
        <v>0.493078905853743</v>
      </c>
      <c r="J124" s="84">
        <f>I124-VLOOKUP(B$2,H1:J392,2,FALSE)</f>
        <v>-4.09705252470576</v>
      </c>
    </row>
    <row r="125" ht="21.25" customHeight="1">
      <c r="A125" t="s" s="10">
        <v>312</v>
      </c>
      <c r="B125" t="s" s="222">
        <f>VLOOKUP(A125,'The List'!B1:D665,3,FALSE)</f>
        <v>128</v>
      </c>
      <c r="C125" s="87">
        <f>IF('Settings'!$E$15="POINTS",RANK(E125,E3:E392),H125)</f>
        <v>83</v>
      </c>
      <c r="D125" t="s" s="86">
        <f>VLOOKUP(A125,'The List'!B1:F665,5,FALSE)</f>
        <v>149</v>
      </c>
      <c r="E125" s="77">
        <f>VLOOKUP(A125,'The List'!B1:I665,8,FALSE)</f>
        <v>292.131533986641</v>
      </c>
      <c r="F125" s="77">
        <f>IF('Settings'!$E$15="POINTS",E125-VLOOKUP(B$2,C1:E392,3,FALSE),J125)</f>
        <v>-14.774470442950</v>
      </c>
      <c r="G125" s="77"/>
      <c r="H125" s="223">
        <f>RANK(I125,I3:I392)</f>
        <v>93</v>
      </c>
      <c r="I125" s="77">
        <f>VLOOKUP(A125,'Standard Deviations'!A1:C666,3,FALSE)</f>
        <v>2.99471504753579</v>
      </c>
      <c r="J125" s="84">
        <f>I125-VLOOKUP(B$2,H1:J392,2,FALSE)</f>
        <v>-1.59541638302371</v>
      </c>
    </row>
    <row r="126" ht="21.25" customHeight="1">
      <c r="A126" t="s" s="10">
        <v>419</v>
      </c>
      <c r="B126" t="s" s="222">
        <f>VLOOKUP(A126,'The List'!B1:D665,3,FALSE)</f>
        <v>145</v>
      </c>
      <c r="C126" s="87">
        <f>IF('Settings'!$E$15="POINTS",RANK(E126,E3:E392),H126)</f>
        <v>126</v>
      </c>
      <c r="D126" t="s" s="86">
        <f>VLOOKUP(A126,'The List'!B1:F665,5,FALSE)</f>
        <v>902</v>
      </c>
      <c r="E126" s="77">
        <f>VLOOKUP(A126,'The List'!B1:I665,8,FALSE)</f>
        <v>250.212489478524</v>
      </c>
      <c r="F126" s="77">
        <f>IF('Settings'!$E$15="POINTS",E126-VLOOKUP(B$2,C1:E392,3,FALSE),J126)</f>
        <v>-56.693514951067</v>
      </c>
      <c r="G126" s="77"/>
      <c r="H126" s="223">
        <f>RANK(I126,I3:I392)</f>
        <v>113</v>
      </c>
      <c r="I126" s="77">
        <f>VLOOKUP(A126,'Standard Deviations'!A1:C666,3,FALSE)</f>
        <v>2.14603922350914</v>
      </c>
      <c r="J126" s="84">
        <f>I126-VLOOKUP(B$2,H1:J392,2,FALSE)</f>
        <v>-2.44409220705036</v>
      </c>
    </row>
    <row r="127" ht="21.25" customHeight="1">
      <c r="A127" t="s" s="10">
        <v>453</v>
      </c>
      <c r="B127" t="s" s="222">
        <f>VLOOKUP(A127,'The List'!B1:D665,3,FALSE)</f>
        <v>128</v>
      </c>
      <c r="C127" s="87">
        <f>IF('Settings'!$E$15="POINTS",RANK(E127,E3:E392),H127)</f>
        <v>158</v>
      </c>
      <c r="D127" t="s" s="86">
        <f>VLOOKUP(A127,'The List'!B1:F665,5,FALSE)</f>
        <v>900</v>
      </c>
      <c r="E127" s="77">
        <f>VLOOKUP(A127,'The List'!B1:I665,8,FALSE)</f>
        <v>234.659227557442</v>
      </c>
      <c r="F127" s="77">
        <f>IF('Settings'!$E$15="POINTS",E127-VLOOKUP(B$2,C1:E392,3,FALSE),J127)</f>
        <v>-72.246776872149</v>
      </c>
      <c r="G127" s="77"/>
      <c r="H127" s="223">
        <f>RANK(I127,I3:I392)</f>
        <v>118</v>
      </c>
      <c r="I127" s="77">
        <f>VLOOKUP(A127,'Standard Deviations'!A1:C666,3,FALSE)</f>
        <v>1.59097056414447</v>
      </c>
      <c r="J127" s="84">
        <f>I127-VLOOKUP(B$2,H1:J392,2,FALSE)</f>
        <v>-2.99916086641503</v>
      </c>
    </row>
    <row r="128" ht="21.25" customHeight="1">
      <c r="A128" t="s" s="10">
        <v>500</v>
      </c>
      <c r="B128" t="s" s="222">
        <f>VLOOKUP(A128,'The List'!B1:D665,3,FALSE)</f>
        <v>140</v>
      </c>
      <c r="C128" s="87">
        <f>IF('Settings'!$E$15="POINTS",RANK(E128,E3:E392),H128)</f>
        <v>168</v>
      </c>
      <c r="D128" t="s" s="86">
        <f>VLOOKUP(A128,'The List'!B1:F665,5,FALSE)</f>
        <v>901</v>
      </c>
      <c r="E128" s="77">
        <f>VLOOKUP(A128,'The List'!B1:I665,8,FALSE)</f>
        <v>225.790548620039</v>
      </c>
      <c r="F128" s="77">
        <f>IF('Settings'!$E$15="POINTS",E128-VLOOKUP(B$2,C1:E392,3,FALSE),J128)</f>
        <v>-81.115455809552</v>
      </c>
      <c r="G128" s="77"/>
      <c r="H128" s="223">
        <f>RANK(I128,I3:I392)</f>
        <v>97</v>
      </c>
      <c r="I128" s="77">
        <f>VLOOKUP(A128,'Standard Deviations'!A1:C666,3,FALSE)</f>
        <v>2.79975463645535</v>
      </c>
      <c r="J128" s="84">
        <f>I128-VLOOKUP(B$2,H1:J392,2,FALSE)</f>
        <v>-1.79037679410415</v>
      </c>
    </row>
    <row r="129" ht="21.25" customHeight="1">
      <c r="A129" t="s" s="10">
        <v>385</v>
      </c>
      <c r="B129" t="s" s="222">
        <f>VLOOKUP(A129,'The List'!B1:D665,3,FALSE)</f>
        <v>128</v>
      </c>
      <c r="C129" s="87">
        <f>IF('Settings'!$E$15="POINTS",RANK(E129,E3:E392),H129)</f>
        <v>115</v>
      </c>
      <c r="D129" t="s" s="86">
        <f>VLOOKUP(A129,'The List'!B1:F665,5,FALSE)</f>
        <v>267</v>
      </c>
      <c r="E129" s="77">
        <f>VLOOKUP(A129,'The List'!B1:I665,8,FALSE)</f>
        <v>261.081678023883</v>
      </c>
      <c r="F129" s="77">
        <f>IF('Settings'!$E$15="POINTS",E129-VLOOKUP(B$2,C1:E392,3,FALSE),J129)</f>
        <v>-45.824326405708</v>
      </c>
      <c r="G129" s="77"/>
      <c r="H129" s="223">
        <f>RANK(I129,I3:I392)</f>
        <v>114</v>
      </c>
      <c r="I129" s="77">
        <f>VLOOKUP(A129,'Standard Deviations'!A1:C666,3,FALSE)</f>
        <v>2.0268863081538</v>
      </c>
      <c r="J129" s="84">
        <f>I129-VLOOKUP(B$2,H1:J392,2,FALSE)</f>
        <v>-2.5632451224057</v>
      </c>
    </row>
    <row r="130" ht="21.25" customHeight="1">
      <c r="A130" t="s" s="10">
        <v>409</v>
      </c>
      <c r="B130" t="s" s="222">
        <f>VLOOKUP(A130,'The List'!B1:D665,3,FALSE)</f>
        <v>128</v>
      </c>
      <c r="C130" s="87">
        <f>IF('Settings'!$E$15="POINTS",RANK(E130,E3:E392),H130)</f>
        <v>125</v>
      </c>
      <c r="D130" t="s" s="86">
        <f>VLOOKUP(A130,'The List'!B1:F665,5,FALSE)</f>
        <v>913</v>
      </c>
      <c r="E130" s="77">
        <f>VLOOKUP(A130,'The List'!B1:I665,8,FALSE)</f>
        <v>250.682372147590</v>
      </c>
      <c r="F130" s="77">
        <f>IF('Settings'!$E$15="POINTS",E130-VLOOKUP(B$2,C1:E392,3,FALSE),J130)</f>
        <v>-56.223632282001</v>
      </c>
      <c r="G130" s="77"/>
      <c r="H130" s="223">
        <f>RANK(I130,I3:I392)</f>
        <v>168</v>
      </c>
      <c r="I130" s="77">
        <f>VLOOKUP(A130,'Standard Deviations'!A1:C666,3,FALSE)</f>
        <v>-0.045481037456045</v>
      </c>
      <c r="J130" s="84">
        <f>I130-VLOOKUP(B$2,H1:J392,2,FALSE)</f>
        <v>-4.63561246801555</v>
      </c>
    </row>
    <row r="131" ht="21.25" customHeight="1">
      <c r="A131" t="s" s="10">
        <v>436</v>
      </c>
      <c r="B131" t="s" s="222">
        <f>VLOOKUP(A131,'The List'!B1:D665,3,FALSE)</f>
        <v>128</v>
      </c>
      <c r="C131" s="87">
        <f>IF('Settings'!$E$15="POINTS",RANK(E131,E3:E392),H131)</f>
        <v>145</v>
      </c>
      <c r="D131" t="s" s="86">
        <f>VLOOKUP(A131,'The List'!B1:F665,5,FALSE)</f>
        <v>904</v>
      </c>
      <c r="E131" s="77">
        <f>VLOOKUP(A131,'The List'!B1:I665,8,FALSE)</f>
        <v>240.406429093613</v>
      </c>
      <c r="F131" s="77">
        <f>IF('Settings'!$E$15="POINTS",E131-VLOOKUP(B$2,C1:E392,3,FALSE),J131)</f>
        <v>-66.49957533597799</v>
      </c>
      <c r="G131" s="77"/>
      <c r="H131" s="223">
        <f>RANK(I131,I3:I392)</f>
        <v>128</v>
      </c>
      <c r="I131" s="77">
        <f>VLOOKUP(A131,'Standard Deviations'!A1:C666,3,FALSE)</f>
        <v>1.16739092721847</v>
      </c>
      <c r="J131" s="84">
        <f>I131-VLOOKUP(B$2,H1:J392,2,FALSE)</f>
        <v>-3.42274050334103</v>
      </c>
    </row>
    <row r="132" ht="21.25" customHeight="1">
      <c r="A132" t="s" s="10">
        <v>556</v>
      </c>
      <c r="B132" t="s" s="222">
        <f>VLOOKUP(A132,'The List'!B1:D665,3,FALSE)</f>
        <v>178</v>
      </c>
      <c r="C132" s="87">
        <f>IF('Settings'!$E$15="POINTS",RANK(E132,E3:E392),H132)</f>
        <v>202</v>
      </c>
      <c r="D132" t="s" s="86">
        <f>VLOOKUP(A132,'The List'!B1:F665,5,FALSE)</f>
        <v>908</v>
      </c>
      <c r="E132" s="77">
        <f>VLOOKUP(A132,'The List'!B1:I665,8,FALSE)</f>
        <v>211.936816323838</v>
      </c>
      <c r="F132" s="77">
        <f>IF('Settings'!$E$15="POINTS",E132-VLOOKUP(B$2,C1:E392,3,FALSE),J132)</f>
        <v>-94.96918810575301</v>
      </c>
      <c r="G132" s="77"/>
      <c r="H132" s="223">
        <f>RANK(I132,I3:I392)</f>
        <v>124</v>
      </c>
      <c r="I132" s="77">
        <f>VLOOKUP(A132,'Standard Deviations'!A1:C666,3,FALSE)</f>
        <v>1.24881946298249</v>
      </c>
      <c r="J132" s="84">
        <f>I132-VLOOKUP(B$2,H1:J392,2,FALSE)</f>
        <v>-3.34131196757701</v>
      </c>
    </row>
    <row r="133" ht="21.25" customHeight="1">
      <c r="A133" t="s" s="10">
        <v>445</v>
      </c>
      <c r="B133" t="s" s="222">
        <f>VLOOKUP(A133,'The List'!B1:D665,3,FALSE)</f>
        <v>140</v>
      </c>
      <c r="C133" s="87">
        <f>IF('Settings'!$E$15="POINTS",RANK(E133,E3:E392),H133)</f>
        <v>140</v>
      </c>
      <c r="D133" t="s" s="86">
        <f>VLOOKUP(A133,'The List'!B1:F665,5,FALSE)</f>
        <v>207</v>
      </c>
      <c r="E133" s="77">
        <f>VLOOKUP(A133,'The List'!B1:I665,8,FALSE)</f>
        <v>242.787611286096</v>
      </c>
      <c r="F133" s="77">
        <f>IF('Settings'!$E$15="POINTS",E133-VLOOKUP(B$2,C1:E392,3,FALSE),J133)</f>
        <v>-64.118393143495</v>
      </c>
      <c r="G133" s="77"/>
      <c r="H133" s="223">
        <f>RANK(I133,I3:I392)</f>
        <v>111</v>
      </c>
      <c r="I133" s="77">
        <f>VLOOKUP(A133,'Standard Deviations'!A1:C666,3,FALSE)</f>
        <v>2.18577389857836</v>
      </c>
      <c r="J133" s="84">
        <f>I133-VLOOKUP(B$2,H1:J392,2,FALSE)</f>
        <v>-2.40435753198114</v>
      </c>
    </row>
    <row r="134" ht="21.25" customHeight="1">
      <c r="A134" t="s" s="10">
        <v>520</v>
      </c>
      <c r="B134" t="s" s="222">
        <f>VLOOKUP(A134,'The List'!B1:D665,3,FALSE)</f>
        <v>145</v>
      </c>
      <c r="C134" s="87">
        <f>IF('Settings'!$E$15="POINTS",RANK(E134,E3:E392),H134)</f>
        <v>179</v>
      </c>
      <c r="D134" t="s" s="86">
        <f>VLOOKUP(A134,'The List'!B1:F665,5,FALSE)</f>
        <v>906</v>
      </c>
      <c r="E134" s="77">
        <f>VLOOKUP(A134,'The List'!B1:I665,8,FALSE)</f>
        <v>221.649652624321</v>
      </c>
      <c r="F134" s="77">
        <f>IF('Settings'!$E$15="POINTS",E134-VLOOKUP(B$2,C1:E392,3,FALSE),J134)</f>
        <v>-85.256351805270</v>
      </c>
      <c r="G134" s="77"/>
      <c r="H134" s="223">
        <f>RANK(I134,I3:I392)</f>
        <v>112</v>
      </c>
      <c r="I134" s="77">
        <f>VLOOKUP(A134,'Standard Deviations'!A1:C666,3,FALSE)</f>
        <v>2.16676629876964</v>
      </c>
      <c r="J134" s="84">
        <f>I134-VLOOKUP(B$2,H1:J392,2,FALSE)</f>
        <v>-2.42336513178986</v>
      </c>
    </row>
    <row r="135" ht="21.25" customHeight="1">
      <c r="A135" t="s" s="10">
        <v>430</v>
      </c>
      <c r="B135" t="s" s="222">
        <f>VLOOKUP(A135,'The List'!B1:D665,3,FALSE)</f>
        <v>140</v>
      </c>
      <c r="C135" s="87">
        <f>IF('Settings'!$E$15="POINTS",RANK(E135,E3:E392),H135)</f>
        <v>130</v>
      </c>
      <c r="D135" t="s" s="86">
        <f>VLOOKUP(A135,'The List'!B1:F665,5,FALSE)</f>
        <v>910</v>
      </c>
      <c r="E135" s="77">
        <f>VLOOKUP(A135,'The List'!B1:I665,8,FALSE)</f>
        <v>246.883001644896</v>
      </c>
      <c r="F135" s="77">
        <f>IF('Settings'!$E$15="POINTS",E135-VLOOKUP(B$2,C1:E392,3,FALSE),J135)</f>
        <v>-60.023002784695</v>
      </c>
      <c r="G135" s="77"/>
      <c r="H135" s="223">
        <f>RANK(I135,I3:I392)</f>
        <v>149</v>
      </c>
      <c r="I135" s="77">
        <f>VLOOKUP(A135,'Standard Deviations'!A1:C666,3,FALSE)</f>
        <v>0.656076262196864</v>
      </c>
      <c r="J135" s="84">
        <f>I135-VLOOKUP(B$2,H1:J392,2,FALSE)</f>
        <v>-3.93405516836264</v>
      </c>
    </row>
    <row r="136" ht="21.25" customHeight="1">
      <c r="A136" t="s" s="10">
        <v>256</v>
      </c>
      <c r="B136" t="s" s="222">
        <f>VLOOKUP(A136,'The List'!B1:D665,3,FALSE)</f>
        <v>140</v>
      </c>
      <c r="C136" s="87">
        <f>IF('Settings'!$E$15="POINTS",RANK(E136,E3:E392),H136)</f>
        <v>53</v>
      </c>
      <c r="D136" t="s" s="86">
        <f>VLOOKUP(A136,'The List'!B1:F665,5,FALSE)</f>
        <v>192</v>
      </c>
      <c r="E136" s="77">
        <f>VLOOKUP(A136,'The List'!B1:I665,8,FALSE)</f>
        <v>325.348904988892</v>
      </c>
      <c r="F136" s="77">
        <f>IF('Settings'!$E$15="POINTS",E136-VLOOKUP(B$2,C1:E392,3,FALSE),J136)</f>
        <v>18.442900559301</v>
      </c>
      <c r="G136" s="77"/>
      <c r="H136" s="223">
        <f>RANK(I136,I3:I392)</f>
        <v>147</v>
      </c>
      <c r="I136" s="77">
        <f>VLOOKUP(A136,'Standard Deviations'!A1:C666,3,FALSE)</f>
        <v>0.75904554732348</v>
      </c>
      <c r="J136" s="84">
        <f>I136-VLOOKUP(B$2,H1:J392,2,FALSE)</f>
        <v>-3.83108588323602</v>
      </c>
    </row>
    <row r="137" ht="21.25" customHeight="1">
      <c r="A137" t="s" s="10">
        <v>366</v>
      </c>
      <c r="B137" t="s" s="222">
        <f>VLOOKUP(A137,'The List'!B1:D665,3,FALSE)</f>
        <v>145</v>
      </c>
      <c r="C137" s="87">
        <f>IF('Settings'!$E$15="POINTS",RANK(E137,E3:E392),H137)</f>
        <v>97</v>
      </c>
      <c r="D137" t="s" s="86">
        <f>VLOOKUP(A137,'The List'!B1:F665,5,FALSE)</f>
        <v>174</v>
      </c>
      <c r="E137" s="77">
        <f>VLOOKUP(A137,'The List'!B1:I665,8,FALSE)</f>
        <v>274.959767936726</v>
      </c>
      <c r="F137" s="77">
        <f>IF('Settings'!$E$15="POINTS",E137-VLOOKUP(B$2,C1:E392,3,FALSE),J137)</f>
        <v>-31.946236492865</v>
      </c>
      <c r="G137" s="77"/>
      <c r="H137" s="223">
        <f>RANK(I137,I3:I392)</f>
        <v>163</v>
      </c>
      <c r="I137" s="77">
        <f>VLOOKUP(A137,'Standard Deviations'!A1:C666,3,FALSE)</f>
        <v>0.275818135312742</v>
      </c>
      <c r="J137" s="84">
        <f>I137-VLOOKUP(B$2,H1:J392,2,FALSE)</f>
        <v>-4.31431329524676</v>
      </c>
    </row>
    <row r="138" ht="21.25" customHeight="1">
      <c r="A138" t="s" s="10">
        <v>495</v>
      </c>
      <c r="B138" t="s" s="222">
        <f>VLOOKUP(A138,'The List'!B1:D665,3,FALSE)</f>
        <v>140</v>
      </c>
      <c r="C138" s="87">
        <f>IF('Settings'!$E$15="POINTS",RANK(E138,E3:E392),H138)</f>
        <v>167</v>
      </c>
      <c r="D138" t="s" s="86">
        <f>VLOOKUP(A138,'The List'!B1:F665,5,FALSE)</f>
        <v>911</v>
      </c>
      <c r="E138" s="77">
        <f>VLOOKUP(A138,'The List'!B1:I665,8,FALSE)</f>
        <v>227.518859074250</v>
      </c>
      <c r="F138" s="77">
        <f>IF('Settings'!$E$15="POINTS",E138-VLOOKUP(B$2,C1:E392,3,FALSE),J138)</f>
        <v>-79.387145355341</v>
      </c>
      <c r="G138" s="77"/>
      <c r="H138" s="223">
        <f>RANK(I138,I3:I392)</f>
        <v>141</v>
      </c>
      <c r="I138" s="77">
        <f>VLOOKUP(A138,'Standard Deviations'!A1:C666,3,FALSE)</f>
        <v>0.88644650570712</v>
      </c>
      <c r="J138" s="84">
        <f>I138-VLOOKUP(B$2,H1:J392,2,FALSE)</f>
        <v>-3.70368492485238</v>
      </c>
    </row>
    <row r="139" ht="21.25" customHeight="1">
      <c r="A139" t="s" s="10">
        <v>558</v>
      </c>
      <c r="B139" t="s" s="222">
        <f>VLOOKUP(A139,'The List'!B1:D665,3,FALSE)</f>
        <v>140</v>
      </c>
      <c r="C139" s="87">
        <f>IF('Settings'!$E$15="POINTS",RANK(E139,E3:E392),H139)</f>
        <v>203</v>
      </c>
      <c r="D139" t="s" s="86">
        <f>VLOOKUP(A139,'The List'!B1:F665,5,FALSE)</f>
        <v>911</v>
      </c>
      <c r="E139" s="77">
        <f>VLOOKUP(A139,'The List'!B1:I665,8,FALSE)</f>
        <v>211.579962735747</v>
      </c>
      <c r="F139" s="77">
        <f>IF('Settings'!$E$15="POINTS",E139-VLOOKUP(B$2,C1:E392,3,FALSE),J139)</f>
        <v>-95.326041693844</v>
      </c>
      <c r="G139" s="77"/>
      <c r="H139" s="223">
        <f>RANK(I139,I3:I392)</f>
        <v>132</v>
      </c>
      <c r="I139" s="77">
        <f>VLOOKUP(A139,'Standard Deviations'!A1:C666,3,FALSE)</f>
        <v>1.114946098586</v>
      </c>
      <c r="J139" s="84">
        <f>I139-VLOOKUP(B$2,H1:J392,2,FALSE)</f>
        <v>-3.4751853319735</v>
      </c>
    </row>
    <row r="140" ht="21.25" customHeight="1">
      <c r="A140" t="s" s="10">
        <v>347</v>
      </c>
      <c r="B140" t="s" s="222">
        <f>VLOOKUP(A140,'The List'!B1:D665,3,FALSE)</f>
        <v>128</v>
      </c>
      <c r="C140" s="87">
        <f>IF('Settings'!$E$15="POINTS",RANK(E140,E3:E392),H140)</f>
        <v>98</v>
      </c>
      <c r="D140" t="s" s="86">
        <f>VLOOKUP(A140,'The List'!B1:F665,5,FALSE)</f>
        <v>899</v>
      </c>
      <c r="E140" s="77">
        <f>VLOOKUP(A140,'The List'!B1:I665,8,FALSE)</f>
        <v>274.393075041023</v>
      </c>
      <c r="F140" s="77">
        <f>IF('Settings'!$E$15="POINTS",E140-VLOOKUP(B$2,C1:E392,3,FALSE),J140)</f>
        <v>-32.512929388568</v>
      </c>
      <c r="G140" s="77"/>
      <c r="H140" s="223">
        <f>RANK(I140,I3:I392)</f>
        <v>133</v>
      </c>
      <c r="I140" s="77">
        <f>VLOOKUP(A140,'Standard Deviations'!A1:C666,3,FALSE)</f>
        <v>1.09103971357203</v>
      </c>
      <c r="J140" s="84">
        <f>I140-VLOOKUP(B$2,H1:J392,2,FALSE)</f>
        <v>-3.49909171698747</v>
      </c>
    </row>
    <row r="141" ht="21.25" customHeight="1">
      <c r="A141" t="s" s="10">
        <v>420</v>
      </c>
      <c r="B141" t="s" s="222">
        <f>VLOOKUP(A141,'The List'!B1:D665,3,FALSE)</f>
        <v>128</v>
      </c>
      <c r="C141" s="87">
        <f>IF('Settings'!$E$15="POINTS",RANK(E141,E3:E392),H141)</f>
        <v>136</v>
      </c>
      <c r="D141" t="s" s="86">
        <f>VLOOKUP(A141,'The List'!B1:F665,5,FALSE)</f>
        <v>866</v>
      </c>
      <c r="E141" s="77">
        <f>VLOOKUP(A141,'The List'!B1:I665,8,FALSE)</f>
        <v>244.432766152621</v>
      </c>
      <c r="F141" s="77">
        <f>IF('Settings'!$E$15="POINTS",E141-VLOOKUP(B$2,C1:E392,3,FALSE),J141)</f>
        <v>-62.473238276970</v>
      </c>
      <c r="G141" s="77"/>
      <c r="H141" s="223">
        <f>RANK(I141,I3:I392)</f>
        <v>122</v>
      </c>
      <c r="I141" s="77">
        <f>VLOOKUP(A141,'Standard Deviations'!A1:C666,3,FALSE)</f>
        <v>1.28234085166417</v>
      </c>
      <c r="J141" s="84">
        <f>I141-VLOOKUP(B$2,H1:J392,2,FALSE)</f>
        <v>-3.30779057889533</v>
      </c>
    </row>
    <row r="142" ht="21.25" customHeight="1">
      <c r="A142" t="s" s="10">
        <v>322</v>
      </c>
      <c r="B142" t="s" s="222">
        <f>VLOOKUP(A142,'The List'!B1:D665,3,FALSE)</f>
        <v>178</v>
      </c>
      <c r="C142" s="87">
        <f>IF('Settings'!$E$15="POINTS",RANK(E142,E3:E392),H142)</f>
        <v>82</v>
      </c>
      <c r="D142" t="s" s="86">
        <f>VLOOKUP(A142,'The List'!B1:F665,5,FALSE)</f>
        <v>132</v>
      </c>
      <c r="E142" s="77">
        <f>VLOOKUP(A142,'The List'!B1:I665,8,FALSE)</f>
        <v>293.672492023727</v>
      </c>
      <c r="F142" s="77">
        <f>IF('Settings'!$E$15="POINTS",E142-VLOOKUP(B$2,C1:E392,3,FALSE),J142)</f>
        <v>-13.233512405864</v>
      </c>
      <c r="G142" s="77"/>
      <c r="H142" s="223">
        <f>RANK(I142,I3:I392)</f>
        <v>116</v>
      </c>
      <c r="I142" s="77">
        <f>VLOOKUP(A142,'Standard Deviations'!A1:C666,3,FALSE)</f>
        <v>1.97862798627425</v>
      </c>
      <c r="J142" s="84">
        <f>I142-VLOOKUP(B$2,H1:J392,2,FALSE)</f>
        <v>-2.61150344428525</v>
      </c>
    </row>
    <row r="143" ht="21.25" customHeight="1">
      <c r="A143" t="s" s="10">
        <v>455</v>
      </c>
      <c r="B143" t="s" s="222">
        <f>VLOOKUP(A143,'The List'!B1:D665,3,FALSE)</f>
        <v>148</v>
      </c>
      <c r="C143" s="87">
        <f>IF('Settings'!$E$15="POINTS",RANK(E143,E3:E392),H143)</f>
        <v>148</v>
      </c>
      <c r="D143" t="s" s="86">
        <f>VLOOKUP(A143,'The List'!B1:F665,5,FALSE)</f>
        <v>156</v>
      </c>
      <c r="E143" s="77">
        <f>VLOOKUP(A143,'The List'!B1:I665,8,FALSE)</f>
        <v>238.017073986969</v>
      </c>
      <c r="F143" s="77">
        <f>IF('Settings'!$E$15="POINTS",E143-VLOOKUP(B$2,C1:E392,3,FALSE),J143)</f>
        <v>-68.888930442622</v>
      </c>
      <c r="G143" s="77"/>
      <c r="H143" s="223">
        <f>RANK(I143,I3:I392)</f>
        <v>142</v>
      </c>
      <c r="I143" s="77">
        <f>VLOOKUP(A143,'Standard Deviations'!A1:C666,3,FALSE)</f>
        <v>0.825261117851697</v>
      </c>
      <c r="J143" s="84">
        <f>I143-VLOOKUP(B$2,H1:J392,2,FALSE)</f>
        <v>-3.7648703127078</v>
      </c>
    </row>
    <row r="144" ht="21.25" customHeight="1">
      <c r="A144" t="s" s="10">
        <v>510</v>
      </c>
      <c r="B144" t="s" s="222">
        <f>VLOOKUP(A144,'The List'!B1:D665,3,FALSE)</f>
        <v>128</v>
      </c>
      <c r="C144" s="87">
        <f>IF('Settings'!$E$15="POINTS",RANK(E144,E3:E392),H144)</f>
        <v>190</v>
      </c>
      <c r="D144" t="s" s="86">
        <f>VLOOKUP(A144,'The List'!B1:F665,5,FALSE)</f>
        <v>914</v>
      </c>
      <c r="E144" s="77">
        <f>VLOOKUP(A144,'The List'!B1:I665,8,FALSE)</f>
        <v>217.492254695932</v>
      </c>
      <c r="F144" s="77">
        <f>IF('Settings'!$E$15="POINTS",E144-VLOOKUP(B$2,C1:E392,3,FALSE),J144)</f>
        <v>-89.413749733659</v>
      </c>
      <c r="G144" s="77"/>
      <c r="H144" s="223">
        <f>RANK(I144,I3:I392)</f>
        <v>137</v>
      </c>
      <c r="I144" s="77">
        <f>VLOOKUP(A144,'Standard Deviations'!A1:C666,3,FALSE)</f>
        <v>0.928334880530311</v>
      </c>
      <c r="J144" s="84">
        <f>I144-VLOOKUP(B$2,H1:J392,2,FALSE)</f>
        <v>-3.66179655002919</v>
      </c>
    </row>
    <row r="145" ht="21.25" customHeight="1">
      <c r="A145" t="s" s="10">
        <v>566</v>
      </c>
      <c r="B145" t="s" s="222">
        <f>VLOOKUP(A145,'The List'!B1:D665,3,FALSE)</f>
        <v>128</v>
      </c>
      <c r="C145" s="87">
        <f>IF('Settings'!$E$15="POINTS",RANK(E145,E3:E392),H145)</f>
        <v>218</v>
      </c>
      <c r="D145" t="s" s="86">
        <f>VLOOKUP(A145,'The List'!B1:F665,5,FALSE)</f>
        <v>871</v>
      </c>
      <c r="E145" s="77">
        <f>VLOOKUP(A145,'The List'!B1:I665,8,FALSE)</f>
        <v>204.965538609219</v>
      </c>
      <c r="F145" s="77">
        <f>IF('Settings'!$E$15="POINTS",E145-VLOOKUP(B$2,C1:E392,3,FALSE),J145)</f>
        <v>-101.940465820372</v>
      </c>
      <c r="G145" s="77"/>
      <c r="H145" s="223">
        <f>RANK(I145,I3:I392)</f>
        <v>162</v>
      </c>
      <c r="I145" s="77">
        <f>VLOOKUP(A145,'Standard Deviations'!A1:C666,3,FALSE)</f>
        <v>0.322422876277595</v>
      </c>
      <c r="J145" s="84">
        <f>I145-VLOOKUP(B$2,H1:J392,2,FALSE)</f>
        <v>-4.26770855428191</v>
      </c>
    </row>
    <row r="146" ht="21.25" customHeight="1">
      <c r="A146" t="s" s="10">
        <v>564</v>
      </c>
      <c r="B146" t="s" s="222">
        <f>VLOOKUP(A146,'The List'!B1:D665,3,FALSE)</f>
        <v>178</v>
      </c>
      <c r="C146" s="87">
        <f>IF('Settings'!$E$15="POINTS",RANK(E146,E3:E392),H146)</f>
        <v>205</v>
      </c>
      <c r="D146" t="s" s="86">
        <f>VLOOKUP(A146,'The List'!B1:F665,5,FALSE)</f>
        <v>871</v>
      </c>
      <c r="E146" s="77">
        <f>VLOOKUP(A146,'The List'!B1:I665,8,FALSE)</f>
        <v>210.498990517587</v>
      </c>
      <c r="F146" s="77">
        <f>IF('Settings'!$E$15="POINTS",E146-VLOOKUP(B$2,C1:E392,3,FALSE),J146)</f>
        <v>-96.407013912004</v>
      </c>
      <c r="G146" s="77"/>
      <c r="H146" s="223">
        <f>RANK(I146,I3:I392)</f>
        <v>134</v>
      </c>
      <c r="I146" s="77">
        <f>VLOOKUP(A146,'Standard Deviations'!A1:C666,3,FALSE)</f>
        <v>1.05813692743145</v>
      </c>
      <c r="J146" s="84">
        <f>I146-VLOOKUP(B$2,H1:J392,2,FALSE)</f>
        <v>-3.53199450312805</v>
      </c>
    </row>
    <row r="147" ht="21.25" customHeight="1">
      <c r="A147" t="s" s="10">
        <v>568</v>
      </c>
      <c r="B147" t="s" s="222">
        <f>VLOOKUP(A147,'The List'!B1:D665,3,FALSE)</f>
        <v>178</v>
      </c>
      <c r="C147" s="87">
        <f>IF('Settings'!$E$15="POINTS",RANK(E147,E3:E392),H147)</f>
        <v>208</v>
      </c>
      <c r="D147" t="s" s="86">
        <f>VLOOKUP(A147,'The List'!B1:F665,5,FALSE)</f>
        <v>129</v>
      </c>
      <c r="E147" s="77">
        <f>VLOOKUP(A147,'The List'!B1:I665,8,FALSE)</f>
        <v>208.206445906116</v>
      </c>
      <c r="F147" s="77">
        <f>IF('Settings'!$E$15="POINTS",E147-VLOOKUP(B$2,C1:E392,3,FALSE),J147)</f>
        <v>-98.69955852347501</v>
      </c>
      <c r="G147" s="77"/>
      <c r="H147" s="223">
        <f>RANK(I147,I3:I392)</f>
        <v>129</v>
      </c>
      <c r="I147" s="77">
        <f>VLOOKUP(A147,'Standard Deviations'!A1:C666,3,FALSE)</f>
        <v>1.16708748369192</v>
      </c>
      <c r="J147" s="84">
        <f>I147-VLOOKUP(B$2,H1:J392,2,FALSE)</f>
        <v>-3.42304394686758</v>
      </c>
    </row>
    <row r="148" ht="21.25" customHeight="1">
      <c r="A148" t="s" s="10">
        <v>469</v>
      </c>
      <c r="B148" t="s" s="222">
        <f>VLOOKUP(A148,'The List'!B1:D665,3,FALSE)</f>
        <v>128</v>
      </c>
      <c r="C148" s="87">
        <f>IF('Settings'!$E$15="POINTS",RANK(E148,E3:E392),H148)</f>
        <v>164</v>
      </c>
      <c r="D148" t="s" s="86">
        <f>VLOOKUP(A148,'The List'!B1:F665,5,FALSE)</f>
        <v>910</v>
      </c>
      <c r="E148" s="77">
        <f>VLOOKUP(A148,'The List'!B1:I665,8,FALSE)</f>
        <v>229.943633645577</v>
      </c>
      <c r="F148" s="77">
        <f>IF('Settings'!$E$15="POINTS",E148-VLOOKUP(B$2,C1:E392,3,FALSE),J148)</f>
        <v>-76.962370784014</v>
      </c>
      <c r="G148" s="77"/>
      <c r="H148" s="223">
        <f>RANK(I148,I3:I392)</f>
        <v>159</v>
      </c>
      <c r="I148" s="77">
        <f>VLOOKUP(A148,'Standard Deviations'!A1:C666,3,FALSE)</f>
        <v>0.355053987825407</v>
      </c>
      <c r="J148" s="84">
        <f>I148-VLOOKUP(B$2,H1:J392,2,FALSE)</f>
        <v>-4.23507744273409</v>
      </c>
    </row>
    <row r="149" ht="21.25" customHeight="1">
      <c r="A149" t="s" s="10">
        <v>531</v>
      </c>
      <c r="B149" t="s" s="222">
        <f>VLOOKUP(A149,'The List'!B1:D665,3,FALSE)</f>
        <v>178</v>
      </c>
      <c r="C149" s="87">
        <f>IF('Settings'!$E$15="POINTS",RANK(E149,E3:E392),H149)</f>
        <v>188</v>
      </c>
      <c r="D149" t="s" s="86">
        <f>VLOOKUP(A149,'The List'!B1:F665,5,FALSE)</f>
        <v>207</v>
      </c>
      <c r="E149" s="77">
        <f>VLOOKUP(A149,'The List'!B1:I665,8,FALSE)</f>
        <v>217.921303666204</v>
      </c>
      <c r="F149" s="77">
        <f>IF('Settings'!$E$15="POINTS",E149-VLOOKUP(B$2,C1:E392,3,FALSE),J149)</f>
        <v>-88.984700763387</v>
      </c>
      <c r="G149" s="77"/>
      <c r="H149" s="223">
        <f>RANK(I149,I3:I392)</f>
        <v>126</v>
      </c>
      <c r="I149" s="77">
        <f>VLOOKUP(A149,'Standard Deviations'!A1:C666,3,FALSE)</f>
        <v>1.18728802054717</v>
      </c>
      <c r="J149" s="84">
        <f>I149-VLOOKUP(B$2,H1:J392,2,FALSE)</f>
        <v>-3.40284341001233</v>
      </c>
    </row>
    <row r="150" ht="21.25" customHeight="1">
      <c r="A150" t="s" s="10">
        <v>479</v>
      </c>
      <c r="B150" t="s" s="222">
        <f>VLOOKUP(A150,'The List'!B1:D665,3,FALSE)</f>
        <v>145</v>
      </c>
      <c r="C150" s="87">
        <f>IF('Settings'!$E$15="POINTS",RANK(E150,E3:E392),H150)</f>
        <v>159</v>
      </c>
      <c r="D150" t="s" s="86">
        <f>VLOOKUP(A150,'The List'!B1:F665,5,FALSE)</f>
        <v>275</v>
      </c>
      <c r="E150" s="77">
        <f>VLOOKUP(A150,'The List'!B1:I665,8,FALSE)</f>
        <v>233.299422632730</v>
      </c>
      <c r="F150" s="77">
        <f>IF('Settings'!$E$15="POINTS",E150-VLOOKUP(B$2,C1:E392,3,FALSE),J150)</f>
        <v>-73.60658179686099</v>
      </c>
      <c r="G150" s="77"/>
      <c r="H150" s="223">
        <f>RANK(I150,I3:I392)</f>
        <v>143</v>
      </c>
      <c r="I150" s="77">
        <f>VLOOKUP(A150,'Standard Deviations'!A1:C666,3,FALSE)</f>
        <v>0.8196395980386481</v>
      </c>
      <c r="J150" s="84">
        <f>I150-VLOOKUP(B$2,H1:J392,2,FALSE)</f>
        <v>-3.77049183252085</v>
      </c>
    </row>
    <row r="151" ht="21.25" customHeight="1">
      <c r="A151" t="s" s="10">
        <v>508</v>
      </c>
      <c r="B151" t="s" s="222">
        <f>VLOOKUP(A151,'The List'!B1:D665,3,FALSE)</f>
        <v>140</v>
      </c>
      <c r="C151" s="87">
        <f>IF('Settings'!$E$15="POINTS",RANK(E151,E3:E392),H151)</f>
        <v>172</v>
      </c>
      <c r="D151" t="s" s="86">
        <f>VLOOKUP(A151,'The List'!B1:F665,5,FALSE)</f>
        <v>154</v>
      </c>
      <c r="E151" s="77">
        <f>VLOOKUP(A151,'The List'!B1:I665,8,FALSE)</f>
        <v>222.924886004409</v>
      </c>
      <c r="F151" s="77">
        <f>IF('Settings'!$E$15="POINTS",E151-VLOOKUP(B$2,C1:E392,3,FALSE),J151)</f>
        <v>-83.981118425182</v>
      </c>
      <c r="G151" s="77"/>
      <c r="H151" s="223">
        <f>RANK(I151,I3:I392)</f>
        <v>161</v>
      </c>
      <c r="I151" s="77">
        <f>VLOOKUP(A151,'Standard Deviations'!A1:C666,3,FALSE)</f>
        <v>0.331288720149234</v>
      </c>
      <c r="J151" s="84">
        <f>I151-VLOOKUP(B$2,H1:J392,2,FALSE)</f>
        <v>-4.25884271041027</v>
      </c>
    </row>
    <row r="152" ht="21.25" customHeight="1">
      <c r="A152" t="s" s="10">
        <v>545</v>
      </c>
      <c r="B152" t="s" s="222">
        <f>VLOOKUP(A152,'The List'!B1:D665,3,FALSE)</f>
        <v>178</v>
      </c>
      <c r="C152" s="87">
        <f>IF('Settings'!$E$15="POINTS",RANK(E152,E3:E392),H152)</f>
        <v>199</v>
      </c>
      <c r="D152" t="s" s="86">
        <f>VLOOKUP(A152,'The List'!B1:F665,5,FALSE)</f>
        <v>165</v>
      </c>
      <c r="E152" s="77">
        <f>VLOOKUP(A152,'The List'!B1:I665,8,FALSE)</f>
        <v>213.097865386736</v>
      </c>
      <c r="F152" s="77">
        <f>IF('Settings'!$E$15="POINTS",E152-VLOOKUP(B$2,C1:E392,3,FALSE),J152)</f>
        <v>-93.808139042855</v>
      </c>
      <c r="G152" s="77"/>
      <c r="H152" s="223">
        <f>RANK(I152,I3:I392)</f>
        <v>139</v>
      </c>
      <c r="I152" s="77">
        <f>VLOOKUP(A152,'Standard Deviations'!A1:C666,3,FALSE)</f>
        <v>0.893679473377361</v>
      </c>
      <c r="J152" s="84">
        <f>I152-VLOOKUP(B$2,H1:J392,2,FALSE)</f>
        <v>-3.69645195718214</v>
      </c>
    </row>
    <row r="153" ht="21.25" customHeight="1">
      <c r="A153" t="s" s="10">
        <v>537</v>
      </c>
      <c r="B153" t="s" s="222">
        <f>VLOOKUP(A153,'The List'!B1:D665,3,FALSE)</f>
        <v>145</v>
      </c>
      <c r="C153" s="87">
        <f>IF('Settings'!$E$15="POINTS",RANK(E153,E3:E392),H153)</f>
        <v>193</v>
      </c>
      <c r="D153" t="s" s="86">
        <f>VLOOKUP(A153,'The List'!B1:F665,5,FALSE)</f>
        <v>149</v>
      </c>
      <c r="E153" s="77">
        <f>VLOOKUP(A153,'The List'!B1:I665,8,FALSE)</f>
        <v>216.258554880830</v>
      </c>
      <c r="F153" s="77">
        <f>IF('Settings'!$E$15="POINTS",E153-VLOOKUP(B$2,C1:E392,3,FALSE),J153)</f>
        <v>-90.647449548761</v>
      </c>
      <c r="G153" s="77"/>
      <c r="H153" s="223">
        <f>RANK(I153,I3:I392)</f>
        <v>121</v>
      </c>
      <c r="I153" s="77">
        <f>VLOOKUP(A153,'Standard Deviations'!A1:C666,3,FALSE)</f>
        <v>1.45886683529718</v>
      </c>
      <c r="J153" s="84">
        <f>I153-VLOOKUP(B$2,H1:J392,2,FALSE)</f>
        <v>-3.13126459526232</v>
      </c>
    </row>
    <row r="154" ht="21.25" customHeight="1">
      <c r="A154" t="s" s="10">
        <v>539</v>
      </c>
      <c r="B154" t="s" s="222">
        <f>VLOOKUP(A154,'The List'!B1:D665,3,FALSE)</f>
        <v>140</v>
      </c>
      <c r="C154" s="87">
        <f>IF('Settings'!$E$15="POINTS",RANK(E154,E3:E392),H154)</f>
        <v>195</v>
      </c>
      <c r="D154" t="s" s="86">
        <f>VLOOKUP(A154,'The List'!B1:F665,5,FALSE)</f>
        <v>914</v>
      </c>
      <c r="E154" s="77">
        <f>VLOOKUP(A154,'The List'!B1:I665,8,FALSE)</f>
        <v>215.466234814480</v>
      </c>
      <c r="F154" s="77">
        <f>IF('Settings'!$E$15="POINTS",E154-VLOOKUP(B$2,C1:E392,3,FALSE),J154)</f>
        <v>-91.439769615111</v>
      </c>
      <c r="G154" s="77"/>
      <c r="H154" s="223">
        <f>RANK(I154,I3:I392)</f>
        <v>199</v>
      </c>
      <c r="I154" s="77">
        <f>VLOOKUP(A154,'Standard Deviations'!A1:C666,3,FALSE)</f>
        <v>-0.730467377380878</v>
      </c>
      <c r="J154" s="84">
        <f>I154-VLOOKUP(B$2,H1:J392,2,FALSE)</f>
        <v>-5.32059880794038</v>
      </c>
    </row>
    <row r="155" ht="21.25" customHeight="1">
      <c r="A155" t="s" s="10">
        <v>439</v>
      </c>
      <c r="B155" t="s" s="222">
        <f>VLOOKUP(A155,'The List'!B1:D665,3,FALSE)</f>
        <v>145</v>
      </c>
      <c r="C155" s="87">
        <f>IF('Settings'!$E$15="POINTS",RANK(E155,E3:E392),H155)</f>
        <v>135</v>
      </c>
      <c r="D155" t="s" s="86">
        <f>VLOOKUP(A155,'The List'!B1:F665,5,FALSE)</f>
        <v>259</v>
      </c>
      <c r="E155" s="77">
        <f>VLOOKUP(A155,'The List'!B1:I665,8,FALSE)</f>
        <v>245.075610720755</v>
      </c>
      <c r="F155" s="77">
        <f>IF('Settings'!$E$15="POINTS",E155-VLOOKUP(B$2,C1:E392,3,FALSE),J155)</f>
        <v>-61.830393708836</v>
      </c>
      <c r="G155" s="77"/>
      <c r="H155" s="223">
        <f>RANK(I155,I3:I392)</f>
        <v>136</v>
      </c>
      <c r="I155" s="77">
        <f>VLOOKUP(A155,'Standard Deviations'!A1:C666,3,FALSE)</f>
        <v>0.957336520298755</v>
      </c>
      <c r="J155" s="84">
        <f>I155-VLOOKUP(B$2,H1:J392,2,FALSE)</f>
        <v>-3.63279491026075</v>
      </c>
    </row>
    <row r="156" ht="21.25" customHeight="1">
      <c r="A156" t="s" s="10">
        <v>523</v>
      </c>
      <c r="B156" t="s" s="222">
        <f>VLOOKUP(A156,'The List'!B1:D665,3,FALSE)</f>
        <v>145</v>
      </c>
      <c r="C156" s="87">
        <f>IF('Settings'!$E$15="POINTS",RANK(E156,E3:E392),H156)</f>
        <v>181</v>
      </c>
      <c r="D156" t="s" s="86">
        <f>VLOOKUP(A156,'The List'!B1:F665,5,FALSE)</f>
        <v>913</v>
      </c>
      <c r="E156" s="77">
        <f>VLOOKUP(A156,'The List'!B1:I665,8,FALSE)</f>
        <v>220.676404546592</v>
      </c>
      <c r="F156" s="77">
        <f>IF('Settings'!$E$15="POINTS",E156-VLOOKUP(B$2,C1:E392,3,FALSE),J156)</f>
        <v>-86.229599882999</v>
      </c>
      <c r="G156" s="77"/>
      <c r="H156" s="223">
        <f>RANK(I156,I3:I392)</f>
        <v>230</v>
      </c>
      <c r="I156" s="77">
        <f>VLOOKUP(A156,'Standard Deviations'!A1:C666,3,FALSE)</f>
        <v>-1.67106100741926</v>
      </c>
      <c r="J156" s="84">
        <f>I156-VLOOKUP(B$2,H1:J392,2,FALSE)</f>
        <v>-6.26119243797876</v>
      </c>
    </row>
    <row r="157" ht="21.25" customHeight="1">
      <c r="A157" t="s" s="10">
        <v>521</v>
      </c>
      <c r="B157" t="s" s="222">
        <f>VLOOKUP(A157,'The List'!B1:D665,3,FALSE)</f>
        <v>136</v>
      </c>
      <c r="C157" s="87">
        <f>IF('Settings'!$E$15="POINTS",RANK(E157,E3:E392),H157)</f>
        <v>180</v>
      </c>
      <c r="D157" t="s" s="86">
        <f>VLOOKUP(A157,'The List'!B1:F665,5,FALSE)</f>
        <v>174</v>
      </c>
      <c r="E157" s="77">
        <f>VLOOKUP(A157,'The List'!B1:I665,8,FALSE)</f>
        <v>221.567472567814</v>
      </c>
      <c r="F157" s="77">
        <f>IF('Settings'!$E$15="POINTS",E157-VLOOKUP(B$2,C1:E392,3,FALSE),J157)</f>
        <v>-85.338531861777</v>
      </c>
      <c r="G157" s="77"/>
      <c r="H157" s="223">
        <f>RANK(I157,I3:I392)</f>
        <v>183</v>
      </c>
      <c r="I157" s="77">
        <f>VLOOKUP(A157,'Standard Deviations'!A1:C666,3,FALSE)</f>
        <v>-0.312268507884213</v>
      </c>
      <c r="J157" s="84">
        <f>I157-VLOOKUP(B$2,H1:J392,2,FALSE)</f>
        <v>-4.90239993844371</v>
      </c>
    </row>
    <row r="158" ht="21.25" customHeight="1">
      <c r="A158" t="s" s="10">
        <v>443</v>
      </c>
      <c r="B158" t="s" s="222">
        <f>VLOOKUP(A158,'The List'!B1:D665,3,FALSE)</f>
        <v>145</v>
      </c>
      <c r="C158" s="87">
        <f>IF('Settings'!$E$15="POINTS",RANK(E158,E3:E392),H158)</f>
        <v>139</v>
      </c>
      <c r="D158" t="s" s="86">
        <f>VLOOKUP(A158,'The List'!B1:F665,5,FALSE)</f>
        <v>910</v>
      </c>
      <c r="E158" s="77">
        <f>VLOOKUP(A158,'The List'!B1:I665,8,FALSE)</f>
        <v>243.218604292631</v>
      </c>
      <c r="F158" s="77">
        <f>IF('Settings'!$E$15="POINTS",E158-VLOOKUP(B$2,C1:E392,3,FALSE),J158)</f>
        <v>-63.687400136960</v>
      </c>
      <c r="G158" s="77"/>
      <c r="H158" s="223">
        <f>RANK(I158,I3:I392)</f>
        <v>164</v>
      </c>
      <c r="I158" s="77">
        <f>VLOOKUP(A158,'Standard Deviations'!A1:C666,3,FALSE)</f>
        <v>0.231654203760825</v>
      </c>
      <c r="J158" s="84">
        <f>I158-VLOOKUP(B$2,H1:J392,2,FALSE)</f>
        <v>-4.35847722679868</v>
      </c>
    </row>
    <row r="159" ht="21.25" customHeight="1">
      <c r="A159" t="s" s="10">
        <v>457</v>
      </c>
      <c r="B159" t="s" s="222">
        <f>VLOOKUP(A159,'The List'!B1:D665,3,FALSE)</f>
        <v>178</v>
      </c>
      <c r="C159" s="87">
        <f>IF('Settings'!$E$15="POINTS",RANK(E159,E3:E392),H159)</f>
        <v>149</v>
      </c>
      <c r="D159" t="s" s="86">
        <f>VLOOKUP(A159,'The List'!B1:F665,5,FALSE)</f>
        <v>902</v>
      </c>
      <c r="E159" s="77">
        <f>VLOOKUP(A159,'The List'!B1:I665,8,FALSE)</f>
        <v>236.865788871942</v>
      </c>
      <c r="F159" s="77">
        <f>IF('Settings'!$E$15="POINTS",E159-VLOOKUP(B$2,C1:E392,3,FALSE),J159)</f>
        <v>-70.04021555764901</v>
      </c>
      <c r="G159" s="77"/>
      <c r="H159" s="223">
        <f>RANK(I159,I3:I392)</f>
        <v>120</v>
      </c>
      <c r="I159" s="77">
        <f>VLOOKUP(A159,'Standard Deviations'!A1:C666,3,FALSE)</f>
        <v>1.49688021460944</v>
      </c>
      <c r="J159" s="84">
        <f>I159-VLOOKUP(B$2,H1:J392,2,FALSE)</f>
        <v>-3.09325121595006</v>
      </c>
    </row>
    <row r="160" ht="21.25" customHeight="1">
      <c r="A160" t="s" s="10">
        <v>585</v>
      </c>
      <c r="B160" t="s" s="222">
        <f>VLOOKUP(A160,'The List'!B1:D665,3,FALSE)</f>
        <v>178</v>
      </c>
      <c r="C160" s="87">
        <f>IF('Settings'!$E$15="POINTS",RANK(E160,E3:E392),H160)</f>
        <v>219</v>
      </c>
      <c r="D160" t="s" s="86">
        <f>VLOOKUP(A160,'The List'!B1:F665,5,FALSE)</f>
        <v>905</v>
      </c>
      <c r="E160" s="77">
        <f>VLOOKUP(A160,'The List'!B1:I665,8,FALSE)</f>
        <v>204.330252340538</v>
      </c>
      <c r="F160" s="77">
        <f>IF('Settings'!$E$15="POINTS",E160-VLOOKUP(B$2,C1:E392,3,FALSE),J160)</f>
        <v>-102.575752089053</v>
      </c>
      <c r="G160" s="77"/>
      <c r="H160" s="223">
        <f>RANK(I160,I3:I392)</f>
        <v>187</v>
      </c>
      <c r="I160" s="77">
        <f>VLOOKUP(A160,'Standard Deviations'!A1:C666,3,FALSE)</f>
        <v>-0.405682593774033</v>
      </c>
      <c r="J160" s="84">
        <f>I160-VLOOKUP(B$2,H1:J392,2,FALSE)</f>
        <v>-4.99581402433353</v>
      </c>
    </row>
    <row r="161" ht="21.25" customHeight="1">
      <c r="A161" t="s" s="10">
        <v>471</v>
      </c>
      <c r="B161" t="s" s="222">
        <f>VLOOKUP(A161,'The List'!B1:D665,3,FALSE)</f>
        <v>178</v>
      </c>
      <c r="C161" s="87">
        <f>IF('Settings'!$E$15="POINTS",RANK(E161,E3:E392),H161)</f>
        <v>156</v>
      </c>
      <c r="D161" t="s" s="86">
        <f>VLOOKUP(A161,'The List'!B1:F665,5,FALSE)</f>
        <v>192</v>
      </c>
      <c r="E161" s="77">
        <f>VLOOKUP(A161,'The List'!B1:I665,8,FALSE)</f>
        <v>234.790480017383</v>
      </c>
      <c r="F161" s="77">
        <f>IF('Settings'!$E$15="POINTS",E161-VLOOKUP(B$2,C1:E392,3,FALSE),J161)</f>
        <v>-72.115524412208</v>
      </c>
      <c r="G161" s="77"/>
      <c r="H161" s="223">
        <f>RANK(I161,I3:I392)</f>
        <v>172</v>
      </c>
      <c r="I161" s="77">
        <f>VLOOKUP(A161,'Standard Deviations'!A1:C666,3,FALSE)</f>
        <v>-0.141104778363635</v>
      </c>
      <c r="J161" s="84">
        <f>I161-VLOOKUP(B$2,H1:J392,2,FALSE)</f>
        <v>-4.73123620892314</v>
      </c>
    </row>
    <row r="162" ht="21.25" customHeight="1">
      <c r="A162" t="s" s="10">
        <v>463</v>
      </c>
      <c r="B162" t="s" s="222">
        <f>VLOOKUP(A162,'The List'!B1:D665,3,FALSE)</f>
        <v>128</v>
      </c>
      <c r="C162" s="87">
        <f>IF('Settings'!$E$15="POINTS",RANK(E162,E3:E392),H162)</f>
        <v>163</v>
      </c>
      <c r="D162" t="s" s="86">
        <f>VLOOKUP(A162,'The List'!B1:F665,5,FALSE)</f>
        <v>911</v>
      </c>
      <c r="E162" s="77">
        <f>VLOOKUP(A162,'The List'!B1:I665,8,FALSE)</f>
        <v>230.653257024291</v>
      </c>
      <c r="F162" s="77">
        <f>IF('Settings'!$E$15="POINTS",E162-VLOOKUP(B$2,C1:E392,3,FALSE),J162)</f>
        <v>-76.2527474053</v>
      </c>
      <c r="G162" s="77"/>
      <c r="H162" s="223">
        <f>RANK(I162,I3:I392)</f>
        <v>171</v>
      </c>
      <c r="I162" s="77">
        <f>VLOOKUP(A162,'Standard Deviations'!A1:C666,3,FALSE)</f>
        <v>-0.110217472241077</v>
      </c>
      <c r="J162" s="84">
        <f>I162-VLOOKUP(B$2,H1:J392,2,FALSE)</f>
        <v>-4.70034890280058</v>
      </c>
    </row>
    <row r="163" ht="21.25" customHeight="1">
      <c r="A163" t="s" s="10">
        <v>599</v>
      </c>
      <c r="B163" t="s" s="222">
        <f>VLOOKUP(A163,'The List'!B1:D665,3,FALSE)</f>
        <v>136</v>
      </c>
      <c r="C163" s="87">
        <f>IF('Settings'!$E$15="POINTS",RANK(E163,E3:E392),H163)</f>
        <v>225</v>
      </c>
      <c r="D163" t="s" s="86">
        <f>VLOOKUP(A163,'The List'!B1:F665,5,FALSE)</f>
        <v>906</v>
      </c>
      <c r="E163" s="77">
        <f>VLOOKUP(A163,'The List'!B1:I665,8,FALSE)</f>
        <v>200.811298848854</v>
      </c>
      <c r="F163" s="77">
        <f>IF('Settings'!$E$15="POINTS",E163-VLOOKUP(B$2,C1:E392,3,FALSE),J163)</f>
        <v>-106.094705580737</v>
      </c>
      <c r="G163" s="77"/>
      <c r="H163" s="223">
        <f>RANK(I163,I3:I392)</f>
        <v>125</v>
      </c>
      <c r="I163" s="77">
        <f>VLOOKUP(A163,'Standard Deviations'!A1:C666,3,FALSE)</f>
        <v>1.24645823002078</v>
      </c>
      <c r="J163" s="84">
        <f>I163-VLOOKUP(B$2,H1:J392,2,FALSE)</f>
        <v>-3.34367320053872</v>
      </c>
    </row>
    <row r="164" ht="21.25" customHeight="1">
      <c r="A164" t="s" s="10">
        <v>502</v>
      </c>
      <c r="B164" t="s" s="222">
        <f>VLOOKUP(A164,'The List'!B1:D665,3,FALSE)</f>
        <v>136</v>
      </c>
      <c r="C164" s="87">
        <f>IF('Settings'!$E$15="POINTS",RANK(E164,E3:E392),H164)</f>
        <v>169</v>
      </c>
      <c r="D164" t="s" s="86">
        <f>VLOOKUP(A164,'The List'!B1:F665,5,FALSE)</f>
        <v>912</v>
      </c>
      <c r="E164" s="77">
        <f>VLOOKUP(A164,'The List'!B1:I665,8,FALSE)</f>
        <v>225.170453987233</v>
      </c>
      <c r="F164" s="77">
        <f>IF('Settings'!$E$15="POINTS",E164-VLOOKUP(B$2,C1:E392,3,FALSE),J164)</f>
        <v>-81.735550442358</v>
      </c>
      <c r="G164" s="77"/>
      <c r="H164" s="223">
        <f>RANK(I164,I3:I392)</f>
        <v>222</v>
      </c>
      <c r="I164" s="77">
        <f>VLOOKUP(A164,'Standard Deviations'!A1:C666,3,FALSE)</f>
        <v>-1.35974619677293</v>
      </c>
      <c r="J164" s="84">
        <f>I164-VLOOKUP(B$2,H1:J392,2,FALSE)</f>
        <v>-5.94987762733243</v>
      </c>
    </row>
    <row r="165" ht="21.25" customHeight="1">
      <c r="A165" t="s" s="10">
        <v>501</v>
      </c>
      <c r="B165" t="s" s="222">
        <f>VLOOKUP(A165,'The List'!B1:D665,3,FALSE)</f>
        <v>128</v>
      </c>
      <c r="C165" s="87">
        <f>IF('Settings'!$E$15="POINTS",RANK(E165,E3:E392),H165)</f>
        <v>182</v>
      </c>
      <c r="D165" t="s" s="86">
        <f>VLOOKUP(A165,'The List'!B1:F665,5,FALSE)</f>
        <v>902</v>
      </c>
      <c r="E165" s="77">
        <f>VLOOKUP(A165,'The List'!B1:I665,8,FALSE)</f>
        <v>220.500122051964</v>
      </c>
      <c r="F165" s="77">
        <f>IF('Settings'!$E$15="POINTS",E165-VLOOKUP(B$2,C1:E392,3,FALSE),J165)</f>
        <v>-86.40588237762699</v>
      </c>
      <c r="G165" s="77"/>
      <c r="H165" s="223">
        <f>RANK(I165,I3:I392)</f>
        <v>119</v>
      </c>
      <c r="I165" s="77">
        <f>VLOOKUP(A165,'Standard Deviations'!A1:C666,3,FALSE)</f>
        <v>1.49964573984896</v>
      </c>
      <c r="J165" s="84">
        <f>I165-VLOOKUP(B$2,H1:J392,2,FALSE)</f>
        <v>-3.09048569071054</v>
      </c>
    </row>
    <row r="166" ht="21.25" customHeight="1">
      <c r="A166" t="s" s="10">
        <v>525</v>
      </c>
      <c r="B166" t="s" s="222">
        <f>VLOOKUP(A166,'The List'!B1:D665,3,FALSE)</f>
        <v>148</v>
      </c>
      <c r="C166" s="87">
        <f>IF('Settings'!$E$15="POINTS",RANK(E166,E3:E392),H166)</f>
        <v>183</v>
      </c>
      <c r="D166" t="s" s="86">
        <f>VLOOKUP(A166,'The List'!B1:F665,5,FALSE)</f>
        <v>910</v>
      </c>
      <c r="E166" s="77">
        <f>VLOOKUP(A166,'The List'!B1:I665,8,FALSE)</f>
        <v>220.316196157354</v>
      </c>
      <c r="F166" s="77">
        <f>IF('Settings'!$E$15="POINTS",E166-VLOOKUP(B$2,C1:E392,3,FALSE),J166)</f>
        <v>-86.58980827223699</v>
      </c>
      <c r="G166" s="77"/>
      <c r="H166" s="223">
        <f>RANK(I166,I3:I392)</f>
        <v>192</v>
      </c>
      <c r="I166" s="77">
        <f>VLOOKUP(A166,'Standard Deviations'!A1:C666,3,FALSE)</f>
        <v>-0.6327023150445</v>
      </c>
      <c r="J166" s="84">
        <f>I166-VLOOKUP(B$2,H1:J392,2,FALSE)</f>
        <v>-5.222833745604</v>
      </c>
    </row>
    <row r="167" ht="21.25" customHeight="1">
      <c r="A167" t="s" s="10">
        <v>360</v>
      </c>
      <c r="B167" t="s" s="222">
        <f>VLOOKUP(A167,'The List'!B1:D665,3,FALSE)</f>
        <v>136</v>
      </c>
      <c r="C167" s="87">
        <f>IF('Settings'!$E$15="POINTS",RANK(E167,E3:E392),H167)</f>
        <v>96</v>
      </c>
      <c r="D167" t="s" s="86">
        <f>VLOOKUP(A167,'The List'!B1:F665,5,FALSE)</f>
        <v>903</v>
      </c>
      <c r="E167" s="77">
        <f>VLOOKUP(A167,'The List'!B1:I665,8,FALSE)</f>
        <v>276.088639020191</v>
      </c>
      <c r="F167" s="77">
        <f>IF('Settings'!$E$15="POINTS",E167-VLOOKUP(B$2,C1:E392,3,FALSE),J167)</f>
        <v>-30.8173654094</v>
      </c>
      <c r="G167" s="77"/>
      <c r="H167" s="223">
        <f>RANK(I167,I3:I392)</f>
        <v>154</v>
      </c>
      <c r="I167" s="77">
        <f>VLOOKUP(A167,'Standard Deviations'!A1:C666,3,FALSE)</f>
        <v>0.494191793279049</v>
      </c>
      <c r="J167" s="84">
        <f>I167-VLOOKUP(B$2,H1:J392,2,FALSE)</f>
        <v>-4.09593963728045</v>
      </c>
    </row>
    <row r="168" ht="21.25" customHeight="1">
      <c r="A168" t="s" s="10">
        <v>632</v>
      </c>
      <c r="B168" t="s" s="222">
        <f>VLOOKUP(A168,'The List'!B1:D665,3,FALSE)</f>
        <v>128</v>
      </c>
      <c r="C168" s="87">
        <f>IF('Settings'!$E$15="POINTS",RANK(E168,E3:E392),H168)</f>
        <v>251</v>
      </c>
      <c r="D168" t="s" s="86">
        <f>VLOOKUP(A168,'The List'!B1:F665,5,FALSE)</f>
        <v>165</v>
      </c>
      <c r="E168" s="77">
        <f>VLOOKUP(A168,'The List'!B1:I665,8,FALSE)</f>
        <v>187.278682270619</v>
      </c>
      <c r="F168" s="77">
        <f>IF('Settings'!$E$15="POINTS",E168-VLOOKUP(B$2,C1:E392,3,FALSE),J168)</f>
        <v>-119.627322158972</v>
      </c>
      <c r="G168" s="77"/>
      <c r="H168" s="223">
        <f>RANK(I168,I3:I392)</f>
        <v>144</v>
      </c>
      <c r="I168" s="77">
        <f>VLOOKUP(A168,'Standard Deviations'!A1:C666,3,FALSE)</f>
        <v>0.809730355866612</v>
      </c>
      <c r="J168" s="84">
        <f>I168-VLOOKUP(B$2,H1:J392,2,FALSE)</f>
        <v>-3.78040107469289</v>
      </c>
    </row>
    <row r="169" ht="21.25" customHeight="1">
      <c r="A169" t="s" s="10">
        <v>344</v>
      </c>
      <c r="B169" t="s" s="222">
        <f>VLOOKUP(A169,'The List'!B1:D665,3,FALSE)</f>
        <v>148</v>
      </c>
      <c r="C169" s="87">
        <f>IF('Settings'!$E$15="POINTS",RANK(E169,E3:E392),H169)</f>
        <v>90</v>
      </c>
      <c r="D169" t="s" s="86">
        <f>VLOOKUP(A169,'The List'!B1:F665,5,FALSE)</f>
        <v>911</v>
      </c>
      <c r="E169" s="77">
        <f>VLOOKUP(A169,'The List'!B1:I665,8,FALSE)</f>
        <v>280.787203106581</v>
      </c>
      <c r="F169" s="77">
        <f>IF('Settings'!$E$15="POINTS",E169-VLOOKUP(B$2,C1:E392,3,FALSE),J169)</f>
        <v>-26.118801323010</v>
      </c>
      <c r="G169" s="77"/>
      <c r="H169" s="223">
        <f>RANK(I169,I3:I392)</f>
        <v>166</v>
      </c>
      <c r="I169" s="77">
        <f>VLOOKUP(A169,'Standard Deviations'!A1:C666,3,FALSE)</f>
        <v>0.0812756138258017</v>
      </c>
      <c r="J169" s="84">
        <f>I169-VLOOKUP(B$2,H1:J392,2,FALSE)</f>
        <v>-4.5088558167337</v>
      </c>
    </row>
    <row r="170" ht="21.25" customHeight="1">
      <c r="A170" t="s" s="10">
        <v>440</v>
      </c>
      <c r="B170" t="s" s="222">
        <f>VLOOKUP(A170,'The List'!B1:D665,3,FALSE)</f>
        <v>145</v>
      </c>
      <c r="C170" s="87">
        <f>IF('Settings'!$E$15="POINTS",RANK(E170,E3:E392),H170)</f>
        <v>137</v>
      </c>
      <c r="D170" t="s" s="86">
        <f>VLOOKUP(A170,'The List'!B1:F665,5,FALSE)</f>
        <v>899</v>
      </c>
      <c r="E170" s="77">
        <f>VLOOKUP(A170,'The List'!B1:I665,8,FALSE)</f>
        <v>244.002992358096</v>
      </c>
      <c r="F170" s="77">
        <f>IF('Settings'!$E$15="POINTS",E170-VLOOKUP(B$2,C1:E392,3,FALSE),J170)</f>
        <v>-62.903012071495</v>
      </c>
      <c r="G170" s="77"/>
      <c r="H170" s="223">
        <f>RANK(I170,I3:I392)</f>
        <v>146</v>
      </c>
      <c r="I170" s="77">
        <f>VLOOKUP(A170,'Standard Deviations'!A1:C666,3,FALSE)</f>
        <v>0.762506540765718</v>
      </c>
      <c r="J170" s="84">
        <f>I170-VLOOKUP(B$2,H1:J392,2,FALSE)</f>
        <v>-3.82762488979378</v>
      </c>
    </row>
    <row r="171" ht="21.25" customHeight="1">
      <c r="A171" t="s" s="10">
        <v>517</v>
      </c>
      <c r="B171" t="s" s="222">
        <f>VLOOKUP(A171,'The List'!B1:D665,3,FALSE)</f>
        <v>128</v>
      </c>
      <c r="C171" s="87">
        <f>IF('Settings'!$E$15="POINTS",RANK(E171,E3:E392),H171)</f>
        <v>191</v>
      </c>
      <c r="D171" t="s" s="86">
        <f>VLOOKUP(A171,'The List'!B1:F665,5,FALSE)</f>
        <v>913</v>
      </c>
      <c r="E171" s="77">
        <f>VLOOKUP(A171,'The List'!B1:I665,8,FALSE)</f>
        <v>216.959499186349</v>
      </c>
      <c r="F171" s="77">
        <f>IF('Settings'!$E$15="POINTS",E171-VLOOKUP(B$2,C1:E392,3,FALSE),J171)</f>
        <v>-89.946505243242</v>
      </c>
      <c r="G171" s="77"/>
      <c r="H171" s="223">
        <f>RANK(I171,I3:I392)</f>
        <v>219</v>
      </c>
      <c r="I171" s="77">
        <f>VLOOKUP(A171,'Standard Deviations'!A1:C666,3,FALSE)</f>
        <v>-1.29298534803739</v>
      </c>
      <c r="J171" s="84">
        <f>I171-VLOOKUP(B$2,H1:J392,2,FALSE)</f>
        <v>-5.88311677859689</v>
      </c>
    </row>
    <row r="172" ht="21.25" customHeight="1">
      <c r="A172" t="s" s="10">
        <v>553</v>
      </c>
      <c r="B172" t="s" s="222">
        <f>VLOOKUP(A172,'The List'!B1:D665,3,FALSE)</f>
        <v>554</v>
      </c>
      <c r="C172" s="87">
        <f>IF('Settings'!$E$15="POINTS",RANK(E172,E3:E392),H172)</f>
        <v>201</v>
      </c>
      <c r="D172" t="s" s="86">
        <f>VLOOKUP(A172,'The List'!B1:F665,5,FALSE)</f>
        <v>156</v>
      </c>
      <c r="E172" s="77">
        <f>VLOOKUP(A172,'The List'!B1:I665,8,FALSE)</f>
        <v>212.040273084470</v>
      </c>
      <c r="F172" s="77">
        <f>IF('Settings'!$E$15="POINTS",E172-VLOOKUP(B$2,C1:E392,3,FALSE),J172)</f>
        <v>-94.86573134512101</v>
      </c>
      <c r="G172" s="77"/>
      <c r="H172" s="223">
        <f>RANK(I172,I3:I392)</f>
        <v>197</v>
      </c>
      <c r="I172" s="77">
        <f>VLOOKUP(A172,'Standard Deviations'!A1:C666,3,FALSE)</f>
        <v>-0.712640770411608</v>
      </c>
      <c r="J172" s="84">
        <f>I172-VLOOKUP(B$2,H1:J392,2,FALSE)</f>
        <v>-5.30277220097111</v>
      </c>
    </row>
    <row r="173" ht="21.25" customHeight="1">
      <c r="A173" t="s" s="10">
        <v>528</v>
      </c>
      <c r="B173" t="s" s="222">
        <f>VLOOKUP(A173,'The List'!B1:D665,3,FALSE)</f>
        <v>148</v>
      </c>
      <c r="C173" s="87">
        <f>IF('Settings'!$E$15="POINTS",RANK(E173,E3:E392),H173)</f>
        <v>184</v>
      </c>
      <c r="D173" t="s" s="86">
        <f>VLOOKUP(A173,'The List'!B1:F665,5,FALSE)</f>
        <v>913</v>
      </c>
      <c r="E173" s="77">
        <f>VLOOKUP(A173,'The List'!B1:I665,8,FALSE)</f>
        <v>219.202922653151</v>
      </c>
      <c r="F173" s="77">
        <f>IF('Settings'!$E$15="POINTS",E173-VLOOKUP(B$2,C1:E392,3,FALSE),J173)</f>
        <v>-87.703081776440</v>
      </c>
      <c r="G173" s="77"/>
      <c r="H173" s="223">
        <f>RANK(I173,I3:I392)</f>
        <v>250</v>
      </c>
      <c r="I173" s="77">
        <f>VLOOKUP(A173,'Standard Deviations'!A1:C666,3,FALSE)</f>
        <v>-2.07776362784574</v>
      </c>
      <c r="J173" s="84">
        <f>I173-VLOOKUP(B$2,H1:J392,2,FALSE)</f>
        <v>-6.66789505840524</v>
      </c>
    </row>
    <row r="174" ht="21.25" customHeight="1">
      <c r="A174" t="s" s="10">
        <v>624</v>
      </c>
      <c r="B174" t="s" s="222">
        <f>VLOOKUP(A174,'The List'!B1:D665,3,FALSE)</f>
        <v>128</v>
      </c>
      <c r="C174" s="87">
        <f>IF('Settings'!$E$15="POINTS",RANK(E174,E3:E392),H174)</f>
        <v>246</v>
      </c>
      <c r="D174" t="s" s="86">
        <f>VLOOKUP(A174,'The List'!B1:F665,5,FALSE)</f>
        <v>275</v>
      </c>
      <c r="E174" s="77">
        <f>VLOOKUP(A174,'The List'!B1:I665,8,FALSE)</f>
        <v>189.724365534213</v>
      </c>
      <c r="F174" s="77">
        <f>IF('Settings'!$E$15="POINTS",E174-VLOOKUP(B$2,C1:E392,3,FALSE),J174)</f>
        <v>-117.181638895378</v>
      </c>
      <c r="G174" s="77"/>
      <c r="H174" s="223">
        <f>RANK(I174,I3:I392)</f>
        <v>170</v>
      </c>
      <c r="I174" s="77">
        <f>VLOOKUP(A174,'Standard Deviations'!A1:C666,3,FALSE)</f>
        <v>-0.0666862130132128</v>
      </c>
      <c r="J174" s="84">
        <f>I174-VLOOKUP(B$2,H1:J392,2,FALSE)</f>
        <v>-4.65681764357271</v>
      </c>
    </row>
    <row r="175" ht="21.25" customHeight="1">
      <c r="A175" t="s" s="10">
        <v>575</v>
      </c>
      <c r="B175" t="s" s="222">
        <f>VLOOKUP(A175,'The List'!B1:D665,3,FALSE)</f>
        <v>136</v>
      </c>
      <c r="C175" s="87">
        <f>IF('Settings'!$E$15="POINTS",RANK(E175,E3:E392),H175)</f>
        <v>211</v>
      </c>
      <c r="D175" t="s" s="86">
        <f>VLOOKUP(A175,'The List'!B1:F665,5,FALSE)</f>
        <v>149</v>
      </c>
      <c r="E175" s="77">
        <f>VLOOKUP(A175,'The List'!B1:I665,8,FALSE)</f>
        <v>206.982312925074</v>
      </c>
      <c r="F175" s="77">
        <f>IF('Settings'!$E$15="POINTS",E175-VLOOKUP(B$2,C1:E392,3,FALSE),J175)</f>
        <v>-99.923691504517</v>
      </c>
      <c r="G175" s="77"/>
      <c r="H175" s="223">
        <f>RANK(I175,I3:I392)</f>
        <v>123</v>
      </c>
      <c r="I175" s="77">
        <f>VLOOKUP(A175,'Standard Deviations'!A1:C666,3,FALSE)</f>
        <v>1.28037295444817</v>
      </c>
      <c r="J175" s="84">
        <f>I175-VLOOKUP(B$2,H1:J392,2,FALSE)</f>
        <v>-3.30975847611133</v>
      </c>
    </row>
    <row r="176" ht="21.25" customHeight="1">
      <c r="A176" t="s" s="10">
        <v>377</v>
      </c>
      <c r="B176" t="s" s="222">
        <f>VLOOKUP(A176,'The List'!B1:D665,3,FALSE)</f>
        <v>148</v>
      </c>
      <c r="C176" s="87">
        <f>IF('Settings'!$E$15="POINTS",RANK(E176,E3:E392),H176)</f>
        <v>108</v>
      </c>
      <c r="D176" t="s" s="86">
        <f>VLOOKUP(A176,'The List'!B1:F665,5,FALSE)</f>
        <v>908</v>
      </c>
      <c r="E176" s="77">
        <f>VLOOKUP(A176,'The List'!B1:I665,8,FALSE)</f>
        <v>269.271871379416</v>
      </c>
      <c r="F176" s="77">
        <f>IF('Settings'!$E$15="POINTS",E176-VLOOKUP(B$2,C1:E392,3,FALSE),J176)</f>
        <v>-37.634133050175</v>
      </c>
      <c r="G176" s="77"/>
      <c r="H176" s="223">
        <f>RANK(I176,I3:I392)</f>
        <v>174</v>
      </c>
      <c r="I176" s="77">
        <f>VLOOKUP(A176,'Standard Deviations'!A1:C666,3,FALSE)</f>
        <v>-0.168805738106172</v>
      </c>
      <c r="J176" s="84">
        <f>I176-VLOOKUP(B$2,H1:J392,2,FALSE)</f>
        <v>-4.75893716866567</v>
      </c>
    </row>
    <row r="177" ht="21.25" customHeight="1">
      <c r="A177" t="s" s="10">
        <v>577</v>
      </c>
      <c r="B177" t="s" s="222">
        <f>VLOOKUP(A177,'The List'!B1:D665,3,FALSE)</f>
        <v>140</v>
      </c>
      <c r="C177" s="87">
        <f>IF('Settings'!$E$15="POINTS",RANK(E177,E3:E392),H177)</f>
        <v>213</v>
      </c>
      <c r="D177" t="s" s="86">
        <f>VLOOKUP(A177,'The List'!B1:F665,5,FALSE)</f>
        <v>878</v>
      </c>
      <c r="E177" s="77">
        <f>VLOOKUP(A177,'The List'!B1:I665,8,FALSE)</f>
        <v>206.385533746930</v>
      </c>
      <c r="F177" s="77">
        <f>IF('Settings'!$E$15="POINTS",E177-VLOOKUP(B$2,C1:E392,3,FALSE),J177)</f>
        <v>-100.520470682661</v>
      </c>
      <c r="G177" s="77"/>
      <c r="H177" s="223">
        <f>RANK(I177,I3:I392)</f>
        <v>184</v>
      </c>
      <c r="I177" s="77">
        <f>VLOOKUP(A177,'Standard Deviations'!A1:C666,3,FALSE)</f>
        <v>-0.32676332374038</v>
      </c>
      <c r="J177" s="84">
        <f>I177-VLOOKUP(B$2,H1:J392,2,FALSE)</f>
        <v>-4.91689475429988</v>
      </c>
    </row>
    <row r="178" ht="21.25" customHeight="1">
      <c r="A178" t="s" s="10">
        <v>519</v>
      </c>
      <c r="B178" t="s" s="222">
        <f>VLOOKUP(A178,'The List'!B1:D665,3,FALSE)</f>
        <v>148</v>
      </c>
      <c r="C178" s="87">
        <f>IF('Settings'!$E$15="POINTS",RANK(E178,E3:E392),H178)</f>
        <v>177</v>
      </c>
      <c r="D178" t="s" s="86">
        <f>VLOOKUP(A178,'The List'!B1:F665,5,FALSE)</f>
        <v>904</v>
      </c>
      <c r="E178" s="77">
        <f>VLOOKUP(A178,'The List'!B1:I665,8,FALSE)</f>
        <v>221.997427776980</v>
      </c>
      <c r="F178" s="77">
        <f>IF('Settings'!$E$15="POINTS",E178-VLOOKUP(B$2,C1:E392,3,FALSE),J178)</f>
        <v>-84.908576652611</v>
      </c>
      <c r="G178" s="77"/>
      <c r="H178" s="223">
        <f>RANK(I178,I3:I392)</f>
        <v>176</v>
      </c>
      <c r="I178" s="77">
        <f>VLOOKUP(A178,'Standard Deviations'!A1:C666,3,FALSE)</f>
        <v>-0.175953352216938</v>
      </c>
      <c r="J178" s="84">
        <f>I178-VLOOKUP(B$2,H1:J392,2,FALSE)</f>
        <v>-4.76608478277644</v>
      </c>
    </row>
    <row r="179" ht="21.25" customHeight="1">
      <c r="A179" t="s" s="10">
        <v>578</v>
      </c>
      <c r="B179" t="s" s="222">
        <f>VLOOKUP(A179,'The List'!B1:D665,3,FALSE)</f>
        <v>128</v>
      </c>
      <c r="C179" s="87">
        <f>IF('Settings'!$E$15="POINTS",RANK(E179,E3:E392),H179)</f>
        <v>226</v>
      </c>
      <c r="D179" t="s" s="86">
        <f>VLOOKUP(A179,'The List'!B1:F665,5,FALSE)</f>
        <v>910</v>
      </c>
      <c r="E179" s="77">
        <f>VLOOKUP(A179,'The List'!B1:I665,8,FALSE)</f>
        <v>200.794579632484</v>
      </c>
      <c r="F179" s="77">
        <f>IF('Settings'!$E$15="POINTS",E179-VLOOKUP(B$2,C1:E392,3,FALSE),J179)</f>
        <v>-106.111424797107</v>
      </c>
      <c r="G179" s="77"/>
      <c r="H179" s="223">
        <f>RANK(I179,I3:I392)</f>
        <v>214</v>
      </c>
      <c r="I179" s="77">
        <f>VLOOKUP(A179,'Standard Deviations'!A1:C666,3,FALSE)</f>
        <v>-1.03789684992794</v>
      </c>
      <c r="J179" s="84">
        <f>I179-VLOOKUP(B$2,H1:J392,2,FALSE)</f>
        <v>-5.62802828048744</v>
      </c>
    </row>
    <row r="180" ht="21.25" customHeight="1">
      <c r="A180" t="s" s="10">
        <v>477</v>
      </c>
      <c r="B180" t="s" s="222">
        <f>VLOOKUP(A180,'The List'!B1:D665,3,FALSE)</f>
        <v>128</v>
      </c>
      <c r="C180" s="87">
        <f>IF('Settings'!$E$15="POINTS",RANK(E180,E3:E392),H180)</f>
        <v>165</v>
      </c>
      <c r="D180" t="s" s="86">
        <f>VLOOKUP(A180,'The List'!B1:F665,5,FALSE)</f>
        <v>904</v>
      </c>
      <c r="E180" s="77">
        <f>VLOOKUP(A180,'The List'!B1:I665,8,FALSE)</f>
        <v>228.437869129711</v>
      </c>
      <c r="F180" s="77">
        <f>IF('Settings'!$E$15="POINTS",E180-VLOOKUP(B$2,C1:E392,3,FALSE),J180)</f>
        <v>-78.468135299880</v>
      </c>
      <c r="G180" s="77"/>
      <c r="H180" s="223">
        <f>RANK(I180,I3:I392)</f>
        <v>186</v>
      </c>
      <c r="I180" s="77">
        <f>VLOOKUP(A180,'Standard Deviations'!A1:C666,3,FALSE)</f>
        <v>-0.387548701015902</v>
      </c>
      <c r="J180" s="84">
        <f>I180-VLOOKUP(B$2,H1:J392,2,FALSE)</f>
        <v>-4.9776801315754</v>
      </c>
    </row>
    <row r="181" ht="21.25" customHeight="1">
      <c r="A181" t="s" s="10">
        <v>529</v>
      </c>
      <c r="B181" t="s" s="222">
        <f>VLOOKUP(A181,'The List'!B1:D665,3,FALSE)</f>
        <v>128</v>
      </c>
      <c r="C181" s="87">
        <f>IF('Settings'!$E$15="POINTS",RANK(E181,E3:E392),H181)</f>
        <v>197</v>
      </c>
      <c r="D181" t="s" s="86">
        <f>VLOOKUP(A181,'The List'!B1:F665,5,FALSE)</f>
        <v>342</v>
      </c>
      <c r="E181" s="77">
        <f>VLOOKUP(A181,'The List'!B1:I665,8,FALSE)</f>
        <v>213.727177902738</v>
      </c>
      <c r="F181" s="77">
        <f>IF('Settings'!$E$15="POINTS",E181-VLOOKUP(B$2,C1:E392,3,FALSE),J181)</f>
        <v>-93.178826526853</v>
      </c>
      <c r="G181" s="77"/>
      <c r="H181" s="223">
        <f>RANK(I181,I3:I392)</f>
        <v>145</v>
      </c>
      <c r="I181" s="77">
        <f>VLOOKUP(A181,'Standard Deviations'!A1:C666,3,FALSE)</f>
        <v>0.78305213257355</v>
      </c>
      <c r="J181" s="84">
        <f>I181-VLOOKUP(B$2,H1:J392,2,FALSE)</f>
        <v>-3.80707929798595</v>
      </c>
    </row>
    <row r="182" ht="21.25" customHeight="1">
      <c r="A182" t="s" s="10">
        <v>461</v>
      </c>
      <c r="B182" t="s" s="222">
        <f>VLOOKUP(A182,'The List'!B1:D665,3,FALSE)</f>
        <v>148</v>
      </c>
      <c r="C182" s="87">
        <f>IF('Settings'!$E$15="POINTS",RANK(E182,E3:E392),H182)</f>
        <v>151</v>
      </c>
      <c r="D182" t="s" s="86">
        <f>VLOOKUP(A182,'The List'!B1:F665,5,FALSE)</f>
        <v>906</v>
      </c>
      <c r="E182" s="77">
        <f>VLOOKUP(A182,'The List'!B1:I665,8,FALSE)</f>
        <v>236.373778403871</v>
      </c>
      <c r="F182" s="77">
        <f>IF('Settings'!$E$15="POINTS",E182-VLOOKUP(B$2,C1:E392,3,FALSE),J182)</f>
        <v>-70.53222602572001</v>
      </c>
      <c r="G182" s="77"/>
      <c r="H182" s="223">
        <f>RANK(I182,I3:I392)</f>
        <v>148</v>
      </c>
      <c r="I182" s="77">
        <f>VLOOKUP(A182,'Standard Deviations'!A1:C666,3,FALSE)</f>
        <v>0.692142260954932</v>
      </c>
      <c r="J182" s="84">
        <f>I182-VLOOKUP(B$2,H1:J392,2,FALSE)</f>
        <v>-3.89798916960457</v>
      </c>
    </row>
    <row r="183" ht="21.25" customHeight="1">
      <c r="A183" t="s" s="10">
        <v>574</v>
      </c>
      <c r="B183" t="s" s="222">
        <f>VLOOKUP(A183,'The List'!B1:D665,3,FALSE)</f>
        <v>128</v>
      </c>
      <c r="C183" s="87">
        <f>IF('Settings'!$E$15="POINTS",RANK(E183,E3:E392),H183)</f>
        <v>223</v>
      </c>
      <c r="D183" t="s" s="86">
        <f>VLOOKUP(A183,'The List'!B1:F665,5,FALSE)</f>
        <v>911</v>
      </c>
      <c r="E183" s="77">
        <f>VLOOKUP(A183,'The List'!B1:I665,8,FALSE)</f>
        <v>201.924581686643</v>
      </c>
      <c r="F183" s="77">
        <f>IF('Settings'!$E$15="POINTS",E183-VLOOKUP(B$2,C1:E392,3,FALSE),J183)</f>
        <v>-104.981422742948</v>
      </c>
      <c r="G183" s="77"/>
      <c r="H183" s="223">
        <f>RANK(I183,I3:I392)</f>
        <v>177</v>
      </c>
      <c r="I183" s="77">
        <f>VLOOKUP(A183,'Standard Deviations'!A1:C666,3,FALSE)</f>
        <v>-0.191045832354655</v>
      </c>
      <c r="J183" s="84">
        <f>I183-VLOOKUP(B$2,H1:J392,2,FALSE)</f>
        <v>-4.78117726291416</v>
      </c>
    </row>
    <row r="184" ht="21.25" customHeight="1">
      <c r="A184" t="s" s="10">
        <v>593</v>
      </c>
      <c r="B184" t="s" s="222">
        <f>VLOOKUP(A184,'The List'!B1:D665,3,FALSE)</f>
        <v>128</v>
      </c>
      <c r="C184" s="87">
        <f>IF('Settings'!$E$15="POINTS",RANK(E184,E3:E392),H184)</f>
        <v>232</v>
      </c>
      <c r="D184" t="s" s="86">
        <f>VLOOKUP(A184,'The List'!B1:F665,5,FALSE)</f>
        <v>192</v>
      </c>
      <c r="E184" s="77">
        <f>VLOOKUP(A184,'The List'!B1:I665,8,FALSE)</f>
        <v>197.332986209653</v>
      </c>
      <c r="F184" s="77">
        <f>IF('Settings'!$E$15="POINTS",E184-VLOOKUP(B$2,C1:E392,3,FALSE),J184)</f>
        <v>-109.573018219938</v>
      </c>
      <c r="G184" s="77"/>
      <c r="H184" s="223">
        <f>RANK(I184,I3:I392)</f>
        <v>220</v>
      </c>
      <c r="I184" s="77">
        <f>VLOOKUP(A184,'Standard Deviations'!A1:C666,3,FALSE)</f>
        <v>-1.32913478811772</v>
      </c>
      <c r="J184" s="84">
        <f>I184-VLOOKUP(B$2,H1:J392,2,FALSE)</f>
        <v>-5.91926621867722</v>
      </c>
    </row>
    <row r="185" ht="21.25" customHeight="1">
      <c r="A185" t="s" s="10">
        <v>607</v>
      </c>
      <c r="B185" t="s" s="222">
        <f>VLOOKUP(A185,'The List'!B1:D665,3,FALSE)</f>
        <v>140</v>
      </c>
      <c r="C185" s="87">
        <f>IF('Settings'!$E$15="POINTS",RANK(E185,E3:E392),H185)</f>
        <v>230</v>
      </c>
      <c r="D185" t="s" s="86">
        <f>VLOOKUP(A185,'The List'!B1:F665,5,FALSE)</f>
        <v>871</v>
      </c>
      <c r="E185" s="77">
        <f>VLOOKUP(A185,'The List'!B1:I665,8,FALSE)</f>
        <v>198.530842406313</v>
      </c>
      <c r="F185" s="77">
        <f>IF('Settings'!$E$15="POINTS",E185-VLOOKUP(B$2,C1:E392,3,FALSE),J185)</f>
        <v>-108.375162023278</v>
      </c>
      <c r="G185" s="77"/>
      <c r="H185" s="223">
        <f>RANK(I185,I3:I392)</f>
        <v>158</v>
      </c>
      <c r="I185" s="77">
        <f>VLOOKUP(A185,'Standard Deviations'!A1:C666,3,FALSE)</f>
        <v>0.456515136680573</v>
      </c>
      <c r="J185" s="84">
        <f>I185-VLOOKUP(B$2,H1:J392,2,FALSE)</f>
        <v>-4.13361629387893</v>
      </c>
    </row>
    <row r="186" ht="21.25" customHeight="1">
      <c r="A186" t="s" s="10">
        <v>660</v>
      </c>
      <c r="B186" t="s" s="222">
        <f>VLOOKUP(A186,'The List'!B1:D665,3,FALSE)</f>
        <v>178</v>
      </c>
      <c r="C186" s="87">
        <f>IF('Settings'!$E$15="POINTS",RANK(E186,E3:E392),H186)</f>
        <v>259</v>
      </c>
      <c r="D186" t="s" s="86">
        <f>VLOOKUP(A186,'The List'!B1:F665,5,FALSE)</f>
        <v>907</v>
      </c>
      <c r="E186" s="77">
        <f>VLOOKUP(A186,'The List'!B1:I665,8,FALSE)</f>
        <v>183.094240997048</v>
      </c>
      <c r="F186" s="77">
        <f>IF('Settings'!$E$15="POINTS",E186-VLOOKUP(B$2,C1:E392,3,FALSE),J186)</f>
        <v>-123.811763432543</v>
      </c>
      <c r="G186" s="77"/>
      <c r="H186" s="223">
        <f>RANK(I186,I3:I392)</f>
        <v>229</v>
      </c>
      <c r="I186" s="77">
        <f>VLOOKUP(A186,'Standard Deviations'!A1:C666,3,FALSE)</f>
        <v>-1.65041997386226</v>
      </c>
      <c r="J186" s="84">
        <f>I186-VLOOKUP(B$2,H1:J392,2,FALSE)</f>
        <v>-6.24055140442176</v>
      </c>
    </row>
    <row r="187" ht="21.25" customHeight="1">
      <c r="A187" t="s" s="10">
        <v>654</v>
      </c>
      <c r="B187" t="s" s="222">
        <f>VLOOKUP(A187,'The List'!B1:D665,3,FALSE)</f>
        <v>145</v>
      </c>
      <c r="C187" s="87">
        <f>IF('Settings'!$E$15="POINTS",RANK(E187,E3:E392),H187)</f>
        <v>256</v>
      </c>
      <c r="D187" t="s" s="86">
        <f>VLOOKUP(A187,'The List'!B1:F665,5,FALSE)</f>
        <v>905</v>
      </c>
      <c r="E187" s="77">
        <f>VLOOKUP(A187,'The List'!B1:I665,8,FALSE)</f>
        <v>184.645887838037</v>
      </c>
      <c r="F187" s="77">
        <f>IF('Settings'!$E$15="POINTS",E187-VLOOKUP(B$2,C1:E392,3,FALSE),J187)</f>
        <v>-122.260116591554</v>
      </c>
      <c r="G187" s="77"/>
      <c r="H187" s="223">
        <f>RANK(I187,I3:I392)</f>
        <v>267</v>
      </c>
      <c r="I187" s="77">
        <f>VLOOKUP(A187,'Standard Deviations'!A1:C666,3,FALSE)</f>
        <v>-2.67657297097521</v>
      </c>
      <c r="J187" s="84">
        <f>I187-VLOOKUP(B$2,H1:J392,2,FALSE)</f>
        <v>-7.26670440153471</v>
      </c>
    </row>
    <row r="188" ht="21.25" customHeight="1">
      <c r="A188" t="s" s="10">
        <v>652</v>
      </c>
      <c r="B188" t="s" s="222">
        <f>VLOOKUP(A188,'The List'!B1:D665,3,FALSE)</f>
        <v>140</v>
      </c>
      <c r="C188" s="87">
        <f>IF('Settings'!$E$15="POINTS",RANK(E188,E3:E392),H188)</f>
        <v>255</v>
      </c>
      <c r="D188" t="s" s="86">
        <f>VLOOKUP(A188,'The List'!B1:F665,5,FALSE)</f>
        <v>901</v>
      </c>
      <c r="E188" s="77">
        <f>VLOOKUP(A188,'The List'!B1:I665,8,FALSE)</f>
        <v>185.544934011670</v>
      </c>
      <c r="F188" s="77">
        <f>IF('Settings'!$E$15="POINTS",E188-VLOOKUP(B$2,C1:E392,3,FALSE),J188)</f>
        <v>-121.361070417921</v>
      </c>
      <c r="G188" s="77"/>
      <c r="H188" s="223">
        <f>RANK(I188,I3:I392)</f>
        <v>207</v>
      </c>
      <c r="I188" s="77">
        <f>VLOOKUP(A188,'Standard Deviations'!A1:C666,3,FALSE)</f>
        <v>-0.939246081893615</v>
      </c>
      <c r="J188" s="84">
        <f>I188-VLOOKUP(B$2,H1:J392,2,FALSE)</f>
        <v>-5.52937751245312</v>
      </c>
    </row>
    <row r="189" ht="21.25" customHeight="1">
      <c r="A189" t="s" s="10">
        <v>608</v>
      </c>
      <c r="B189" t="s" s="222">
        <f>VLOOKUP(A189,'The List'!B1:D665,3,FALSE)</f>
        <v>140</v>
      </c>
      <c r="C189" s="87">
        <f>IF('Settings'!$E$15="POINTS",RANK(E189,E3:E392),H189)</f>
        <v>231</v>
      </c>
      <c r="D189" t="s" s="86">
        <f>VLOOKUP(A189,'The List'!B1:F665,5,FALSE)</f>
        <v>903</v>
      </c>
      <c r="E189" s="77">
        <f>VLOOKUP(A189,'The List'!B1:I665,8,FALSE)</f>
        <v>198.471615269640</v>
      </c>
      <c r="F189" s="77">
        <f>IF('Settings'!$E$15="POINTS",E189-VLOOKUP(B$2,C1:E392,3,FALSE),J189)</f>
        <v>-108.434389159951</v>
      </c>
      <c r="G189" s="77"/>
      <c r="H189" s="223">
        <f>RANK(I189,I3:I392)</f>
        <v>194</v>
      </c>
      <c r="I189" s="77">
        <f>VLOOKUP(A189,'Standard Deviations'!A1:C666,3,FALSE)</f>
        <v>-0.671905389852661</v>
      </c>
      <c r="J189" s="84">
        <f>I189-VLOOKUP(B$2,H1:J392,2,FALSE)</f>
        <v>-5.26203682041216</v>
      </c>
    </row>
    <row r="190" ht="21.25" customHeight="1">
      <c r="A190" t="s" s="10">
        <v>442</v>
      </c>
      <c r="B190" t="s" s="222">
        <f>VLOOKUP(A190,'The List'!B1:D665,3,FALSE)</f>
        <v>178</v>
      </c>
      <c r="C190" s="87">
        <f>IF('Settings'!$E$15="POINTS",RANK(E190,E3:E392),H190)</f>
        <v>138</v>
      </c>
      <c r="D190" t="s" s="86">
        <f>VLOOKUP(A190,'The List'!B1:F665,5,FALSE)</f>
        <v>207</v>
      </c>
      <c r="E190" s="77">
        <f>VLOOKUP(A190,'The List'!B1:I665,8,FALSE)</f>
        <v>243.329892672432</v>
      </c>
      <c r="F190" s="77">
        <f>IF('Settings'!$E$15="POINTS",E190-VLOOKUP(B$2,C1:E392,3,FALSE),J190)</f>
        <v>-63.576111757159</v>
      </c>
      <c r="G190" s="77"/>
      <c r="H190" s="223">
        <f>RANK(I190,I3:I392)</f>
        <v>150</v>
      </c>
      <c r="I190" s="77">
        <f>VLOOKUP(A190,'Standard Deviations'!A1:C666,3,FALSE)</f>
        <v>0.6429549310086889</v>
      </c>
      <c r="J190" s="84">
        <f>I190-VLOOKUP(B$2,H1:J392,2,FALSE)</f>
        <v>-3.94717649955081</v>
      </c>
    </row>
    <row r="191" ht="21.25" customHeight="1">
      <c r="A191" t="s" s="10">
        <v>493</v>
      </c>
      <c r="B191" t="s" s="222">
        <f>VLOOKUP(A191,'The List'!B1:D665,3,FALSE)</f>
        <v>136</v>
      </c>
      <c r="C191" s="87">
        <f>IF('Settings'!$E$15="POINTS",RANK(E191,E3:E392),H191)</f>
        <v>166</v>
      </c>
      <c r="D191" t="s" s="86">
        <f>VLOOKUP(A191,'The List'!B1:F665,5,FALSE)</f>
        <v>129</v>
      </c>
      <c r="E191" s="77">
        <f>VLOOKUP(A191,'The List'!B1:I665,8,FALSE)</f>
        <v>228.035444042432</v>
      </c>
      <c r="F191" s="77">
        <f>IF('Settings'!$E$15="POINTS",E191-VLOOKUP(B$2,C1:E392,3,FALSE),J191)</f>
        <v>-78.870560387159</v>
      </c>
      <c r="G191" s="77"/>
      <c r="H191" s="223">
        <f>RANK(I191,I3:I392)</f>
        <v>182</v>
      </c>
      <c r="I191" s="77">
        <f>VLOOKUP(A191,'Standard Deviations'!A1:C666,3,FALSE)</f>
        <v>-0.274171546405</v>
      </c>
      <c r="J191" s="84">
        <f>I191-VLOOKUP(B$2,H1:J392,2,FALSE)</f>
        <v>-4.8643029769645</v>
      </c>
    </row>
    <row r="192" ht="21.25" customHeight="1">
      <c r="A192" t="s" s="10">
        <v>552</v>
      </c>
      <c r="B192" t="s" s="222">
        <f>VLOOKUP(A192,'The List'!B1:D665,3,FALSE)</f>
        <v>178</v>
      </c>
      <c r="C192" s="87">
        <f>IF('Settings'!$E$15="POINTS",RANK(E192,E3:E392),H192)</f>
        <v>200</v>
      </c>
      <c r="D192" t="s" s="86">
        <f>VLOOKUP(A192,'The List'!B1:F665,5,FALSE)</f>
        <v>914</v>
      </c>
      <c r="E192" s="77">
        <f>VLOOKUP(A192,'The List'!B1:I665,8,FALSE)</f>
        <v>212.190210641320</v>
      </c>
      <c r="F192" s="77">
        <f>IF('Settings'!$E$15="POINTS",E192-VLOOKUP(B$2,C1:E392,3,FALSE),J192)</f>
        <v>-94.715793788271</v>
      </c>
      <c r="G192" s="77"/>
      <c r="H192" s="223">
        <f>RANK(I192,I3:I392)</f>
        <v>232</v>
      </c>
      <c r="I192" s="77">
        <f>VLOOKUP(A192,'Standard Deviations'!A1:C666,3,FALSE)</f>
        <v>-1.7579425439188</v>
      </c>
      <c r="J192" s="84">
        <f>I192-VLOOKUP(B$2,H1:J392,2,FALSE)</f>
        <v>-6.3480739744783</v>
      </c>
    </row>
    <row r="193" ht="21.25" customHeight="1">
      <c r="A193" t="s" s="10">
        <v>634</v>
      </c>
      <c r="B193" t="s" s="222">
        <f>VLOOKUP(A193,'The List'!B1:D665,3,FALSE)</f>
        <v>128</v>
      </c>
      <c r="C193" s="87">
        <f>IF('Settings'!$E$15="POINTS",RANK(E193,E3:E392),H193)</f>
        <v>254</v>
      </c>
      <c r="D193" t="s" s="86">
        <f>VLOOKUP(A193,'The List'!B1:F665,5,FALSE)</f>
        <v>132</v>
      </c>
      <c r="E193" s="77">
        <f>VLOOKUP(A193,'The List'!B1:I665,8,FALSE)</f>
        <v>185.952016994283</v>
      </c>
      <c r="F193" s="77">
        <f>IF('Settings'!$E$15="POINTS",E193-VLOOKUP(B$2,C1:E392,3,FALSE),J193)</f>
        <v>-120.953987435308</v>
      </c>
      <c r="G193" s="77"/>
      <c r="H193" s="223">
        <f>RANK(I193,I3:I392)</f>
        <v>153</v>
      </c>
      <c r="I193" s="77">
        <f>VLOOKUP(A193,'Standard Deviations'!A1:C666,3,FALSE)</f>
        <v>0.512574510882885</v>
      </c>
      <c r="J193" s="84">
        <f>I193-VLOOKUP(B$2,H1:J392,2,FALSE)</f>
        <v>-4.07755691967662</v>
      </c>
    </row>
    <row r="194" ht="21.25" customHeight="1">
      <c r="A194" t="s" s="10">
        <v>628</v>
      </c>
      <c r="B194" t="s" s="222">
        <f>VLOOKUP(A194,'The List'!B1:D665,3,FALSE)</f>
        <v>178</v>
      </c>
      <c r="C194" s="87">
        <f>IF('Settings'!$E$15="POINTS",RANK(E194,E3:E392),H194)</f>
        <v>243</v>
      </c>
      <c r="D194" t="s" s="86">
        <f>VLOOKUP(A194,'The List'!B1:F665,5,FALSE)</f>
        <v>154</v>
      </c>
      <c r="E194" s="77">
        <f>VLOOKUP(A194,'The List'!B1:I665,8,FALSE)</f>
        <v>194.053287014015</v>
      </c>
      <c r="F194" s="77">
        <f>IF('Settings'!$E$15="POINTS",E194-VLOOKUP(B$2,C1:E392,3,FALSE),J194)</f>
        <v>-112.852717415576</v>
      </c>
      <c r="G194" s="77"/>
      <c r="H194" s="223">
        <f>RANK(I194,I3:I392)</f>
        <v>206</v>
      </c>
      <c r="I194" s="77">
        <f>VLOOKUP(A194,'Standard Deviations'!A1:C666,3,FALSE)</f>
        <v>-0.926077053781044</v>
      </c>
      <c r="J194" s="84">
        <f>I194-VLOOKUP(B$2,H1:J392,2,FALSE)</f>
        <v>-5.51620848434054</v>
      </c>
    </row>
    <row r="195" ht="21.25" customHeight="1">
      <c r="A195" t="s" s="10">
        <v>644</v>
      </c>
      <c r="B195" t="s" s="222">
        <f>VLOOKUP(A195,'The List'!B1:D665,3,FALSE)</f>
        <v>128</v>
      </c>
      <c r="C195" s="87">
        <f>IF('Settings'!$E$15="POINTS",RANK(E195,E3:E392),H195)</f>
        <v>262</v>
      </c>
      <c r="D195" t="s" s="86">
        <f>VLOOKUP(A195,'The List'!B1:F665,5,FALSE)</f>
        <v>878</v>
      </c>
      <c r="E195" s="77">
        <f>VLOOKUP(A195,'The List'!B1:I665,8,FALSE)</f>
        <v>182.193242935889</v>
      </c>
      <c r="F195" s="77">
        <f>IF('Settings'!$E$15="POINTS",E195-VLOOKUP(B$2,C1:E392,3,FALSE),J195)</f>
        <v>-124.712761493702</v>
      </c>
      <c r="G195" s="77"/>
      <c r="H195" s="223">
        <f>RANK(I195,I3:I392)</f>
        <v>175</v>
      </c>
      <c r="I195" s="77">
        <f>VLOOKUP(A195,'Standard Deviations'!A1:C666,3,FALSE)</f>
        <v>-0.174728700349023</v>
      </c>
      <c r="J195" s="84">
        <f>I195-VLOOKUP(B$2,H1:J392,2,FALSE)</f>
        <v>-4.76486013090852</v>
      </c>
    </row>
    <row r="196" ht="21.25" customHeight="1">
      <c r="A196" t="s" s="10">
        <v>662</v>
      </c>
      <c r="B196" t="s" s="222">
        <f>VLOOKUP(A196,'The List'!B1:D665,3,FALSE)</f>
        <v>140</v>
      </c>
      <c r="C196" s="87">
        <f>IF('Settings'!$E$15="POINTS",RANK(E196,E3:E392),H196)</f>
        <v>260</v>
      </c>
      <c r="D196" t="s" s="86">
        <f>VLOOKUP(A196,'The List'!B1:F665,5,FALSE)</f>
        <v>342</v>
      </c>
      <c r="E196" s="77">
        <f>VLOOKUP(A196,'The List'!B1:I665,8,FALSE)</f>
        <v>182.548445862807</v>
      </c>
      <c r="F196" s="77">
        <f>IF('Settings'!$E$15="POINTS",E196-VLOOKUP(B$2,C1:E392,3,FALSE),J196)</f>
        <v>-124.357558566784</v>
      </c>
      <c r="G196" s="77"/>
      <c r="H196" s="223">
        <f>RANK(I196,I3:I392)</f>
        <v>203</v>
      </c>
      <c r="I196" s="77">
        <f>VLOOKUP(A196,'Standard Deviations'!A1:C666,3,FALSE)</f>
        <v>-0.865102991076996</v>
      </c>
      <c r="J196" s="84">
        <f>I196-VLOOKUP(B$2,H1:J392,2,FALSE)</f>
        <v>-5.4552344216365</v>
      </c>
    </row>
    <row r="197" ht="21.25" customHeight="1">
      <c r="A197" t="s" s="10">
        <v>449</v>
      </c>
      <c r="B197" t="s" s="222">
        <f>VLOOKUP(A197,'The List'!B1:D665,3,FALSE)</f>
        <v>128</v>
      </c>
      <c r="C197" s="87">
        <f>IF('Settings'!$E$15="POINTS",RANK(E197,E3:E392),H197)</f>
        <v>152</v>
      </c>
      <c r="D197" t="s" s="86">
        <f>VLOOKUP(A197,'The List'!B1:F665,5,FALSE)</f>
        <v>911</v>
      </c>
      <c r="E197" s="77">
        <f>VLOOKUP(A197,'The List'!B1:I665,8,FALSE)</f>
        <v>236.268452259899</v>
      </c>
      <c r="F197" s="77">
        <f>IF('Settings'!$E$15="POINTS",E197-VLOOKUP(B$2,C1:E392,3,FALSE),J197)</f>
        <v>-70.637552169692</v>
      </c>
      <c r="G197" s="77"/>
      <c r="H197" s="223">
        <f>RANK(I197,I3:I392)</f>
        <v>226</v>
      </c>
      <c r="I197" s="77">
        <f>VLOOKUP(A197,'Standard Deviations'!A1:C666,3,FALSE)</f>
        <v>-1.49174319376564</v>
      </c>
      <c r="J197" s="84">
        <f>I197-VLOOKUP(B$2,H1:J392,2,FALSE)</f>
        <v>-6.08187462432514</v>
      </c>
    </row>
    <row r="198" ht="21.25" customHeight="1">
      <c r="A198" t="s" s="10">
        <v>625</v>
      </c>
      <c r="B198" t="s" s="222">
        <f>VLOOKUP(A198,'The List'!B1:D665,3,FALSE)</f>
        <v>128</v>
      </c>
      <c r="C198" s="87">
        <f>IF('Settings'!$E$15="POINTS",RANK(E198,E3:E392),H198)</f>
        <v>247</v>
      </c>
      <c r="D198" t="s" s="86">
        <f>VLOOKUP(A198,'The List'!B1:F665,5,FALSE)</f>
        <v>909</v>
      </c>
      <c r="E198" s="77">
        <f>VLOOKUP(A198,'The List'!B1:I665,8,FALSE)</f>
        <v>189.671546133777</v>
      </c>
      <c r="F198" s="77">
        <f>IF('Settings'!$E$15="POINTS",E198-VLOOKUP(B$2,C1:E392,3,FALSE),J198)</f>
        <v>-117.234458295814</v>
      </c>
      <c r="G198" s="77"/>
      <c r="H198" s="223">
        <f>RANK(I198,I3:I392)</f>
        <v>238</v>
      </c>
      <c r="I198" s="77">
        <f>VLOOKUP(A198,'Standard Deviations'!A1:C666,3,FALSE)</f>
        <v>-1.83864737512743</v>
      </c>
      <c r="J198" s="84">
        <f>I198-VLOOKUP(B$2,H1:J392,2,FALSE)</f>
        <v>-6.42877880568693</v>
      </c>
    </row>
    <row r="199" ht="21.25" customHeight="1">
      <c r="A199" t="s" s="10">
        <v>698</v>
      </c>
      <c r="B199" t="s" s="222">
        <f>VLOOKUP(A199,'The List'!B1:D665,3,FALSE)</f>
        <v>140</v>
      </c>
      <c r="C199" s="87">
        <f>IF('Settings'!$E$15="POINTS",RANK(E199,E3:E392),H199)</f>
        <v>275</v>
      </c>
      <c r="D199" t="s" s="86">
        <f>VLOOKUP(A199,'The List'!B1:F665,5,FALSE)</f>
        <v>165</v>
      </c>
      <c r="E199" s="77">
        <f>VLOOKUP(A199,'The List'!B1:I665,8,FALSE)</f>
        <v>171.644605779265</v>
      </c>
      <c r="F199" s="77">
        <f>IF('Settings'!$E$15="POINTS",E199-VLOOKUP(B$2,C1:E392,3,FALSE),J199)</f>
        <v>-135.261398650326</v>
      </c>
      <c r="G199" s="77"/>
      <c r="H199" s="223">
        <f>RANK(I199,I3:I392)</f>
        <v>179</v>
      </c>
      <c r="I199" s="77">
        <f>VLOOKUP(A199,'Standard Deviations'!A1:C666,3,FALSE)</f>
        <v>-0.232031930803252</v>
      </c>
      <c r="J199" s="84">
        <f>I199-VLOOKUP(B$2,H1:J392,2,FALSE)</f>
        <v>-4.82216336136275</v>
      </c>
    </row>
    <row r="200" ht="21.25" customHeight="1">
      <c r="A200" t="s" s="10">
        <v>532</v>
      </c>
      <c r="B200" t="s" s="222">
        <f>VLOOKUP(A200,'The List'!B1:D665,3,FALSE)</f>
        <v>136</v>
      </c>
      <c r="C200" s="87">
        <f>IF('Settings'!$E$15="POINTS",RANK(E200,E3:E392),H200)</f>
        <v>189</v>
      </c>
      <c r="D200" t="s" s="86">
        <f>VLOOKUP(A200,'The List'!B1:F665,5,FALSE)</f>
        <v>866</v>
      </c>
      <c r="E200" s="77">
        <f>VLOOKUP(A200,'The List'!B1:I665,8,FALSE)</f>
        <v>217.843309598424</v>
      </c>
      <c r="F200" s="77">
        <f>IF('Settings'!$E$15="POINTS",E200-VLOOKUP(B$2,C1:E392,3,FALSE),J200)</f>
        <v>-89.06269483116699</v>
      </c>
      <c r="G200" s="77"/>
      <c r="H200" s="223">
        <f>RANK(I200,I3:I392)</f>
        <v>193</v>
      </c>
      <c r="I200" s="77">
        <f>VLOOKUP(A200,'Standard Deviations'!A1:C666,3,FALSE)</f>
        <v>-0.668636256169563</v>
      </c>
      <c r="J200" s="84">
        <f>I200-VLOOKUP(B$2,H1:J392,2,FALSE)</f>
        <v>-5.25876768672906</v>
      </c>
    </row>
    <row r="201" ht="21.25" customHeight="1">
      <c r="A201" t="s" s="10">
        <v>596</v>
      </c>
      <c r="B201" t="s" s="222">
        <f>VLOOKUP(A201,'The List'!B1:D665,3,FALSE)</f>
        <v>178</v>
      </c>
      <c r="C201" s="87">
        <f>IF('Settings'!$E$15="POINTS",RANK(E201,E3:E392),H201)</f>
        <v>224</v>
      </c>
      <c r="D201" t="s" s="86">
        <f>VLOOKUP(A201,'The List'!B1:F665,5,FALSE)</f>
        <v>912</v>
      </c>
      <c r="E201" s="77">
        <f>VLOOKUP(A201,'The List'!B1:I665,8,FALSE)</f>
        <v>201.673374562980</v>
      </c>
      <c r="F201" s="77">
        <f>IF('Settings'!$E$15="POINTS",E201-VLOOKUP(B$2,C1:E392,3,FALSE),J201)</f>
        <v>-105.232629866611</v>
      </c>
      <c r="G201" s="77"/>
      <c r="H201" s="223">
        <f>RANK(I201,I3:I392)</f>
        <v>254</v>
      </c>
      <c r="I201" s="77">
        <f>VLOOKUP(A201,'Standard Deviations'!A1:C666,3,FALSE)</f>
        <v>-2.22741777215797</v>
      </c>
      <c r="J201" s="84">
        <f>I201-VLOOKUP(B$2,H1:J392,2,FALSE)</f>
        <v>-6.81754920271747</v>
      </c>
    </row>
    <row r="202" ht="21.25" customHeight="1">
      <c r="A202" t="s" s="10">
        <v>415</v>
      </c>
      <c r="B202" t="s" s="222">
        <f>VLOOKUP(A202,'The List'!B1:D665,3,FALSE)</f>
        <v>128</v>
      </c>
      <c r="C202" s="87">
        <f>IF('Settings'!$E$15="POINTS",RANK(E202,E3:E392),H202)</f>
        <v>133</v>
      </c>
      <c r="D202" t="s" s="86">
        <f>VLOOKUP(A202,'The List'!B1:F665,5,FALSE)</f>
        <v>156</v>
      </c>
      <c r="E202" s="77">
        <f>VLOOKUP(A202,'The List'!B1:I665,8,FALSE)</f>
        <v>246.043119965554</v>
      </c>
      <c r="F202" s="77">
        <f>IF('Settings'!$E$15="POINTS",E202-VLOOKUP(B$2,C1:E392,3,FALSE),J202)</f>
        <v>-60.862884464037</v>
      </c>
      <c r="G202" s="77"/>
      <c r="H202" s="223">
        <f>RANK(I202,I3:I392)</f>
        <v>236</v>
      </c>
      <c r="I202" s="77">
        <f>VLOOKUP(A202,'Standard Deviations'!A1:C666,3,FALSE)</f>
        <v>-1.81722078993685</v>
      </c>
      <c r="J202" s="84">
        <f>I202-VLOOKUP(B$2,H1:J392,2,FALSE)</f>
        <v>-6.40735222049635</v>
      </c>
    </row>
    <row r="203" ht="21.25" customHeight="1">
      <c r="A203" t="s" s="10">
        <v>618</v>
      </c>
      <c r="B203" t="s" s="222">
        <f>VLOOKUP(A203,'The List'!B1:D665,3,FALSE)</f>
        <v>148</v>
      </c>
      <c r="C203" s="87">
        <f>IF('Settings'!$E$15="POINTS",RANK(E203,E3:E392),H203)</f>
        <v>238</v>
      </c>
      <c r="D203" t="s" s="86">
        <f>VLOOKUP(A203,'The List'!B1:F665,5,FALSE)</f>
        <v>908</v>
      </c>
      <c r="E203" s="77">
        <f>VLOOKUP(A203,'The List'!B1:I665,8,FALSE)</f>
        <v>196.202314814113</v>
      </c>
      <c r="F203" s="77">
        <f>IF('Settings'!$E$15="POINTS",E203-VLOOKUP(B$2,C1:E392,3,FALSE),J203)</f>
        <v>-110.703689615478</v>
      </c>
      <c r="G203" s="77"/>
      <c r="H203" s="223">
        <f>RANK(I203,I3:I392)</f>
        <v>204</v>
      </c>
      <c r="I203" s="77">
        <f>VLOOKUP(A203,'Standard Deviations'!A1:C666,3,FALSE)</f>
        <v>-0.876540811286641</v>
      </c>
      <c r="J203" s="84">
        <f>I203-VLOOKUP(B$2,H1:J392,2,FALSE)</f>
        <v>-5.46667224184614</v>
      </c>
    </row>
    <row r="204" ht="21.25" customHeight="1">
      <c r="A204" t="s" s="10">
        <v>572</v>
      </c>
      <c r="B204" t="s" s="222">
        <f>VLOOKUP(A204,'The List'!B1:D665,3,FALSE)</f>
        <v>148</v>
      </c>
      <c r="C204" s="87">
        <f>IF('Settings'!$E$15="POINTS",RANK(E204,E3:E392),H204)</f>
        <v>210</v>
      </c>
      <c r="D204" t="s" s="86">
        <f>VLOOKUP(A204,'The List'!B1:F665,5,FALSE)</f>
        <v>267</v>
      </c>
      <c r="E204" s="77">
        <f>VLOOKUP(A204,'The List'!B1:I665,8,FALSE)</f>
        <v>207.643482632290</v>
      </c>
      <c r="F204" s="77">
        <f>IF('Settings'!$E$15="POINTS",E204-VLOOKUP(B$2,C1:E392,3,FALSE),J204)</f>
        <v>-99.26252179730101</v>
      </c>
      <c r="G204" s="77"/>
      <c r="H204" s="223">
        <f>RANK(I204,I3:I392)</f>
        <v>160</v>
      </c>
      <c r="I204" s="77">
        <f>VLOOKUP(A204,'Standard Deviations'!A1:C666,3,FALSE)</f>
        <v>0.353090057563605</v>
      </c>
      <c r="J204" s="84">
        <f>I204-VLOOKUP(B$2,H1:J392,2,FALSE)</f>
        <v>-4.2370413729959</v>
      </c>
    </row>
    <row r="205" ht="21.25" customHeight="1">
      <c r="A205" t="s" s="10">
        <v>538</v>
      </c>
      <c r="B205" t="s" s="222">
        <f>VLOOKUP(A205,'The List'!B1:D665,3,FALSE)</f>
        <v>178</v>
      </c>
      <c r="C205" s="87">
        <f>IF('Settings'!$E$15="POINTS",RANK(E205,E3:E392),H205)</f>
        <v>194</v>
      </c>
      <c r="D205" t="s" s="86">
        <f>VLOOKUP(A205,'The List'!B1:F665,5,FALSE)</f>
        <v>901</v>
      </c>
      <c r="E205" s="77">
        <f>VLOOKUP(A205,'The List'!B1:I665,8,FALSE)</f>
        <v>215.477692887401</v>
      </c>
      <c r="F205" s="77">
        <f>IF('Settings'!$E$15="POINTS",E205-VLOOKUP(B$2,C1:E392,3,FALSE),J205)</f>
        <v>-91.428311542190</v>
      </c>
      <c r="G205" s="77"/>
      <c r="H205" s="223">
        <f>RANK(I205,I3:I392)</f>
        <v>196</v>
      </c>
      <c r="I205" s="77">
        <f>VLOOKUP(A205,'Standard Deviations'!A1:C666,3,FALSE)</f>
        <v>-0.709240997538689</v>
      </c>
      <c r="J205" s="84">
        <f>I205-VLOOKUP(B$2,H1:J392,2,FALSE)</f>
        <v>-5.29937242809819</v>
      </c>
    </row>
    <row r="206" ht="21.25" customHeight="1">
      <c r="A206" t="s" s="10">
        <v>429</v>
      </c>
      <c r="B206" t="s" s="222">
        <f>VLOOKUP(A206,'The List'!B1:D665,3,FALSE)</f>
        <v>128</v>
      </c>
      <c r="C206" s="87">
        <f>IF('Settings'!$E$15="POINTS",RANK(E206,E3:E392),H206)</f>
        <v>142</v>
      </c>
      <c r="D206" t="s" s="86">
        <f>VLOOKUP(A206,'The List'!B1:F665,5,FALSE)</f>
        <v>871</v>
      </c>
      <c r="E206" s="77">
        <f>VLOOKUP(A206,'The List'!B1:I665,8,FALSE)</f>
        <v>241.793000654110</v>
      </c>
      <c r="F206" s="77">
        <f>IF('Settings'!$E$15="POINTS",E206-VLOOKUP(B$2,C1:E392,3,FALSE),J206)</f>
        <v>-65.113003775481</v>
      </c>
      <c r="G206" s="77"/>
      <c r="H206" s="223">
        <f>RANK(I206,I3:I392)</f>
        <v>191</v>
      </c>
      <c r="I206" s="77">
        <f>VLOOKUP(A206,'Standard Deviations'!A1:C666,3,FALSE)</f>
        <v>-0.612425169273255</v>
      </c>
      <c r="J206" s="84">
        <f>I206-VLOOKUP(B$2,H1:J392,2,FALSE)</f>
        <v>-5.20255659983276</v>
      </c>
    </row>
    <row r="207" ht="21.25" customHeight="1">
      <c r="A207" t="s" s="10">
        <v>677</v>
      </c>
      <c r="B207" t="s" s="222">
        <f>VLOOKUP(A207,'The List'!B1:D665,3,FALSE)</f>
        <v>178</v>
      </c>
      <c r="C207" s="87">
        <f>IF('Settings'!$E$15="POINTS",RANK(E207,E3:E392),H207)</f>
        <v>270</v>
      </c>
      <c r="D207" t="s" s="86">
        <f>VLOOKUP(A207,'The List'!B1:F665,5,FALSE)</f>
        <v>903</v>
      </c>
      <c r="E207" s="77">
        <f>VLOOKUP(A207,'The List'!B1:I665,8,FALSE)</f>
        <v>177.624466954397</v>
      </c>
      <c r="F207" s="77">
        <f>IF('Settings'!$E$15="POINTS",E207-VLOOKUP(B$2,C1:E392,3,FALSE),J207)</f>
        <v>-129.281537475194</v>
      </c>
      <c r="G207" s="77"/>
      <c r="H207" s="223">
        <f>RANK(I207,I3:I392)</f>
        <v>190</v>
      </c>
      <c r="I207" s="77">
        <f>VLOOKUP(A207,'Standard Deviations'!A1:C666,3,FALSE)</f>
        <v>-0.558016710194123</v>
      </c>
      <c r="J207" s="84">
        <f>I207-VLOOKUP(B$2,H1:J392,2,FALSE)</f>
        <v>-5.14814814075362</v>
      </c>
    </row>
    <row r="208" ht="21.25" customHeight="1">
      <c r="A208" t="s" s="10">
        <v>673</v>
      </c>
      <c r="B208" t="s" s="222">
        <f>VLOOKUP(A208,'The List'!B1:D665,3,FALSE)</f>
        <v>145</v>
      </c>
      <c r="C208" s="87">
        <f>IF('Settings'!$E$15="POINTS",RANK(E208,E3:E392),H208)</f>
        <v>268</v>
      </c>
      <c r="D208" t="s" s="86">
        <f>VLOOKUP(A208,'The List'!B1:F665,5,FALSE)</f>
        <v>174</v>
      </c>
      <c r="E208" s="77">
        <f>VLOOKUP(A208,'The List'!B1:I665,8,FALSE)</f>
        <v>178.425040179140</v>
      </c>
      <c r="F208" s="77">
        <f>IF('Settings'!$E$15="POINTS",E208-VLOOKUP(B$2,C1:E392,3,FALSE),J208)</f>
        <v>-128.480964250451</v>
      </c>
      <c r="G208" s="77"/>
      <c r="H208" s="223">
        <f>RANK(I208,I3:I392)</f>
        <v>224</v>
      </c>
      <c r="I208" s="77">
        <f>VLOOKUP(A208,'Standard Deviations'!A1:C666,3,FALSE)</f>
        <v>-1.36776484270839</v>
      </c>
      <c r="J208" s="84">
        <f>I208-VLOOKUP(B$2,H1:J392,2,FALSE)</f>
        <v>-5.95789627326789</v>
      </c>
    </row>
    <row r="209" ht="21.25" customHeight="1">
      <c r="A209" t="s" s="10">
        <v>518</v>
      </c>
      <c r="B209" t="s" s="222">
        <f>VLOOKUP(A209,'The List'!B1:D665,3,FALSE)</f>
        <v>128</v>
      </c>
      <c r="C209" s="87">
        <f>IF('Settings'!$E$15="POINTS",RANK(E209,E3:E392),H209)</f>
        <v>192</v>
      </c>
      <c r="D209" t="s" s="86">
        <f>VLOOKUP(A209,'The List'!B1:F665,5,FALSE)</f>
        <v>914</v>
      </c>
      <c r="E209" s="77">
        <f>VLOOKUP(A209,'The List'!B1:I665,8,FALSE)</f>
        <v>216.940205532548</v>
      </c>
      <c r="F209" s="77">
        <f>IF('Settings'!$E$15="POINTS",E209-VLOOKUP(B$2,C1:E392,3,FALSE),J209)</f>
        <v>-89.965798897043</v>
      </c>
      <c r="G209" s="77"/>
      <c r="H209" s="223">
        <f>RANK(I209,I3:I392)</f>
        <v>305</v>
      </c>
      <c r="I209" s="77">
        <f>VLOOKUP(A209,'Standard Deviations'!A1:C666,3,FALSE)</f>
        <v>-3.24719529277182</v>
      </c>
      <c r="J209" s="84">
        <f>I209-VLOOKUP(B$2,H1:J392,2,FALSE)</f>
        <v>-7.83732672333132</v>
      </c>
    </row>
    <row r="210" ht="21.25" customHeight="1">
      <c r="A210" t="s" s="10">
        <v>353</v>
      </c>
      <c r="B210" t="s" s="222">
        <f>VLOOKUP(A210,'The List'!B1:D665,3,FALSE)</f>
        <v>128</v>
      </c>
      <c r="C210" s="87">
        <f>IF('Settings'!$E$15="POINTS",RANK(E210,E3:E392),H210)</f>
        <v>102</v>
      </c>
      <c r="D210" t="s" s="86">
        <f>VLOOKUP(A210,'The List'!B1:F665,5,FALSE)</f>
        <v>207</v>
      </c>
      <c r="E210" s="77">
        <f>VLOOKUP(A210,'The List'!B1:I665,8,FALSE)</f>
        <v>273.613678328890</v>
      </c>
      <c r="F210" s="77">
        <f>IF('Settings'!$E$15="POINTS",E210-VLOOKUP(B$2,C1:E392,3,FALSE),J210)</f>
        <v>-33.292326100701</v>
      </c>
      <c r="G210" s="77"/>
      <c r="H210" s="223">
        <f>RANK(I210,I3:I392)</f>
        <v>208</v>
      </c>
      <c r="I210" s="77">
        <f>VLOOKUP(A210,'Standard Deviations'!A1:C666,3,FALSE)</f>
        <v>-0.958855805582807</v>
      </c>
      <c r="J210" s="84">
        <f>I210-VLOOKUP(B$2,H1:J392,2,FALSE)</f>
        <v>-5.54898723614231</v>
      </c>
    </row>
    <row r="211" ht="21.25" customHeight="1">
      <c r="A211" t="s" s="10">
        <v>590</v>
      </c>
      <c r="B211" t="s" s="222">
        <f>VLOOKUP(A211,'The List'!B1:D665,3,FALSE)</f>
        <v>178</v>
      </c>
      <c r="C211" s="87">
        <f>IF('Settings'!$E$15="POINTS",RANK(E211,E3:E392),H211)</f>
        <v>221</v>
      </c>
      <c r="D211" t="s" s="86">
        <f>VLOOKUP(A211,'The List'!B1:F665,5,FALSE)</f>
        <v>901</v>
      </c>
      <c r="E211" s="77">
        <f>VLOOKUP(A211,'The List'!B1:I665,8,FALSE)</f>
        <v>203.716579047016</v>
      </c>
      <c r="F211" s="77">
        <f>IF('Settings'!$E$15="POINTS",E211-VLOOKUP(B$2,C1:E392,3,FALSE),J211)</f>
        <v>-103.189425382575</v>
      </c>
      <c r="G211" s="77"/>
      <c r="H211" s="223">
        <f>RANK(I211,I3:I392)</f>
        <v>167</v>
      </c>
      <c r="I211" s="77">
        <f>VLOOKUP(A211,'Standard Deviations'!A1:C666,3,FALSE)</f>
        <v>0.0451562839712444</v>
      </c>
      <c r="J211" s="84">
        <f>I211-VLOOKUP(B$2,H1:J392,2,FALSE)</f>
        <v>-4.54497514658826</v>
      </c>
    </row>
    <row r="212" ht="21.25" customHeight="1">
      <c r="A212" t="s" s="10">
        <v>498</v>
      </c>
      <c r="B212" t="s" s="222">
        <f>VLOOKUP(A212,'The List'!B1:D665,3,FALSE)</f>
        <v>128</v>
      </c>
      <c r="C212" s="87">
        <f>IF('Settings'!$E$15="POINTS",RANK(E212,E3:E392),H212)</f>
        <v>178</v>
      </c>
      <c r="D212" t="s" s="86">
        <f>VLOOKUP(A212,'The List'!B1:F665,5,FALSE)</f>
        <v>149</v>
      </c>
      <c r="E212" s="77">
        <f>VLOOKUP(A212,'The List'!B1:I665,8,FALSE)</f>
        <v>221.700691396207</v>
      </c>
      <c r="F212" s="77">
        <f>IF('Settings'!$E$15="POINTS",E212-VLOOKUP(B$2,C1:E392,3,FALSE),J212)</f>
        <v>-85.205313033384</v>
      </c>
      <c r="G212" s="77"/>
      <c r="H212" s="223">
        <f>RANK(I212,I3:I392)</f>
        <v>178</v>
      </c>
      <c r="I212" s="77">
        <f>VLOOKUP(A212,'Standard Deviations'!A1:C666,3,FALSE)</f>
        <v>-0.202838306675881</v>
      </c>
      <c r="J212" s="84">
        <f>I212-VLOOKUP(B$2,H1:J392,2,FALSE)</f>
        <v>-4.79296973723538</v>
      </c>
    </row>
    <row r="213" ht="21.25" customHeight="1">
      <c r="A213" t="s" s="10">
        <v>576</v>
      </c>
      <c r="B213" t="s" s="222">
        <f>VLOOKUP(A213,'The List'!B1:D665,3,FALSE)</f>
        <v>178</v>
      </c>
      <c r="C213" s="87">
        <f>IF('Settings'!$E$15="POINTS",RANK(E213,E3:E392),H213)</f>
        <v>212</v>
      </c>
      <c r="D213" t="s" s="86">
        <f>VLOOKUP(A213,'The List'!B1:F665,5,FALSE)</f>
        <v>900</v>
      </c>
      <c r="E213" s="77">
        <f>VLOOKUP(A213,'The List'!B1:I665,8,FALSE)</f>
        <v>206.763402619128</v>
      </c>
      <c r="F213" s="77">
        <f>IF('Settings'!$E$15="POINTS",E213-VLOOKUP(B$2,C1:E392,3,FALSE),J213)</f>
        <v>-100.142601810463</v>
      </c>
      <c r="G213" s="77"/>
      <c r="H213" s="223">
        <f>RANK(I213,I3:I392)</f>
        <v>180</v>
      </c>
      <c r="I213" s="77">
        <f>VLOOKUP(A213,'Standard Deviations'!A1:C666,3,FALSE)</f>
        <v>-0.241181232174002</v>
      </c>
      <c r="J213" s="84">
        <f>I213-VLOOKUP(B$2,H1:J392,2,FALSE)</f>
        <v>-4.8313126627335</v>
      </c>
    </row>
    <row r="214" ht="21.25" customHeight="1">
      <c r="A214" t="s" s="10">
        <v>626</v>
      </c>
      <c r="B214" t="s" s="222">
        <f>VLOOKUP(A214,'The List'!B1:D665,3,FALSE)</f>
        <v>178</v>
      </c>
      <c r="C214" s="87">
        <f>IF('Settings'!$E$15="POINTS",RANK(E214,E3:E392),H214)</f>
        <v>242</v>
      </c>
      <c r="D214" t="s" s="86">
        <f>VLOOKUP(A214,'The List'!B1:F665,5,FALSE)</f>
        <v>259</v>
      </c>
      <c r="E214" s="77">
        <f>VLOOKUP(A214,'The List'!B1:I665,8,FALSE)</f>
        <v>194.322700309115</v>
      </c>
      <c r="F214" s="77">
        <f>IF('Settings'!$E$15="POINTS",E214-VLOOKUP(B$2,C1:E392,3,FALSE),J214)</f>
        <v>-112.583304120476</v>
      </c>
      <c r="G214" s="77"/>
      <c r="H214" s="223">
        <f>RANK(I214,I3:I392)</f>
        <v>225</v>
      </c>
      <c r="I214" s="77">
        <f>VLOOKUP(A214,'Standard Deviations'!A1:C666,3,FALSE)</f>
        <v>-1.4795595547711</v>
      </c>
      <c r="J214" s="84">
        <f>I214-VLOOKUP(B$2,H1:J392,2,FALSE)</f>
        <v>-6.0696909853306</v>
      </c>
    </row>
    <row r="215" ht="21.25" customHeight="1">
      <c r="A215" t="s" s="10">
        <v>511</v>
      </c>
      <c r="B215" t="s" s="222">
        <f>VLOOKUP(A215,'The List'!B1:D665,3,FALSE)</f>
        <v>178</v>
      </c>
      <c r="C215" s="87">
        <f>IF('Settings'!$E$15="POINTS",RANK(E215,E3:E392),H215)</f>
        <v>174</v>
      </c>
      <c r="D215" t="s" s="86">
        <f>VLOOKUP(A215,'The List'!B1:F665,5,FALSE)</f>
        <v>907</v>
      </c>
      <c r="E215" s="77">
        <f>VLOOKUP(A215,'The List'!B1:I665,8,FALSE)</f>
        <v>222.430096246728</v>
      </c>
      <c r="F215" s="77">
        <f>IF('Settings'!$E$15="POINTS",E215-VLOOKUP(B$2,C1:E392,3,FALSE),J215)</f>
        <v>-84.47590818286299</v>
      </c>
      <c r="G215" s="77"/>
      <c r="H215" s="223">
        <f>RANK(I215,I3:I392)</f>
        <v>156</v>
      </c>
      <c r="I215" s="77">
        <f>VLOOKUP(A215,'Standard Deviations'!A1:C666,3,FALSE)</f>
        <v>0.49166961904137</v>
      </c>
      <c r="J215" s="84">
        <f>I215-VLOOKUP(B$2,H1:J392,2,FALSE)</f>
        <v>-4.09846181151813</v>
      </c>
    </row>
    <row r="216" ht="21.25" customHeight="1">
      <c r="A216" t="s" s="10">
        <v>437</v>
      </c>
      <c r="B216" t="s" s="222">
        <f>VLOOKUP(A216,'The List'!B1:D665,3,FALSE)</f>
        <v>145</v>
      </c>
      <c r="C216" s="87">
        <f>IF('Settings'!$E$15="POINTS",RANK(E216,E3:E392),H216)</f>
        <v>134</v>
      </c>
      <c r="D216" t="s" s="86">
        <f>VLOOKUP(A216,'The List'!B1:F665,5,FALSE)</f>
        <v>899</v>
      </c>
      <c r="E216" s="77">
        <f>VLOOKUP(A216,'The List'!B1:I665,8,FALSE)</f>
        <v>245.399218627563</v>
      </c>
      <c r="F216" s="77">
        <f>IF('Settings'!$E$15="POINTS",E216-VLOOKUP(B$2,C1:E392,3,FALSE),J216)</f>
        <v>-61.506785802028</v>
      </c>
      <c r="G216" s="77"/>
      <c r="H216" s="223">
        <f>RANK(I216,I3:I392)</f>
        <v>198</v>
      </c>
      <c r="I216" s="77">
        <f>VLOOKUP(A216,'Standard Deviations'!A1:C666,3,FALSE)</f>
        <v>-0.714883388483898</v>
      </c>
      <c r="J216" s="84">
        <f>I216-VLOOKUP(B$2,H1:J392,2,FALSE)</f>
        <v>-5.3050148190434</v>
      </c>
    </row>
    <row r="217" ht="21.25" customHeight="1">
      <c r="A217" t="s" s="10">
        <v>617</v>
      </c>
      <c r="B217" t="s" s="222">
        <f>VLOOKUP(A217,'The List'!B1:D665,3,FALSE)</f>
        <v>140</v>
      </c>
      <c r="C217" s="87">
        <f>IF('Settings'!$E$15="POINTS",RANK(E217,E3:E392),H217)</f>
        <v>237</v>
      </c>
      <c r="D217" t="s" s="86">
        <f>VLOOKUP(A217,'The List'!B1:F665,5,FALSE)</f>
        <v>259</v>
      </c>
      <c r="E217" s="77">
        <f>VLOOKUP(A217,'The List'!B1:I665,8,FALSE)</f>
        <v>196.540840439380</v>
      </c>
      <c r="F217" s="77">
        <f>IF('Settings'!$E$15="POINTS",E217-VLOOKUP(B$2,C1:E392,3,FALSE),J217)</f>
        <v>-110.365163990211</v>
      </c>
      <c r="G217" s="77"/>
      <c r="H217" s="223">
        <f>RANK(I217,I3:I392)</f>
        <v>213</v>
      </c>
      <c r="I217" s="77">
        <f>VLOOKUP(A217,'Standard Deviations'!A1:C666,3,FALSE)</f>
        <v>-1.03499206683792</v>
      </c>
      <c r="J217" s="84">
        <f>I217-VLOOKUP(B$2,H1:J392,2,FALSE)</f>
        <v>-5.62512349739742</v>
      </c>
    </row>
    <row r="218" ht="21.25" customHeight="1">
      <c r="A218" t="s" s="10">
        <v>483</v>
      </c>
      <c r="B218" t="s" s="222">
        <f>VLOOKUP(A218,'The List'!B1:D665,3,FALSE)</f>
        <v>178</v>
      </c>
      <c r="C218" s="87">
        <f>IF('Settings'!$E$15="POINTS",RANK(E218,E3:E392),H218)</f>
        <v>162</v>
      </c>
      <c r="D218" t="s" s="86">
        <f>VLOOKUP(A218,'The List'!B1:F665,5,FALSE)</f>
        <v>132</v>
      </c>
      <c r="E218" s="77">
        <f>VLOOKUP(A218,'The List'!B1:I665,8,FALSE)</f>
        <v>231.185775424340</v>
      </c>
      <c r="F218" s="77">
        <f>IF('Settings'!$E$15="POINTS",E218-VLOOKUP(B$2,C1:E392,3,FALSE),J218)</f>
        <v>-75.720229005251</v>
      </c>
      <c r="G218" s="77"/>
      <c r="H218" s="223">
        <f>RANK(I218,I3:I392)</f>
        <v>181</v>
      </c>
      <c r="I218" s="77">
        <f>VLOOKUP(A218,'Standard Deviations'!A1:C666,3,FALSE)</f>
        <v>-0.264149396526303</v>
      </c>
      <c r="J218" s="84">
        <f>I218-VLOOKUP(B$2,H1:J392,2,FALSE)</f>
        <v>-4.8542808270858</v>
      </c>
    </row>
    <row r="219" ht="21.25" customHeight="1">
      <c r="A219" t="s" s="10">
        <v>570</v>
      </c>
      <c r="B219" t="s" s="222">
        <f>VLOOKUP(A219,'The List'!B1:D665,3,FALSE)</f>
        <v>178</v>
      </c>
      <c r="C219" s="87">
        <f>IF('Settings'!$E$15="POINTS",RANK(E219,E3:E392),H219)</f>
        <v>209</v>
      </c>
      <c r="D219" t="s" s="86">
        <f>VLOOKUP(A219,'The List'!B1:F665,5,FALSE)</f>
        <v>154</v>
      </c>
      <c r="E219" s="77">
        <f>VLOOKUP(A219,'The List'!B1:I665,8,FALSE)</f>
        <v>207.974219358415</v>
      </c>
      <c r="F219" s="77">
        <f>IF('Settings'!$E$15="POINTS",E219-VLOOKUP(B$2,C1:E392,3,FALSE),J219)</f>
        <v>-98.93178507117599</v>
      </c>
      <c r="G219" s="77"/>
      <c r="H219" s="223">
        <f>RANK(I219,I3:I392)</f>
        <v>215</v>
      </c>
      <c r="I219" s="77">
        <f>VLOOKUP(A219,'Standard Deviations'!A1:C666,3,FALSE)</f>
        <v>-1.07934419233166</v>
      </c>
      <c r="J219" s="84">
        <f>I219-VLOOKUP(B$2,H1:J392,2,FALSE)</f>
        <v>-5.66947562289116</v>
      </c>
    </row>
    <row r="220" ht="21.25" customHeight="1">
      <c r="A220" t="s" s="10">
        <v>391</v>
      </c>
      <c r="B220" t="s" s="222">
        <f>VLOOKUP(A220,'The List'!B1:D665,3,FALSE)</f>
        <v>128</v>
      </c>
      <c r="C220" s="87">
        <f>IF('Settings'!$E$15="POINTS",RANK(E220,E3:E392),H220)</f>
        <v>121</v>
      </c>
      <c r="D220" t="s" s="86">
        <f>VLOOKUP(A220,'The List'!B1:F665,5,FALSE)</f>
        <v>906</v>
      </c>
      <c r="E220" s="77">
        <f>VLOOKUP(A220,'The List'!B1:I665,8,FALSE)</f>
        <v>257.380177594157</v>
      </c>
      <c r="F220" s="77">
        <f>IF('Settings'!$E$15="POINTS",E220-VLOOKUP(B$2,C1:E392,3,FALSE),J220)</f>
        <v>-49.525826835434</v>
      </c>
      <c r="G220" s="77"/>
      <c r="H220" s="223">
        <f>RANK(I220,I3:I392)</f>
        <v>195</v>
      </c>
      <c r="I220" s="77">
        <f>VLOOKUP(A220,'Standard Deviations'!A1:C666,3,FALSE)</f>
        <v>-0.69061584332697</v>
      </c>
      <c r="J220" s="84">
        <f>I220-VLOOKUP(B$2,H1:J392,2,FALSE)</f>
        <v>-5.28074727388647</v>
      </c>
    </row>
    <row r="221" ht="21.25" customHeight="1">
      <c r="A221" t="s" s="10">
        <v>490</v>
      </c>
      <c r="B221" t="s" s="222">
        <f>VLOOKUP(A221,'The List'!B1:D665,3,FALSE)</f>
        <v>128</v>
      </c>
      <c r="C221" s="87">
        <f>IF('Settings'!$E$15="POINTS",RANK(E221,E3:E392),H221)</f>
        <v>171</v>
      </c>
      <c r="D221" t="s" s="86">
        <f>VLOOKUP(A221,'The List'!B1:F665,5,FALSE)</f>
        <v>908</v>
      </c>
      <c r="E221" s="77">
        <f>VLOOKUP(A221,'The List'!B1:I665,8,FALSE)</f>
        <v>223.744960971686</v>
      </c>
      <c r="F221" s="77">
        <f>IF('Settings'!$E$15="POINTS",E221-VLOOKUP(B$2,C1:E392,3,FALSE),J221)</f>
        <v>-83.161043457905</v>
      </c>
      <c r="G221" s="77"/>
      <c r="H221" s="223">
        <f>RANK(I221,I3:I392)</f>
        <v>217</v>
      </c>
      <c r="I221" s="77">
        <f>VLOOKUP(A221,'Standard Deviations'!A1:C666,3,FALSE)</f>
        <v>-1.16752554867308</v>
      </c>
      <c r="J221" s="84">
        <f>I221-VLOOKUP(B$2,H1:J392,2,FALSE)</f>
        <v>-5.75765697923258</v>
      </c>
    </row>
    <row r="222" ht="21.25" customHeight="1">
      <c r="A222" t="s" s="10">
        <v>741</v>
      </c>
      <c r="B222" t="s" s="222">
        <f>VLOOKUP(A222,'The List'!B1:D665,3,FALSE)</f>
        <v>178</v>
      </c>
      <c r="C222" s="87">
        <f>IF('Settings'!$E$15="POINTS",RANK(E222,E3:E392),H222)</f>
        <v>305</v>
      </c>
      <c r="D222" t="s" s="86">
        <f>VLOOKUP(A222,'The List'!B1:F665,5,FALSE)</f>
        <v>911</v>
      </c>
      <c r="E222" s="77">
        <f>VLOOKUP(A222,'The List'!B1:I665,8,FALSE)</f>
        <v>159.358744932452</v>
      </c>
      <c r="F222" s="77">
        <f>IF('Settings'!$E$15="POINTS",E222-VLOOKUP(B$2,C1:E392,3,FALSE),J222)</f>
        <v>-147.547259497139</v>
      </c>
      <c r="G222" s="77"/>
      <c r="H222" s="223">
        <f>RANK(I222,I3:I392)</f>
        <v>228</v>
      </c>
      <c r="I222" s="77">
        <f>VLOOKUP(A222,'Standard Deviations'!A1:C666,3,FALSE)</f>
        <v>-1.60878012642959</v>
      </c>
      <c r="J222" s="84">
        <f>I222-VLOOKUP(B$2,H1:J392,2,FALSE)</f>
        <v>-6.19891155698909</v>
      </c>
    </row>
    <row r="223" ht="21.25" customHeight="1">
      <c r="A223" t="s" s="10">
        <v>581</v>
      </c>
      <c r="B223" t="s" s="222">
        <f>VLOOKUP(A223,'The List'!B1:D665,3,FALSE)</f>
        <v>136</v>
      </c>
      <c r="C223" s="87">
        <f>IF('Settings'!$E$15="POINTS",RANK(E223,E3:E392),H223)</f>
        <v>216</v>
      </c>
      <c r="D223" t="s" s="86">
        <f>VLOOKUP(A223,'The List'!B1:F665,5,FALSE)</f>
        <v>900</v>
      </c>
      <c r="E223" s="77">
        <f>VLOOKUP(A223,'The List'!B1:I665,8,FALSE)</f>
        <v>205.405401194184</v>
      </c>
      <c r="F223" s="77">
        <f>IF('Settings'!$E$15="POINTS",E223-VLOOKUP(B$2,C1:E392,3,FALSE),J223)</f>
        <v>-101.500603235407</v>
      </c>
      <c r="G223" s="77"/>
      <c r="H223" s="223">
        <f>RANK(I223,I3:I392)</f>
        <v>189</v>
      </c>
      <c r="I223" s="77">
        <f>VLOOKUP(A223,'Standard Deviations'!A1:C666,3,FALSE)</f>
        <v>-0.469731966088611</v>
      </c>
      <c r="J223" s="84">
        <f>I223-VLOOKUP(B$2,H1:J392,2,FALSE)</f>
        <v>-5.05986339664811</v>
      </c>
    </row>
    <row r="224" ht="21.25" customHeight="1">
      <c r="A224" t="s" s="10">
        <v>452</v>
      </c>
      <c r="B224" t="s" s="222">
        <f>VLOOKUP(A224,'The List'!B1:D665,3,FALSE)</f>
        <v>178</v>
      </c>
      <c r="C224" s="87">
        <f>IF('Settings'!$E$15="POINTS",RANK(E224,E3:E392),H224)</f>
        <v>147</v>
      </c>
      <c r="D224" t="s" s="86">
        <f>VLOOKUP(A224,'The List'!B1:F665,5,FALSE)</f>
        <v>129</v>
      </c>
      <c r="E224" s="77">
        <f>VLOOKUP(A224,'The List'!B1:I665,8,FALSE)</f>
        <v>239.773159021325</v>
      </c>
      <c r="F224" s="77">
        <f>IF('Settings'!$E$15="POINTS",E224-VLOOKUP(B$2,C1:E392,3,FALSE),J224)</f>
        <v>-67.13284540826599</v>
      </c>
      <c r="G224" s="77"/>
      <c r="H224" s="223">
        <f>RANK(I224,I3:I392)</f>
        <v>188</v>
      </c>
      <c r="I224" s="77">
        <f>VLOOKUP(A224,'Standard Deviations'!A1:C666,3,FALSE)</f>
        <v>-0.450586998800004</v>
      </c>
      <c r="J224" s="84">
        <f>I224-VLOOKUP(B$2,H1:J392,2,FALSE)</f>
        <v>-5.0407184293595</v>
      </c>
    </row>
    <row r="225" ht="21.25" customHeight="1">
      <c r="A225" t="s" s="10">
        <v>705</v>
      </c>
      <c r="B225" t="s" s="222">
        <f>VLOOKUP(A225,'The List'!B1:D665,3,FALSE)</f>
        <v>128</v>
      </c>
      <c r="C225" s="87">
        <f>IF('Settings'!$E$15="POINTS",RANK(E225,E3:E392),H225)</f>
        <v>293</v>
      </c>
      <c r="D225" t="s" s="86">
        <f>VLOOKUP(A225,'The List'!B1:F665,5,FALSE)</f>
        <v>259</v>
      </c>
      <c r="E225" s="77">
        <f>VLOOKUP(A225,'The List'!B1:I665,8,FALSE)</f>
        <v>164.808179063976</v>
      </c>
      <c r="F225" s="77">
        <f>IF('Settings'!$E$15="POINTS",E225-VLOOKUP(B$2,C1:E392,3,FALSE),J225)</f>
        <v>-142.097825365615</v>
      </c>
      <c r="G225" s="77"/>
      <c r="H225" s="223">
        <f>RANK(I225,I3:I392)</f>
        <v>255</v>
      </c>
      <c r="I225" s="77">
        <f>VLOOKUP(A225,'Standard Deviations'!A1:C666,3,FALSE)</f>
        <v>-2.22848850154597</v>
      </c>
      <c r="J225" s="84">
        <f>I225-VLOOKUP(B$2,H1:J392,2,FALSE)</f>
        <v>-6.81861993210547</v>
      </c>
    </row>
    <row r="226" ht="21.25" customHeight="1">
      <c r="A226" t="s" s="10">
        <v>468</v>
      </c>
      <c r="B226" t="s" s="222">
        <f>VLOOKUP(A226,'The List'!B1:D665,3,FALSE)</f>
        <v>136</v>
      </c>
      <c r="C226" s="87">
        <f>IF('Settings'!$E$15="POINTS",RANK(E226,E3:E392),H226)</f>
        <v>154</v>
      </c>
      <c r="D226" t="s" s="86">
        <f>VLOOKUP(A226,'The List'!B1:F665,5,FALSE)</f>
        <v>910</v>
      </c>
      <c r="E226" s="77">
        <f>VLOOKUP(A226,'The List'!B1:I665,8,FALSE)</f>
        <v>235.156306873962</v>
      </c>
      <c r="F226" s="77">
        <f>IF('Settings'!$E$15="POINTS",E226-VLOOKUP(B$2,C1:E392,3,FALSE),J226)</f>
        <v>-71.749697555629</v>
      </c>
      <c r="G226" s="77"/>
      <c r="H226" s="223">
        <f>RANK(I226,I3:I392)</f>
        <v>279</v>
      </c>
      <c r="I226" s="77">
        <f>VLOOKUP(A226,'Standard Deviations'!A1:C666,3,FALSE)</f>
        <v>-2.86163103423953</v>
      </c>
      <c r="J226" s="84">
        <f>I226-VLOOKUP(B$2,H1:J392,2,FALSE)</f>
        <v>-7.45176246479903</v>
      </c>
    </row>
    <row r="227" ht="21.25" customHeight="1">
      <c r="A227" t="s" s="10">
        <v>613</v>
      </c>
      <c r="B227" t="s" s="222">
        <f>VLOOKUP(A227,'The List'!B1:D665,3,FALSE)</f>
        <v>145</v>
      </c>
      <c r="C227" s="87">
        <f>IF('Settings'!$E$15="POINTS",RANK(E227,E3:E392),H227)</f>
        <v>233</v>
      </c>
      <c r="D227" t="s" s="86">
        <f>VLOOKUP(A227,'The List'!B1:F665,5,FALSE)</f>
        <v>903</v>
      </c>
      <c r="E227" s="77">
        <f>VLOOKUP(A227,'The List'!B1:I665,8,FALSE)</f>
        <v>197.310827194617</v>
      </c>
      <c r="F227" s="77">
        <f>IF('Settings'!$E$15="POINTS",E227-VLOOKUP(B$2,C1:E392,3,FALSE),J227)</f>
        <v>-109.595177234974</v>
      </c>
      <c r="G227" s="77"/>
      <c r="H227" s="223">
        <f>RANK(I227,I3:I392)</f>
        <v>205</v>
      </c>
      <c r="I227" s="77">
        <f>VLOOKUP(A227,'Standard Deviations'!A1:C666,3,FALSE)</f>
        <v>-0.913052162695858</v>
      </c>
      <c r="J227" s="84">
        <f>I227-VLOOKUP(B$2,H1:J392,2,FALSE)</f>
        <v>-5.50318359325536</v>
      </c>
    </row>
    <row r="228" ht="21.25" customHeight="1">
      <c r="A228" t="s" s="10">
        <v>663</v>
      </c>
      <c r="B228" t="s" s="222">
        <f>VLOOKUP(A228,'The List'!B1:D665,3,FALSE)</f>
        <v>178</v>
      </c>
      <c r="C228" s="87">
        <f>IF('Settings'!$E$15="POINTS",RANK(E228,E3:E392),H228)</f>
        <v>261</v>
      </c>
      <c r="D228" t="s" s="86">
        <f>VLOOKUP(A228,'The List'!B1:F665,5,FALSE)</f>
        <v>132</v>
      </c>
      <c r="E228" s="77">
        <f>VLOOKUP(A228,'The List'!B1:I665,8,FALSE)</f>
        <v>182.509036065290</v>
      </c>
      <c r="F228" s="77">
        <f>IF('Settings'!$E$15="POINTS",E228-VLOOKUP(B$2,C1:E392,3,FALSE),J228)</f>
        <v>-124.396968364301</v>
      </c>
      <c r="G228" s="77"/>
      <c r="H228" s="223">
        <f>RANK(I228,I3:I392)</f>
        <v>185</v>
      </c>
      <c r="I228" s="77">
        <f>VLOOKUP(A228,'Standard Deviations'!A1:C666,3,FALSE)</f>
        <v>-0.350701886855693</v>
      </c>
      <c r="J228" s="84">
        <f>I228-VLOOKUP(B$2,H1:J392,2,FALSE)</f>
        <v>-4.94083331741519</v>
      </c>
    </row>
    <row r="229" ht="21.25" customHeight="1">
      <c r="A229" t="s" s="10">
        <v>666</v>
      </c>
      <c r="B229" t="s" s="222">
        <f>VLOOKUP(A229,'The List'!B1:D665,3,FALSE)</f>
        <v>140</v>
      </c>
      <c r="C229" s="87">
        <f>IF('Settings'!$E$15="POINTS",RANK(E229,E3:E392),H229)</f>
        <v>264</v>
      </c>
      <c r="D229" t="s" s="86">
        <f>VLOOKUP(A229,'The List'!B1:F665,5,FALSE)</f>
        <v>914</v>
      </c>
      <c r="E229" s="77">
        <f>VLOOKUP(A229,'The List'!B1:I665,8,FALSE)</f>
        <v>181.285072804627</v>
      </c>
      <c r="F229" s="77">
        <f>IF('Settings'!$E$15="POINTS",E229-VLOOKUP(B$2,C1:E392,3,FALSE),J229)</f>
        <v>-125.620931624964</v>
      </c>
      <c r="G229" s="77"/>
      <c r="H229" s="223">
        <f>RANK(I229,I3:I392)</f>
        <v>306</v>
      </c>
      <c r="I229" s="77">
        <f>VLOOKUP(A229,'Standard Deviations'!A1:C666,3,FALSE)</f>
        <v>-3.25985753990604</v>
      </c>
      <c r="J229" s="84">
        <f>I229-VLOOKUP(B$2,H1:J392,2,FALSE)</f>
        <v>-7.84998897046554</v>
      </c>
    </row>
    <row r="230" ht="21.25" customHeight="1">
      <c r="A230" t="s" s="10">
        <v>674</v>
      </c>
      <c r="B230" t="s" s="222">
        <f>VLOOKUP(A230,'The List'!B1:D665,3,FALSE)</f>
        <v>136</v>
      </c>
      <c r="C230" s="87">
        <f>IF('Settings'!$E$15="POINTS",RANK(E230,E3:E392),H230)</f>
        <v>269</v>
      </c>
      <c r="D230" t="s" s="86">
        <f>VLOOKUP(A230,'The List'!B1:F665,5,FALSE)</f>
        <v>156</v>
      </c>
      <c r="E230" s="77">
        <f>VLOOKUP(A230,'The List'!B1:I665,8,FALSE)</f>
        <v>178.333883067631</v>
      </c>
      <c r="F230" s="77">
        <f>IF('Settings'!$E$15="POINTS",E230-VLOOKUP(B$2,C1:E392,3,FALSE),J230)</f>
        <v>-128.572121361960</v>
      </c>
      <c r="G230" s="77"/>
      <c r="H230" s="223">
        <f>RANK(I230,I3:I392)</f>
        <v>258</v>
      </c>
      <c r="I230" s="77">
        <f>VLOOKUP(A230,'Standard Deviations'!A1:C666,3,FALSE)</f>
        <v>-2.34508892905957</v>
      </c>
      <c r="J230" s="84">
        <f>I230-VLOOKUP(B$2,H1:J392,2,FALSE)</f>
        <v>-6.93522035961907</v>
      </c>
    </row>
    <row r="231" ht="21.25" customHeight="1">
      <c r="A231" t="s" s="10">
        <v>719</v>
      </c>
      <c r="B231" t="s" s="222">
        <f>VLOOKUP(A231,'The List'!B1:D665,3,FALSE)</f>
        <v>136</v>
      </c>
      <c r="C231" s="87">
        <f>IF('Settings'!$E$15="POINTS",RANK(E231,E3:E392),H231)</f>
        <v>292</v>
      </c>
      <c r="D231" t="s" s="86">
        <f>VLOOKUP(A231,'The List'!B1:F665,5,FALSE)</f>
        <v>912</v>
      </c>
      <c r="E231" s="77">
        <f>VLOOKUP(A231,'The List'!B1:I665,8,FALSE)</f>
        <v>164.972673914832</v>
      </c>
      <c r="F231" s="77">
        <f>IF('Settings'!$E$15="POINTS",E231-VLOOKUP(B$2,C1:E392,3,FALSE),J231)</f>
        <v>-141.933330514759</v>
      </c>
      <c r="G231" s="77"/>
      <c r="H231" s="223">
        <f>RANK(I231,I3:I392)</f>
        <v>315</v>
      </c>
      <c r="I231" s="77">
        <f>VLOOKUP(A231,'Standard Deviations'!A1:C666,3,FALSE)</f>
        <v>-3.47783994967856</v>
      </c>
      <c r="J231" s="84">
        <f>I231-VLOOKUP(B$2,H1:J392,2,FALSE)</f>
        <v>-8.06797138023806</v>
      </c>
    </row>
    <row r="232" ht="21.25" customHeight="1">
      <c r="A232" t="s" s="10">
        <v>689</v>
      </c>
      <c r="B232" t="s" s="222">
        <f>VLOOKUP(A232,'The List'!B1:D665,3,FALSE)</f>
        <v>128</v>
      </c>
      <c r="C232" s="87">
        <f>IF('Settings'!$E$15="POINTS",RANK(E232,E3:E392),H232)</f>
        <v>281</v>
      </c>
      <c r="D232" t="s" s="86">
        <f>VLOOKUP(A232,'The List'!B1:F665,5,FALSE)</f>
        <v>911</v>
      </c>
      <c r="E232" s="77">
        <f>VLOOKUP(A232,'The List'!B1:I665,8,FALSE)</f>
        <v>169.167095893387</v>
      </c>
      <c r="F232" s="77">
        <f>IF('Settings'!$E$15="POINTS",E232-VLOOKUP(B$2,C1:E392,3,FALSE),J232)</f>
        <v>-137.738908536204</v>
      </c>
      <c r="G232" s="77"/>
      <c r="H232" s="223">
        <f>RANK(I232,I3:I392)</f>
        <v>237</v>
      </c>
      <c r="I232" s="77">
        <f>VLOOKUP(A232,'Standard Deviations'!A1:C666,3,FALSE)</f>
        <v>-1.83337523816325</v>
      </c>
      <c r="J232" s="84">
        <f>I232-VLOOKUP(B$2,H1:J392,2,FALSE)</f>
        <v>-6.42350666872275</v>
      </c>
    </row>
    <row r="233" ht="21.25" customHeight="1">
      <c r="A233" t="s" s="10">
        <v>602</v>
      </c>
      <c r="B233" t="s" s="222">
        <f>VLOOKUP(A233,'The List'!B1:D665,3,FALSE)</f>
        <v>136</v>
      </c>
      <c r="C233" s="87">
        <f>IF('Settings'!$E$15="POINTS",RANK(E233,E3:E392),H233)</f>
        <v>229</v>
      </c>
      <c r="D233" t="s" s="86">
        <f>VLOOKUP(A233,'The List'!B1:F665,5,FALSE)</f>
        <v>906</v>
      </c>
      <c r="E233" s="77">
        <f>VLOOKUP(A233,'The List'!B1:I665,8,FALSE)</f>
        <v>199.789336074108</v>
      </c>
      <c r="F233" s="77">
        <f>IF('Settings'!$E$15="POINTS",E233-VLOOKUP(B$2,C1:E392,3,FALSE),J233)</f>
        <v>-107.116668355483</v>
      </c>
      <c r="G233" s="77"/>
      <c r="H233" s="223">
        <f>RANK(I233,I3:I392)</f>
        <v>200</v>
      </c>
      <c r="I233" s="77">
        <f>VLOOKUP(A233,'Standard Deviations'!A1:C666,3,FALSE)</f>
        <v>-0.787161711853107</v>
      </c>
      <c r="J233" s="84">
        <f>I233-VLOOKUP(B$2,H1:J392,2,FALSE)</f>
        <v>-5.37729314241261</v>
      </c>
    </row>
    <row r="234" ht="21.25" customHeight="1">
      <c r="A234" t="s" s="10">
        <v>536</v>
      </c>
      <c r="B234" t="s" s="222">
        <f>VLOOKUP(A234,'The List'!B1:D665,3,FALSE)</f>
        <v>128</v>
      </c>
      <c r="C234" s="87">
        <f>IF('Settings'!$E$15="POINTS",RANK(E234,E3:E392),H234)</f>
        <v>204</v>
      </c>
      <c r="D234" t="s" s="86">
        <f>VLOOKUP(A234,'The List'!B1:F665,5,FALSE)</f>
        <v>904</v>
      </c>
      <c r="E234" s="77">
        <f>VLOOKUP(A234,'The List'!B1:I665,8,FALSE)</f>
        <v>211.396164667561</v>
      </c>
      <c r="F234" s="77">
        <f>IF('Settings'!$E$15="POINTS",E234-VLOOKUP(B$2,C1:E392,3,FALSE),J234)</f>
        <v>-95.509839762030</v>
      </c>
      <c r="G234" s="77"/>
      <c r="H234" s="223">
        <f>RANK(I234,I3:I392)</f>
        <v>221</v>
      </c>
      <c r="I234" s="77">
        <f>VLOOKUP(A234,'Standard Deviations'!A1:C666,3,FALSE)</f>
        <v>-1.33172586433082</v>
      </c>
      <c r="J234" s="84">
        <f>I234-VLOOKUP(B$2,H1:J392,2,FALSE)</f>
        <v>-5.92185729489032</v>
      </c>
    </row>
    <row r="235" ht="21.25" customHeight="1">
      <c r="A235" t="s" s="10">
        <v>592</v>
      </c>
      <c r="B235" t="s" s="222">
        <f>VLOOKUP(A235,'The List'!B1:D665,3,FALSE)</f>
        <v>148</v>
      </c>
      <c r="C235" s="87">
        <f>IF('Settings'!$E$15="POINTS",RANK(E235,E3:E392),H235)</f>
        <v>222</v>
      </c>
      <c r="D235" t="s" s="86">
        <f>VLOOKUP(A235,'The List'!B1:F665,5,FALSE)</f>
        <v>900</v>
      </c>
      <c r="E235" s="77">
        <f>VLOOKUP(A235,'The List'!B1:I665,8,FALSE)</f>
        <v>202.974280827381</v>
      </c>
      <c r="F235" s="77">
        <f>IF('Settings'!$E$15="POINTS",E235-VLOOKUP(B$2,C1:E392,3,FALSE),J235)</f>
        <v>-103.931723602210</v>
      </c>
      <c r="G235" s="77"/>
      <c r="H235" s="223">
        <f>RANK(I235,I3:I392)</f>
        <v>165</v>
      </c>
      <c r="I235" s="77">
        <f>VLOOKUP(A235,'Standard Deviations'!A1:C666,3,FALSE)</f>
        <v>0.141532455133007</v>
      </c>
      <c r="J235" s="84">
        <f>I235-VLOOKUP(B$2,H1:J392,2,FALSE)</f>
        <v>-4.44859897542649</v>
      </c>
    </row>
    <row r="236" ht="21.25" customHeight="1">
      <c r="A236" t="s" s="10">
        <v>672</v>
      </c>
      <c r="B236" t="s" s="222">
        <f>VLOOKUP(A236,'The List'!B1:D665,3,FALSE)</f>
        <v>140</v>
      </c>
      <c r="C236" s="87">
        <f>IF('Settings'!$E$15="POINTS",RANK(E236,E3:E392),H236)</f>
        <v>267</v>
      </c>
      <c r="D236" t="s" s="86">
        <f>VLOOKUP(A236,'The List'!B1:F665,5,FALSE)</f>
        <v>174</v>
      </c>
      <c r="E236" s="77">
        <f>VLOOKUP(A236,'The List'!B1:I665,8,FALSE)</f>
        <v>178.453457738741</v>
      </c>
      <c r="F236" s="77">
        <f>IF('Settings'!$E$15="POINTS",E236-VLOOKUP(B$2,C1:E392,3,FALSE),J236)</f>
        <v>-128.452546690850</v>
      </c>
      <c r="G236" s="77"/>
      <c r="H236" s="223">
        <f>RANK(I236,I3:I392)</f>
        <v>223</v>
      </c>
      <c r="I236" s="77">
        <f>VLOOKUP(A236,'Standard Deviations'!A1:C666,3,FALSE)</f>
        <v>-1.3619252919749</v>
      </c>
      <c r="J236" s="84">
        <f>I236-VLOOKUP(B$2,H1:J392,2,FALSE)</f>
        <v>-5.9520567225344</v>
      </c>
    </row>
    <row r="237" ht="21.25" customHeight="1">
      <c r="A237" t="s" s="10">
        <v>731</v>
      </c>
      <c r="B237" t="s" s="222">
        <f>VLOOKUP(A237,'The List'!B1:D665,3,FALSE)</f>
        <v>178</v>
      </c>
      <c r="C237" s="87">
        <f>IF('Settings'!$E$15="POINTS",RANK(E237,E3:E392),H237)</f>
        <v>299</v>
      </c>
      <c r="D237" t="s" s="86">
        <f>VLOOKUP(A237,'The List'!B1:F665,5,FALSE)</f>
        <v>903</v>
      </c>
      <c r="E237" s="77">
        <f>VLOOKUP(A237,'The List'!B1:I665,8,FALSE)</f>
        <v>161.558575539296</v>
      </c>
      <c r="F237" s="77">
        <f>IF('Settings'!$E$15="POINTS",E237-VLOOKUP(B$2,C1:E392,3,FALSE),J237)</f>
        <v>-145.347428890295</v>
      </c>
      <c r="G237" s="77"/>
      <c r="H237" s="223">
        <f>RANK(I237,I3:I392)</f>
        <v>257</v>
      </c>
      <c r="I237" s="77">
        <f>VLOOKUP(A237,'Standard Deviations'!A1:C666,3,FALSE)</f>
        <v>-2.29342379601174</v>
      </c>
      <c r="J237" s="84">
        <f>I237-VLOOKUP(B$2,H1:J392,2,FALSE)</f>
        <v>-6.88355522657124</v>
      </c>
    </row>
    <row r="238" ht="21.25" customHeight="1">
      <c r="A238" t="s" s="10">
        <v>489</v>
      </c>
      <c r="B238" t="s" s="222">
        <f>VLOOKUP(A238,'The List'!B1:D665,3,FALSE)</f>
        <v>128</v>
      </c>
      <c r="C238" s="87">
        <f>IF('Settings'!$E$15="POINTS",RANK(E238,E3:E392),H238)</f>
        <v>170</v>
      </c>
      <c r="D238" t="s" s="86">
        <f>VLOOKUP(A238,'The List'!B1:F665,5,FALSE)</f>
        <v>905</v>
      </c>
      <c r="E238" s="77">
        <f>VLOOKUP(A238,'The List'!B1:I665,8,FALSE)</f>
        <v>223.988319556732</v>
      </c>
      <c r="F238" s="77">
        <f>IF('Settings'!$E$15="POINTS",E238-VLOOKUP(B$2,C1:E392,3,FALSE),J238)</f>
        <v>-82.917684872859</v>
      </c>
      <c r="G238" s="77"/>
      <c r="H238" s="223">
        <f>RANK(I238,I3:I392)</f>
        <v>298</v>
      </c>
      <c r="I238" s="77">
        <f>VLOOKUP(A238,'Standard Deviations'!A1:C666,3,FALSE)</f>
        <v>-3.13488096832942</v>
      </c>
      <c r="J238" s="84">
        <f>I238-VLOOKUP(B$2,H1:J392,2,FALSE)</f>
        <v>-7.72501239888892</v>
      </c>
    </row>
    <row r="239" ht="21.25" customHeight="1">
      <c r="A239" t="s" s="10">
        <v>722</v>
      </c>
      <c r="B239" t="s" s="222">
        <f>VLOOKUP(A239,'The List'!B1:D665,3,FALSE)</f>
        <v>140</v>
      </c>
      <c r="C239" s="87">
        <f>IF('Settings'!$E$15="POINTS",RANK(E239,E3:E392),H239)</f>
        <v>295</v>
      </c>
      <c r="D239" t="s" s="86">
        <f>VLOOKUP(A239,'The List'!B1:F665,5,FALSE)</f>
        <v>878</v>
      </c>
      <c r="E239" s="77">
        <f>VLOOKUP(A239,'The List'!B1:I665,8,FALSE)</f>
        <v>163.491593926042</v>
      </c>
      <c r="F239" s="77">
        <f>IF('Settings'!$E$15="POINTS",E239-VLOOKUP(B$2,C1:E392,3,FALSE),J239)</f>
        <v>-143.414410503549</v>
      </c>
      <c r="G239" s="77"/>
      <c r="H239" s="223">
        <f>RANK(I239,I3:I392)</f>
        <v>211</v>
      </c>
      <c r="I239" s="77">
        <f>VLOOKUP(A239,'Standard Deviations'!A1:C666,3,FALSE)</f>
        <v>-1.00238459171656</v>
      </c>
      <c r="J239" s="84">
        <f>I239-VLOOKUP(B$2,H1:J392,2,FALSE)</f>
        <v>-5.59251602227606</v>
      </c>
    </row>
    <row r="240" ht="21.25" customHeight="1">
      <c r="A240" t="s" s="10">
        <v>702</v>
      </c>
      <c r="B240" t="s" s="222">
        <f>VLOOKUP(A240,'The List'!B1:D665,3,FALSE)</f>
        <v>554</v>
      </c>
      <c r="C240" s="87">
        <f>IF('Settings'!$E$15="POINTS",RANK(E240,E3:E392),H240)</f>
        <v>276</v>
      </c>
      <c r="D240" t="s" s="86">
        <f>VLOOKUP(A240,'The List'!B1:F665,5,FALSE)</f>
        <v>906</v>
      </c>
      <c r="E240" s="77">
        <f>VLOOKUP(A240,'The List'!B1:I665,8,FALSE)</f>
        <v>171.190782716769</v>
      </c>
      <c r="F240" s="77">
        <f>IF('Settings'!$E$15="POINTS",E240-VLOOKUP(B$2,C1:E392,3,FALSE),J240)</f>
        <v>-135.715221712822</v>
      </c>
      <c r="G240" s="77"/>
      <c r="H240" s="223">
        <f>RANK(I240,I3:I392)</f>
        <v>201</v>
      </c>
      <c r="I240" s="77">
        <f>VLOOKUP(A240,'Standard Deviations'!A1:C666,3,FALSE)</f>
        <v>-0.838127271578573</v>
      </c>
      <c r="J240" s="84">
        <f>I240-VLOOKUP(B$2,H1:J392,2,FALSE)</f>
        <v>-5.42825870213807</v>
      </c>
    </row>
    <row r="241" ht="21.25" customHeight="1">
      <c r="A241" t="s" s="10">
        <v>638</v>
      </c>
      <c r="B241" t="s" s="222">
        <f>VLOOKUP(A241,'The List'!B1:D665,3,FALSE)</f>
        <v>136</v>
      </c>
      <c r="C241" s="87">
        <f>IF('Settings'!$E$15="POINTS",RANK(E241,E3:E392),H241)</f>
        <v>248</v>
      </c>
      <c r="D241" t="s" s="86">
        <f>VLOOKUP(A241,'The List'!B1:F665,5,FALSE)</f>
        <v>908</v>
      </c>
      <c r="E241" s="77">
        <f>VLOOKUP(A241,'The List'!B1:I665,8,FALSE)</f>
        <v>189.336323222551</v>
      </c>
      <c r="F241" s="77">
        <f>IF('Settings'!$E$15="POINTS",E241-VLOOKUP(B$2,C1:E392,3,FALSE),J241)</f>
        <v>-117.569681207040</v>
      </c>
      <c r="G241" s="77"/>
      <c r="H241" s="223">
        <f>RANK(I241,I3:I392)</f>
        <v>234</v>
      </c>
      <c r="I241" s="77">
        <f>VLOOKUP(A241,'Standard Deviations'!A1:C666,3,FALSE)</f>
        <v>-1.76224604963092</v>
      </c>
      <c r="J241" s="84">
        <f>I241-VLOOKUP(B$2,H1:J392,2,FALSE)</f>
        <v>-6.35237748019042</v>
      </c>
    </row>
    <row r="242" ht="21.25" customHeight="1">
      <c r="A242" t="s" s="10">
        <v>692</v>
      </c>
      <c r="B242" t="s" s="222">
        <f>VLOOKUP(A242,'The List'!B1:D665,3,FALSE)</f>
        <v>178</v>
      </c>
      <c r="C242" s="87">
        <f>IF('Settings'!$E$15="POINTS",RANK(E242,E3:E392),H242)</f>
        <v>272</v>
      </c>
      <c r="D242" t="s" s="86">
        <f>VLOOKUP(A242,'The List'!B1:F665,5,FALSE)</f>
        <v>342</v>
      </c>
      <c r="E242" s="77">
        <f>VLOOKUP(A242,'The List'!B1:I665,8,FALSE)</f>
        <v>173.689480031543</v>
      </c>
      <c r="F242" s="77">
        <f>IF('Settings'!$E$15="POINTS",E242-VLOOKUP(B$2,C1:E392,3,FALSE),J242)</f>
        <v>-133.216524398048</v>
      </c>
      <c r="G242" s="77"/>
      <c r="H242" s="223">
        <f>RANK(I242,I3:I392)</f>
        <v>202</v>
      </c>
      <c r="I242" s="77">
        <f>VLOOKUP(A242,'Standard Deviations'!A1:C666,3,FALSE)</f>
        <v>-0.8558510937291151</v>
      </c>
      <c r="J242" s="84">
        <f>I242-VLOOKUP(B$2,H1:J392,2,FALSE)</f>
        <v>-5.44598252428862</v>
      </c>
    </row>
    <row r="243" ht="21.25" customHeight="1">
      <c r="A243" t="s" s="10">
        <v>685</v>
      </c>
      <c r="B243" t="s" s="222">
        <f>VLOOKUP(A243,'The List'!B1:D665,3,FALSE)</f>
        <v>128</v>
      </c>
      <c r="C243" s="87">
        <f>IF('Settings'!$E$15="POINTS",RANK(E243,E3:E392),H243)</f>
        <v>280</v>
      </c>
      <c r="D243" t="s" s="86">
        <f>VLOOKUP(A243,'The List'!B1:F665,5,FALSE)</f>
        <v>913</v>
      </c>
      <c r="E243" s="77">
        <f>VLOOKUP(A243,'The List'!B1:I665,8,FALSE)</f>
        <v>170.026103004533</v>
      </c>
      <c r="F243" s="77">
        <f>IF('Settings'!$E$15="POINTS",E243-VLOOKUP(B$2,C1:E392,3,FALSE),J243)</f>
        <v>-136.879901425058</v>
      </c>
      <c r="G243" s="77"/>
      <c r="H243" s="223">
        <f>RANK(I243,I3:I392)</f>
        <v>235</v>
      </c>
      <c r="I243" s="77">
        <f>VLOOKUP(A243,'Standard Deviations'!A1:C666,3,FALSE)</f>
        <v>-1.76885182226238</v>
      </c>
      <c r="J243" s="84">
        <f>I243-VLOOKUP(B$2,H1:J392,2,FALSE)</f>
        <v>-6.35898325282188</v>
      </c>
    </row>
    <row r="244" ht="21.25" customHeight="1">
      <c r="A244" t="s" s="10">
        <v>641</v>
      </c>
      <c r="B244" t="s" s="222">
        <f>VLOOKUP(A244,'The List'!B1:D665,3,FALSE)</f>
        <v>178</v>
      </c>
      <c r="C244" s="87">
        <f>IF('Settings'!$E$15="POINTS",RANK(E244,E3:E392),H244)</f>
        <v>249</v>
      </c>
      <c r="D244" t="s" s="86">
        <f>VLOOKUP(A244,'The List'!B1:F665,5,FALSE)</f>
        <v>871</v>
      </c>
      <c r="E244" s="77">
        <f>VLOOKUP(A244,'The List'!B1:I665,8,FALSE)</f>
        <v>188.323915884174</v>
      </c>
      <c r="F244" s="77">
        <f>IF('Settings'!$E$15="POINTS",E244-VLOOKUP(B$2,C1:E392,3,FALSE),J244)</f>
        <v>-118.582088545417</v>
      </c>
      <c r="G244" s="77"/>
      <c r="H244" s="223">
        <f>RANK(I244,I3:I392)</f>
        <v>242</v>
      </c>
      <c r="I244" s="77">
        <f>VLOOKUP(A244,'Standard Deviations'!A1:C666,3,FALSE)</f>
        <v>-1.89029666612088</v>
      </c>
      <c r="J244" s="84">
        <f>I244-VLOOKUP(B$2,H1:J392,2,FALSE)</f>
        <v>-6.48042809668038</v>
      </c>
    </row>
    <row r="245" ht="21.25" customHeight="1">
      <c r="A245" t="s" s="10">
        <v>761</v>
      </c>
      <c r="B245" t="s" s="222">
        <f>VLOOKUP(A245,'The List'!B1:D665,3,FALSE)</f>
        <v>128</v>
      </c>
      <c r="C245" s="87">
        <f>IF('Settings'!$E$15="POINTS",RANK(E245,E3:E392),H245)</f>
        <v>332</v>
      </c>
      <c r="D245" t="s" s="86">
        <f>VLOOKUP(A245,'The List'!B1:F665,5,FALSE)</f>
        <v>914</v>
      </c>
      <c r="E245" s="77">
        <f>VLOOKUP(A245,'The List'!B1:I665,8,FALSE)</f>
        <v>148.322685617994</v>
      </c>
      <c r="F245" s="77">
        <f>IF('Settings'!$E$15="POINTS",E245-VLOOKUP(B$2,C1:E392,3,FALSE),J245)</f>
        <v>-158.583318811597</v>
      </c>
      <c r="G245" s="77"/>
      <c r="H245" s="223">
        <f>RANK(I245,I3:I392)</f>
        <v>307</v>
      </c>
      <c r="I245" s="77">
        <f>VLOOKUP(A245,'Standard Deviations'!A1:C666,3,FALSE)</f>
        <v>-3.28885355628027</v>
      </c>
      <c r="J245" s="84">
        <f>I245-VLOOKUP(B$2,H1:J392,2,FALSE)</f>
        <v>-7.87898498683977</v>
      </c>
    </row>
    <row r="246" ht="21.25" customHeight="1">
      <c r="A246" t="s" s="10">
        <v>614</v>
      </c>
      <c r="B246" t="s" s="222">
        <f>VLOOKUP(A246,'The List'!B1:D665,3,FALSE)</f>
        <v>140</v>
      </c>
      <c r="C246" s="87">
        <f>IF('Settings'!$E$15="POINTS",RANK(E246,E3:E392),H246)</f>
        <v>234</v>
      </c>
      <c r="D246" t="s" s="86">
        <f>VLOOKUP(A246,'The List'!B1:F665,5,FALSE)</f>
        <v>907</v>
      </c>
      <c r="E246" s="77">
        <f>VLOOKUP(A246,'The List'!B1:I665,8,FALSE)</f>
        <v>197.119833723382</v>
      </c>
      <c r="F246" s="77">
        <f>IF('Settings'!$E$15="POINTS",E246-VLOOKUP(B$2,C1:E392,3,FALSE),J246)</f>
        <v>-109.786170706209</v>
      </c>
      <c r="G246" s="77"/>
      <c r="H246" s="223">
        <f>RANK(I246,I3:I392)</f>
        <v>263</v>
      </c>
      <c r="I246" s="77">
        <f>VLOOKUP(A246,'Standard Deviations'!A1:C666,3,FALSE)</f>
        <v>-2.54343250531732</v>
      </c>
      <c r="J246" s="84">
        <f>I246-VLOOKUP(B$2,H1:J392,2,FALSE)</f>
        <v>-7.13356393587682</v>
      </c>
    </row>
    <row r="247" ht="21.25" customHeight="1">
      <c r="A247" t="s" s="10">
        <v>715</v>
      </c>
      <c r="B247" t="s" s="222">
        <f>VLOOKUP(A247,'The List'!B1:D665,3,FALSE)</f>
        <v>128</v>
      </c>
      <c r="C247" s="87">
        <f>IF('Settings'!$E$15="POINTS",RANK(E247,E3:E392),H247)</f>
        <v>301</v>
      </c>
      <c r="D247" t="s" s="86">
        <f>VLOOKUP(A247,'The List'!B1:F665,5,FALSE)</f>
        <v>909</v>
      </c>
      <c r="E247" s="77">
        <f>VLOOKUP(A247,'The List'!B1:I665,8,FALSE)</f>
        <v>160.935371215133</v>
      </c>
      <c r="F247" s="77">
        <f>IF('Settings'!$E$15="POINTS",E247-VLOOKUP(B$2,C1:E392,3,FALSE),J247)</f>
        <v>-145.970633214458</v>
      </c>
      <c r="G247" s="77"/>
      <c r="H247" s="223">
        <f>RANK(I247,I3:I392)</f>
        <v>261</v>
      </c>
      <c r="I247" s="77">
        <f>VLOOKUP(A247,'Standard Deviations'!A1:C666,3,FALSE)</f>
        <v>-2.49365699621147</v>
      </c>
      <c r="J247" s="84">
        <f>I247-VLOOKUP(B$2,H1:J392,2,FALSE)</f>
        <v>-7.08378842677097</v>
      </c>
    </row>
    <row r="248" ht="21.25" customHeight="1">
      <c r="A248" t="s" s="10">
        <v>619</v>
      </c>
      <c r="B248" t="s" s="222">
        <f>VLOOKUP(A248,'The List'!B1:D665,3,FALSE)</f>
        <v>140</v>
      </c>
      <c r="C248" s="87">
        <f>IF('Settings'!$E$15="POINTS",RANK(E248,E3:E392),H248)</f>
        <v>239</v>
      </c>
      <c r="D248" t="s" s="86">
        <f>VLOOKUP(A248,'The List'!B1:F665,5,FALSE)</f>
        <v>871</v>
      </c>
      <c r="E248" s="77">
        <f>VLOOKUP(A248,'The List'!B1:I665,8,FALSE)</f>
        <v>195.955560869640</v>
      </c>
      <c r="F248" s="77">
        <f>IF('Settings'!$E$15="POINTS",E248-VLOOKUP(B$2,C1:E392,3,FALSE),J248)</f>
        <v>-110.950443559951</v>
      </c>
      <c r="G248" s="77"/>
      <c r="H248" s="223">
        <f>RANK(I248,I3:I392)</f>
        <v>227</v>
      </c>
      <c r="I248" s="77">
        <f>VLOOKUP(A248,'Standard Deviations'!A1:C666,3,FALSE)</f>
        <v>-1.55241968204778</v>
      </c>
      <c r="J248" s="84">
        <f>I248-VLOOKUP(B$2,H1:J392,2,FALSE)</f>
        <v>-6.14255111260728</v>
      </c>
    </row>
    <row r="249" ht="21.25" customHeight="1">
      <c r="A249" t="s" s="10">
        <v>480</v>
      </c>
      <c r="B249" t="s" s="222">
        <f>VLOOKUP(A249,'The List'!B1:D665,3,FALSE)</f>
        <v>178</v>
      </c>
      <c r="C249" s="87">
        <f>IF('Settings'!$E$15="POINTS",RANK(E249,E3:E392),H249)</f>
        <v>160</v>
      </c>
      <c r="D249" t="s" s="86">
        <f>VLOOKUP(A249,'The List'!B1:F665,5,FALSE)</f>
        <v>905</v>
      </c>
      <c r="E249" s="77">
        <f>VLOOKUP(A249,'The List'!B1:I665,8,FALSE)</f>
        <v>232.984498625169</v>
      </c>
      <c r="F249" s="77">
        <f>IF('Settings'!$E$15="POINTS",E249-VLOOKUP(B$2,C1:E392,3,FALSE),J249)</f>
        <v>-73.921505804422</v>
      </c>
      <c r="G249" s="77"/>
      <c r="H249" s="223">
        <f>RANK(I249,I3:I392)</f>
        <v>310</v>
      </c>
      <c r="I249" s="77">
        <f>VLOOKUP(A249,'Standard Deviations'!A1:C666,3,FALSE)</f>
        <v>-3.34453353769162</v>
      </c>
      <c r="J249" s="84">
        <f>I249-VLOOKUP(B$2,H1:J392,2,FALSE)</f>
        <v>-7.93466496825112</v>
      </c>
    </row>
    <row r="250" ht="21.25" customHeight="1">
      <c r="A250" t="s" s="10">
        <v>348</v>
      </c>
      <c r="B250" t="s" s="222">
        <f>VLOOKUP(A250,'The List'!B1:D665,3,FALSE)</f>
        <v>136</v>
      </c>
      <c r="C250" s="87">
        <f>IF('Settings'!$E$15="POINTS",RANK(E250,E3:E392),H250)</f>
        <v>93</v>
      </c>
      <c r="D250" t="s" s="86">
        <f>VLOOKUP(A250,'The List'!B1:F665,5,FALSE)</f>
        <v>901</v>
      </c>
      <c r="E250" s="77">
        <f>VLOOKUP(A250,'The List'!B1:I665,8,FALSE)</f>
        <v>279.413996929503</v>
      </c>
      <c r="F250" s="77">
        <f>IF('Settings'!$E$15="POINTS",E250-VLOOKUP(B$2,C1:E392,3,FALSE),J250)</f>
        <v>-27.492007500088</v>
      </c>
      <c r="G250" s="77"/>
      <c r="H250" s="223">
        <f>RANK(I250,I3:I392)</f>
        <v>209</v>
      </c>
      <c r="I250" s="77">
        <f>VLOOKUP(A250,'Standard Deviations'!A1:C666,3,FALSE)</f>
        <v>-0.980985163185326</v>
      </c>
      <c r="J250" s="84">
        <f>I250-VLOOKUP(B$2,H1:J392,2,FALSE)</f>
        <v>-5.57111659374483</v>
      </c>
    </row>
    <row r="251" ht="21.25" customHeight="1">
      <c r="A251" t="s" s="10">
        <v>766</v>
      </c>
      <c r="B251" t="s" s="222">
        <f>VLOOKUP(A251,'The List'!B1:D665,3,FALSE)</f>
        <v>178</v>
      </c>
      <c r="C251" s="87">
        <f>IF('Settings'!$E$15="POINTS",RANK(E251,E3:E392),H251)</f>
        <v>327</v>
      </c>
      <c r="D251" t="s" s="86">
        <f>VLOOKUP(A251,'The List'!B1:F665,5,FALSE)</f>
        <v>275</v>
      </c>
      <c r="E251" s="77">
        <f>VLOOKUP(A251,'The List'!B1:I665,8,FALSE)</f>
        <v>152.463585811313</v>
      </c>
      <c r="F251" s="77">
        <f>IF('Settings'!$E$15="POINTS",E251-VLOOKUP(B$2,C1:E392,3,FALSE),J251)</f>
        <v>-154.442418618278</v>
      </c>
      <c r="G251" s="77"/>
      <c r="H251" s="223">
        <f>RANK(I251,I3:I392)</f>
        <v>251</v>
      </c>
      <c r="I251" s="77">
        <f>VLOOKUP(A251,'Standard Deviations'!A1:C666,3,FALSE)</f>
        <v>-2.08370821719987</v>
      </c>
      <c r="J251" s="84">
        <f>I251-VLOOKUP(B$2,H1:J392,2,FALSE)</f>
        <v>-6.67383964775937</v>
      </c>
    </row>
    <row r="252" ht="21.25" customHeight="1">
      <c r="A252" t="s" s="10">
        <v>718</v>
      </c>
      <c r="B252" t="s" s="222">
        <f>VLOOKUP(A252,'The List'!B1:D665,3,FALSE)</f>
        <v>128</v>
      </c>
      <c r="C252" s="87">
        <f>IF('Settings'!$E$15="POINTS",RANK(E252,E3:E392),H252)</f>
        <v>303</v>
      </c>
      <c r="D252" t="s" s="86">
        <f>VLOOKUP(A252,'The List'!B1:F665,5,FALSE)</f>
        <v>192</v>
      </c>
      <c r="E252" s="77">
        <f>VLOOKUP(A252,'The List'!B1:I665,8,FALSE)</f>
        <v>160.109510089350</v>
      </c>
      <c r="F252" s="77">
        <f>IF('Settings'!$E$15="POINTS",E252-VLOOKUP(B$2,C1:E392,3,FALSE),J252)</f>
        <v>-146.796494340241</v>
      </c>
      <c r="G252" s="77"/>
      <c r="H252" s="223">
        <f>RANK(I252,I3:I392)</f>
        <v>266</v>
      </c>
      <c r="I252" s="77">
        <f>VLOOKUP(A252,'Standard Deviations'!A1:C666,3,FALSE)</f>
        <v>-2.66342888122872</v>
      </c>
      <c r="J252" s="84">
        <f>I252-VLOOKUP(B$2,H1:J392,2,FALSE)</f>
        <v>-7.25356031178822</v>
      </c>
    </row>
    <row r="253" ht="21.25" customHeight="1">
      <c r="A253" t="s" s="10">
        <v>744</v>
      </c>
      <c r="B253" t="s" s="222">
        <f>VLOOKUP(A253,'The List'!B1:D665,3,FALSE)</f>
        <v>140</v>
      </c>
      <c r="C253" s="87">
        <f>IF('Settings'!$E$15="POINTS",RANK(E253,E3:E392),H253)</f>
        <v>307</v>
      </c>
      <c r="D253" t="s" s="86">
        <f>VLOOKUP(A253,'The List'!B1:F665,5,FALSE)</f>
        <v>909</v>
      </c>
      <c r="E253" s="77">
        <f>VLOOKUP(A253,'The List'!B1:I665,8,FALSE)</f>
        <v>158.846560375064</v>
      </c>
      <c r="F253" s="77">
        <f>IF('Settings'!$E$15="POINTS",E253-VLOOKUP(B$2,C1:E392,3,FALSE),J253)</f>
        <v>-148.059444054527</v>
      </c>
      <c r="G253" s="77"/>
      <c r="H253" s="223">
        <f>RANK(I253,I3:I392)</f>
        <v>274</v>
      </c>
      <c r="I253" s="77">
        <f>VLOOKUP(A253,'Standard Deviations'!A1:C666,3,FALSE)</f>
        <v>-2.78319935857885</v>
      </c>
      <c r="J253" s="84">
        <f>I253-VLOOKUP(B$2,H1:J392,2,FALSE)</f>
        <v>-7.37333078913835</v>
      </c>
    </row>
    <row r="254" ht="21.25" customHeight="1">
      <c r="A254" t="s" s="10">
        <v>710</v>
      </c>
      <c r="B254" t="s" s="222">
        <f>VLOOKUP(A254,'The List'!B1:D665,3,FALSE)</f>
        <v>128</v>
      </c>
      <c r="C254" s="87">
        <f>IF('Settings'!$E$15="POINTS",RANK(E254,E3:E392),H254)</f>
        <v>297</v>
      </c>
      <c r="D254" t="s" s="86">
        <f>VLOOKUP(A254,'The List'!B1:F665,5,FALSE)</f>
        <v>908</v>
      </c>
      <c r="E254" s="77">
        <f>VLOOKUP(A254,'The List'!B1:I665,8,FALSE)</f>
        <v>162.524340986813</v>
      </c>
      <c r="F254" s="77">
        <f>IF('Settings'!$E$15="POINTS",E254-VLOOKUP(B$2,C1:E392,3,FALSE),J254)</f>
        <v>-144.381663442778</v>
      </c>
      <c r="G254" s="77"/>
      <c r="H254" s="223">
        <f>RANK(I254,I3:I392)</f>
        <v>253</v>
      </c>
      <c r="I254" s="77">
        <f>VLOOKUP(A254,'Standard Deviations'!A1:C666,3,FALSE)</f>
        <v>-2.21980121075048</v>
      </c>
      <c r="J254" s="84">
        <f>I254-VLOOKUP(B$2,H1:J392,2,FALSE)</f>
        <v>-6.80993264130998</v>
      </c>
    </row>
    <row r="255" ht="21.25" customHeight="1">
      <c r="A255" t="s" s="10">
        <v>580</v>
      </c>
      <c r="B255" t="s" s="222">
        <f>VLOOKUP(A255,'The List'!B1:D665,3,FALSE)</f>
        <v>128</v>
      </c>
      <c r="C255" s="87">
        <f>IF('Settings'!$E$15="POINTS",RANK(E255,E3:E392),H255)</f>
        <v>227</v>
      </c>
      <c r="D255" t="s" s="86">
        <f>VLOOKUP(A255,'The List'!B1:F665,5,FALSE)</f>
        <v>866</v>
      </c>
      <c r="E255" s="77">
        <f>VLOOKUP(A255,'The List'!B1:I665,8,FALSE)</f>
        <v>200.373583362108</v>
      </c>
      <c r="F255" s="77">
        <f>IF('Settings'!$E$15="POINTS",E255-VLOOKUP(B$2,C1:E392,3,FALSE),J255)</f>
        <v>-106.532421067483</v>
      </c>
      <c r="G255" s="77"/>
      <c r="H255" s="223">
        <f>RANK(I255,I3:I392)</f>
        <v>241</v>
      </c>
      <c r="I255" s="77">
        <f>VLOOKUP(A255,'Standard Deviations'!A1:C666,3,FALSE)</f>
        <v>-1.86580339892287</v>
      </c>
      <c r="J255" s="84">
        <f>I255-VLOOKUP(B$2,H1:J392,2,FALSE)</f>
        <v>-6.45593482948237</v>
      </c>
    </row>
    <row r="256" ht="21.25" customHeight="1">
      <c r="A256" t="s" s="10">
        <v>745</v>
      </c>
      <c r="B256" t="s" s="222">
        <f>VLOOKUP(A256,'The List'!B1:D665,3,FALSE)</f>
        <v>128</v>
      </c>
      <c r="C256" s="87">
        <f>IF('Settings'!$E$15="POINTS",RANK(E256,E3:E392),H256)</f>
        <v>325</v>
      </c>
      <c r="D256" t="s" s="86">
        <f>VLOOKUP(A256,'The List'!B1:F665,5,FALSE)</f>
        <v>165</v>
      </c>
      <c r="E256" s="77">
        <f>VLOOKUP(A256,'The List'!B1:I665,8,FALSE)</f>
        <v>152.760011420672</v>
      </c>
      <c r="F256" s="77">
        <f>IF('Settings'!$E$15="POINTS",E256-VLOOKUP(B$2,C1:E392,3,FALSE),J256)</f>
        <v>-154.145993008919</v>
      </c>
      <c r="G256" s="77"/>
      <c r="H256" s="223">
        <f>RANK(I256,I3:I392)</f>
        <v>249</v>
      </c>
      <c r="I256" s="77">
        <f>VLOOKUP(A256,'Standard Deviations'!A1:C666,3,FALSE)</f>
        <v>-2.06377626525666</v>
      </c>
      <c r="J256" s="84">
        <f>I256-VLOOKUP(B$2,H1:J392,2,FALSE)</f>
        <v>-6.65390769581616</v>
      </c>
    </row>
    <row r="257" ht="21.25" customHeight="1">
      <c r="A257" t="s" s="10">
        <v>760</v>
      </c>
      <c r="B257" t="s" s="222">
        <f>VLOOKUP(A257,'The List'!B1:D665,3,FALSE)</f>
        <v>140</v>
      </c>
      <c r="C257" s="87">
        <f>IF('Settings'!$E$15="POINTS",RANK(E257,E3:E392),H257)</f>
        <v>323</v>
      </c>
      <c r="D257" t="s" s="86">
        <f>VLOOKUP(A257,'The List'!B1:F665,5,FALSE)</f>
        <v>866</v>
      </c>
      <c r="E257" s="77">
        <f>VLOOKUP(A257,'The List'!B1:I665,8,FALSE)</f>
        <v>153.979090701230</v>
      </c>
      <c r="F257" s="77">
        <f>IF('Settings'!$E$15="POINTS",E257-VLOOKUP(B$2,C1:E392,3,FALSE),J257)</f>
        <v>-152.926913728361</v>
      </c>
      <c r="G257" s="77"/>
      <c r="H257" s="223">
        <f>RANK(I257,I3:I392)</f>
        <v>295</v>
      </c>
      <c r="I257" s="77">
        <f>VLOOKUP(A257,'Standard Deviations'!A1:C666,3,FALSE)</f>
        <v>-3.06334569693076</v>
      </c>
      <c r="J257" s="84">
        <f>I257-VLOOKUP(B$2,H1:J392,2,FALSE)</f>
        <v>-7.65347712749026</v>
      </c>
    </row>
    <row r="258" ht="21.25" customHeight="1">
      <c r="A258" t="s" s="10">
        <v>713</v>
      </c>
      <c r="B258" t="s" s="222">
        <f>VLOOKUP(A258,'The List'!B1:D665,3,FALSE)</f>
        <v>140</v>
      </c>
      <c r="C258" s="87">
        <f>IF('Settings'!$E$15="POINTS",RANK(E258,E3:E392),H258)</f>
        <v>289</v>
      </c>
      <c r="D258" t="s" s="86">
        <f>VLOOKUP(A258,'The List'!B1:F665,5,FALSE)</f>
        <v>259</v>
      </c>
      <c r="E258" s="77">
        <f>VLOOKUP(A258,'The List'!B1:I665,8,FALSE)</f>
        <v>166.236675014789</v>
      </c>
      <c r="F258" s="77">
        <f>IF('Settings'!$E$15="POINTS",E258-VLOOKUP(B$2,C1:E392,3,FALSE),J258)</f>
        <v>-140.669329414802</v>
      </c>
      <c r="G258" s="77"/>
      <c r="H258" s="223">
        <f>RANK(I258,I3:I392)</f>
        <v>248</v>
      </c>
      <c r="I258" s="77">
        <f>VLOOKUP(A258,'Standard Deviations'!A1:C666,3,FALSE)</f>
        <v>-2.06119397445176</v>
      </c>
      <c r="J258" s="84">
        <f>I258-VLOOKUP(B$2,H1:J392,2,FALSE)</f>
        <v>-6.65132540501126</v>
      </c>
    </row>
    <row r="259" ht="21.25" customHeight="1">
      <c r="A259" t="s" s="10">
        <v>637</v>
      </c>
      <c r="B259" t="s" s="222">
        <f>VLOOKUP(A259,'The List'!B1:D665,3,FALSE)</f>
        <v>128</v>
      </c>
      <c r="C259" s="87">
        <f>IF('Settings'!$E$15="POINTS",RANK(E259,E3:E392),H259)</f>
        <v>258</v>
      </c>
      <c r="D259" t="s" s="86">
        <f>VLOOKUP(A259,'The List'!B1:F665,5,FALSE)</f>
        <v>910</v>
      </c>
      <c r="E259" s="77">
        <f>VLOOKUP(A259,'The List'!B1:I665,8,FALSE)</f>
        <v>184.231337370470</v>
      </c>
      <c r="F259" s="77">
        <f>IF('Settings'!$E$15="POINTS",E259-VLOOKUP(B$2,C1:E392,3,FALSE),J259)</f>
        <v>-122.674667059121</v>
      </c>
      <c r="G259" s="77"/>
      <c r="H259" s="223">
        <f>RANK(I259,I3:I392)</f>
        <v>283</v>
      </c>
      <c r="I259" s="77">
        <f>VLOOKUP(A259,'Standard Deviations'!A1:C666,3,FALSE)</f>
        <v>-2.9022861002785</v>
      </c>
      <c r="J259" s="84">
        <f>I259-VLOOKUP(B$2,H1:J392,2,FALSE)</f>
        <v>-7.492417530838</v>
      </c>
    </row>
    <row r="260" ht="21.25" customHeight="1">
      <c r="A260" t="s" s="10">
        <v>622</v>
      </c>
      <c r="B260" t="s" s="222">
        <f>VLOOKUP(A260,'The List'!B1:D665,3,FALSE)</f>
        <v>128</v>
      </c>
      <c r="C260" s="87">
        <f>IF('Settings'!$E$15="POINTS",RANK(E260,E3:E392),H260)</f>
        <v>245</v>
      </c>
      <c r="D260" t="s" s="86">
        <f>VLOOKUP(A260,'The List'!B1:F665,5,FALSE)</f>
        <v>156</v>
      </c>
      <c r="E260" s="77">
        <f>VLOOKUP(A260,'The List'!B1:I665,8,FALSE)</f>
        <v>190.057215476914</v>
      </c>
      <c r="F260" s="77">
        <f>IF('Settings'!$E$15="POINTS",E260-VLOOKUP(B$2,C1:E392,3,FALSE),J260)</f>
        <v>-116.848788952677</v>
      </c>
      <c r="G260" s="77"/>
      <c r="H260" s="223">
        <f>RANK(I260,I3:I392)</f>
        <v>287</v>
      </c>
      <c r="I260" s="77">
        <f>VLOOKUP(A260,'Standard Deviations'!A1:C666,3,FALSE)</f>
        <v>-2.96214013068433</v>
      </c>
      <c r="J260" s="84">
        <f>I260-VLOOKUP(B$2,H1:J392,2,FALSE)</f>
        <v>-7.55227156124383</v>
      </c>
    </row>
    <row r="261" ht="21.25" customHeight="1">
      <c r="A261" t="s" s="10">
        <v>503</v>
      </c>
      <c r="B261" t="s" s="222">
        <f>VLOOKUP(A261,'The List'!B1:D665,3,FALSE)</f>
        <v>128</v>
      </c>
      <c r="C261" s="87">
        <f>IF('Settings'!$E$15="POINTS",RANK(E261,E3:E392),H261)</f>
        <v>185</v>
      </c>
      <c r="D261" t="s" s="86">
        <f>VLOOKUP(A261,'The List'!B1:F665,5,FALSE)</f>
        <v>342</v>
      </c>
      <c r="E261" s="77">
        <f>VLOOKUP(A261,'The List'!B1:I665,8,FALSE)</f>
        <v>219.011919747579</v>
      </c>
      <c r="F261" s="77">
        <f>IF('Settings'!$E$15="POINTS",E261-VLOOKUP(B$2,C1:E392,3,FALSE),J261)</f>
        <v>-87.89408468201199</v>
      </c>
      <c r="G261" s="77"/>
      <c r="H261" s="223">
        <f>RANK(I261,I3:I392)</f>
        <v>218</v>
      </c>
      <c r="I261" s="77">
        <f>VLOOKUP(A261,'Standard Deviations'!A1:C666,3,FALSE)</f>
        <v>-1.20586965153178</v>
      </c>
      <c r="J261" s="84">
        <f>I261-VLOOKUP(B$2,H1:J392,2,FALSE)</f>
        <v>-5.79600108209128</v>
      </c>
    </row>
    <row r="262" ht="21.25" customHeight="1">
      <c r="A262" t="s" s="10">
        <v>723</v>
      </c>
      <c r="B262" t="s" s="222">
        <f>VLOOKUP(A262,'The List'!B1:D665,3,FALSE)</f>
        <v>128</v>
      </c>
      <c r="C262" s="87">
        <f>IF('Settings'!$E$15="POINTS",RANK(E262,E3:E392),H262)</f>
        <v>308</v>
      </c>
      <c r="D262" t="s" s="86">
        <f>VLOOKUP(A262,'The List'!B1:F665,5,FALSE)</f>
        <v>901</v>
      </c>
      <c r="E262" s="77">
        <f>VLOOKUP(A262,'The List'!B1:I665,8,FALSE)</f>
        <v>158.207323131312</v>
      </c>
      <c r="F262" s="77">
        <f>IF('Settings'!$E$15="POINTS",E262-VLOOKUP(B$2,C1:E392,3,FALSE),J262)</f>
        <v>-148.698681298279</v>
      </c>
      <c r="G262" s="77"/>
      <c r="H262" s="223">
        <f>RANK(I262,I3:I392)</f>
        <v>212</v>
      </c>
      <c r="I262" s="77">
        <f>VLOOKUP(A262,'Standard Deviations'!A1:C666,3,FALSE)</f>
        <v>-1.03472655796894</v>
      </c>
      <c r="J262" s="84">
        <f>I262-VLOOKUP(B$2,H1:J392,2,FALSE)</f>
        <v>-5.62485798852844</v>
      </c>
    </row>
    <row r="263" ht="21.25" customHeight="1">
      <c r="A263" t="s" s="10">
        <v>426</v>
      </c>
      <c r="B263" t="s" s="222">
        <f>VLOOKUP(A263,'The List'!B1:D665,3,FALSE)</f>
        <v>145</v>
      </c>
      <c r="C263" s="87">
        <f>IF('Settings'!$E$15="POINTS",RANK(E263,E3:E392),H263)</f>
        <v>128</v>
      </c>
      <c r="D263" t="s" s="86">
        <f>VLOOKUP(A263,'The List'!B1:F665,5,FALSE)</f>
        <v>174</v>
      </c>
      <c r="E263" s="77">
        <f>VLOOKUP(A263,'The List'!B1:I665,8,FALSE)</f>
        <v>247.225567381071</v>
      </c>
      <c r="F263" s="77">
        <f>IF('Settings'!$E$15="POINTS",E263-VLOOKUP(B$2,C1:E392,3,FALSE),J263)</f>
        <v>-59.680437048520</v>
      </c>
      <c r="G263" s="77"/>
      <c r="H263" s="223">
        <f>RANK(I263,I3:I392)</f>
        <v>282</v>
      </c>
      <c r="I263" s="77">
        <f>VLOOKUP(A263,'Standard Deviations'!A1:C666,3,FALSE)</f>
        <v>-2.89260127133826</v>
      </c>
      <c r="J263" s="84">
        <f>I263-VLOOKUP(B$2,H1:J392,2,FALSE)</f>
        <v>-7.48273270189776</v>
      </c>
    </row>
    <row r="264" ht="21.25" customHeight="1">
      <c r="A264" t="s" s="10">
        <v>700</v>
      </c>
      <c r="B264" t="s" s="222">
        <f>VLOOKUP(A264,'The List'!B1:D665,3,FALSE)</f>
        <v>128</v>
      </c>
      <c r="C264" s="87">
        <f>IF('Settings'!$E$15="POINTS",RANK(E264,E3:E392),H264)</f>
        <v>287</v>
      </c>
      <c r="D264" t="s" s="86">
        <f>VLOOKUP(A264,'The List'!B1:F665,5,FALSE)</f>
        <v>154</v>
      </c>
      <c r="E264" s="77">
        <f>VLOOKUP(A264,'The List'!B1:I665,8,FALSE)</f>
        <v>166.251705122371</v>
      </c>
      <c r="F264" s="77">
        <f>IF('Settings'!$E$15="POINTS",E264-VLOOKUP(B$2,C1:E392,3,FALSE),J264)</f>
        <v>-140.654299307220</v>
      </c>
      <c r="G264" s="77"/>
      <c r="H264" s="223">
        <f>RANK(I264,I3:I392)</f>
        <v>210</v>
      </c>
      <c r="I264" s="77">
        <f>VLOOKUP(A264,'Standard Deviations'!A1:C666,3,FALSE)</f>
        <v>-0.987825125328144</v>
      </c>
      <c r="J264" s="84">
        <f>I264-VLOOKUP(B$2,H1:J392,2,FALSE)</f>
        <v>-5.57795655588764</v>
      </c>
    </row>
    <row r="265" ht="21.25" customHeight="1">
      <c r="A265" t="s" s="10">
        <v>583</v>
      </c>
      <c r="B265" t="s" s="222">
        <f>VLOOKUP(A265,'The List'!B1:D665,3,FALSE)</f>
        <v>178</v>
      </c>
      <c r="C265" s="87">
        <f>IF('Settings'!$E$15="POINTS",RANK(E265,E3:E392),H265)</f>
        <v>217</v>
      </c>
      <c r="D265" t="s" s="86">
        <f>VLOOKUP(A265,'The List'!B1:F665,5,FALSE)</f>
        <v>154</v>
      </c>
      <c r="E265" s="77">
        <f>VLOOKUP(A265,'The List'!B1:I665,8,FALSE)</f>
        <v>204.979489073020</v>
      </c>
      <c r="F265" s="77">
        <f>IF('Settings'!$E$15="POINTS",E265-VLOOKUP(B$2,C1:E392,3,FALSE),J265)</f>
        <v>-101.926515356571</v>
      </c>
      <c r="G265" s="77"/>
      <c r="H265" s="223">
        <f>RANK(I265,I3:I392)</f>
        <v>262</v>
      </c>
      <c r="I265" s="77">
        <f>VLOOKUP(A265,'Standard Deviations'!A1:C666,3,FALSE)</f>
        <v>-2.52412538058527</v>
      </c>
      <c r="J265" s="84">
        <f>I265-VLOOKUP(B$2,H1:J392,2,FALSE)</f>
        <v>-7.11425681114477</v>
      </c>
    </row>
    <row r="266" ht="21.25" customHeight="1">
      <c r="A266" t="s" s="10">
        <v>684</v>
      </c>
      <c r="B266" t="s" s="222">
        <f>VLOOKUP(A266,'The List'!B1:D665,3,FALSE)</f>
        <v>128</v>
      </c>
      <c r="C266" s="87">
        <f>IF('Settings'!$E$15="POINTS",RANK(E266,E3:E392),H266)</f>
        <v>279</v>
      </c>
      <c r="D266" t="s" s="86">
        <f>VLOOKUP(A266,'The List'!B1:F665,5,FALSE)</f>
        <v>905</v>
      </c>
      <c r="E266" s="77">
        <f>VLOOKUP(A266,'The List'!B1:I665,8,FALSE)</f>
        <v>170.034629831937</v>
      </c>
      <c r="F266" s="77">
        <f>IF('Settings'!$E$15="POINTS",E266-VLOOKUP(B$2,C1:E392,3,FALSE),J266)</f>
        <v>-136.871374597654</v>
      </c>
      <c r="G266" s="77"/>
      <c r="H266" s="223">
        <f>RANK(I266,I3:I392)</f>
        <v>343</v>
      </c>
      <c r="I266" s="77">
        <f>VLOOKUP(A266,'Standard Deviations'!A1:C666,3,FALSE)</f>
        <v>-3.9924526106742</v>
      </c>
      <c r="J266" s="84">
        <f>I266-VLOOKUP(B$2,H1:J392,2,FALSE)</f>
        <v>-8.5825840412337</v>
      </c>
    </row>
    <row r="267" ht="21.25" customHeight="1">
      <c r="A267" t="s" s="10">
        <v>714</v>
      </c>
      <c r="B267" t="s" s="222">
        <f>VLOOKUP(A267,'The List'!B1:D665,3,FALSE)</f>
        <v>128</v>
      </c>
      <c r="C267" s="87">
        <f>IF('Settings'!$E$15="POINTS",RANK(E267,E3:E392),H267)</f>
        <v>300</v>
      </c>
      <c r="D267" t="s" s="86">
        <f>VLOOKUP(A267,'The List'!B1:F665,5,FALSE)</f>
        <v>904</v>
      </c>
      <c r="E267" s="77">
        <f>VLOOKUP(A267,'The List'!B1:I665,8,FALSE)</f>
        <v>161.082337605198</v>
      </c>
      <c r="F267" s="77">
        <f>IF('Settings'!$E$15="POINTS",E267-VLOOKUP(B$2,C1:E392,3,FALSE),J267)</f>
        <v>-145.823666824393</v>
      </c>
      <c r="G267" s="77"/>
      <c r="H267" s="223">
        <f>RANK(I267,I3:I392)</f>
        <v>245</v>
      </c>
      <c r="I267" s="77">
        <f>VLOOKUP(A267,'Standard Deviations'!A1:C666,3,FALSE)</f>
        <v>-1.9371511860832</v>
      </c>
      <c r="J267" s="84">
        <f>I267-VLOOKUP(B$2,H1:J392,2,FALSE)</f>
        <v>-6.5272826166427</v>
      </c>
    </row>
    <row r="268" ht="21.25" customHeight="1">
      <c r="A268" t="s" s="10">
        <v>782</v>
      </c>
      <c r="B268" t="s" s="222">
        <f>VLOOKUP(A268,'The List'!B1:D665,3,FALSE)</f>
        <v>140</v>
      </c>
      <c r="C268" s="87">
        <f>IF('Settings'!$E$15="POINTS",RANK(E268,E3:E392),H268)</f>
        <v>335</v>
      </c>
      <c r="D268" t="s" s="86">
        <f>VLOOKUP(A268,'The List'!B1:F665,5,FALSE)</f>
        <v>267</v>
      </c>
      <c r="E268" s="77">
        <f>VLOOKUP(A268,'The List'!B1:I665,8,FALSE)</f>
        <v>147.897429177955</v>
      </c>
      <c r="F268" s="77">
        <f>IF('Settings'!$E$15="POINTS",E268-VLOOKUP(B$2,C1:E392,3,FALSE),J268)</f>
        <v>-159.008575251636</v>
      </c>
      <c r="G268" s="77"/>
      <c r="H268" s="223">
        <f>RANK(I268,I3:I392)</f>
        <v>240</v>
      </c>
      <c r="I268" s="77">
        <f>VLOOKUP(A268,'Standard Deviations'!A1:C666,3,FALSE)</f>
        <v>-1.8564238641172</v>
      </c>
      <c r="J268" s="84">
        <f>I268-VLOOKUP(B$2,H1:J392,2,FALSE)</f>
        <v>-6.4465552946767</v>
      </c>
    </row>
    <row r="269" ht="21.25" customHeight="1">
      <c r="A269" t="s" s="10">
        <v>769</v>
      </c>
      <c r="B269" t="s" s="222">
        <f>VLOOKUP(A269,'The List'!B1:D665,3,FALSE)</f>
        <v>128</v>
      </c>
      <c r="C269" s="87">
        <f>IF('Settings'!$E$15="POINTS",RANK(E269,E3:E392),H269)</f>
        <v>340</v>
      </c>
      <c r="D269" t="s" s="86">
        <f>VLOOKUP(A269,'The List'!B1:F665,5,FALSE)</f>
        <v>899</v>
      </c>
      <c r="E269" s="77">
        <f>VLOOKUP(A269,'The List'!B1:I665,8,FALSE)</f>
        <v>146.363992288450</v>
      </c>
      <c r="F269" s="77">
        <f>IF('Settings'!$E$15="POINTS",E269-VLOOKUP(B$2,C1:E392,3,FALSE),J269)</f>
        <v>-160.542012141141</v>
      </c>
      <c r="G269" s="77"/>
      <c r="H269" s="223">
        <f>RANK(I269,I3:I392)</f>
        <v>252</v>
      </c>
      <c r="I269" s="77">
        <f>VLOOKUP(A269,'Standard Deviations'!A1:C666,3,FALSE)</f>
        <v>-2.16256059619132</v>
      </c>
      <c r="J269" s="84">
        <f>I269-VLOOKUP(B$2,H1:J392,2,FALSE)</f>
        <v>-6.75269202675082</v>
      </c>
    </row>
    <row r="270" ht="21.25" customHeight="1">
      <c r="A270" t="s" s="10">
        <v>703</v>
      </c>
      <c r="B270" t="s" s="222">
        <f>VLOOKUP(A270,'The List'!B1:D665,3,FALSE)</f>
        <v>128</v>
      </c>
      <c r="C270" s="87">
        <f>IF('Settings'!$E$15="POINTS",RANK(E270,E3:E392),H270)</f>
        <v>290</v>
      </c>
      <c r="D270" t="s" s="86">
        <f>VLOOKUP(A270,'The List'!B1:F665,5,FALSE)</f>
        <v>259</v>
      </c>
      <c r="E270" s="77">
        <f>VLOOKUP(A270,'The List'!B1:I665,8,FALSE)</f>
        <v>166.054292057417</v>
      </c>
      <c r="F270" s="77">
        <f>IF('Settings'!$E$15="POINTS",E270-VLOOKUP(B$2,C1:E392,3,FALSE),J270)</f>
        <v>-140.851712372174</v>
      </c>
      <c r="G270" s="77"/>
      <c r="H270" s="223">
        <f>RANK(I270,I3:I392)</f>
        <v>265</v>
      </c>
      <c r="I270" s="77">
        <f>VLOOKUP(A270,'Standard Deviations'!A1:C666,3,FALSE)</f>
        <v>-2.64229725979266</v>
      </c>
      <c r="J270" s="84">
        <f>I270-VLOOKUP(B$2,H1:J392,2,FALSE)</f>
        <v>-7.23242869035216</v>
      </c>
    </row>
    <row r="271" ht="21.25" customHeight="1">
      <c r="A271" t="s" s="10">
        <v>776</v>
      </c>
      <c r="B271" t="s" s="222">
        <f>VLOOKUP(A271,'The List'!B1:D665,3,FALSE)</f>
        <v>140</v>
      </c>
      <c r="C271" s="87">
        <f>IF('Settings'!$E$15="POINTS",RANK(E271,E3:E392),H271)</f>
        <v>330</v>
      </c>
      <c r="D271" t="s" s="86">
        <f>VLOOKUP(A271,'The List'!B1:F665,5,FALSE)</f>
        <v>910</v>
      </c>
      <c r="E271" s="77">
        <f>VLOOKUP(A271,'The List'!B1:I665,8,FALSE)</f>
        <v>149.647400240377</v>
      </c>
      <c r="F271" s="77">
        <f>IF('Settings'!$E$15="POINTS",E271-VLOOKUP(B$2,C1:E392,3,FALSE),J271)</f>
        <v>-157.258604189214</v>
      </c>
      <c r="G271" s="77"/>
      <c r="H271" s="223">
        <f>RANK(I271,I3:I392)</f>
        <v>289</v>
      </c>
      <c r="I271" s="77">
        <f>VLOOKUP(A271,'Standard Deviations'!A1:C666,3,FALSE)</f>
        <v>-2.97811996507374</v>
      </c>
      <c r="J271" s="84">
        <f>I271-VLOOKUP(B$2,H1:J392,2,FALSE)</f>
        <v>-7.56825139563324</v>
      </c>
    </row>
    <row r="272" ht="21.25" customHeight="1">
      <c r="A272" t="s" s="10">
        <v>763</v>
      </c>
      <c r="B272" t="s" s="222">
        <f>VLOOKUP(A272,'The List'!B1:D665,3,FALSE)</f>
        <v>178</v>
      </c>
      <c r="C272" s="87">
        <f>IF('Settings'!$E$15="POINTS",RANK(E272,E3:E392),H272)</f>
        <v>324</v>
      </c>
      <c r="D272" t="s" s="86">
        <f>VLOOKUP(A272,'The List'!B1:F665,5,FALSE)</f>
        <v>259</v>
      </c>
      <c r="E272" s="77">
        <f>VLOOKUP(A272,'The List'!B1:I665,8,FALSE)</f>
        <v>153.271184103058</v>
      </c>
      <c r="F272" s="77">
        <f>IF('Settings'!$E$15="POINTS",E272-VLOOKUP(B$2,C1:E392,3,FALSE),J272)</f>
        <v>-153.634820326533</v>
      </c>
      <c r="G272" s="77"/>
      <c r="H272" s="223">
        <f>RANK(I272,I3:I392)</f>
        <v>276</v>
      </c>
      <c r="I272" s="77">
        <f>VLOOKUP(A272,'Standard Deviations'!A1:C666,3,FALSE)</f>
        <v>-2.83311633762641</v>
      </c>
      <c r="J272" s="84">
        <f>I272-VLOOKUP(B$2,H1:J392,2,FALSE)</f>
        <v>-7.42324776818591</v>
      </c>
    </row>
    <row r="273" ht="21.25" customHeight="1">
      <c r="A273" t="s" s="10">
        <v>507</v>
      </c>
      <c r="B273" t="s" s="222">
        <f>VLOOKUP(A273,'The List'!B1:D665,3,FALSE)</f>
        <v>128</v>
      </c>
      <c r="C273" s="87">
        <f>IF('Settings'!$E$15="POINTS",RANK(E273,E3:E392),H273)</f>
        <v>187</v>
      </c>
      <c r="D273" t="s" s="86">
        <f>VLOOKUP(A273,'The List'!B1:F665,5,FALSE)</f>
        <v>192</v>
      </c>
      <c r="E273" s="77">
        <f>VLOOKUP(A273,'The List'!B1:I665,8,FALSE)</f>
        <v>218.141230324997</v>
      </c>
      <c r="F273" s="77">
        <f>IF('Settings'!$E$15="POINTS",E273-VLOOKUP(B$2,C1:E392,3,FALSE),J273)</f>
        <v>-88.764774104594</v>
      </c>
      <c r="G273" s="77"/>
      <c r="H273" s="223">
        <f>RANK(I273,I3:I392)</f>
        <v>291</v>
      </c>
      <c r="I273" s="77">
        <f>VLOOKUP(A273,'Standard Deviations'!A1:C666,3,FALSE)</f>
        <v>-2.99884660466576</v>
      </c>
      <c r="J273" s="84">
        <f>I273-VLOOKUP(B$2,H1:J392,2,FALSE)</f>
        <v>-7.58897803522526</v>
      </c>
    </row>
    <row r="274" ht="21.25" customHeight="1">
      <c r="A274" t="s" s="10">
        <v>773</v>
      </c>
      <c r="B274" t="s" s="222">
        <f>VLOOKUP(A274,'The List'!B1:D665,3,FALSE)</f>
        <v>128</v>
      </c>
      <c r="C274" s="87">
        <f>IF('Settings'!$E$15="POINTS",RANK(E274,E3:E392),H274)</f>
        <v>344</v>
      </c>
      <c r="D274" t="s" s="86">
        <f>VLOOKUP(A274,'The List'!B1:F665,5,FALSE)</f>
        <v>342</v>
      </c>
      <c r="E274" s="77">
        <f>VLOOKUP(A274,'The List'!B1:I665,8,FALSE)</f>
        <v>145.424865925261</v>
      </c>
      <c r="F274" s="77">
        <f>IF('Settings'!$E$15="POINTS",E274-VLOOKUP(B$2,C1:E392,3,FALSE),J274)</f>
        <v>-161.481138504330</v>
      </c>
      <c r="G274" s="77"/>
      <c r="H274" s="223">
        <f>RANK(I274,I3:I392)</f>
        <v>216</v>
      </c>
      <c r="I274" s="77">
        <f>VLOOKUP(A274,'Standard Deviations'!A1:C666,3,FALSE)</f>
        <v>-1.09014749499915</v>
      </c>
      <c r="J274" s="84">
        <f>I274-VLOOKUP(B$2,H1:J392,2,FALSE)</f>
        <v>-5.68027892555865</v>
      </c>
    </row>
    <row r="275" ht="21.25" customHeight="1">
      <c r="A275" t="s" s="10">
        <v>815</v>
      </c>
      <c r="B275" t="s" s="222">
        <f>VLOOKUP(A275,'The List'!B1:D665,3,FALSE)</f>
        <v>178</v>
      </c>
      <c r="C275" s="87">
        <f>IF('Settings'!$E$15="POINTS",RANK(E275,E3:E392),H275)</f>
        <v>360</v>
      </c>
      <c r="D275" t="s" s="86">
        <f>VLOOKUP(A275,'The List'!B1:F665,5,FALSE)</f>
        <v>207</v>
      </c>
      <c r="E275" s="77">
        <f>VLOOKUP(A275,'The List'!B1:I665,8,FALSE)</f>
        <v>135.516821406142</v>
      </c>
      <c r="F275" s="77">
        <f>IF('Settings'!$E$15="POINTS",E275-VLOOKUP(B$2,C1:E392,3,FALSE),J275)</f>
        <v>-171.389183023449</v>
      </c>
      <c r="G275" s="77"/>
      <c r="H275" s="223">
        <f>RANK(I275,I3:I392)</f>
        <v>239</v>
      </c>
      <c r="I275" s="77">
        <f>VLOOKUP(A275,'Standard Deviations'!A1:C666,3,FALSE)</f>
        <v>-1.84914906908698</v>
      </c>
      <c r="J275" s="84">
        <f>I275-VLOOKUP(B$2,H1:J392,2,FALSE)</f>
        <v>-6.43928049964648</v>
      </c>
    </row>
    <row r="276" ht="21.25" customHeight="1">
      <c r="A276" t="s" s="10">
        <v>704</v>
      </c>
      <c r="B276" t="s" s="222">
        <f>VLOOKUP(A276,'The List'!B1:D665,3,FALSE)</f>
        <v>145</v>
      </c>
      <c r="C276" s="87">
        <f>IF('Settings'!$E$15="POINTS",RANK(E276,E3:E392),H276)</f>
        <v>278</v>
      </c>
      <c r="D276" t="s" s="86">
        <f>VLOOKUP(A276,'The List'!B1:F665,5,FALSE)</f>
        <v>906</v>
      </c>
      <c r="E276" s="77">
        <f>VLOOKUP(A276,'The List'!B1:I665,8,FALSE)</f>
        <v>170.662108029993</v>
      </c>
      <c r="F276" s="77">
        <f>IF('Settings'!$E$15="POINTS",E276-VLOOKUP(B$2,C1:E392,3,FALSE),J276)</f>
        <v>-136.243896399598</v>
      </c>
      <c r="G276" s="77"/>
      <c r="H276" s="223">
        <f>RANK(I276,I3:I392)</f>
        <v>256</v>
      </c>
      <c r="I276" s="77">
        <f>VLOOKUP(A276,'Standard Deviations'!A1:C666,3,FALSE)</f>
        <v>-2.28769407721253</v>
      </c>
      <c r="J276" s="84">
        <f>I276-VLOOKUP(B$2,H1:J392,2,FALSE)</f>
        <v>-6.87782550777203</v>
      </c>
    </row>
    <row r="277" ht="21.25" customHeight="1">
      <c r="A277" t="s" s="10">
        <v>798</v>
      </c>
      <c r="B277" t="s" s="222">
        <f>VLOOKUP(A277,'The List'!B1:D665,3,FALSE)</f>
        <v>178</v>
      </c>
      <c r="C277" s="87">
        <f>IF('Settings'!$E$15="POINTS",RANK(E277,E3:E392),H277)</f>
        <v>348</v>
      </c>
      <c r="D277" t="s" s="86">
        <f>VLOOKUP(A277,'The List'!B1:F665,5,FALSE)</f>
        <v>156</v>
      </c>
      <c r="E277" s="77">
        <f>VLOOKUP(A277,'The List'!B1:I665,8,FALSE)</f>
        <v>140.888482831201</v>
      </c>
      <c r="F277" s="77">
        <f>IF('Settings'!$E$15="POINTS",E277-VLOOKUP(B$2,C1:E392,3,FALSE),J277)</f>
        <v>-166.017521598390</v>
      </c>
      <c r="G277" s="77"/>
      <c r="H277" s="223">
        <f>RANK(I277,I3:I392)</f>
        <v>290</v>
      </c>
      <c r="I277" s="77">
        <f>VLOOKUP(A277,'Standard Deviations'!A1:C666,3,FALSE)</f>
        <v>-2.99724654618254</v>
      </c>
      <c r="J277" s="84">
        <f>I277-VLOOKUP(B$2,H1:J392,2,FALSE)</f>
        <v>-7.58737797674204</v>
      </c>
    </row>
    <row r="278" ht="21.25" customHeight="1">
      <c r="A278" t="s" s="10">
        <v>725</v>
      </c>
      <c r="B278" t="s" s="222">
        <f>VLOOKUP(A278,'The List'!B1:D665,3,FALSE)</f>
        <v>178</v>
      </c>
      <c r="C278" s="87">
        <f>IF('Settings'!$E$15="POINTS",RANK(E278,E3:E392),H278)</f>
        <v>296</v>
      </c>
      <c r="D278" t="s" s="86">
        <f>VLOOKUP(A278,'The List'!B1:F665,5,FALSE)</f>
        <v>910</v>
      </c>
      <c r="E278" s="77">
        <f>VLOOKUP(A278,'The List'!B1:I665,8,FALSE)</f>
        <v>162.592818160042</v>
      </c>
      <c r="F278" s="77">
        <f>IF('Settings'!$E$15="POINTS",E278-VLOOKUP(B$2,C1:E392,3,FALSE),J278)</f>
        <v>-144.313186269549</v>
      </c>
      <c r="G278" s="77"/>
      <c r="H278" s="223">
        <f>RANK(I278,I3:I392)</f>
        <v>301</v>
      </c>
      <c r="I278" s="77">
        <f>VLOOKUP(A278,'Standard Deviations'!A1:C666,3,FALSE)</f>
        <v>-3.18576785860535</v>
      </c>
      <c r="J278" s="84">
        <f>I278-VLOOKUP(B$2,H1:J392,2,FALSE)</f>
        <v>-7.77589928916485</v>
      </c>
    </row>
    <row r="279" ht="21.25" customHeight="1">
      <c r="A279" t="s" s="10">
        <v>802</v>
      </c>
      <c r="B279" t="s" s="222">
        <f>VLOOKUP(A279,'The List'!B1:D665,3,FALSE)</f>
        <v>140</v>
      </c>
      <c r="C279" s="87">
        <f>IF('Settings'!$E$15="POINTS",RANK(E279,E3:E392),H279)</f>
        <v>350</v>
      </c>
      <c r="D279" t="s" s="86">
        <f>VLOOKUP(A279,'The List'!B1:F665,5,FALSE)</f>
        <v>905</v>
      </c>
      <c r="E279" s="77">
        <f>VLOOKUP(A279,'The List'!B1:I665,8,FALSE)</f>
        <v>140.161102295912</v>
      </c>
      <c r="F279" s="77">
        <f>IF('Settings'!$E$15="POINTS",E279-VLOOKUP(B$2,C1:E392,3,FALSE),J279)</f>
        <v>-166.744902133679</v>
      </c>
      <c r="G279" s="77"/>
      <c r="H279" s="223">
        <f>RANK(I279,I3:I392)</f>
        <v>233</v>
      </c>
      <c r="I279" s="77">
        <f>VLOOKUP(A279,'Standard Deviations'!A1:C666,3,FALSE)</f>
        <v>-1.76154893806626</v>
      </c>
      <c r="J279" s="84">
        <f>I279-VLOOKUP(B$2,H1:J392,2,FALSE)</f>
        <v>-6.35168036862576</v>
      </c>
    </row>
    <row r="280" ht="21.25" customHeight="1">
      <c r="A280" t="s" s="10">
        <v>787</v>
      </c>
      <c r="B280" t="s" s="222">
        <f>VLOOKUP(A280,'The List'!B1:D665,3,FALSE)</f>
        <v>140</v>
      </c>
      <c r="C280" s="87">
        <f>IF('Settings'!$E$15="POINTS",RANK(E280,E3:E392),H280)</f>
        <v>339</v>
      </c>
      <c r="D280" t="s" s="86">
        <f>VLOOKUP(A280,'The List'!B1:F665,5,FALSE)</f>
        <v>902</v>
      </c>
      <c r="E280" s="77">
        <f>VLOOKUP(A280,'The List'!B1:I665,8,FALSE)</f>
        <v>146.949916852469</v>
      </c>
      <c r="F280" s="77">
        <f>IF('Settings'!$E$15="POINTS",E280-VLOOKUP(B$2,C1:E392,3,FALSE),J280)</f>
        <v>-159.956087577122</v>
      </c>
      <c r="G280" s="77"/>
      <c r="H280" s="223">
        <f>RANK(I280,I3:I392)</f>
        <v>244</v>
      </c>
      <c r="I280" s="77">
        <f>VLOOKUP(A280,'Standard Deviations'!A1:C666,3,FALSE)</f>
        <v>-1.92946573589469</v>
      </c>
      <c r="J280" s="84">
        <f>I280-VLOOKUP(B$2,H1:J392,2,FALSE)</f>
        <v>-6.51959716645419</v>
      </c>
    </row>
    <row r="281" ht="21.25" customHeight="1">
      <c r="A281" t="s" s="10">
        <v>693</v>
      </c>
      <c r="B281" t="s" s="222">
        <f>VLOOKUP(A281,'The List'!B1:D665,3,FALSE)</f>
        <v>140</v>
      </c>
      <c r="C281" s="87">
        <f>IF('Settings'!$E$15="POINTS",RANK(E281,E3:E392),H281)</f>
        <v>274</v>
      </c>
      <c r="D281" t="s" s="86">
        <f>VLOOKUP(A281,'The List'!B1:F665,5,FALSE)</f>
        <v>267</v>
      </c>
      <c r="E281" s="77">
        <f>VLOOKUP(A281,'The List'!B1:I665,8,FALSE)</f>
        <v>172.949966077644</v>
      </c>
      <c r="F281" s="77">
        <f>IF('Settings'!$E$15="POINTS",E281-VLOOKUP(B$2,C1:E392,3,FALSE),J281)</f>
        <v>-133.956038351947</v>
      </c>
      <c r="G281" s="77"/>
      <c r="H281" s="223">
        <f>RANK(I281,I3:I392)</f>
        <v>275</v>
      </c>
      <c r="I281" s="77">
        <f>VLOOKUP(A281,'Standard Deviations'!A1:C666,3,FALSE)</f>
        <v>-2.80056577327987</v>
      </c>
      <c r="J281" s="84">
        <f>I281-VLOOKUP(B$2,H1:J392,2,FALSE)</f>
        <v>-7.39069720383937</v>
      </c>
    </row>
    <row r="282" ht="21.25" customHeight="1">
      <c r="A282" t="s" s="10">
        <v>764</v>
      </c>
      <c r="B282" t="s" s="222">
        <f>VLOOKUP(A282,'The List'!B1:D665,3,FALSE)</f>
        <v>178</v>
      </c>
      <c r="C282" s="87">
        <f>IF('Settings'!$E$15="POINTS",RANK(E282,E3:E392),H282)</f>
        <v>326</v>
      </c>
      <c r="D282" t="s" s="86">
        <f>VLOOKUP(A282,'The List'!B1:F665,5,FALSE)</f>
        <v>342</v>
      </c>
      <c r="E282" s="77">
        <f>VLOOKUP(A282,'The List'!B1:I665,8,FALSE)</f>
        <v>152.569250249237</v>
      </c>
      <c r="F282" s="77">
        <f>IF('Settings'!$E$15="POINTS",E282-VLOOKUP(B$2,C1:E392,3,FALSE),J282)</f>
        <v>-154.336754180354</v>
      </c>
      <c r="G282" s="77"/>
      <c r="H282" s="223">
        <f>RANK(I282,I3:I392)</f>
        <v>243</v>
      </c>
      <c r="I282" s="77">
        <f>VLOOKUP(A282,'Standard Deviations'!A1:C666,3,FALSE)</f>
        <v>-1.89801863845451</v>
      </c>
      <c r="J282" s="84">
        <f>I282-VLOOKUP(B$2,H1:J392,2,FALSE)</f>
        <v>-6.48815006901401</v>
      </c>
    </row>
    <row r="283" ht="21.25" customHeight="1">
      <c r="A283" t="s" s="10">
        <v>777</v>
      </c>
      <c r="B283" t="s" s="222">
        <f>VLOOKUP(A283,'The List'!B1:D665,3,FALSE)</f>
        <v>178</v>
      </c>
      <c r="C283" s="87">
        <f>IF('Settings'!$E$15="POINTS",RANK(E283,E3:E392),H283)</f>
        <v>331</v>
      </c>
      <c r="D283" t="s" s="86">
        <f>VLOOKUP(A283,'The List'!B1:F665,5,FALSE)</f>
        <v>900</v>
      </c>
      <c r="E283" s="77">
        <f>VLOOKUP(A283,'The List'!B1:I665,8,FALSE)</f>
        <v>149.582717430447</v>
      </c>
      <c r="F283" s="77">
        <f>IF('Settings'!$E$15="POINTS",E283-VLOOKUP(B$2,C1:E392,3,FALSE),J283)</f>
        <v>-157.323286999144</v>
      </c>
      <c r="G283" s="77"/>
      <c r="H283" s="223">
        <f>RANK(I283,I3:I392)</f>
        <v>278</v>
      </c>
      <c r="I283" s="77">
        <f>VLOOKUP(A283,'Standard Deviations'!A1:C666,3,FALSE)</f>
        <v>-2.8480502731187</v>
      </c>
      <c r="J283" s="84">
        <f>I283-VLOOKUP(B$2,H1:J392,2,FALSE)</f>
        <v>-7.4381817036782</v>
      </c>
    </row>
    <row r="284" ht="21.25" customHeight="1">
      <c r="A284" t="s" s="10">
        <v>770</v>
      </c>
      <c r="B284" t="s" s="222">
        <f>VLOOKUP(A284,'The List'!B1:D665,3,FALSE)</f>
        <v>128</v>
      </c>
      <c r="C284" s="87">
        <f>IF('Settings'!$E$15="POINTS",RANK(E284,E3:E392),H284)</f>
        <v>341</v>
      </c>
      <c r="D284" t="s" s="86">
        <f>VLOOKUP(A284,'The List'!B1:F665,5,FALSE)</f>
        <v>259</v>
      </c>
      <c r="E284" s="77">
        <f>VLOOKUP(A284,'The List'!B1:I665,8,FALSE)</f>
        <v>146.215719797158</v>
      </c>
      <c r="F284" s="77">
        <f>IF('Settings'!$E$15="POINTS",E284-VLOOKUP(B$2,C1:E392,3,FALSE),J284)</f>
        <v>-160.690284632433</v>
      </c>
      <c r="G284" s="77"/>
      <c r="H284" s="223">
        <f>RANK(I284,I3:I392)</f>
        <v>269</v>
      </c>
      <c r="I284" s="77">
        <f>VLOOKUP(A284,'Standard Deviations'!A1:C666,3,FALSE)</f>
        <v>-2.69485542947823</v>
      </c>
      <c r="J284" s="84">
        <f>I284-VLOOKUP(B$2,H1:J392,2,FALSE)</f>
        <v>-7.28498686003773</v>
      </c>
    </row>
    <row r="285" ht="21.25" customHeight="1">
      <c r="A285" t="s" s="10">
        <v>783</v>
      </c>
      <c r="B285" t="s" s="222">
        <f>VLOOKUP(A285,'The List'!B1:D665,3,FALSE)</f>
        <v>148</v>
      </c>
      <c r="C285" s="87">
        <f>IF('Settings'!$E$15="POINTS",RANK(E285,E3:E392),H285)</f>
        <v>336</v>
      </c>
      <c r="D285" t="s" s="86">
        <f>VLOOKUP(A285,'The List'!B1:F665,5,FALSE)</f>
        <v>907</v>
      </c>
      <c r="E285" s="77">
        <f>VLOOKUP(A285,'The List'!B1:I665,8,FALSE)</f>
        <v>147.664385742247</v>
      </c>
      <c r="F285" s="77">
        <f>IF('Settings'!$E$15="POINTS",E285-VLOOKUP(B$2,C1:E392,3,FALSE),J285)</f>
        <v>-159.241618687344</v>
      </c>
      <c r="G285" s="77"/>
      <c r="H285" s="223">
        <f>RANK(I285,I3:I392)</f>
        <v>371</v>
      </c>
      <c r="I285" s="77">
        <f>VLOOKUP(A285,'Standard Deviations'!A1:C666,3,FALSE)</f>
        <v>-4.89646962160313</v>
      </c>
      <c r="J285" s="84">
        <f>I285-VLOOKUP(B$2,H1:J392,2,FALSE)</f>
        <v>-9.48660105216263</v>
      </c>
    </row>
    <row r="286" ht="21.25" customHeight="1">
      <c r="A286" t="s" s="10">
        <v>600</v>
      </c>
      <c r="B286" t="s" s="222">
        <f>VLOOKUP(A286,'The List'!B1:D665,3,FALSE)</f>
        <v>178</v>
      </c>
      <c r="C286" s="87">
        <f>IF('Settings'!$E$15="POINTS",RANK(E286,E3:E392),H286)</f>
        <v>228</v>
      </c>
      <c r="D286" t="s" s="86">
        <f>VLOOKUP(A286,'The List'!B1:F665,5,FALSE)</f>
        <v>342</v>
      </c>
      <c r="E286" s="77">
        <f>VLOOKUP(A286,'The List'!B1:I665,8,FALSE)</f>
        <v>200.312589475842</v>
      </c>
      <c r="F286" s="77">
        <f>IF('Settings'!$E$15="POINTS",E286-VLOOKUP(B$2,C1:E392,3,FALSE),J286)</f>
        <v>-106.593414953749</v>
      </c>
      <c r="G286" s="77"/>
      <c r="H286" s="223">
        <f>RANK(I286,I3:I392)</f>
        <v>246</v>
      </c>
      <c r="I286" s="77">
        <f>VLOOKUP(A286,'Standard Deviations'!A1:C666,3,FALSE)</f>
        <v>-2.03497486402031</v>
      </c>
      <c r="J286" s="84">
        <f>I286-VLOOKUP(B$2,H1:J392,2,FALSE)</f>
        <v>-6.62510629457981</v>
      </c>
    </row>
    <row r="287" ht="21.25" customHeight="1">
      <c r="A287" t="s" s="10">
        <v>735</v>
      </c>
      <c r="B287" t="s" s="222">
        <f>VLOOKUP(A287,'The List'!B1:D665,3,FALSE)</f>
        <v>128</v>
      </c>
      <c r="C287" s="87">
        <f>IF('Settings'!$E$15="POINTS",RANK(E287,E3:E392),H287)</f>
        <v>315</v>
      </c>
      <c r="D287" t="s" s="86">
        <f>VLOOKUP(A287,'The List'!B1:F665,5,FALSE)</f>
        <v>132</v>
      </c>
      <c r="E287" s="77">
        <f>VLOOKUP(A287,'The List'!B1:I665,8,FALSE)</f>
        <v>155.422825129197</v>
      </c>
      <c r="F287" s="77">
        <f>IF('Settings'!$E$15="POINTS",E287-VLOOKUP(B$2,C1:E392,3,FALSE),J287)</f>
        <v>-151.483179300394</v>
      </c>
      <c r="G287" s="77"/>
      <c r="H287" s="223">
        <f>RANK(I287,I3:I392)</f>
        <v>231</v>
      </c>
      <c r="I287" s="77">
        <f>VLOOKUP(A287,'Standard Deviations'!A1:C666,3,FALSE)</f>
        <v>-1.70768757131329</v>
      </c>
      <c r="J287" s="84">
        <f>I287-VLOOKUP(B$2,H1:J392,2,FALSE)</f>
        <v>-6.29781900187279</v>
      </c>
    </row>
    <row r="288" ht="21.25" customHeight="1">
      <c r="A288" t="s" s="10">
        <v>804</v>
      </c>
      <c r="B288" t="s" s="222">
        <f>VLOOKUP(A288,'The List'!B1:D665,3,FALSE)</f>
        <v>178</v>
      </c>
      <c r="C288" s="87">
        <f>IF('Settings'!$E$15="POINTS",RANK(E288,E3:E392),H288)</f>
        <v>351</v>
      </c>
      <c r="D288" t="s" s="86">
        <f>VLOOKUP(A288,'The List'!B1:F665,5,FALSE)</f>
        <v>192</v>
      </c>
      <c r="E288" s="77">
        <f>VLOOKUP(A288,'The List'!B1:I665,8,FALSE)</f>
        <v>139.293191431134</v>
      </c>
      <c r="F288" s="77">
        <f>IF('Settings'!$E$15="POINTS",E288-VLOOKUP(B$2,C1:E392,3,FALSE),J288)</f>
        <v>-167.612812998457</v>
      </c>
      <c r="G288" s="77"/>
      <c r="H288" s="223">
        <f>RANK(I288,I3:I392)</f>
        <v>286</v>
      </c>
      <c r="I288" s="77">
        <f>VLOOKUP(A288,'Standard Deviations'!A1:C666,3,FALSE)</f>
        <v>-2.96186367198572</v>
      </c>
      <c r="J288" s="84">
        <f>I288-VLOOKUP(B$2,H1:J392,2,FALSE)</f>
        <v>-7.55199510254522</v>
      </c>
    </row>
    <row r="289" ht="21.25" customHeight="1">
      <c r="A289" t="s" s="10">
        <v>696</v>
      </c>
      <c r="B289" t="s" s="222">
        <f>VLOOKUP(A289,'The List'!B1:D665,3,FALSE)</f>
        <v>128</v>
      </c>
      <c r="C289" s="87">
        <f>IF('Settings'!$E$15="POINTS",RANK(E289,E3:E392),H289)</f>
        <v>284</v>
      </c>
      <c r="D289" t="s" s="86">
        <f>VLOOKUP(A289,'The List'!B1:F665,5,FALSE)</f>
        <v>909</v>
      </c>
      <c r="E289" s="77">
        <f>VLOOKUP(A289,'The List'!B1:I665,8,FALSE)</f>
        <v>166.872614864883</v>
      </c>
      <c r="F289" s="77">
        <f>IF('Settings'!$E$15="POINTS",E289-VLOOKUP(B$2,C1:E392,3,FALSE),J289)</f>
        <v>-140.033389564708</v>
      </c>
      <c r="G289" s="77"/>
      <c r="H289" s="223">
        <f>RANK(I289,I3:I392)</f>
        <v>346</v>
      </c>
      <c r="I289" s="77">
        <f>VLOOKUP(A289,'Standard Deviations'!A1:C666,3,FALSE)</f>
        <v>-4.17327609033908</v>
      </c>
      <c r="J289" s="84">
        <f>I289-VLOOKUP(B$2,H1:J392,2,FALSE)</f>
        <v>-8.76340752089858</v>
      </c>
    </row>
    <row r="290" ht="21.25" customHeight="1">
      <c r="A290" t="s" s="10">
        <v>775</v>
      </c>
      <c r="B290" t="s" s="222">
        <f>VLOOKUP(A290,'The List'!B1:D665,3,FALSE)</f>
        <v>128</v>
      </c>
      <c r="C290" s="87">
        <f>IF('Settings'!$E$15="POINTS",RANK(E290,E3:E392),H290)</f>
        <v>346</v>
      </c>
      <c r="D290" t="s" s="86">
        <f>VLOOKUP(A290,'The List'!B1:F665,5,FALSE)</f>
        <v>275</v>
      </c>
      <c r="E290" s="77">
        <f>VLOOKUP(A290,'The List'!B1:I665,8,FALSE)</f>
        <v>144.645233925207</v>
      </c>
      <c r="F290" s="77">
        <f>IF('Settings'!$E$15="POINTS",E290-VLOOKUP(B$2,C1:E392,3,FALSE),J290)</f>
        <v>-162.260770504384</v>
      </c>
      <c r="G290" s="77"/>
      <c r="H290" s="223">
        <f>RANK(I290,I3:I392)</f>
        <v>304</v>
      </c>
      <c r="I290" s="77">
        <f>VLOOKUP(A290,'Standard Deviations'!A1:C666,3,FALSE)</f>
        <v>-3.22393110650916</v>
      </c>
      <c r="J290" s="84">
        <f>I290-VLOOKUP(B$2,H1:J392,2,FALSE)</f>
        <v>-7.81406253706866</v>
      </c>
    </row>
    <row r="291" ht="21.25" customHeight="1">
      <c r="A291" t="s" s="10">
        <v>708</v>
      </c>
      <c r="B291" t="s" s="222">
        <f>VLOOKUP(A291,'The List'!B1:D665,3,FALSE)</f>
        <v>140</v>
      </c>
      <c r="C291" s="87">
        <f>IF('Settings'!$E$15="POINTS",RANK(E291,E3:E392),H291)</f>
        <v>282</v>
      </c>
      <c r="D291" t="s" s="86">
        <f>VLOOKUP(A291,'The List'!B1:F665,5,FALSE)</f>
        <v>899</v>
      </c>
      <c r="E291" s="77">
        <f>VLOOKUP(A291,'The List'!B1:I665,8,FALSE)</f>
        <v>167.869973553738</v>
      </c>
      <c r="F291" s="77">
        <f>IF('Settings'!$E$15="POINTS",E291-VLOOKUP(B$2,C1:E392,3,FALSE),J291)</f>
        <v>-139.036030875853</v>
      </c>
      <c r="G291" s="77"/>
      <c r="H291" s="223">
        <f>RANK(I291,I3:I392)</f>
        <v>259</v>
      </c>
      <c r="I291" s="77">
        <f>VLOOKUP(A291,'Standard Deviations'!A1:C666,3,FALSE)</f>
        <v>-2.3989784436741</v>
      </c>
      <c r="J291" s="84">
        <f>I291-VLOOKUP(B$2,H1:J392,2,FALSE)</f>
        <v>-6.9891098742336</v>
      </c>
    </row>
    <row r="292" ht="21.25" customHeight="1">
      <c r="A292" t="s" s="10">
        <v>615</v>
      </c>
      <c r="B292" t="s" s="222">
        <f>VLOOKUP(A292,'The List'!B1:D665,3,FALSE)</f>
        <v>136</v>
      </c>
      <c r="C292" s="87">
        <f>IF('Settings'!$E$15="POINTS",RANK(E292,E3:E392),H292)</f>
        <v>235</v>
      </c>
      <c r="D292" t="s" s="86">
        <f>VLOOKUP(A292,'The List'!B1:F665,5,FALSE)</f>
        <v>165</v>
      </c>
      <c r="E292" s="77">
        <f>VLOOKUP(A292,'The List'!B1:I665,8,FALSE)</f>
        <v>196.907094258462</v>
      </c>
      <c r="F292" s="77">
        <f>IF('Settings'!$E$15="POINTS",E292-VLOOKUP(B$2,C1:E392,3,FALSE),J292)</f>
        <v>-109.998910171129</v>
      </c>
      <c r="G292" s="77"/>
      <c r="H292" s="223">
        <f>RANK(I292,I3:I392)</f>
        <v>272</v>
      </c>
      <c r="I292" s="77">
        <f>VLOOKUP(A292,'Standard Deviations'!A1:C666,3,FALSE)</f>
        <v>-2.71550626164818</v>
      </c>
      <c r="J292" s="84">
        <f>I292-VLOOKUP(B$2,H1:J392,2,FALSE)</f>
        <v>-7.30563769220768</v>
      </c>
    </row>
    <row r="293" ht="21.25" customHeight="1">
      <c r="A293" t="s" s="10">
        <v>665</v>
      </c>
      <c r="B293" t="s" s="222">
        <f>VLOOKUP(A293,'The List'!B1:D665,3,FALSE)</f>
        <v>140</v>
      </c>
      <c r="C293" s="87">
        <f>IF('Settings'!$E$15="POINTS",RANK(E293,E3:E392),H293)</f>
        <v>263</v>
      </c>
      <c r="D293" t="s" s="86">
        <f>VLOOKUP(A293,'The List'!B1:F665,5,FALSE)</f>
        <v>909</v>
      </c>
      <c r="E293" s="77">
        <f>VLOOKUP(A293,'The List'!B1:I665,8,FALSE)</f>
        <v>181.828069219637</v>
      </c>
      <c r="F293" s="77">
        <f>IF('Settings'!$E$15="POINTS",E293-VLOOKUP(B$2,C1:E392,3,FALSE),J293)</f>
        <v>-125.077935209954</v>
      </c>
      <c r="G293" s="77"/>
      <c r="H293" s="223">
        <f>RANK(I293,I3:I392)</f>
        <v>348</v>
      </c>
      <c r="I293" s="77">
        <f>VLOOKUP(A293,'Standard Deviations'!A1:C666,3,FALSE)</f>
        <v>-4.22292052800677</v>
      </c>
      <c r="J293" s="84">
        <f>I293-VLOOKUP(B$2,H1:J392,2,FALSE)</f>
        <v>-8.81305195856627</v>
      </c>
    </row>
    <row r="294" ht="21.25" customHeight="1">
      <c r="A294" t="s" s="10">
        <v>739</v>
      </c>
      <c r="B294" t="s" s="222">
        <f>VLOOKUP(A294,'The List'!B1:D665,3,FALSE)</f>
        <v>128</v>
      </c>
      <c r="C294" s="87">
        <f>IF('Settings'!$E$15="POINTS",RANK(E294,E3:E392),H294)</f>
        <v>319</v>
      </c>
      <c r="D294" t="s" s="86">
        <f>VLOOKUP(A294,'The List'!B1:F665,5,FALSE)</f>
        <v>902</v>
      </c>
      <c r="E294" s="77">
        <f>VLOOKUP(A294,'The List'!B1:I665,8,FALSE)</f>
        <v>154.809912756428</v>
      </c>
      <c r="F294" s="77">
        <f>IF('Settings'!$E$15="POINTS",E294-VLOOKUP(B$2,C1:E392,3,FALSE),J294)</f>
        <v>-152.096091673163</v>
      </c>
      <c r="G294" s="77"/>
      <c r="H294" s="223">
        <f>RANK(I294,I3:I392)</f>
        <v>247</v>
      </c>
      <c r="I294" s="77">
        <f>VLOOKUP(A294,'Standard Deviations'!A1:C666,3,FALSE)</f>
        <v>-2.03593599279194</v>
      </c>
      <c r="J294" s="84">
        <f>I294-VLOOKUP(B$2,H1:J392,2,FALSE)</f>
        <v>-6.62606742335144</v>
      </c>
    </row>
    <row r="295" ht="21.25" customHeight="1">
      <c r="A295" t="s" s="10">
        <v>400</v>
      </c>
      <c r="B295" t="s" s="222">
        <f>VLOOKUP(A295,'The List'!B1:D665,3,FALSE)</f>
        <v>178</v>
      </c>
      <c r="C295" s="87">
        <f>IF('Settings'!$E$15="POINTS",RANK(E295,E3:E392),H295)</f>
        <v>117</v>
      </c>
      <c r="D295" t="s" s="86">
        <f>VLOOKUP(A295,'The List'!B1:F665,5,FALSE)</f>
        <v>267</v>
      </c>
      <c r="E295" s="77">
        <f>VLOOKUP(A295,'The List'!B1:I665,8,FALSE)</f>
        <v>259.415880421793</v>
      </c>
      <c r="F295" s="77">
        <f>IF('Settings'!$E$15="POINTS",E295-VLOOKUP(B$2,C1:E392,3,FALSE),J295)</f>
        <v>-47.490124007798</v>
      </c>
      <c r="G295" s="77"/>
      <c r="H295" s="223">
        <f>RANK(I295,I3:I392)</f>
        <v>271</v>
      </c>
      <c r="I295" s="77">
        <f>VLOOKUP(A295,'Standard Deviations'!A1:C666,3,FALSE)</f>
        <v>-2.71195142732132</v>
      </c>
      <c r="J295" s="84">
        <f>I295-VLOOKUP(B$2,H1:J392,2,FALSE)</f>
        <v>-7.30208285788082</v>
      </c>
    </row>
    <row r="296" ht="21.25" customHeight="1">
      <c r="A296" t="s" s="10">
        <v>462</v>
      </c>
      <c r="B296" t="s" s="222">
        <f>VLOOKUP(A296,'The List'!B1:D665,3,FALSE)</f>
        <v>178</v>
      </c>
      <c r="C296" s="87">
        <f>IF('Settings'!$E$15="POINTS",RANK(E296,E3:E392),H296)</f>
        <v>153</v>
      </c>
      <c r="D296" t="s" s="86">
        <f>VLOOKUP(A296,'The List'!B1:F665,5,FALSE)</f>
        <v>154</v>
      </c>
      <c r="E296" s="77">
        <f>VLOOKUP(A296,'The List'!B1:I665,8,FALSE)</f>
        <v>235.967285891279</v>
      </c>
      <c r="F296" s="77">
        <f>IF('Settings'!$E$15="POINTS",E296-VLOOKUP(B$2,C1:E392,3,FALSE),J296)</f>
        <v>-70.938718538312</v>
      </c>
      <c r="G296" s="77"/>
      <c r="H296" s="223">
        <f>RANK(I296,I3:I392)</f>
        <v>318</v>
      </c>
      <c r="I296" s="77">
        <f>VLOOKUP(A296,'Standard Deviations'!A1:C666,3,FALSE)</f>
        <v>-3.54517567586017</v>
      </c>
      <c r="J296" s="84">
        <f>I296-VLOOKUP(B$2,H1:J392,2,FALSE)</f>
        <v>-8.13530710641967</v>
      </c>
    </row>
    <row r="297" ht="21.25" customHeight="1">
      <c r="A297" t="s" s="10">
        <v>567</v>
      </c>
      <c r="B297" t="s" s="222">
        <f>VLOOKUP(A297,'The List'!B1:D665,3,FALSE)</f>
        <v>178</v>
      </c>
      <c r="C297" s="87">
        <f>IF('Settings'!$E$15="POINTS",RANK(E297,E3:E392),H297)</f>
        <v>206</v>
      </c>
      <c r="D297" t="s" s="86">
        <f>VLOOKUP(A297,'The List'!B1:F665,5,FALSE)</f>
        <v>911</v>
      </c>
      <c r="E297" s="77">
        <f>VLOOKUP(A297,'The List'!B1:I665,8,FALSE)</f>
        <v>208.376137071873</v>
      </c>
      <c r="F297" s="77">
        <f>IF('Settings'!$E$15="POINTS",E297-VLOOKUP(B$2,C1:E392,3,FALSE),J297)</f>
        <v>-98.529867357718</v>
      </c>
      <c r="G297" s="77"/>
      <c r="H297" s="223">
        <f>RANK(I297,I3:I392)</f>
        <v>308</v>
      </c>
      <c r="I297" s="77">
        <f>VLOOKUP(A297,'Standard Deviations'!A1:C666,3,FALSE)</f>
        <v>-3.30303087397951</v>
      </c>
      <c r="J297" s="84">
        <f>I297-VLOOKUP(B$2,H1:J392,2,FALSE)</f>
        <v>-7.89316230453901</v>
      </c>
    </row>
    <row r="298" ht="21.25" customHeight="1">
      <c r="A298" t="s" s="10">
        <v>829</v>
      </c>
      <c r="B298" t="s" s="222">
        <f>VLOOKUP(A298,'The List'!B1:D665,3,FALSE)</f>
        <v>178</v>
      </c>
      <c r="C298" s="87">
        <f>IF('Settings'!$E$15="POINTS",RANK(E298,E3:E392),H298)</f>
        <v>373</v>
      </c>
      <c r="D298" t="s" s="86">
        <f>VLOOKUP(A298,'The List'!B1:F665,5,FALSE)</f>
        <v>905</v>
      </c>
      <c r="E298" s="77">
        <f>VLOOKUP(A298,'The List'!B1:I665,8,FALSE)</f>
        <v>127.552268964934</v>
      </c>
      <c r="F298" s="77">
        <f>IF('Settings'!$E$15="POINTS",E298-VLOOKUP(B$2,C1:E392,3,FALSE),J298)</f>
        <v>-179.353735464657</v>
      </c>
      <c r="G298" s="77"/>
      <c r="H298" s="223">
        <f>RANK(I298,I3:I392)</f>
        <v>370</v>
      </c>
      <c r="I298" s="77">
        <f>VLOOKUP(A298,'Standard Deviations'!A1:C666,3,FALSE)</f>
        <v>-4.87654211433855</v>
      </c>
      <c r="J298" s="84">
        <f>I298-VLOOKUP(B$2,H1:J392,2,FALSE)</f>
        <v>-9.46667354489805</v>
      </c>
    </row>
    <row r="299" ht="21.25" customHeight="1">
      <c r="A299" t="s" s="10">
        <v>808</v>
      </c>
      <c r="B299" t="s" s="222">
        <f>VLOOKUP(A299,'The List'!B1:D665,3,FALSE)</f>
        <v>178</v>
      </c>
      <c r="C299" s="87">
        <f>IF('Settings'!$E$15="POINTS",RANK(E299,E3:E392),H299)</f>
        <v>355</v>
      </c>
      <c r="D299" t="s" s="86">
        <f>VLOOKUP(A299,'The List'!B1:F665,5,FALSE)</f>
        <v>871</v>
      </c>
      <c r="E299" s="77">
        <f>VLOOKUP(A299,'The List'!B1:I665,8,FALSE)</f>
        <v>138.203698851716</v>
      </c>
      <c r="F299" s="77">
        <f>IF('Settings'!$E$15="POINTS",E299-VLOOKUP(B$2,C1:E392,3,FALSE),J299)</f>
        <v>-168.702305577875</v>
      </c>
      <c r="G299" s="77"/>
      <c r="H299" s="223">
        <f>RANK(I299,I3:I392)</f>
        <v>288</v>
      </c>
      <c r="I299" s="77">
        <f>VLOOKUP(A299,'Standard Deviations'!A1:C666,3,FALSE)</f>
        <v>-2.97787233210685</v>
      </c>
      <c r="J299" s="84">
        <f>I299-VLOOKUP(B$2,H1:J392,2,FALSE)</f>
        <v>-7.56800376266635</v>
      </c>
    </row>
    <row r="300" ht="21.25" customHeight="1">
      <c r="A300" t="s" s="10">
        <v>563</v>
      </c>
      <c r="B300" t="s" s="222">
        <f>VLOOKUP(A300,'The List'!B1:D665,3,FALSE)</f>
        <v>128</v>
      </c>
      <c r="C300" s="87">
        <f>IF('Settings'!$E$15="POINTS",RANK(E300,E3:E392),H300)</f>
        <v>215</v>
      </c>
      <c r="D300" t="s" s="86">
        <f>VLOOKUP(A300,'The List'!B1:F665,5,FALSE)</f>
        <v>207</v>
      </c>
      <c r="E300" s="77">
        <f>VLOOKUP(A300,'The List'!B1:I665,8,FALSE)</f>
        <v>205.469509813345</v>
      </c>
      <c r="F300" s="77">
        <f>IF('Settings'!$E$15="POINTS",E300-VLOOKUP(B$2,C1:E392,3,FALSE),J300)</f>
        <v>-101.436494616246</v>
      </c>
      <c r="G300" s="77"/>
      <c r="H300" s="223">
        <f>RANK(I300,I3:I392)</f>
        <v>281</v>
      </c>
      <c r="I300" s="77">
        <f>VLOOKUP(A300,'Standard Deviations'!A1:C666,3,FALSE)</f>
        <v>-2.88186595251262</v>
      </c>
      <c r="J300" s="84">
        <f>I300-VLOOKUP(B$2,H1:J392,2,FALSE)</f>
        <v>-7.47199738307212</v>
      </c>
    </row>
    <row r="301" ht="21.25" customHeight="1">
      <c r="A301" t="s" s="10">
        <v>752</v>
      </c>
      <c r="B301" t="s" s="222">
        <f>VLOOKUP(A301,'The List'!B1:D665,3,FALSE)</f>
        <v>136</v>
      </c>
      <c r="C301" s="87">
        <f>IF('Settings'!$E$15="POINTS",RANK(E301,E3:E392),H301)</f>
        <v>313</v>
      </c>
      <c r="D301" t="s" s="86">
        <f>VLOOKUP(A301,'The List'!B1:F665,5,FALSE)</f>
        <v>912</v>
      </c>
      <c r="E301" s="77">
        <f>VLOOKUP(A301,'The List'!B1:I665,8,FALSE)</f>
        <v>156.635248898101</v>
      </c>
      <c r="F301" s="77">
        <f>IF('Settings'!$E$15="POINTS",E301-VLOOKUP(B$2,C1:E392,3,FALSE),J301)</f>
        <v>-150.270755531490</v>
      </c>
      <c r="G301" s="77"/>
      <c r="H301" s="223">
        <f>RANK(I301,I3:I392)</f>
        <v>324</v>
      </c>
      <c r="I301" s="77">
        <f>VLOOKUP(A301,'Standard Deviations'!A1:C666,3,FALSE)</f>
        <v>-3.67188723474243</v>
      </c>
      <c r="J301" s="84">
        <f>I301-VLOOKUP(B$2,H1:J392,2,FALSE)</f>
        <v>-8.26201866530193</v>
      </c>
    </row>
    <row r="302" ht="21.25" customHeight="1">
      <c r="A302" t="s" s="10">
        <v>747</v>
      </c>
      <c r="B302" t="s" s="222">
        <f>VLOOKUP(A302,'The List'!B1:D665,3,FALSE)</f>
        <v>178</v>
      </c>
      <c r="C302" s="87">
        <f>IF('Settings'!$E$15="POINTS",RANK(E302,E3:E392),H302)</f>
        <v>310</v>
      </c>
      <c r="D302" t="s" s="86">
        <f>VLOOKUP(A302,'The List'!B1:F665,5,FALSE)</f>
        <v>878</v>
      </c>
      <c r="E302" s="77">
        <f>VLOOKUP(A302,'The List'!B1:I665,8,FALSE)</f>
        <v>157.357016166277</v>
      </c>
      <c r="F302" s="77">
        <f>IF('Settings'!$E$15="POINTS",E302-VLOOKUP(B$2,C1:E392,3,FALSE),J302)</f>
        <v>-149.548988263314</v>
      </c>
      <c r="G302" s="77"/>
      <c r="H302" s="223">
        <f>RANK(I302,I3:I392)</f>
        <v>270</v>
      </c>
      <c r="I302" s="77">
        <f>VLOOKUP(A302,'Standard Deviations'!A1:C666,3,FALSE)</f>
        <v>-2.70586830467016</v>
      </c>
      <c r="J302" s="84">
        <f>I302-VLOOKUP(B$2,H1:J392,2,FALSE)</f>
        <v>-7.29599973522966</v>
      </c>
    </row>
    <row r="303" ht="21.25" customHeight="1">
      <c r="A303" t="s" s="10">
        <v>543</v>
      </c>
      <c r="B303" t="s" s="222">
        <f>VLOOKUP(A303,'The List'!B1:D665,3,FALSE)</f>
        <v>128</v>
      </c>
      <c r="C303" s="87">
        <f>IF('Settings'!$E$15="POINTS",RANK(E303,E3:E392),H303)</f>
        <v>207</v>
      </c>
      <c r="D303" t="s" s="86">
        <f>VLOOKUP(A303,'The List'!B1:F665,5,FALSE)</f>
        <v>275</v>
      </c>
      <c r="E303" s="77">
        <f>VLOOKUP(A303,'The List'!B1:I665,8,FALSE)</f>
        <v>208.215920372234</v>
      </c>
      <c r="F303" s="77">
        <f>IF('Settings'!$E$15="POINTS",E303-VLOOKUP(B$2,C1:E392,3,FALSE),J303)</f>
        <v>-98.690084057357</v>
      </c>
      <c r="G303" s="77"/>
      <c r="H303" s="223">
        <f>RANK(I303,I3:I392)</f>
        <v>302</v>
      </c>
      <c r="I303" s="77">
        <f>VLOOKUP(A303,'Standard Deviations'!A1:C666,3,FALSE)</f>
        <v>-3.2190697165673</v>
      </c>
      <c r="J303" s="84">
        <f>I303-VLOOKUP(B$2,H1:J392,2,FALSE)</f>
        <v>-7.8092011471268</v>
      </c>
    </row>
    <row r="304" ht="21.25" customHeight="1">
      <c r="A304" t="s" s="10">
        <v>820</v>
      </c>
      <c r="B304" t="s" s="222">
        <f>VLOOKUP(A304,'The List'!B1:D665,3,FALSE)</f>
        <v>128</v>
      </c>
      <c r="C304" s="87">
        <f>IF('Settings'!$E$15="POINTS",RANK(E304,E3:E392),H304)</f>
        <v>372</v>
      </c>
      <c r="D304" t="s" s="86">
        <f>VLOOKUP(A304,'The List'!B1:F665,5,FALSE)</f>
        <v>905</v>
      </c>
      <c r="E304" s="77">
        <f>VLOOKUP(A304,'The List'!B1:I665,8,FALSE)</f>
        <v>127.878198152889</v>
      </c>
      <c r="F304" s="77">
        <f>IF('Settings'!$E$15="POINTS",E304-VLOOKUP(B$2,C1:E392,3,FALSE),J304)</f>
        <v>-179.027806276702</v>
      </c>
      <c r="G304" s="77"/>
      <c r="H304" s="223">
        <f>RANK(I304,I3:I392)</f>
        <v>354</v>
      </c>
      <c r="I304" s="77">
        <f>VLOOKUP(A304,'Standard Deviations'!A1:C666,3,FALSE)</f>
        <v>-4.51798235006133</v>
      </c>
      <c r="J304" s="84">
        <f>I304-VLOOKUP(B$2,H1:J392,2,FALSE)</f>
        <v>-9.10811378062083</v>
      </c>
    </row>
    <row r="305" ht="21.25" customHeight="1">
      <c r="A305" t="s" s="10">
        <v>784</v>
      </c>
      <c r="B305" t="s" s="222">
        <f>VLOOKUP(A305,'The List'!B1:D665,3,FALSE)</f>
        <v>140</v>
      </c>
      <c r="C305" s="87">
        <f>IF('Settings'!$E$15="POINTS",RANK(E305,E3:E392),H305)</f>
        <v>337</v>
      </c>
      <c r="D305" t="s" s="86">
        <f>VLOOKUP(A305,'The List'!B1:F665,5,FALSE)</f>
        <v>907</v>
      </c>
      <c r="E305" s="77">
        <f>VLOOKUP(A305,'The List'!B1:I665,8,FALSE)</f>
        <v>147.542223528764</v>
      </c>
      <c r="F305" s="77">
        <f>IF('Settings'!$E$15="POINTS",E305-VLOOKUP(B$2,C1:E392,3,FALSE),J305)</f>
        <v>-159.363780900827</v>
      </c>
      <c r="G305" s="77"/>
      <c r="H305" s="223">
        <f>RANK(I305,I3:I392)</f>
        <v>355</v>
      </c>
      <c r="I305" s="77">
        <f>VLOOKUP(A305,'Standard Deviations'!A1:C666,3,FALSE)</f>
        <v>-4.53937977253476</v>
      </c>
      <c r="J305" s="84">
        <f>I305-VLOOKUP(B$2,H1:J392,2,FALSE)</f>
        <v>-9.12951120309426</v>
      </c>
    </row>
    <row r="306" ht="21.25" customHeight="1">
      <c r="A306" t="s" s="10">
        <v>470</v>
      </c>
      <c r="B306" t="s" s="222">
        <f>VLOOKUP(A306,'The List'!B1:D665,3,FALSE)</f>
        <v>148</v>
      </c>
      <c r="C306" s="87">
        <f>IF('Settings'!$E$15="POINTS",RANK(E306,E3:E392),H306)</f>
        <v>155</v>
      </c>
      <c r="D306" t="s" s="86">
        <f>VLOOKUP(A306,'The List'!B1:F665,5,FALSE)</f>
        <v>275</v>
      </c>
      <c r="E306" s="77">
        <f>VLOOKUP(A306,'The List'!B1:I665,8,FALSE)</f>
        <v>234.960015154735</v>
      </c>
      <c r="F306" s="77">
        <f>IF('Settings'!$E$15="POINTS",E306-VLOOKUP(B$2,C1:E392,3,FALSE),J306)</f>
        <v>-71.945989274856</v>
      </c>
      <c r="G306" s="77"/>
      <c r="H306" s="223">
        <f>RANK(I306,I3:I392)</f>
        <v>300</v>
      </c>
      <c r="I306" s="77">
        <f>VLOOKUP(A306,'Standard Deviations'!A1:C666,3,FALSE)</f>
        <v>-3.15093803907991</v>
      </c>
      <c r="J306" s="84">
        <f>I306-VLOOKUP(B$2,H1:J392,2,FALSE)</f>
        <v>-7.74106946963941</v>
      </c>
    </row>
    <row r="307" ht="21.25" customHeight="1">
      <c r="A307" t="s" s="10">
        <v>807</v>
      </c>
      <c r="B307" t="s" s="222">
        <f>VLOOKUP(A307,'The List'!B1:D665,3,FALSE)</f>
        <v>140</v>
      </c>
      <c r="C307" s="87">
        <f>IF('Settings'!$E$15="POINTS",RANK(E307,E3:E392),H307)</f>
        <v>353</v>
      </c>
      <c r="D307" t="s" s="86">
        <f>VLOOKUP(A307,'The List'!B1:F665,5,FALSE)</f>
        <v>909</v>
      </c>
      <c r="E307" s="77">
        <f>VLOOKUP(A307,'The List'!B1:I665,8,FALSE)</f>
        <v>138.780264303319</v>
      </c>
      <c r="F307" s="77">
        <f>IF('Settings'!$E$15="POINTS",E307-VLOOKUP(B$2,C1:E392,3,FALSE),J307)</f>
        <v>-168.125740126272</v>
      </c>
      <c r="G307" s="77"/>
      <c r="H307" s="223">
        <f>RANK(I307,I3:I392)</f>
        <v>337</v>
      </c>
      <c r="I307" s="77">
        <f>VLOOKUP(A307,'Standard Deviations'!A1:C666,3,FALSE)</f>
        <v>-3.86241249383208</v>
      </c>
      <c r="J307" s="84">
        <f>I307-VLOOKUP(B$2,H1:J392,2,FALSE)</f>
        <v>-8.452543924391581</v>
      </c>
    </row>
    <row r="308" ht="21.25" customHeight="1">
      <c r="A308" t="s" s="10">
        <v>717</v>
      </c>
      <c r="B308" t="s" s="222">
        <f>VLOOKUP(A308,'The List'!B1:D665,3,FALSE)</f>
        <v>128</v>
      </c>
      <c r="C308" s="87">
        <f>IF('Settings'!$E$15="POINTS",RANK(E308,E3:E392),H308)</f>
        <v>302</v>
      </c>
      <c r="D308" t="s" s="86">
        <f>VLOOKUP(A308,'The List'!B1:F665,5,FALSE)</f>
        <v>259</v>
      </c>
      <c r="E308" s="77">
        <f>VLOOKUP(A308,'The List'!B1:I665,8,FALSE)</f>
        <v>160.262726244588</v>
      </c>
      <c r="F308" s="77">
        <f>IF('Settings'!$E$15="POINTS",E308-VLOOKUP(B$2,C1:E392,3,FALSE),J308)</f>
        <v>-146.643278185003</v>
      </c>
      <c r="G308" s="77"/>
      <c r="H308" s="223">
        <f>RANK(I308,I3:I392)</f>
        <v>285</v>
      </c>
      <c r="I308" s="77">
        <f>VLOOKUP(A308,'Standard Deviations'!A1:C666,3,FALSE)</f>
        <v>-2.95866272920501</v>
      </c>
      <c r="J308" s="84">
        <f>I308-VLOOKUP(B$2,H1:J392,2,FALSE)</f>
        <v>-7.54879415976451</v>
      </c>
    </row>
    <row r="309" ht="21.25" customHeight="1">
      <c r="A309" t="s" s="10">
        <v>697</v>
      </c>
      <c r="B309" t="s" s="222">
        <f>VLOOKUP(A309,'The List'!B1:D665,3,FALSE)</f>
        <v>128</v>
      </c>
      <c r="C309" s="87">
        <f>IF('Settings'!$E$15="POINTS",RANK(E309,E3:E392),H309)</f>
        <v>285</v>
      </c>
      <c r="D309" t="s" s="86">
        <f>VLOOKUP(A309,'The List'!B1:F665,5,FALSE)</f>
        <v>901</v>
      </c>
      <c r="E309" s="77">
        <f>VLOOKUP(A309,'The List'!B1:I665,8,FALSE)</f>
        <v>166.742204629663</v>
      </c>
      <c r="F309" s="77">
        <f>IF('Settings'!$E$15="POINTS",E309-VLOOKUP(B$2,C1:E392,3,FALSE),J309)</f>
        <v>-140.163799799928</v>
      </c>
      <c r="G309" s="77"/>
      <c r="H309" s="223">
        <f>RANK(I309,I3:I392)</f>
        <v>260</v>
      </c>
      <c r="I309" s="77">
        <f>VLOOKUP(A309,'Standard Deviations'!A1:C666,3,FALSE)</f>
        <v>-2.45434685361616</v>
      </c>
      <c r="J309" s="84">
        <f>I309-VLOOKUP(B$2,H1:J392,2,FALSE)</f>
        <v>-7.04447828417566</v>
      </c>
    </row>
    <row r="310" ht="21.25" customHeight="1">
      <c r="A310" t="s" s="10">
        <v>794</v>
      </c>
      <c r="B310" t="s" s="222">
        <f>VLOOKUP(A310,'The List'!B1:D665,3,FALSE)</f>
        <v>128</v>
      </c>
      <c r="C310" s="87">
        <f>IF('Settings'!$E$15="POINTS",RANK(E310,E3:E392),H310)</f>
        <v>357</v>
      </c>
      <c r="D310" t="s" s="86">
        <f>VLOOKUP(A310,'The List'!B1:F665,5,FALSE)</f>
        <v>192</v>
      </c>
      <c r="E310" s="77">
        <f>VLOOKUP(A310,'The List'!B1:I665,8,FALSE)</f>
        <v>137.252865699537</v>
      </c>
      <c r="F310" s="77">
        <f>IF('Settings'!$E$15="POINTS",E310-VLOOKUP(B$2,C1:E392,3,FALSE),J310)</f>
        <v>-169.653138730054</v>
      </c>
      <c r="G310" s="77"/>
      <c r="H310" s="223">
        <f>RANK(I310,I3:I392)</f>
        <v>336</v>
      </c>
      <c r="I310" s="77">
        <f>VLOOKUP(A310,'Standard Deviations'!A1:C666,3,FALSE)</f>
        <v>-3.82183448467076</v>
      </c>
      <c r="J310" s="84">
        <f>I310-VLOOKUP(B$2,H1:J392,2,FALSE)</f>
        <v>-8.41196591523026</v>
      </c>
    </row>
    <row r="311" ht="21.25" customHeight="1">
      <c r="A311" t="s" s="10">
        <v>822</v>
      </c>
      <c r="B311" t="s" s="222">
        <f>VLOOKUP(A311,'The List'!B1:D665,3,FALSE)</f>
        <v>178</v>
      </c>
      <c r="C311" s="87">
        <f>IF('Settings'!$E$15="POINTS",RANK(E311,E3:E392),H311)</f>
        <v>364</v>
      </c>
      <c r="D311" t="s" s="86">
        <f>VLOOKUP(A311,'The List'!B1:F665,5,FALSE)</f>
        <v>866</v>
      </c>
      <c r="E311" s="77">
        <f>VLOOKUP(A311,'The List'!B1:I665,8,FALSE)</f>
        <v>132.102358304502</v>
      </c>
      <c r="F311" s="77">
        <f>IF('Settings'!$E$15="POINTS",E311-VLOOKUP(B$2,C1:E392,3,FALSE),J311)</f>
        <v>-174.803646125089</v>
      </c>
      <c r="G311" s="77"/>
      <c r="H311" s="223">
        <f>RANK(I311,I3:I392)</f>
        <v>299</v>
      </c>
      <c r="I311" s="77">
        <f>VLOOKUP(A311,'Standard Deviations'!A1:C666,3,FALSE)</f>
        <v>-3.14538416954506</v>
      </c>
      <c r="J311" s="84">
        <f>I311-VLOOKUP(B$2,H1:J392,2,FALSE)</f>
        <v>-7.73551560010456</v>
      </c>
    </row>
    <row r="312" ht="21.25" customHeight="1">
      <c r="A312" t="s" s="10">
        <v>826</v>
      </c>
      <c r="B312" t="s" s="222">
        <f>VLOOKUP(A312,'The List'!B1:D665,3,FALSE)</f>
        <v>128</v>
      </c>
      <c r="C312" s="87">
        <f>IF('Settings'!$E$15="POINTS",RANK(E312,E3:E392),H312)</f>
        <v>375</v>
      </c>
      <c r="D312" t="s" s="86">
        <f>VLOOKUP(A312,'The List'!B1:F665,5,FALSE)</f>
        <v>913</v>
      </c>
      <c r="E312" s="77">
        <f>VLOOKUP(A312,'The List'!B1:I665,8,FALSE)</f>
        <v>124.639009168397</v>
      </c>
      <c r="F312" s="77">
        <f>IF('Settings'!$E$15="POINTS",E312-VLOOKUP(B$2,C1:E392,3,FALSE),J312)</f>
        <v>-182.266995261194</v>
      </c>
      <c r="G312" s="77"/>
      <c r="H312" s="223">
        <f>RANK(I312,I3:I392)</f>
        <v>360</v>
      </c>
      <c r="I312" s="77">
        <f>VLOOKUP(A312,'Standard Deviations'!A1:C666,3,FALSE)</f>
        <v>-4.65881168830116</v>
      </c>
      <c r="J312" s="84">
        <f>I312-VLOOKUP(B$2,H1:J392,2,FALSE)</f>
        <v>-9.248943118860661</v>
      </c>
    </row>
    <row r="313" ht="21.25" customHeight="1">
      <c r="A313" t="s" s="10">
        <v>509</v>
      </c>
      <c r="B313" t="s" s="222">
        <f>VLOOKUP(A313,'The List'!B1:D665,3,FALSE)</f>
        <v>178</v>
      </c>
      <c r="C313" s="87">
        <f>IF('Settings'!$E$15="POINTS",RANK(E313,E3:E392),H313)</f>
        <v>173</v>
      </c>
      <c r="D313" t="s" s="86">
        <f>VLOOKUP(A313,'The List'!B1:F665,5,FALSE)</f>
        <v>878</v>
      </c>
      <c r="E313" s="77">
        <f>VLOOKUP(A313,'The List'!B1:I665,8,FALSE)</f>
        <v>222.874388845522</v>
      </c>
      <c r="F313" s="77">
        <f>IF('Settings'!$E$15="POINTS",E313-VLOOKUP(B$2,C1:E392,3,FALSE),J313)</f>
        <v>-84.031615584069</v>
      </c>
      <c r="G313" s="77"/>
      <c r="H313" s="223">
        <f>RANK(I313,I3:I392)</f>
        <v>268</v>
      </c>
      <c r="I313" s="77">
        <f>VLOOKUP(A313,'Standard Deviations'!A1:C666,3,FALSE)</f>
        <v>-2.68396187610233</v>
      </c>
      <c r="J313" s="84">
        <f>I313-VLOOKUP(B$2,H1:J392,2,FALSE)</f>
        <v>-7.27409330666183</v>
      </c>
    </row>
    <row r="314" ht="21.25" customHeight="1">
      <c r="A314" t="s" s="10">
        <v>397</v>
      </c>
      <c r="B314" t="s" s="222">
        <f>VLOOKUP(A314,'The List'!B1:D665,3,FALSE)</f>
        <v>140</v>
      </c>
      <c r="C314" s="87">
        <f>IF('Settings'!$E$15="POINTS",RANK(E314,E3:E392),H314)</f>
        <v>116</v>
      </c>
      <c r="D314" t="s" s="86">
        <f>VLOOKUP(A314,'The List'!B1:F665,5,FALSE)</f>
        <v>910</v>
      </c>
      <c r="E314" s="77">
        <f>VLOOKUP(A314,'The List'!B1:I665,8,FALSE)</f>
        <v>260.146076896566</v>
      </c>
      <c r="F314" s="77">
        <f>IF('Settings'!$E$15="POINTS",E314-VLOOKUP(B$2,C1:E392,3,FALSE),J314)</f>
        <v>-46.759927533025</v>
      </c>
      <c r="G314" s="77"/>
      <c r="H314" s="223">
        <f>RANK(I314,I3:I392)</f>
        <v>325</v>
      </c>
      <c r="I314" s="77">
        <f>VLOOKUP(A314,'Standard Deviations'!A1:C666,3,FALSE)</f>
        <v>-3.68109842830432</v>
      </c>
      <c r="J314" s="84">
        <f>I314-VLOOKUP(B$2,H1:J392,2,FALSE)</f>
        <v>-8.271229858863819</v>
      </c>
    </row>
    <row r="315" ht="21.25" customHeight="1">
      <c r="A315" t="s" s="10">
        <v>737</v>
      </c>
      <c r="B315" t="s" s="222">
        <f>VLOOKUP(A315,'The List'!B1:D665,3,FALSE)</f>
        <v>128</v>
      </c>
      <c r="C315" s="87">
        <f>IF('Settings'!$E$15="POINTS",RANK(E315,E3:E392),H315)</f>
        <v>316</v>
      </c>
      <c r="D315" t="s" s="86">
        <f>VLOOKUP(A315,'The List'!B1:F665,5,FALSE)</f>
        <v>165</v>
      </c>
      <c r="E315" s="77">
        <f>VLOOKUP(A315,'The List'!B1:I665,8,FALSE)</f>
        <v>155.247483285742</v>
      </c>
      <c r="F315" s="77">
        <f>IF('Settings'!$E$15="POINTS",E315-VLOOKUP(B$2,C1:E392,3,FALSE),J315)</f>
        <v>-151.658521143849</v>
      </c>
      <c r="G315" s="77"/>
      <c r="H315" s="223">
        <f>RANK(I315,I3:I392)</f>
        <v>316</v>
      </c>
      <c r="I315" s="77">
        <f>VLOOKUP(A315,'Standard Deviations'!A1:C666,3,FALSE)</f>
        <v>-3.48574030951075</v>
      </c>
      <c r="J315" s="84">
        <f>I315-VLOOKUP(B$2,H1:J392,2,FALSE)</f>
        <v>-8.07587174007025</v>
      </c>
    </row>
    <row r="316" ht="21.25" customHeight="1">
      <c r="A316" t="s" s="10">
        <v>799</v>
      </c>
      <c r="B316" t="s" s="222">
        <f>VLOOKUP(A316,'The List'!B1:D665,3,FALSE)</f>
        <v>140</v>
      </c>
      <c r="C316" s="87">
        <f>IF('Settings'!$E$15="POINTS",RANK(E316,E3:E392),H316)</f>
        <v>349</v>
      </c>
      <c r="D316" t="s" s="86">
        <f>VLOOKUP(A316,'The List'!B1:F665,5,FALSE)</f>
        <v>207</v>
      </c>
      <c r="E316" s="77">
        <f>VLOOKUP(A316,'The List'!B1:I665,8,FALSE)</f>
        <v>140.488429883710</v>
      </c>
      <c r="F316" s="77">
        <f>IF('Settings'!$E$15="POINTS",E316-VLOOKUP(B$2,C1:E392,3,FALSE),J316)</f>
        <v>-166.417574545881</v>
      </c>
      <c r="G316" s="77"/>
      <c r="H316" s="223">
        <f>RANK(I316,I3:I392)</f>
        <v>280</v>
      </c>
      <c r="I316" s="77">
        <f>VLOOKUP(A316,'Standard Deviations'!A1:C666,3,FALSE)</f>
        <v>-2.87658697092645</v>
      </c>
      <c r="J316" s="84">
        <f>I316-VLOOKUP(B$2,H1:J392,2,FALSE)</f>
        <v>-7.46671840148595</v>
      </c>
    </row>
    <row r="317" ht="21.25" customHeight="1">
      <c r="A317" t="s" s="10">
        <v>786</v>
      </c>
      <c r="B317" t="s" s="222">
        <f>VLOOKUP(A317,'The List'!B1:D665,3,FALSE)</f>
        <v>128</v>
      </c>
      <c r="C317" s="87">
        <f>IF('Settings'!$E$15="POINTS",RANK(E317,E3:E392),H317)</f>
        <v>347</v>
      </c>
      <c r="D317" t="s" s="86">
        <f>VLOOKUP(A317,'The List'!B1:F665,5,FALSE)</f>
        <v>902</v>
      </c>
      <c r="E317" s="77">
        <f>VLOOKUP(A317,'The List'!B1:I665,8,FALSE)</f>
        <v>141.892895643532</v>
      </c>
      <c r="F317" s="77">
        <f>IF('Settings'!$E$15="POINTS",E317-VLOOKUP(B$2,C1:E392,3,FALSE),J317)</f>
        <v>-165.013108786059</v>
      </c>
      <c r="G317" s="77"/>
      <c r="H317" s="223">
        <f>RANK(I317,I3:I392)</f>
        <v>277</v>
      </c>
      <c r="I317" s="77">
        <f>VLOOKUP(A317,'Standard Deviations'!A1:C666,3,FALSE)</f>
        <v>-2.83374077433555</v>
      </c>
      <c r="J317" s="84">
        <f>I317-VLOOKUP(B$2,H1:J392,2,FALSE)</f>
        <v>-7.42387220489505</v>
      </c>
    </row>
    <row r="318" ht="21.25" customHeight="1">
      <c r="A318" t="s" s="10">
        <v>805</v>
      </c>
      <c r="B318" t="s" s="222">
        <f>VLOOKUP(A318,'The List'!B1:D665,3,FALSE)</f>
        <v>140</v>
      </c>
      <c r="C318" s="87">
        <f>IF('Settings'!$E$15="POINTS",RANK(E318,E3:E392),H318)</f>
        <v>352</v>
      </c>
      <c r="D318" t="s" s="86">
        <f>VLOOKUP(A318,'The List'!B1:F665,5,FALSE)</f>
        <v>909</v>
      </c>
      <c r="E318" s="77">
        <f>VLOOKUP(A318,'The List'!B1:I665,8,FALSE)</f>
        <v>138.898602365151</v>
      </c>
      <c r="F318" s="77">
        <f>IF('Settings'!$E$15="POINTS",E318-VLOOKUP(B$2,C1:E392,3,FALSE),J318)</f>
        <v>-168.007402064440</v>
      </c>
      <c r="G318" s="77"/>
      <c r="H318" s="223">
        <f>RANK(I318,I3:I392)</f>
        <v>350</v>
      </c>
      <c r="I318" s="77">
        <f>VLOOKUP(A318,'Standard Deviations'!A1:C666,3,FALSE)</f>
        <v>-4.3548838273651</v>
      </c>
      <c r="J318" s="84">
        <f>I318-VLOOKUP(B$2,H1:J392,2,FALSE)</f>
        <v>-8.945015257924601</v>
      </c>
    </row>
    <row r="319" ht="21.25" customHeight="1">
      <c r="A319" t="s" s="10">
        <v>595</v>
      </c>
      <c r="B319" t="s" s="222">
        <f>VLOOKUP(A319,'The List'!B1:D665,3,FALSE)</f>
        <v>128</v>
      </c>
      <c r="C319" s="87">
        <f>IF('Settings'!$E$15="POINTS",RANK(E319,E3:E392),H319)</f>
        <v>236</v>
      </c>
      <c r="D319" t="s" s="86">
        <f>VLOOKUP(A319,'The List'!B1:F665,5,FALSE)</f>
        <v>913</v>
      </c>
      <c r="E319" s="77">
        <f>VLOOKUP(A319,'The List'!B1:I665,8,FALSE)</f>
        <v>196.608833930105</v>
      </c>
      <c r="F319" s="77">
        <f>IF('Settings'!$E$15="POINTS",E319-VLOOKUP(B$2,C1:E392,3,FALSE),J319)</f>
        <v>-110.297170499486</v>
      </c>
      <c r="G319" s="77"/>
      <c r="H319" s="223">
        <f>RANK(I319,I3:I392)</f>
        <v>293</v>
      </c>
      <c r="I319" s="77">
        <f>VLOOKUP(A319,'Standard Deviations'!A1:C666,3,FALSE)</f>
        <v>-3.03277256155061</v>
      </c>
      <c r="J319" s="84">
        <f>I319-VLOOKUP(B$2,H1:J392,2,FALSE)</f>
        <v>-7.62290399211011</v>
      </c>
    </row>
    <row r="320" ht="21.25" customHeight="1">
      <c r="A320" t="s" s="10">
        <v>597</v>
      </c>
      <c r="B320" t="s" s="222">
        <f>VLOOKUP(A320,'The List'!B1:D665,3,FALSE)</f>
        <v>128</v>
      </c>
      <c r="C320" s="87">
        <f>IF('Settings'!$E$15="POINTS",RANK(E320,E3:E392),H320)</f>
        <v>240</v>
      </c>
      <c r="D320" t="s" s="86">
        <f>VLOOKUP(A320,'The List'!B1:F665,5,FALSE)</f>
        <v>914</v>
      </c>
      <c r="E320" s="77">
        <f>VLOOKUP(A320,'The List'!B1:I665,8,FALSE)</f>
        <v>195.941400999213</v>
      </c>
      <c r="F320" s="77">
        <f>IF('Settings'!$E$15="POINTS",E320-VLOOKUP(B$2,C1:E392,3,FALSE),J320)</f>
        <v>-110.964603430378</v>
      </c>
      <c r="G320" s="77"/>
      <c r="H320" s="223">
        <f>RANK(I320,I3:I392)</f>
        <v>382</v>
      </c>
      <c r="I320" s="77">
        <f>VLOOKUP(A320,'Standard Deviations'!A1:C666,3,FALSE)</f>
        <v>-5.41852429519614</v>
      </c>
      <c r="J320" s="84">
        <f>I320-VLOOKUP(B$2,H1:J392,2,FALSE)</f>
        <v>-10.0086557257556</v>
      </c>
    </row>
    <row r="321" ht="21.25" customHeight="1">
      <c r="A321" t="s" s="10">
        <v>746</v>
      </c>
      <c r="B321" t="s" s="222">
        <f>VLOOKUP(A321,'The List'!B1:D665,3,FALSE)</f>
        <v>140</v>
      </c>
      <c r="C321" s="87">
        <f>IF('Settings'!$E$15="POINTS",RANK(E321,E3:E392),H321)</f>
        <v>309</v>
      </c>
      <c r="D321" t="s" s="86">
        <f>VLOOKUP(A321,'The List'!B1:F665,5,FALSE)</f>
        <v>914</v>
      </c>
      <c r="E321" s="77">
        <f>VLOOKUP(A321,'The List'!B1:I665,8,FALSE)</f>
        <v>157.562345448224</v>
      </c>
      <c r="F321" s="77">
        <f>IF('Settings'!$E$15="POINTS",E321-VLOOKUP(B$2,C1:E392,3,FALSE),J321)</f>
        <v>-149.343658981367</v>
      </c>
      <c r="G321" s="77"/>
      <c r="H321" s="223">
        <f>RANK(I321,I3:I392)</f>
        <v>372</v>
      </c>
      <c r="I321" s="77">
        <f>VLOOKUP(A321,'Standard Deviations'!A1:C666,3,FALSE)</f>
        <v>-4.94097743275787</v>
      </c>
      <c r="J321" s="84">
        <f>I321-VLOOKUP(B$2,H1:J392,2,FALSE)</f>
        <v>-9.531108863317369</v>
      </c>
    </row>
    <row r="322" ht="21.25" customHeight="1">
      <c r="A322" t="s" s="10">
        <v>589</v>
      </c>
      <c r="B322" t="s" s="222">
        <f>VLOOKUP(A322,'The List'!B1:D665,3,FALSE)</f>
        <v>178</v>
      </c>
      <c r="C322" s="87">
        <f>IF('Settings'!$E$15="POINTS",RANK(E322,E3:E392),H322)</f>
        <v>220</v>
      </c>
      <c r="D322" t="s" s="86">
        <f>VLOOKUP(A322,'The List'!B1:F665,5,FALSE)</f>
        <v>911</v>
      </c>
      <c r="E322" s="77">
        <f>VLOOKUP(A322,'The List'!B1:I665,8,FALSE)</f>
        <v>203.743635861770</v>
      </c>
      <c r="F322" s="77">
        <f>IF('Settings'!$E$15="POINTS",E322-VLOOKUP(B$2,C1:E392,3,FALSE),J322)</f>
        <v>-103.162368567821</v>
      </c>
      <c r="G322" s="77"/>
      <c r="H322" s="223">
        <f>RANK(I322,I3:I392)</f>
        <v>338</v>
      </c>
      <c r="I322" s="77">
        <f>VLOOKUP(A322,'Standard Deviations'!A1:C666,3,FALSE)</f>
        <v>-3.89492510834503</v>
      </c>
      <c r="J322" s="84">
        <f>I322-VLOOKUP(B$2,H1:J392,2,FALSE)</f>
        <v>-8.48505653890453</v>
      </c>
    </row>
    <row r="323" ht="21.25" customHeight="1">
      <c r="A323" t="s" s="10">
        <v>562</v>
      </c>
      <c r="B323" t="s" s="222">
        <f>VLOOKUP(A323,'The List'!B1:D665,3,FALSE)</f>
        <v>128</v>
      </c>
      <c r="C323" s="87">
        <f>IF('Settings'!$E$15="POINTS",RANK(E323,E3:E392),H323)</f>
        <v>214</v>
      </c>
      <c r="D323" t="s" s="86">
        <f>VLOOKUP(A323,'The List'!B1:F665,5,FALSE)</f>
        <v>900</v>
      </c>
      <c r="E323" s="77">
        <f>VLOOKUP(A323,'The List'!B1:I665,8,FALSE)</f>
        <v>205.723477083097</v>
      </c>
      <c r="F323" s="77">
        <f>IF('Settings'!$E$15="POINTS",E323-VLOOKUP(B$2,C1:E392,3,FALSE),J323)</f>
        <v>-101.182527346494</v>
      </c>
      <c r="G323" s="77"/>
      <c r="H323" s="223">
        <f>RANK(I323,I3:I392)</f>
        <v>284</v>
      </c>
      <c r="I323" s="77">
        <f>VLOOKUP(A323,'Standard Deviations'!A1:C666,3,FALSE)</f>
        <v>-2.94111534359583</v>
      </c>
      <c r="J323" s="84">
        <f>I323-VLOOKUP(B$2,H1:J392,2,FALSE)</f>
        <v>-7.53124677415533</v>
      </c>
    </row>
    <row r="324" ht="21.25" customHeight="1">
      <c r="A324" t="s" s="10">
        <v>814</v>
      </c>
      <c r="B324" t="s" s="222">
        <f>VLOOKUP(A324,'The List'!B1:D665,3,FALSE)</f>
        <v>140</v>
      </c>
      <c r="C324" s="87">
        <f>IF('Settings'!$E$15="POINTS",RANK(E324,E3:E392),H324)</f>
        <v>359</v>
      </c>
      <c r="D324" t="s" s="86">
        <f>VLOOKUP(A324,'The List'!B1:F665,5,FALSE)</f>
        <v>207</v>
      </c>
      <c r="E324" s="77">
        <f>VLOOKUP(A324,'The List'!B1:I665,8,FALSE)</f>
        <v>136.050522202952</v>
      </c>
      <c r="F324" s="77">
        <f>IF('Settings'!$E$15="POINTS",E324-VLOOKUP(B$2,C1:E392,3,FALSE),J324)</f>
        <v>-170.855482226639</v>
      </c>
      <c r="G324" s="77"/>
      <c r="H324" s="223">
        <f>RANK(I324,I3:I392)</f>
        <v>327</v>
      </c>
      <c r="I324" s="77">
        <f>VLOOKUP(A324,'Standard Deviations'!A1:C666,3,FALSE)</f>
        <v>-3.70240906360457</v>
      </c>
      <c r="J324" s="84">
        <f>I324-VLOOKUP(B$2,H1:J392,2,FALSE)</f>
        <v>-8.29254049416407</v>
      </c>
    </row>
    <row r="325" ht="21.25" customHeight="1">
      <c r="A325" t="s" s="10">
        <v>505</v>
      </c>
      <c r="B325" t="s" s="222">
        <f>VLOOKUP(A325,'The List'!B1:D665,3,FALSE)</f>
        <v>128</v>
      </c>
      <c r="C325" s="87">
        <f>IF('Settings'!$E$15="POINTS",RANK(E325,E3:E392),H325)</f>
        <v>186</v>
      </c>
      <c r="D325" t="s" s="86">
        <f>VLOOKUP(A325,'The List'!B1:F665,5,FALSE)</f>
        <v>908</v>
      </c>
      <c r="E325" s="77">
        <f>VLOOKUP(A325,'The List'!B1:I665,8,FALSE)</f>
        <v>218.341807803253</v>
      </c>
      <c r="F325" s="77">
        <f>IF('Settings'!$E$15="POINTS",E325-VLOOKUP(B$2,C1:E392,3,FALSE),J325)</f>
        <v>-88.564196626338</v>
      </c>
      <c r="G325" s="77"/>
      <c r="H325" s="223">
        <f>RANK(I325,I3:I392)</f>
        <v>323</v>
      </c>
      <c r="I325" s="77">
        <f>VLOOKUP(A325,'Standard Deviations'!A1:C666,3,FALSE)</f>
        <v>-3.64610941793963</v>
      </c>
      <c r="J325" s="84">
        <f>I325-VLOOKUP(B$2,H1:J392,2,FALSE)</f>
        <v>-8.236240848499129</v>
      </c>
    </row>
    <row r="326" ht="21.25" customHeight="1">
      <c r="A326" t="s" s="10">
        <v>771</v>
      </c>
      <c r="B326" t="s" s="222">
        <f>VLOOKUP(A326,'The List'!B1:D665,3,FALSE)</f>
        <v>128</v>
      </c>
      <c r="C326" s="87">
        <f>IF('Settings'!$E$15="POINTS",RANK(E326,E3:E392),H326)</f>
        <v>342</v>
      </c>
      <c r="D326" t="s" s="86">
        <f>VLOOKUP(A326,'The List'!B1:F665,5,FALSE)</f>
        <v>149</v>
      </c>
      <c r="E326" s="77">
        <f>VLOOKUP(A326,'The List'!B1:I665,8,FALSE)</f>
        <v>146.090961495431</v>
      </c>
      <c r="F326" s="77">
        <f>IF('Settings'!$E$15="POINTS",E326-VLOOKUP(B$2,C1:E392,3,FALSE),J326)</f>
        <v>-160.815042934160</v>
      </c>
      <c r="G326" s="77"/>
      <c r="H326" s="223">
        <f>RANK(I326,I3:I392)</f>
        <v>296</v>
      </c>
      <c r="I326" s="77">
        <f>VLOOKUP(A326,'Standard Deviations'!A1:C666,3,FALSE)</f>
        <v>-3.07680157098263</v>
      </c>
      <c r="J326" s="84">
        <f>I326-VLOOKUP(B$2,H1:J392,2,FALSE)</f>
        <v>-7.66693300154213</v>
      </c>
    </row>
    <row r="327" ht="21.25" customHeight="1">
      <c r="A327" t="s" s="10">
        <v>720</v>
      </c>
      <c r="B327" t="s" s="222">
        <f>VLOOKUP(A327,'The List'!B1:D665,3,FALSE)</f>
        <v>128</v>
      </c>
      <c r="C327" s="87">
        <f>IF('Settings'!$E$15="POINTS",RANK(E327,E3:E392),H327)</f>
        <v>304</v>
      </c>
      <c r="D327" t="s" s="86">
        <f>VLOOKUP(A327,'The List'!B1:F665,5,FALSE)</f>
        <v>903</v>
      </c>
      <c r="E327" s="77">
        <f>VLOOKUP(A327,'The List'!B1:I665,8,FALSE)</f>
        <v>159.699518618616</v>
      </c>
      <c r="F327" s="77">
        <f>IF('Settings'!$E$15="POINTS",E327-VLOOKUP(B$2,C1:E392,3,FALSE),J327)</f>
        <v>-147.206485810975</v>
      </c>
      <c r="G327" s="77"/>
      <c r="H327" s="223">
        <f>RANK(I327,I3:I392)</f>
        <v>317</v>
      </c>
      <c r="I327" s="77">
        <f>VLOOKUP(A327,'Standard Deviations'!A1:C666,3,FALSE)</f>
        <v>-3.5297124682083</v>
      </c>
      <c r="J327" s="84">
        <f>I327-VLOOKUP(B$2,H1:J392,2,FALSE)</f>
        <v>-8.119843898767799</v>
      </c>
    </row>
    <row r="328" ht="21.25" customHeight="1">
      <c r="A328" t="s" s="10">
        <v>772</v>
      </c>
      <c r="B328" t="s" s="222">
        <f>VLOOKUP(A328,'The List'!B1:D665,3,FALSE)</f>
        <v>140</v>
      </c>
      <c r="C328" s="87">
        <f>IF('Settings'!$E$15="POINTS",RANK(E328,E3:E392),H328)</f>
        <v>328</v>
      </c>
      <c r="D328" t="s" s="86">
        <f>VLOOKUP(A328,'The List'!B1:F665,5,FALSE)</f>
        <v>912</v>
      </c>
      <c r="E328" s="77">
        <f>VLOOKUP(A328,'The List'!B1:I665,8,FALSE)</f>
        <v>150.945267156279</v>
      </c>
      <c r="F328" s="77">
        <f>IF('Settings'!$E$15="POINTS",E328-VLOOKUP(B$2,C1:E392,3,FALSE),J328)</f>
        <v>-155.960737273312</v>
      </c>
      <c r="G328" s="77"/>
      <c r="H328" s="223">
        <f>RANK(I328,I3:I392)</f>
        <v>378</v>
      </c>
      <c r="I328" s="77">
        <f>VLOOKUP(A328,'Standard Deviations'!A1:C666,3,FALSE)</f>
        <v>-5.21545753758702</v>
      </c>
      <c r="J328" s="84">
        <f>I328-VLOOKUP(B$2,H1:J392,2,FALSE)</f>
        <v>-9.80558896814652</v>
      </c>
    </row>
    <row r="329" ht="21.25" customHeight="1">
      <c r="A329" t="s" s="10">
        <v>738</v>
      </c>
      <c r="B329" t="s" s="222">
        <f>VLOOKUP(A329,'The List'!B1:D665,3,FALSE)</f>
        <v>128</v>
      </c>
      <c r="C329" s="87">
        <f>IF('Settings'!$E$15="POINTS",RANK(E329,E3:E392),H329)</f>
        <v>318</v>
      </c>
      <c r="D329" t="s" s="86">
        <f>VLOOKUP(A329,'The List'!B1:F665,5,FALSE)</f>
        <v>913</v>
      </c>
      <c r="E329" s="77">
        <f>VLOOKUP(A329,'The List'!B1:I665,8,FALSE)</f>
        <v>154.826644372950</v>
      </c>
      <c r="F329" s="77">
        <f>IF('Settings'!$E$15="POINTS",E329-VLOOKUP(B$2,C1:E392,3,FALSE),J329)</f>
        <v>-152.079360056641</v>
      </c>
      <c r="G329" s="77"/>
      <c r="H329" s="223">
        <f>RANK(I329,I3:I392)</f>
        <v>385</v>
      </c>
      <c r="I329" s="77">
        <f>VLOOKUP(A329,'Standard Deviations'!A1:C666,3,FALSE)</f>
        <v>-5.84019433012656</v>
      </c>
      <c r="J329" s="84">
        <f>I329-VLOOKUP(B$2,H1:J392,2,FALSE)</f>
        <v>-10.4303257606861</v>
      </c>
    </row>
    <row r="330" ht="21.25" customHeight="1">
      <c r="A330" t="s" s="10">
        <v>678</v>
      </c>
      <c r="B330" t="s" s="222">
        <f>VLOOKUP(A330,'The List'!B1:D665,3,FALSE)</f>
        <v>128</v>
      </c>
      <c r="C330" s="87">
        <f>IF('Settings'!$E$15="POINTS",RANK(E330,E3:E392),H330)</f>
        <v>277</v>
      </c>
      <c r="D330" t="s" s="86">
        <f>VLOOKUP(A330,'The List'!B1:F665,5,FALSE)</f>
        <v>913</v>
      </c>
      <c r="E330" s="77">
        <f>VLOOKUP(A330,'The List'!B1:I665,8,FALSE)</f>
        <v>171.119176589080</v>
      </c>
      <c r="F330" s="77">
        <f>IF('Settings'!$E$15="POINTS",E330-VLOOKUP(B$2,C1:E392,3,FALSE),J330)</f>
        <v>-135.786827840511</v>
      </c>
      <c r="G330" s="77"/>
      <c r="H330" s="223">
        <f>RANK(I330,I3:I392)</f>
        <v>386</v>
      </c>
      <c r="I330" s="77">
        <f>VLOOKUP(A330,'Standard Deviations'!A1:C666,3,FALSE)</f>
        <v>-5.91286664726037</v>
      </c>
      <c r="J330" s="84">
        <f>I330-VLOOKUP(B$2,H1:J392,2,FALSE)</f>
        <v>-10.5029980778199</v>
      </c>
    </row>
    <row r="331" ht="21.25" customHeight="1">
      <c r="A331" t="s" s="10">
        <v>675</v>
      </c>
      <c r="B331" t="s" s="222">
        <f>VLOOKUP(A331,'The List'!B1:D665,3,FALSE)</f>
        <v>128</v>
      </c>
      <c r="C331" s="87">
        <f>IF('Settings'!$E$15="POINTS",RANK(E331,E3:E392),H331)</f>
        <v>273</v>
      </c>
      <c r="D331" t="s" s="86">
        <f>VLOOKUP(A331,'The List'!B1:F665,5,FALSE)</f>
        <v>904</v>
      </c>
      <c r="E331" s="77">
        <f>VLOOKUP(A331,'The List'!B1:I665,8,FALSE)</f>
        <v>173.141888035767</v>
      </c>
      <c r="F331" s="77">
        <f>IF('Settings'!$E$15="POINTS",E331-VLOOKUP(B$2,C1:E392,3,FALSE),J331)</f>
        <v>-133.764116393824</v>
      </c>
      <c r="G331" s="77"/>
      <c r="H331" s="223">
        <f>RANK(I331,I3:I392)</f>
        <v>292</v>
      </c>
      <c r="I331" s="77">
        <f>VLOOKUP(A331,'Standard Deviations'!A1:C666,3,FALSE)</f>
        <v>-3.00291151854645</v>
      </c>
      <c r="J331" s="84">
        <f>I331-VLOOKUP(B$2,H1:J392,2,FALSE)</f>
        <v>-7.59304294910595</v>
      </c>
    </row>
    <row r="332" ht="21.25" customHeight="1">
      <c r="A332" t="s" s="10">
        <v>818</v>
      </c>
      <c r="B332" t="s" s="222">
        <f>VLOOKUP(A332,'The List'!B1:D665,3,FALSE)</f>
        <v>128</v>
      </c>
      <c r="C332" s="87">
        <f>IF('Settings'!$E$15="POINTS",RANK(E332,E3:E392),H332)</f>
        <v>369</v>
      </c>
      <c r="D332" t="s" s="86">
        <f>VLOOKUP(A332,'The List'!B1:F665,5,FALSE)</f>
        <v>903</v>
      </c>
      <c r="E332" s="77">
        <f>VLOOKUP(A332,'The List'!B1:I665,8,FALSE)</f>
        <v>129.555920495278</v>
      </c>
      <c r="F332" s="77">
        <f>IF('Settings'!$E$15="POINTS",E332-VLOOKUP(B$2,C1:E392,3,FALSE),J332)</f>
        <v>-177.350083934313</v>
      </c>
      <c r="G332" s="77"/>
      <c r="H332" s="223">
        <f>RANK(I332,I3:I392)</f>
        <v>328</v>
      </c>
      <c r="I332" s="77">
        <f>VLOOKUP(A332,'Standard Deviations'!A1:C666,3,FALSE)</f>
        <v>-3.70257593514601</v>
      </c>
      <c r="J332" s="84">
        <f>I332-VLOOKUP(B$2,H1:J392,2,FALSE)</f>
        <v>-8.29270736570551</v>
      </c>
    </row>
    <row r="333" ht="21.25" customHeight="1">
      <c r="A333" t="s" s="10">
        <v>657</v>
      </c>
      <c r="B333" t="s" s="222">
        <f>VLOOKUP(A333,'The List'!B1:D665,3,FALSE)</f>
        <v>140</v>
      </c>
      <c r="C333" s="87">
        <f>IF('Settings'!$E$15="POINTS",RANK(E333,E3:E392),H333)</f>
        <v>257</v>
      </c>
      <c r="D333" t="s" s="86">
        <f>VLOOKUP(A333,'The List'!B1:F665,5,FALSE)</f>
        <v>165</v>
      </c>
      <c r="E333" s="77">
        <f>VLOOKUP(A333,'The List'!B1:I665,8,FALSE)</f>
        <v>184.285017537324</v>
      </c>
      <c r="F333" s="77">
        <f>IF('Settings'!$E$15="POINTS",E333-VLOOKUP(B$2,C1:E392,3,FALSE),J333)</f>
        <v>-122.620986892267</v>
      </c>
      <c r="G333" s="77"/>
      <c r="H333" s="223">
        <f>RANK(I333,I3:I392)</f>
        <v>303</v>
      </c>
      <c r="I333" s="77">
        <f>VLOOKUP(A333,'Standard Deviations'!A1:C666,3,FALSE)</f>
        <v>-3.22224598696551</v>
      </c>
      <c r="J333" s="84">
        <f>I333-VLOOKUP(B$2,H1:J392,2,FALSE)</f>
        <v>-7.81237741752501</v>
      </c>
    </row>
    <row r="334" ht="21.25" customHeight="1">
      <c r="A334" t="s" s="10">
        <v>671</v>
      </c>
      <c r="B334" t="s" s="222">
        <f>VLOOKUP(A334,'The List'!B1:D665,3,FALSE)</f>
        <v>140</v>
      </c>
      <c r="C334" s="87">
        <f>IF('Settings'!$E$15="POINTS",RANK(E334,E3:E392),H334)</f>
        <v>266</v>
      </c>
      <c r="D334" t="s" s="86">
        <f>VLOOKUP(A334,'The List'!B1:F665,5,FALSE)</f>
        <v>913</v>
      </c>
      <c r="E334" s="77">
        <f>VLOOKUP(A334,'The List'!B1:I665,8,FALSE)</f>
        <v>178.514349069410</v>
      </c>
      <c r="F334" s="77">
        <f>IF('Settings'!$E$15="POINTS",E334-VLOOKUP(B$2,C1:E392,3,FALSE),J334)</f>
        <v>-128.391655360181</v>
      </c>
      <c r="G334" s="77"/>
      <c r="H334" s="223">
        <f>RANK(I334,I3:I392)</f>
        <v>312</v>
      </c>
      <c r="I334" s="77">
        <f>VLOOKUP(A334,'Standard Deviations'!A1:C666,3,FALSE)</f>
        <v>-3.4166555835855</v>
      </c>
      <c r="J334" s="84">
        <f>I334-VLOOKUP(B$2,H1:J392,2,FALSE)</f>
        <v>-8.006787014145001</v>
      </c>
    </row>
    <row r="335" ht="21.25" customHeight="1">
      <c r="A335" t="s" s="10">
        <v>544</v>
      </c>
      <c r="B335" t="s" s="222">
        <f>VLOOKUP(A335,'The List'!B1:D665,3,FALSE)</f>
        <v>178</v>
      </c>
      <c r="C335" s="87">
        <f>IF('Settings'!$E$15="POINTS",RANK(E335,E3:E392),H335)</f>
        <v>198</v>
      </c>
      <c r="D335" t="s" s="86">
        <f>VLOOKUP(A335,'The List'!B1:F665,5,FALSE)</f>
        <v>165</v>
      </c>
      <c r="E335" s="77">
        <f>VLOOKUP(A335,'The List'!B1:I665,8,FALSE)</f>
        <v>213.127893082360</v>
      </c>
      <c r="F335" s="77">
        <f>IF('Settings'!$E$15="POINTS",E335-VLOOKUP(B$2,C1:E392,3,FALSE),J335)</f>
        <v>-93.778111347231</v>
      </c>
      <c r="G335" s="77"/>
      <c r="H335" s="223">
        <f>RANK(I335,I3:I392)</f>
        <v>320</v>
      </c>
      <c r="I335" s="77">
        <f>VLOOKUP(A335,'Standard Deviations'!A1:C666,3,FALSE)</f>
        <v>-3.59990957289193</v>
      </c>
      <c r="J335" s="84">
        <f>I335-VLOOKUP(B$2,H1:J392,2,FALSE)</f>
        <v>-8.19004100345143</v>
      </c>
    </row>
    <row r="336" ht="21.25" customHeight="1">
      <c r="A336" t="s" s="10">
        <v>765</v>
      </c>
      <c r="B336" t="s" s="222">
        <f>VLOOKUP(A336,'The List'!B1:D665,3,FALSE)</f>
        <v>128</v>
      </c>
      <c r="C336" s="87">
        <f>IF('Settings'!$E$15="POINTS",RANK(E336,E3:E392),H336)</f>
        <v>338</v>
      </c>
      <c r="D336" t="s" s="86">
        <f>VLOOKUP(A336,'The List'!B1:F665,5,FALSE)</f>
        <v>132</v>
      </c>
      <c r="E336" s="77">
        <f>VLOOKUP(A336,'The List'!B1:I665,8,FALSE)</f>
        <v>147.379190276425</v>
      </c>
      <c r="F336" s="77">
        <f>IF('Settings'!$E$15="POINTS",E336-VLOOKUP(B$2,C1:E392,3,FALSE),J336)</f>
        <v>-159.526814153166</v>
      </c>
      <c r="G336" s="77"/>
      <c r="H336" s="223">
        <f>RANK(I336,I3:I392)</f>
        <v>294</v>
      </c>
      <c r="I336" s="77">
        <f>VLOOKUP(A336,'Standard Deviations'!A1:C666,3,FALSE)</f>
        <v>-3.04495394038125</v>
      </c>
      <c r="J336" s="84">
        <f>I336-VLOOKUP(B$2,H1:J392,2,FALSE)</f>
        <v>-7.63508537094075</v>
      </c>
    </row>
    <row r="337" ht="21.25" customHeight="1">
      <c r="A337" t="s" s="10">
        <v>810</v>
      </c>
      <c r="B337" t="s" s="222">
        <f>VLOOKUP(A337,'The List'!B1:D665,3,FALSE)</f>
        <v>128</v>
      </c>
      <c r="C337" s="87">
        <f>IF('Settings'!$E$15="POINTS",RANK(E337,E3:E392),H337)</f>
        <v>363</v>
      </c>
      <c r="D337" t="s" s="86">
        <f>VLOOKUP(A337,'The List'!B1:F665,5,FALSE)</f>
        <v>909</v>
      </c>
      <c r="E337" s="77">
        <f>VLOOKUP(A337,'The List'!B1:I665,8,FALSE)</f>
        <v>132.262781442692</v>
      </c>
      <c r="F337" s="77">
        <f>IF('Settings'!$E$15="POINTS",E337-VLOOKUP(B$2,C1:E392,3,FALSE),J337)</f>
        <v>-174.643222986899</v>
      </c>
      <c r="G337" s="77"/>
      <c r="H337" s="223">
        <f>RANK(I337,I3:I392)</f>
        <v>363</v>
      </c>
      <c r="I337" s="77">
        <f>VLOOKUP(A337,'Standard Deviations'!A1:C666,3,FALSE)</f>
        <v>-4.75017666622246</v>
      </c>
      <c r="J337" s="84">
        <f>I337-VLOOKUP(B$2,H1:J392,2,FALSE)</f>
        <v>-9.340308096781961</v>
      </c>
    </row>
    <row r="338" ht="21.25" customHeight="1">
      <c r="A338" t="s" s="10">
        <v>762</v>
      </c>
      <c r="B338" t="s" s="222">
        <f>VLOOKUP(A338,'The List'!B1:D665,3,FALSE)</f>
        <v>128</v>
      </c>
      <c r="C338" s="87">
        <f>IF('Settings'!$E$15="POINTS",RANK(E338,E3:E392),H338)</f>
        <v>334</v>
      </c>
      <c r="D338" t="s" s="86">
        <f>VLOOKUP(A338,'The List'!B1:F665,5,FALSE)</f>
        <v>907</v>
      </c>
      <c r="E338" s="77">
        <f>VLOOKUP(A338,'The List'!B1:I665,8,FALSE)</f>
        <v>148.266502233479</v>
      </c>
      <c r="F338" s="77">
        <f>IF('Settings'!$E$15="POINTS",E338-VLOOKUP(B$2,C1:E392,3,FALSE),J338)</f>
        <v>-158.639502196112</v>
      </c>
      <c r="G338" s="77"/>
      <c r="H338" s="223">
        <f>RANK(I338,I3:I392)</f>
        <v>365</v>
      </c>
      <c r="I338" s="77">
        <f>VLOOKUP(A338,'Standard Deviations'!A1:C666,3,FALSE)</f>
        <v>-4.805116978008</v>
      </c>
      <c r="J338" s="84">
        <f>I338-VLOOKUP(B$2,H1:J392,2,FALSE)</f>
        <v>-9.3952484085675</v>
      </c>
    </row>
    <row r="339" ht="21.25" customHeight="1">
      <c r="A339" t="s" s="10">
        <v>699</v>
      </c>
      <c r="B339" t="s" s="222">
        <f>VLOOKUP(A339,'The List'!B1:D665,3,FALSE)</f>
        <v>128</v>
      </c>
      <c r="C339" s="87">
        <f>IF('Settings'!$E$15="POINTS",RANK(E339,E3:E392),H339)</f>
        <v>286</v>
      </c>
      <c r="D339" t="s" s="86">
        <f>VLOOKUP(A339,'The List'!B1:F665,5,FALSE)</f>
        <v>907</v>
      </c>
      <c r="E339" s="77">
        <f>VLOOKUP(A339,'The List'!B1:I665,8,FALSE)</f>
        <v>166.506123563770</v>
      </c>
      <c r="F339" s="77">
        <f>IF('Settings'!$E$15="POINTS",E339-VLOOKUP(B$2,C1:E392,3,FALSE),J339)</f>
        <v>-140.399880865821</v>
      </c>
      <c r="G339" s="77"/>
      <c r="H339" s="223">
        <f>RANK(I339,I3:I392)</f>
        <v>297</v>
      </c>
      <c r="I339" s="77">
        <f>VLOOKUP(A339,'Standard Deviations'!A1:C666,3,FALSE)</f>
        <v>-3.10300104168872</v>
      </c>
      <c r="J339" s="84">
        <f>I339-VLOOKUP(B$2,H1:J392,2,FALSE)</f>
        <v>-7.69313247224822</v>
      </c>
    </row>
    <row r="340" ht="21.25" customHeight="1">
      <c r="A340" t="s" s="10">
        <v>789</v>
      </c>
      <c r="B340" t="s" s="222">
        <f>VLOOKUP(A340,'The List'!B1:D665,3,FALSE)</f>
        <v>140</v>
      </c>
      <c r="C340" s="87">
        <f>IF('Settings'!$E$15="POINTS",RANK(E340,E3:E392),H340)</f>
        <v>343</v>
      </c>
      <c r="D340" t="s" s="86">
        <f>VLOOKUP(A340,'The List'!B1:F665,5,FALSE)</f>
        <v>342</v>
      </c>
      <c r="E340" s="77">
        <f>VLOOKUP(A340,'The List'!B1:I665,8,FALSE)</f>
        <v>145.771430783881</v>
      </c>
      <c r="F340" s="77">
        <f>IF('Settings'!$E$15="POINTS",E340-VLOOKUP(B$2,C1:E392,3,FALSE),J340)</f>
        <v>-161.134573645710</v>
      </c>
      <c r="G340" s="77"/>
      <c r="H340" s="223">
        <f>RANK(I340,I3:I392)</f>
        <v>264</v>
      </c>
      <c r="I340" s="77">
        <f>VLOOKUP(A340,'Standard Deviations'!A1:C666,3,FALSE)</f>
        <v>-2.600450349748</v>
      </c>
      <c r="J340" s="84">
        <f>I340-VLOOKUP(B$2,H1:J392,2,FALSE)</f>
        <v>-7.1905817803075</v>
      </c>
    </row>
    <row r="341" ht="21.25" customHeight="1">
      <c r="A341" t="s" s="10">
        <v>827</v>
      </c>
      <c r="B341" t="s" s="222">
        <f>VLOOKUP(A341,'The List'!B1:D665,3,FALSE)</f>
        <v>140</v>
      </c>
      <c r="C341" s="87">
        <f>IF('Settings'!$E$15="POINTS",RANK(E341,E3:E392),H341)</f>
        <v>370</v>
      </c>
      <c r="D341" t="s" s="86">
        <f>VLOOKUP(A341,'The List'!B1:F665,5,FALSE)</f>
        <v>129</v>
      </c>
      <c r="E341" s="77">
        <f>VLOOKUP(A341,'The List'!B1:I665,8,FALSE)</f>
        <v>129.143835176477</v>
      </c>
      <c r="F341" s="77">
        <f>IF('Settings'!$E$15="POINTS",E341-VLOOKUP(B$2,C1:E392,3,FALSE),J341)</f>
        <v>-177.762169253114</v>
      </c>
      <c r="G341" s="77"/>
      <c r="H341" s="223">
        <f>RANK(I341,I3:I392)</f>
        <v>334</v>
      </c>
      <c r="I341" s="77">
        <f>VLOOKUP(A341,'Standard Deviations'!A1:C666,3,FALSE)</f>
        <v>-3.79998114822126</v>
      </c>
      <c r="J341" s="84">
        <f>I341-VLOOKUP(B$2,H1:J392,2,FALSE)</f>
        <v>-8.39011257878076</v>
      </c>
    </row>
    <row r="342" ht="21.25" customHeight="1">
      <c r="A342" t="s" s="10">
        <v>701</v>
      </c>
      <c r="B342" t="s" s="222">
        <f>VLOOKUP(A342,'The List'!B1:D665,3,FALSE)</f>
        <v>128</v>
      </c>
      <c r="C342" s="87">
        <f>IF('Settings'!$E$15="POINTS",RANK(E342,E3:E392),H342)</f>
        <v>288</v>
      </c>
      <c r="D342" t="s" s="86">
        <f>VLOOKUP(A342,'The List'!B1:F665,5,FALSE)</f>
        <v>132</v>
      </c>
      <c r="E342" s="77">
        <f>VLOOKUP(A342,'The List'!B1:I665,8,FALSE)</f>
        <v>166.239159316830</v>
      </c>
      <c r="F342" s="77">
        <f>IF('Settings'!$E$15="POINTS",E342-VLOOKUP(B$2,C1:E392,3,FALSE),J342)</f>
        <v>-140.666845112761</v>
      </c>
      <c r="G342" s="77"/>
      <c r="H342" s="223">
        <f>RANK(I342,I3:I392)</f>
        <v>341</v>
      </c>
      <c r="I342" s="77">
        <f>VLOOKUP(A342,'Standard Deviations'!A1:C666,3,FALSE)</f>
        <v>-3.98102088999546</v>
      </c>
      <c r="J342" s="84">
        <f>I342-VLOOKUP(B$2,H1:J392,2,FALSE)</f>
        <v>-8.57115232055496</v>
      </c>
    </row>
    <row r="343" ht="21.25" customHeight="1">
      <c r="A343" t="s" s="10">
        <v>743</v>
      </c>
      <c r="B343" t="s" s="222">
        <f>VLOOKUP(A343,'The List'!B1:D665,3,FALSE)</f>
        <v>140</v>
      </c>
      <c r="C343" s="87">
        <f>IF('Settings'!$E$15="POINTS",RANK(E343,E3:E392),H343)</f>
        <v>306</v>
      </c>
      <c r="D343" t="s" s="86">
        <f>VLOOKUP(A343,'The List'!B1:F665,5,FALSE)</f>
        <v>156</v>
      </c>
      <c r="E343" s="77">
        <f>VLOOKUP(A343,'The List'!B1:I665,8,FALSE)</f>
        <v>159.070096184988</v>
      </c>
      <c r="F343" s="77">
        <f>IF('Settings'!$E$15="POINTS",E343-VLOOKUP(B$2,C1:E392,3,FALSE),J343)</f>
        <v>-147.835908244603</v>
      </c>
      <c r="G343" s="77"/>
      <c r="H343" s="223">
        <f>RANK(I343,I3:I392)</f>
        <v>358</v>
      </c>
      <c r="I343" s="77">
        <f>VLOOKUP(A343,'Standard Deviations'!A1:C666,3,FALSE)</f>
        <v>-4.64671285586875</v>
      </c>
      <c r="J343" s="84">
        <f>I343-VLOOKUP(B$2,H1:J392,2,FALSE)</f>
        <v>-9.23684428642825</v>
      </c>
    </row>
    <row r="344" ht="21.25" customHeight="1">
      <c r="A344" t="s" s="10">
        <v>803</v>
      </c>
      <c r="B344" t="s" s="222">
        <f>VLOOKUP(A344,'The List'!B1:D665,3,FALSE)</f>
        <v>128</v>
      </c>
      <c r="C344" s="87">
        <f>IF('Settings'!$E$15="POINTS",RANK(E344,E3:E392),H344)</f>
        <v>361</v>
      </c>
      <c r="D344" t="s" s="86">
        <f>VLOOKUP(A344,'The List'!B1:F665,5,FALSE)</f>
        <v>912</v>
      </c>
      <c r="E344" s="77">
        <f>VLOOKUP(A344,'The List'!B1:I665,8,FALSE)</f>
        <v>134.539181062019</v>
      </c>
      <c r="F344" s="77">
        <f>IF('Settings'!$E$15="POINTS",E344-VLOOKUP(B$2,C1:E392,3,FALSE),J344)</f>
        <v>-172.366823367572</v>
      </c>
      <c r="G344" s="77"/>
      <c r="H344" s="223">
        <f>RANK(I344,I3:I392)</f>
        <v>380</v>
      </c>
      <c r="I344" s="77">
        <f>VLOOKUP(A344,'Standard Deviations'!A1:C666,3,FALSE)</f>
        <v>-5.27424366310825</v>
      </c>
      <c r="J344" s="84">
        <f>I344-VLOOKUP(B$2,H1:J392,2,FALSE)</f>
        <v>-9.86437509366775</v>
      </c>
    </row>
    <row r="345" ht="21.25" customHeight="1">
      <c r="A345" t="s" s="10">
        <v>828</v>
      </c>
      <c r="B345" t="s" s="222">
        <f>VLOOKUP(A345,'The List'!B1:D665,3,FALSE)</f>
        <v>178</v>
      </c>
      <c r="C345" s="87">
        <f>IF('Settings'!$E$15="POINTS",RANK(E345,E3:E392),H345)</f>
        <v>371</v>
      </c>
      <c r="D345" t="s" s="86">
        <f>VLOOKUP(A345,'The List'!B1:F665,5,FALSE)</f>
        <v>908</v>
      </c>
      <c r="E345" s="77">
        <f>VLOOKUP(A345,'The List'!B1:I665,8,FALSE)</f>
        <v>128.352774058725</v>
      </c>
      <c r="F345" s="77">
        <f>IF('Settings'!$E$15="POINTS",E345-VLOOKUP(B$2,C1:E392,3,FALSE),J345)</f>
        <v>-178.553230370866</v>
      </c>
      <c r="G345" s="77"/>
      <c r="H345" s="223">
        <f>RANK(I345,I3:I392)</f>
        <v>342</v>
      </c>
      <c r="I345" s="77">
        <f>VLOOKUP(A345,'Standard Deviations'!A1:C666,3,FALSE)</f>
        <v>-3.98555042292253</v>
      </c>
      <c r="J345" s="84">
        <f>I345-VLOOKUP(B$2,H1:J392,2,FALSE)</f>
        <v>-8.575681853482029</v>
      </c>
    </row>
    <row r="346" ht="21.25" customHeight="1">
      <c r="A346" t="s" s="10">
        <v>721</v>
      </c>
      <c r="B346" t="s" s="222">
        <f>VLOOKUP(A346,'The List'!B1:D665,3,FALSE)</f>
        <v>178</v>
      </c>
      <c r="C346" s="87">
        <f>IF('Settings'!$E$15="POINTS",RANK(E346,E3:E392),H346)</f>
        <v>294</v>
      </c>
      <c r="D346" t="s" s="86">
        <f>VLOOKUP(A346,'The List'!B1:F665,5,FALSE)</f>
        <v>156</v>
      </c>
      <c r="E346" s="77">
        <f>VLOOKUP(A346,'The List'!B1:I665,8,FALSE)</f>
        <v>164.503208076347</v>
      </c>
      <c r="F346" s="77">
        <f>IF('Settings'!$E$15="POINTS",E346-VLOOKUP(B$2,C1:E392,3,FALSE),J346)</f>
        <v>-142.402796353244</v>
      </c>
      <c r="G346" s="77"/>
      <c r="H346" s="223">
        <f>RANK(I346,I3:I392)</f>
        <v>326</v>
      </c>
      <c r="I346" s="77">
        <f>VLOOKUP(A346,'Standard Deviations'!A1:C666,3,FALSE)</f>
        <v>-3.69802041584377</v>
      </c>
      <c r="J346" s="84">
        <f>I346-VLOOKUP(B$2,H1:J392,2,FALSE)</f>
        <v>-8.28815184640327</v>
      </c>
    </row>
    <row r="347" ht="21.25" customHeight="1">
      <c r="A347" t="s" s="10">
        <v>460</v>
      </c>
      <c r="B347" t="s" s="222">
        <f>VLOOKUP(A347,'The List'!B1:D665,3,FALSE)</f>
        <v>140</v>
      </c>
      <c r="C347" s="87">
        <f>IF('Settings'!$E$15="POINTS",RANK(E347,E3:E392),H347)</f>
        <v>150</v>
      </c>
      <c r="D347" t="s" s="86">
        <f>VLOOKUP(A347,'The List'!B1:F665,5,FALSE)</f>
        <v>903</v>
      </c>
      <c r="E347" s="77">
        <f>VLOOKUP(A347,'The List'!B1:I665,8,FALSE)</f>
        <v>236.385271256422</v>
      </c>
      <c r="F347" s="77">
        <f>IF('Settings'!$E$15="POINTS",E347-VLOOKUP(B$2,C1:E392,3,FALSE),J347)</f>
        <v>-70.52073317316901</v>
      </c>
      <c r="G347" s="77"/>
      <c r="H347" s="223">
        <f>RANK(I347,I3:I392)</f>
        <v>330</v>
      </c>
      <c r="I347" s="77">
        <f>VLOOKUP(A347,'Standard Deviations'!A1:C666,3,FALSE)</f>
        <v>-3.76797961990791</v>
      </c>
      <c r="J347" s="84">
        <f>I347-VLOOKUP(B$2,H1:J392,2,FALSE)</f>
        <v>-8.358111050467411</v>
      </c>
    </row>
    <row r="348" ht="21.25" customHeight="1">
      <c r="A348" t="s" s="10">
        <v>728</v>
      </c>
      <c r="B348" t="s" s="222">
        <f>VLOOKUP(A348,'The List'!B1:D665,3,FALSE)</f>
        <v>128</v>
      </c>
      <c r="C348" s="87">
        <f>IF('Settings'!$E$15="POINTS",RANK(E348,E3:E392),H348)</f>
        <v>311</v>
      </c>
      <c r="D348" t="s" s="86">
        <f>VLOOKUP(A348,'The List'!B1:F665,5,FALSE)</f>
        <v>906</v>
      </c>
      <c r="E348" s="77">
        <f>VLOOKUP(A348,'The List'!B1:I665,8,FALSE)</f>
        <v>156.909889049767</v>
      </c>
      <c r="F348" s="77">
        <f>IF('Settings'!$E$15="POINTS",E348-VLOOKUP(B$2,C1:E392,3,FALSE),J348)</f>
        <v>-149.996115379824</v>
      </c>
      <c r="G348" s="77"/>
      <c r="H348" s="223">
        <f>RANK(I348,I3:I392)</f>
        <v>311</v>
      </c>
      <c r="I348" s="77">
        <f>VLOOKUP(A348,'Standard Deviations'!A1:C666,3,FALSE)</f>
        <v>-3.39996034751064</v>
      </c>
      <c r="J348" s="84">
        <f>I348-VLOOKUP(B$2,H1:J392,2,FALSE)</f>
        <v>-7.99009177807014</v>
      </c>
    </row>
    <row r="349" ht="21.25" customHeight="1">
      <c r="A349" t="s" s="10">
        <v>603</v>
      </c>
      <c r="B349" t="s" s="222">
        <f>VLOOKUP(A349,'The List'!B1:D665,3,FALSE)</f>
        <v>128</v>
      </c>
      <c r="C349" s="87">
        <f>IF('Settings'!$E$15="POINTS",RANK(E349,E3:E392),H349)</f>
        <v>241</v>
      </c>
      <c r="D349" t="s" s="86">
        <f>VLOOKUP(A349,'The List'!B1:F665,5,FALSE)</f>
        <v>259</v>
      </c>
      <c r="E349" s="77">
        <f>VLOOKUP(A349,'The List'!B1:I665,8,FALSE)</f>
        <v>194.612764386130</v>
      </c>
      <c r="F349" s="77">
        <f>IF('Settings'!$E$15="POINTS",E349-VLOOKUP(B$2,C1:E392,3,FALSE),J349)</f>
        <v>-112.293240043461</v>
      </c>
      <c r="G349" s="77"/>
      <c r="H349" s="223">
        <f>RANK(I349,I3:I392)</f>
        <v>340</v>
      </c>
      <c r="I349" s="77">
        <f>VLOOKUP(A349,'Standard Deviations'!A1:C666,3,FALSE)</f>
        <v>-3.90884210978474</v>
      </c>
      <c r="J349" s="84">
        <f>I349-VLOOKUP(B$2,H1:J392,2,FALSE)</f>
        <v>-8.49897354034424</v>
      </c>
    </row>
    <row r="350" ht="21.25" customHeight="1">
      <c r="A350" t="s" s="10">
        <v>635</v>
      </c>
      <c r="B350" t="s" s="222">
        <f>VLOOKUP(A350,'The List'!B1:D665,3,FALSE)</f>
        <v>140</v>
      </c>
      <c r="C350" s="87">
        <f>IF('Settings'!$E$15="POINTS",RANK(E350,E3:E392),H350)</f>
        <v>244</v>
      </c>
      <c r="D350" t="s" s="86">
        <f>VLOOKUP(A350,'The List'!B1:F665,5,FALSE)</f>
        <v>901</v>
      </c>
      <c r="E350" s="77">
        <f>VLOOKUP(A350,'The List'!B1:I665,8,FALSE)</f>
        <v>190.437929850680</v>
      </c>
      <c r="F350" s="77">
        <f>IF('Settings'!$E$15="POINTS",E350-VLOOKUP(B$2,C1:E392,3,FALSE),J350)</f>
        <v>-116.468074578911</v>
      </c>
      <c r="G350" s="77"/>
      <c r="H350" s="223">
        <f>RANK(I350,I3:I392)</f>
        <v>313</v>
      </c>
      <c r="I350" s="77">
        <f>VLOOKUP(A350,'Standard Deviations'!A1:C666,3,FALSE)</f>
        <v>-3.46716720636106</v>
      </c>
      <c r="J350" s="84">
        <f>I350-VLOOKUP(B$2,H1:J392,2,FALSE)</f>
        <v>-8.05729863692056</v>
      </c>
    </row>
    <row r="351" ht="21.25" customHeight="1">
      <c r="A351" t="s" s="10">
        <v>832</v>
      </c>
      <c r="B351" t="s" s="222">
        <f>VLOOKUP(A351,'The List'!B1:D665,3,FALSE)</f>
        <v>140</v>
      </c>
      <c r="C351" s="87">
        <f>IF('Settings'!$E$15="POINTS",RANK(E351,E3:E392),H351)</f>
        <v>374</v>
      </c>
      <c r="D351" t="s" s="86">
        <f>VLOOKUP(A351,'The List'!B1:F665,5,FALSE)</f>
        <v>905</v>
      </c>
      <c r="E351" s="77">
        <f>VLOOKUP(A351,'The List'!B1:I665,8,FALSE)</f>
        <v>126.682592428026</v>
      </c>
      <c r="F351" s="77">
        <f>IF('Settings'!$E$15="POINTS",E351-VLOOKUP(B$2,C1:E392,3,FALSE),J351)</f>
        <v>-180.223412001565</v>
      </c>
      <c r="G351" s="77"/>
      <c r="H351" s="223">
        <f>RANK(I351,I3:I392)</f>
        <v>376</v>
      </c>
      <c r="I351" s="77">
        <f>VLOOKUP(A351,'Standard Deviations'!A1:C666,3,FALSE)</f>
        <v>-5.11611409608714</v>
      </c>
      <c r="J351" s="84">
        <f>I351-VLOOKUP(B$2,H1:J392,2,FALSE)</f>
        <v>-9.70624552664664</v>
      </c>
    </row>
    <row r="352" ht="21.25" customHeight="1">
      <c r="A352" t="s" s="10">
        <v>838</v>
      </c>
      <c r="B352" t="s" s="222">
        <f>VLOOKUP(A352,'The List'!B1:D665,3,FALSE)</f>
        <v>128</v>
      </c>
      <c r="C352" s="87">
        <f>IF('Settings'!$E$15="POINTS",RANK(E352,E3:E392),H352)</f>
        <v>382</v>
      </c>
      <c r="D352" t="s" s="86">
        <f>VLOOKUP(A352,'The List'!B1:F665,5,FALSE)</f>
        <v>267</v>
      </c>
      <c r="E352" s="77">
        <f>VLOOKUP(A352,'The List'!B1:I665,8,FALSE)</f>
        <v>117.368539149420</v>
      </c>
      <c r="F352" s="77">
        <f>IF('Settings'!$E$15="POINTS",E352-VLOOKUP(B$2,C1:E392,3,FALSE),J352)</f>
        <v>-189.537465280171</v>
      </c>
      <c r="G352" s="77"/>
      <c r="H352" s="223">
        <f>RANK(I352,I3:I392)</f>
        <v>322</v>
      </c>
      <c r="I352" s="77">
        <f>VLOOKUP(A352,'Standard Deviations'!A1:C666,3,FALSE)</f>
        <v>-3.63981359784066</v>
      </c>
      <c r="J352" s="84">
        <f>I352-VLOOKUP(B$2,H1:J392,2,FALSE)</f>
        <v>-8.229945028400159</v>
      </c>
    </row>
    <row r="353" ht="21.25" customHeight="1">
      <c r="A353" t="s" s="10">
        <v>809</v>
      </c>
      <c r="B353" t="s" s="222">
        <f>VLOOKUP(A353,'The List'!B1:D665,3,FALSE)</f>
        <v>140</v>
      </c>
      <c r="C353" s="87">
        <f>IF('Settings'!$E$15="POINTS",RANK(E353,E3:E392),H353)</f>
        <v>356</v>
      </c>
      <c r="D353" t="s" s="86">
        <f>VLOOKUP(A353,'The List'!B1:F665,5,FALSE)</f>
        <v>132</v>
      </c>
      <c r="E353" s="77">
        <f>VLOOKUP(A353,'The List'!B1:I665,8,FALSE)</f>
        <v>137.564851531324</v>
      </c>
      <c r="F353" s="77">
        <f>IF('Settings'!$E$15="POINTS",E353-VLOOKUP(B$2,C1:E392,3,FALSE),J353)</f>
        <v>-169.341152898267</v>
      </c>
      <c r="G353" s="77"/>
      <c r="H353" s="223">
        <f>RANK(I353,I3:I392)</f>
        <v>273</v>
      </c>
      <c r="I353" s="77">
        <f>VLOOKUP(A353,'Standard Deviations'!A1:C666,3,FALSE)</f>
        <v>-2.73895855179168</v>
      </c>
      <c r="J353" s="84">
        <f>I353-VLOOKUP(B$2,H1:J392,2,FALSE)</f>
        <v>-7.32908998235118</v>
      </c>
    </row>
    <row r="354" ht="21.25" customHeight="1">
      <c r="A354" t="s" s="10">
        <v>780</v>
      </c>
      <c r="B354" t="s" s="222">
        <f>VLOOKUP(A354,'The List'!B1:D665,3,FALSE)</f>
        <v>178</v>
      </c>
      <c r="C354" s="87">
        <f>IF('Settings'!$E$15="POINTS",RANK(E354,E3:E392),H354)</f>
        <v>333</v>
      </c>
      <c r="D354" t="s" s="86">
        <f>VLOOKUP(A354,'The List'!B1:F665,5,FALSE)</f>
        <v>909</v>
      </c>
      <c r="E354" s="77">
        <f>VLOOKUP(A354,'The List'!B1:I665,8,FALSE)</f>
        <v>148.290871068309</v>
      </c>
      <c r="F354" s="77">
        <f>IF('Settings'!$E$15="POINTS",E354-VLOOKUP(B$2,C1:E392,3,FALSE),J354)</f>
        <v>-158.615133361282</v>
      </c>
      <c r="G354" s="77"/>
      <c r="H354" s="223">
        <f>RANK(I354,I3:I392)</f>
        <v>356</v>
      </c>
      <c r="I354" s="77">
        <f>VLOOKUP(A354,'Standard Deviations'!A1:C666,3,FALSE)</f>
        <v>-4.55320123245052</v>
      </c>
      <c r="J354" s="84">
        <f>I354-VLOOKUP(B$2,H1:J392,2,FALSE)</f>
        <v>-9.143332663010019</v>
      </c>
    </row>
    <row r="355" ht="21.25" customHeight="1">
      <c r="A355" t="s" s="10">
        <v>817</v>
      </c>
      <c r="B355" t="s" s="222">
        <f>VLOOKUP(A355,'The List'!B1:D665,3,FALSE)</f>
        <v>128</v>
      </c>
      <c r="C355" s="87">
        <f>IF('Settings'!$E$15="POINTS",RANK(E355,E3:E392),H355)</f>
        <v>368</v>
      </c>
      <c r="D355" t="s" s="86">
        <f>VLOOKUP(A355,'The List'!B1:F665,5,FALSE)</f>
        <v>902</v>
      </c>
      <c r="E355" s="77">
        <f>VLOOKUP(A355,'The List'!B1:I665,8,FALSE)</f>
        <v>129.704279658994</v>
      </c>
      <c r="F355" s="77">
        <f>IF('Settings'!$E$15="POINTS",E355-VLOOKUP(B$2,C1:E392,3,FALSE),J355)</f>
        <v>-177.201724770597</v>
      </c>
      <c r="G355" s="77"/>
      <c r="H355" s="223">
        <f>RANK(I355,I3:I392)</f>
        <v>381</v>
      </c>
      <c r="I355" s="77">
        <f>VLOOKUP(A355,'Standard Deviations'!A1:C666,3,FALSE)</f>
        <v>-5.41271847003413</v>
      </c>
      <c r="J355" s="84">
        <f>I355-VLOOKUP(B$2,H1:J392,2,FALSE)</f>
        <v>-10.0028499005936</v>
      </c>
    </row>
    <row r="356" ht="21.25" customHeight="1">
      <c r="A356" t="s" s="10">
        <v>424</v>
      </c>
      <c r="B356" t="s" s="222">
        <f>VLOOKUP(A356,'The List'!B1:D665,3,FALSE)</f>
        <v>178</v>
      </c>
      <c r="C356" s="87">
        <f>IF('Settings'!$E$15="POINTS",RANK(E356,E3:E392),H356)</f>
        <v>127</v>
      </c>
      <c r="D356" t="s" s="86">
        <f>VLOOKUP(A356,'The List'!B1:F665,5,FALSE)</f>
        <v>909</v>
      </c>
      <c r="E356" s="77">
        <f>VLOOKUP(A356,'The List'!B1:I665,8,FALSE)</f>
        <v>247.613441342134</v>
      </c>
      <c r="F356" s="77">
        <f>IF('Settings'!$E$15="POINTS",E356-VLOOKUP(B$2,C1:E392,3,FALSE),J356)</f>
        <v>-59.292563087457</v>
      </c>
      <c r="G356" s="77"/>
      <c r="H356" s="223">
        <f>RANK(I356,I3:I392)</f>
        <v>375</v>
      </c>
      <c r="I356" s="77">
        <f>VLOOKUP(A356,'Standard Deviations'!A1:C666,3,FALSE)</f>
        <v>-5.06332324302699</v>
      </c>
      <c r="J356" s="84">
        <f>I356-VLOOKUP(B$2,H1:J392,2,FALSE)</f>
        <v>-9.65345467358649</v>
      </c>
    </row>
    <row r="357" ht="21.25" customHeight="1">
      <c r="A357" t="s" s="10">
        <v>633</v>
      </c>
      <c r="B357" t="s" s="222">
        <f>VLOOKUP(A357,'The List'!B1:D665,3,FALSE)</f>
        <v>128</v>
      </c>
      <c r="C357" s="87">
        <f>IF('Settings'!$E$15="POINTS",RANK(E357,E3:E392),H357)</f>
        <v>252</v>
      </c>
      <c r="D357" t="s" s="86">
        <f>VLOOKUP(A357,'The List'!B1:F665,5,FALSE)</f>
        <v>900</v>
      </c>
      <c r="E357" s="77">
        <f>VLOOKUP(A357,'The List'!B1:I665,8,FALSE)</f>
        <v>186.875466221993</v>
      </c>
      <c r="F357" s="77">
        <f>IF('Settings'!$E$15="POINTS",E357-VLOOKUP(B$2,C1:E392,3,FALSE),J357)</f>
        <v>-120.030538207598</v>
      </c>
      <c r="G357" s="77"/>
      <c r="H357" s="223">
        <f>RANK(I357,I3:I392)</f>
        <v>345</v>
      </c>
      <c r="I357" s="77">
        <f>VLOOKUP(A357,'Standard Deviations'!A1:C666,3,FALSE)</f>
        <v>-4.09915663250607</v>
      </c>
      <c r="J357" s="84">
        <f>I357-VLOOKUP(B$2,H1:J392,2,FALSE)</f>
        <v>-8.68928806306557</v>
      </c>
    </row>
    <row r="358" ht="21.25" customHeight="1">
      <c r="A358" t="s" s="10">
        <v>851</v>
      </c>
      <c r="B358" t="s" s="222">
        <f>VLOOKUP(A358,'The List'!B1:D665,3,FALSE)</f>
        <v>140</v>
      </c>
      <c r="C358" s="87">
        <f>IF('Settings'!$E$15="POINTS",RANK(E358,E3:E392),H358)</f>
        <v>386</v>
      </c>
      <c r="D358" t="s" s="86">
        <f>VLOOKUP(A358,'The List'!B1:F665,5,FALSE)</f>
        <v>174</v>
      </c>
      <c r="E358" s="77">
        <f>VLOOKUP(A358,'The List'!B1:I665,8,FALSE)</f>
        <v>103.815607065528</v>
      </c>
      <c r="F358" s="77">
        <f>IF('Settings'!$E$15="POINTS",E358-VLOOKUP(B$2,C1:E392,3,FALSE),J358)</f>
        <v>-203.090397364063</v>
      </c>
      <c r="G358" s="77"/>
      <c r="H358" s="223">
        <f>RANK(I358,I3:I392)</f>
        <v>373</v>
      </c>
      <c r="I358" s="77">
        <f>VLOOKUP(A358,'Standard Deviations'!A1:C666,3,FALSE)</f>
        <v>-4.94393977099579</v>
      </c>
      <c r="J358" s="84">
        <f>I358-VLOOKUP(B$2,H1:J392,2,FALSE)</f>
        <v>-9.534071201555291</v>
      </c>
    </row>
    <row r="359" ht="21.25" customHeight="1">
      <c r="A359" t="s" s="10">
        <v>649</v>
      </c>
      <c r="B359" t="s" s="222">
        <f>VLOOKUP(A359,'The List'!B1:D665,3,FALSE)</f>
        <v>178</v>
      </c>
      <c r="C359" s="87">
        <f>IF('Settings'!$E$15="POINTS",RANK(E359,E3:E392),H359)</f>
        <v>253</v>
      </c>
      <c r="D359" t="s" s="86">
        <f>VLOOKUP(A359,'The List'!B1:F665,5,FALSE)</f>
        <v>871</v>
      </c>
      <c r="E359" s="77">
        <f>VLOOKUP(A359,'The List'!B1:I665,8,FALSE)</f>
        <v>186.498150196889</v>
      </c>
      <c r="F359" s="77">
        <f>IF('Settings'!$E$15="POINTS",E359-VLOOKUP(B$2,C1:E392,3,FALSE),J359)</f>
        <v>-120.407854232702</v>
      </c>
      <c r="G359" s="77"/>
      <c r="H359" s="223">
        <f>RANK(I359,I3:I392)</f>
        <v>359</v>
      </c>
      <c r="I359" s="77">
        <f>VLOOKUP(A359,'Standard Deviations'!A1:C666,3,FALSE)</f>
        <v>-4.65161804775824</v>
      </c>
      <c r="J359" s="84">
        <f>I359-VLOOKUP(B$2,H1:J392,2,FALSE)</f>
        <v>-9.24174947831774</v>
      </c>
    </row>
    <row r="360" ht="21.25" customHeight="1">
      <c r="A360" t="s" s="10">
        <v>756</v>
      </c>
      <c r="B360" t="s" s="222">
        <f>VLOOKUP(A360,'The List'!B1:D665,3,FALSE)</f>
        <v>178</v>
      </c>
      <c r="C360" s="87">
        <f>IF('Settings'!$E$15="POINTS",RANK(E360,E3:E392),H360)</f>
        <v>317</v>
      </c>
      <c r="D360" t="s" s="86">
        <f>VLOOKUP(A360,'The List'!B1:F665,5,FALSE)</f>
        <v>866</v>
      </c>
      <c r="E360" s="77">
        <f>VLOOKUP(A360,'The List'!B1:I665,8,FALSE)</f>
        <v>154.841148018791</v>
      </c>
      <c r="F360" s="77">
        <f>IF('Settings'!$E$15="POINTS",E360-VLOOKUP(B$2,C1:E392,3,FALSE),J360)</f>
        <v>-152.0648564108</v>
      </c>
      <c r="G360" s="77"/>
      <c r="H360" s="223">
        <f>RANK(I360,I3:I392)</f>
        <v>353</v>
      </c>
      <c r="I360" s="77">
        <f>VLOOKUP(A360,'Standard Deviations'!A1:C666,3,FALSE)</f>
        <v>-4.48596701648678</v>
      </c>
      <c r="J360" s="84">
        <f>I360-VLOOKUP(B$2,H1:J392,2,FALSE)</f>
        <v>-9.076098447046281</v>
      </c>
    </row>
    <row r="361" ht="21.25" customHeight="1">
      <c r="A361" t="s" s="10">
        <v>687</v>
      </c>
      <c r="B361" t="s" s="222">
        <f>VLOOKUP(A361,'The List'!B1:D665,3,FALSE)</f>
        <v>140</v>
      </c>
      <c r="C361" s="87">
        <f>IF('Settings'!$E$15="POINTS",RANK(E361,E3:E392),H361)</f>
        <v>271</v>
      </c>
      <c r="D361" t="s" s="86">
        <f>VLOOKUP(A361,'The List'!B1:F665,5,FALSE)</f>
        <v>900</v>
      </c>
      <c r="E361" s="77">
        <f>VLOOKUP(A361,'The List'!B1:I665,8,FALSE)</f>
        <v>174.9607097228</v>
      </c>
      <c r="F361" s="77">
        <f>IF('Settings'!$E$15="POINTS",E361-VLOOKUP(B$2,C1:E392,3,FALSE),J361)</f>
        <v>-131.945294706791</v>
      </c>
      <c r="G361" s="77"/>
      <c r="H361" s="223">
        <f>RANK(I361,I3:I392)</f>
        <v>333</v>
      </c>
      <c r="I361" s="77">
        <f>VLOOKUP(A361,'Standard Deviations'!A1:C666,3,FALSE)</f>
        <v>-3.79098022945557</v>
      </c>
      <c r="J361" s="84">
        <f>I361-VLOOKUP(B$2,H1:J392,2,FALSE)</f>
        <v>-8.381111660015071</v>
      </c>
    </row>
    <row r="362" ht="21.25" customHeight="1">
      <c r="A362" t="s" s="10">
        <v>758</v>
      </c>
      <c r="B362" t="s" s="222">
        <f>VLOOKUP(A362,'The List'!B1:D665,3,FALSE)</f>
        <v>140</v>
      </c>
      <c r="C362" s="87">
        <f>IF('Settings'!$E$15="POINTS",RANK(E362,E3:E392),H362)</f>
        <v>322</v>
      </c>
      <c r="D362" t="s" s="86">
        <f>VLOOKUP(A362,'The List'!B1:F665,5,FALSE)</f>
        <v>129</v>
      </c>
      <c r="E362" s="77">
        <f>VLOOKUP(A362,'The List'!B1:I665,8,FALSE)</f>
        <v>154.163682894545</v>
      </c>
      <c r="F362" s="77">
        <f>IF('Settings'!$E$15="POINTS",E362-VLOOKUP(B$2,C1:E392,3,FALSE),J362)</f>
        <v>-152.742321535046</v>
      </c>
      <c r="G362" s="77"/>
      <c r="H362" s="223">
        <f>RANK(I362,I3:I392)</f>
        <v>319</v>
      </c>
      <c r="I362" s="77">
        <f>VLOOKUP(A362,'Standard Deviations'!A1:C666,3,FALSE)</f>
        <v>-3.57618259100623</v>
      </c>
      <c r="J362" s="84">
        <f>I362-VLOOKUP(B$2,H1:J392,2,FALSE)</f>
        <v>-8.16631402156573</v>
      </c>
    </row>
    <row r="363" ht="21.25" customHeight="1">
      <c r="A363" t="s" s="10">
        <v>643</v>
      </c>
      <c r="B363" t="s" s="222">
        <f>VLOOKUP(A363,'The List'!B1:D665,3,FALSE)</f>
        <v>140</v>
      </c>
      <c r="C363" s="87">
        <f>IF('Settings'!$E$15="POINTS",RANK(E363,E3:E392),H363)</f>
        <v>250</v>
      </c>
      <c r="D363" t="s" s="86">
        <f>VLOOKUP(A363,'The List'!B1:F665,5,FALSE)</f>
        <v>192</v>
      </c>
      <c r="E363" s="77">
        <f>VLOOKUP(A363,'The List'!B1:I665,8,FALSE)</f>
        <v>187.514960693934</v>
      </c>
      <c r="F363" s="77">
        <f>IF('Settings'!$E$15="POINTS",E363-VLOOKUP(B$2,C1:E392,3,FALSE),J363)</f>
        <v>-119.391043735657</v>
      </c>
      <c r="G363" s="77"/>
      <c r="H363" s="223">
        <f>RANK(I363,I3:I392)</f>
        <v>349</v>
      </c>
      <c r="I363" s="77">
        <f>VLOOKUP(A363,'Standard Deviations'!A1:C666,3,FALSE)</f>
        <v>-4.32373431911973</v>
      </c>
      <c r="J363" s="84">
        <f>I363-VLOOKUP(B$2,H1:J392,2,FALSE)</f>
        <v>-8.91386574967923</v>
      </c>
    </row>
    <row r="364" ht="21.25" customHeight="1">
      <c r="A364" t="s" s="10">
        <v>847</v>
      </c>
      <c r="B364" t="s" s="222">
        <f>VLOOKUP(A364,'The List'!B1:D665,3,FALSE)</f>
        <v>128</v>
      </c>
      <c r="C364" s="87">
        <f>IF('Settings'!$E$15="POINTS",RANK(E364,E3:E392),H364)</f>
        <v>385</v>
      </c>
      <c r="D364" t="s" s="86">
        <f>VLOOKUP(A364,'The List'!B1:F665,5,FALSE)</f>
        <v>878</v>
      </c>
      <c r="E364" s="77">
        <f>VLOOKUP(A364,'The List'!B1:I665,8,FALSE)</f>
        <v>107.852626998929</v>
      </c>
      <c r="F364" s="77">
        <f>IF('Settings'!$E$15="POINTS",E364-VLOOKUP(B$2,C1:E392,3,FALSE),J364)</f>
        <v>-199.053377430662</v>
      </c>
      <c r="G364" s="77"/>
      <c r="H364" s="223">
        <f>RANK(I364,I3:I392)</f>
        <v>331</v>
      </c>
      <c r="I364" s="77">
        <f>VLOOKUP(A364,'Standard Deviations'!A1:C666,3,FALSE)</f>
        <v>-3.77442648559896</v>
      </c>
      <c r="J364" s="84">
        <f>I364-VLOOKUP(B$2,H1:J392,2,FALSE)</f>
        <v>-8.364557916158461</v>
      </c>
    </row>
    <row r="365" ht="21.25" customHeight="1">
      <c r="A365" t="s" s="10">
        <v>656</v>
      </c>
      <c r="B365" t="s" s="222">
        <f>VLOOKUP(A365,'The List'!B1:D665,3,FALSE)</f>
        <v>128</v>
      </c>
      <c r="C365" s="87">
        <f>IF('Settings'!$E$15="POINTS",RANK(E365,E3:E392),H365)</f>
        <v>265</v>
      </c>
      <c r="D365" t="s" s="86">
        <f>VLOOKUP(A365,'The List'!B1:F665,5,FALSE)</f>
        <v>899</v>
      </c>
      <c r="E365" s="77">
        <f>VLOOKUP(A365,'The List'!B1:I665,8,FALSE)</f>
        <v>179.281262659204</v>
      </c>
      <c r="F365" s="77">
        <f>IF('Settings'!$E$15="POINTS",E365-VLOOKUP(B$2,C1:E392,3,FALSE),J365)</f>
        <v>-127.624741770387</v>
      </c>
      <c r="G365" s="77"/>
      <c r="H365" s="223">
        <f>RANK(I365,I3:I392)</f>
        <v>351</v>
      </c>
      <c r="I365" s="77">
        <f>VLOOKUP(A365,'Standard Deviations'!A1:C666,3,FALSE)</f>
        <v>-4.37388853442816</v>
      </c>
      <c r="J365" s="84">
        <f>I365-VLOOKUP(B$2,H1:J392,2,FALSE)</f>
        <v>-8.96401996498766</v>
      </c>
    </row>
    <row r="366" ht="21.25" customHeight="1">
      <c r="A366" t="s" s="10">
        <v>711</v>
      </c>
      <c r="B366" t="s" s="222">
        <f>VLOOKUP(A366,'The List'!B1:D665,3,FALSE)</f>
        <v>145</v>
      </c>
      <c r="C366" s="87">
        <f>IF('Settings'!$E$15="POINTS",RANK(E366,E3:E392),H366)</f>
        <v>283</v>
      </c>
      <c r="D366" t="s" s="86">
        <f>VLOOKUP(A366,'The List'!B1:F665,5,FALSE)</f>
        <v>154</v>
      </c>
      <c r="E366" s="77">
        <f>VLOOKUP(A366,'The List'!B1:I665,8,FALSE)</f>
        <v>166.879933865670</v>
      </c>
      <c r="F366" s="77">
        <f>IF('Settings'!$E$15="POINTS",E366-VLOOKUP(B$2,C1:E392,3,FALSE),J366)</f>
        <v>-140.026070563921</v>
      </c>
      <c r="G366" s="77"/>
      <c r="H366" s="223">
        <f>RANK(I366,I3:I392)</f>
        <v>321</v>
      </c>
      <c r="I366" s="77">
        <f>VLOOKUP(A366,'Standard Deviations'!A1:C666,3,FALSE)</f>
        <v>-3.63925959274839</v>
      </c>
      <c r="J366" s="84">
        <f>I366-VLOOKUP(B$2,H1:J392,2,FALSE)</f>
        <v>-8.22939102330789</v>
      </c>
    </row>
    <row r="367" ht="21.25" customHeight="1">
      <c r="A367" t="s" s="10">
        <v>811</v>
      </c>
      <c r="B367" t="s" s="222">
        <f>VLOOKUP(A367,'The List'!B1:D665,3,FALSE)</f>
        <v>178</v>
      </c>
      <c r="C367" s="87">
        <f>IF('Settings'!$E$15="POINTS",RANK(E367,E3:E392),H367)</f>
        <v>358</v>
      </c>
      <c r="D367" t="s" s="86">
        <f>VLOOKUP(A367,'The List'!B1:F665,5,FALSE)</f>
        <v>192</v>
      </c>
      <c r="E367" s="77">
        <f>VLOOKUP(A367,'The List'!B1:I665,8,FALSE)</f>
        <v>136.952480326408</v>
      </c>
      <c r="F367" s="77">
        <f>IF('Settings'!$E$15="POINTS",E367-VLOOKUP(B$2,C1:E392,3,FALSE),J367)</f>
        <v>-169.953524103183</v>
      </c>
      <c r="G367" s="77"/>
      <c r="H367" s="223">
        <f>RANK(I367,I3:I392)</f>
        <v>362</v>
      </c>
      <c r="I367" s="77">
        <f>VLOOKUP(A367,'Standard Deviations'!A1:C666,3,FALSE)</f>
        <v>-4.6908368263175</v>
      </c>
      <c r="J367" s="84">
        <f>I367-VLOOKUP(B$2,H1:J392,2,FALSE)</f>
        <v>-9.280968256876999</v>
      </c>
    </row>
    <row r="368" ht="21.25" customHeight="1">
      <c r="A368" t="s" s="10">
        <v>843</v>
      </c>
      <c r="B368" t="s" s="222">
        <f>VLOOKUP(A368,'The List'!B1:D665,3,FALSE)</f>
        <v>140</v>
      </c>
      <c r="C368" s="87">
        <f>IF('Settings'!$E$15="POINTS",RANK(E368,E3:E392),H368)</f>
        <v>381</v>
      </c>
      <c r="D368" t="s" s="86">
        <f>VLOOKUP(A368,'The List'!B1:F665,5,FALSE)</f>
        <v>207</v>
      </c>
      <c r="E368" s="77">
        <f>VLOOKUP(A368,'The List'!B1:I665,8,FALSE)</f>
        <v>119.087911699250</v>
      </c>
      <c r="F368" s="77">
        <f>IF('Settings'!$E$15="POINTS",E368-VLOOKUP(B$2,C1:E392,3,FALSE),J368)</f>
        <v>-187.818092730341</v>
      </c>
      <c r="G368" s="77"/>
      <c r="H368" s="223">
        <f>RANK(I368,I3:I392)</f>
        <v>344</v>
      </c>
      <c r="I368" s="77">
        <f>VLOOKUP(A368,'Standard Deviations'!A1:C666,3,FALSE)</f>
        <v>-4.00872852055571</v>
      </c>
      <c r="J368" s="84">
        <f>I368-VLOOKUP(B$2,H1:J392,2,FALSE)</f>
        <v>-8.598859951115211</v>
      </c>
    </row>
    <row r="369" ht="21.25" customHeight="1">
      <c r="A369" t="s" s="10">
        <v>845</v>
      </c>
      <c r="B369" t="s" s="222">
        <f>VLOOKUP(A369,'The List'!B1:D665,3,FALSE)</f>
        <v>128</v>
      </c>
      <c r="C369" s="87">
        <f>IF('Settings'!$E$15="POINTS",RANK(E369,E3:E392),H369)</f>
        <v>383</v>
      </c>
      <c r="D369" t="s" s="86">
        <f>VLOOKUP(A369,'The List'!B1:F665,5,FALSE)</f>
        <v>165</v>
      </c>
      <c r="E369" s="77">
        <f>VLOOKUP(A369,'The List'!B1:I665,8,FALSE)</f>
        <v>112.602252088172</v>
      </c>
      <c r="F369" s="77">
        <f>IF('Settings'!$E$15="POINTS",E369-VLOOKUP(B$2,C1:E392,3,FALSE),J369)</f>
        <v>-194.303752341419</v>
      </c>
      <c r="G369" s="77"/>
      <c r="H369" s="223">
        <f>RANK(I369,I3:I392)</f>
        <v>332</v>
      </c>
      <c r="I369" s="77">
        <f>VLOOKUP(A369,'Standard Deviations'!A1:C666,3,FALSE)</f>
        <v>-3.78027168767332</v>
      </c>
      <c r="J369" s="84">
        <f>I369-VLOOKUP(B$2,H1:J392,2,FALSE)</f>
        <v>-8.37040311823282</v>
      </c>
    </row>
    <row r="370" ht="21.25" customHeight="1">
      <c r="A370" t="s" s="10">
        <v>813</v>
      </c>
      <c r="B370" t="s" s="222">
        <f>VLOOKUP(A370,'The List'!B1:D665,3,FALSE)</f>
        <v>128</v>
      </c>
      <c r="C370" s="87">
        <f>IF('Settings'!$E$15="POINTS",RANK(E370,E3:E392),H370)</f>
        <v>366</v>
      </c>
      <c r="D370" t="s" s="86">
        <f>VLOOKUP(A370,'The List'!B1:F665,5,FALSE)</f>
        <v>913</v>
      </c>
      <c r="E370" s="77">
        <f>VLOOKUP(A370,'The List'!B1:I665,8,FALSE)</f>
        <v>131.019469552622</v>
      </c>
      <c r="F370" s="77">
        <f>IF('Settings'!$E$15="POINTS",E370-VLOOKUP(B$2,C1:E392,3,FALSE),J370)</f>
        <v>-175.886534876969</v>
      </c>
      <c r="G370" s="77"/>
      <c r="H370" s="223">
        <f>RANK(I370,I3:I392)</f>
        <v>335</v>
      </c>
      <c r="I370" s="77">
        <f>VLOOKUP(A370,'Standard Deviations'!A1:C666,3,FALSE)</f>
        <v>-3.82052508270579</v>
      </c>
      <c r="J370" s="84">
        <f>I370-VLOOKUP(B$2,H1:J392,2,FALSE)</f>
        <v>-8.410656513265289</v>
      </c>
    </row>
    <row r="371" ht="21.25" customHeight="1">
      <c r="A371" t="s" s="10">
        <v>774</v>
      </c>
      <c r="B371" t="s" s="222">
        <f>VLOOKUP(A371,'The List'!B1:D665,3,FALSE)</f>
        <v>178</v>
      </c>
      <c r="C371" s="87">
        <f>IF('Settings'!$E$15="POINTS",RANK(E371,E3:E392),H371)</f>
        <v>329</v>
      </c>
      <c r="D371" t="s" s="86">
        <f>VLOOKUP(A371,'The List'!B1:F665,5,FALSE)</f>
        <v>149</v>
      </c>
      <c r="E371" s="77">
        <f>VLOOKUP(A371,'The List'!B1:I665,8,FALSE)</f>
        <v>149.955677453038</v>
      </c>
      <c r="F371" s="77">
        <f>IF('Settings'!$E$15="POINTS",E371-VLOOKUP(B$2,C1:E392,3,FALSE),J371)</f>
        <v>-156.950326976553</v>
      </c>
      <c r="G371" s="77"/>
      <c r="H371" s="223">
        <f>RANK(I371,I3:I392)</f>
        <v>377</v>
      </c>
      <c r="I371" s="77">
        <f>VLOOKUP(A371,'Standard Deviations'!A1:C666,3,FALSE)</f>
        <v>-5.17482974204947</v>
      </c>
      <c r="J371" s="84">
        <f>I371-VLOOKUP(B$2,H1:J392,2,FALSE)</f>
        <v>-9.76496117260897</v>
      </c>
    </row>
    <row r="372" ht="21.25" customHeight="1">
      <c r="A372" t="s" s="10">
        <v>825</v>
      </c>
      <c r="B372" t="s" s="222">
        <f>VLOOKUP(A372,'The List'!B1:D665,3,FALSE)</f>
        <v>178</v>
      </c>
      <c r="C372" s="87">
        <f>IF('Settings'!$E$15="POINTS",RANK(E372,E3:E392),H372)</f>
        <v>367</v>
      </c>
      <c r="D372" t="s" s="86">
        <f>VLOOKUP(A372,'The List'!B1:F665,5,FALSE)</f>
        <v>912</v>
      </c>
      <c r="E372" s="77">
        <f>VLOOKUP(A372,'The List'!B1:I665,8,FALSE)</f>
        <v>130.469585872309</v>
      </c>
      <c r="F372" s="77">
        <f>IF('Settings'!$E$15="POINTS",E372-VLOOKUP(B$2,C1:E392,3,FALSE),J372)</f>
        <v>-176.436418557282</v>
      </c>
      <c r="G372" s="77"/>
      <c r="H372" s="223">
        <f>RANK(I372,I3:I392)</f>
        <v>387</v>
      </c>
      <c r="I372" s="77">
        <f>VLOOKUP(A372,'Standard Deviations'!A1:C666,3,FALSE)</f>
        <v>-5.93386827376624</v>
      </c>
      <c r="J372" s="84">
        <f>I372-VLOOKUP(B$2,H1:J392,2,FALSE)</f>
        <v>-10.5239997043257</v>
      </c>
    </row>
    <row r="373" ht="21.25" customHeight="1">
      <c r="A373" t="s" s="10">
        <v>792</v>
      </c>
      <c r="B373" t="s" s="222">
        <f>VLOOKUP(A373,'The List'!B1:D665,3,FALSE)</f>
        <v>128</v>
      </c>
      <c r="C373" s="87">
        <f>IF('Settings'!$E$15="POINTS",RANK(E373,E3:E392),H373)</f>
        <v>354</v>
      </c>
      <c r="D373" t="s" s="86">
        <f>VLOOKUP(A373,'The List'!B1:F665,5,FALSE)</f>
        <v>207</v>
      </c>
      <c r="E373" s="77">
        <f>VLOOKUP(A373,'The List'!B1:I665,8,FALSE)</f>
        <v>138.734519337153</v>
      </c>
      <c r="F373" s="77">
        <f>IF('Settings'!$E$15="POINTS",E373-VLOOKUP(B$2,C1:E392,3,FALSE),J373)</f>
        <v>-168.171485092438</v>
      </c>
      <c r="G373" s="77"/>
      <c r="H373" s="223">
        <f>RANK(I373,I3:I392)</f>
        <v>347</v>
      </c>
      <c r="I373" s="77">
        <f>VLOOKUP(A373,'Standard Deviations'!A1:C666,3,FALSE)</f>
        <v>-4.1910928386931</v>
      </c>
      <c r="J373" s="84">
        <f>I373-VLOOKUP(B$2,H1:J392,2,FALSE)</f>
        <v>-8.781224269252601</v>
      </c>
    </row>
    <row r="374" ht="21.25" customHeight="1">
      <c r="A374" t="s" s="10">
        <v>726</v>
      </c>
      <c r="B374" t="s" s="222">
        <f>VLOOKUP(A374,'The List'!B1:D665,3,FALSE)</f>
        <v>140</v>
      </c>
      <c r="C374" s="87">
        <f>IF('Settings'!$E$15="POINTS",RANK(E374,E3:E392),H374)</f>
        <v>298</v>
      </c>
      <c r="D374" t="s" s="86">
        <f>VLOOKUP(A374,'The List'!B1:F665,5,FALSE)</f>
        <v>154</v>
      </c>
      <c r="E374" s="77">
        <f>VLOOKUP(A374,'The List'!B1:I665,8,FALSE)</f>
        <v>162.511684631443</v>
      </c>
      <c r="F374" s="77">
        <f>IF('Settings'!$E$15="POINTS",E374-VLOOKUP(B$2,C1:E392,3,FALSE),J374)</f>
        <v>-144.394319798148</v>
      </c>
      <c r="G374" s="77"/>
      <c r="H374" s="223">
        <f>RANK(I374,I3:I392)</f>
        <v>374</v>
      </c>
      <c r="I374" s="77">
        <f>VLOOKUP(A374,'Standard Deviations'!A1:C666,3,FALSE)</f>
        <v>-4.94765746557233</v>
      </c>
      <c r="J374" s="84">
        <f>I374-VLOOKUP(B$2,H1:J392,2,FALSE)</f>
        <v>-9.537788896131829</v>
      </c>
    </row>
    <row r="375" ht="21.25" customHeight="1">
      <c r="A375" t="s" s="10">
        <v>846</v>
      </c>
      <c r="B375" t="s" s="222">
        <f>VLOOKUP(A375,'The List'!B1:D665,3,FALSE)</f>
        <v>128</v>
      </c>
      <c r="C375" s="87">
        <f>IF('Settings'!$E$15="POINTS",RANK(E375,E3:E392),H375)</f>
        <v>384</v>
      </c>
      <c r="D375" t="s" s="86">
        <f>VLOOKUP(A375,'The List'!B1:F665,5,FALSE)</f>
        <v>129</v>
      </c>
      <c r="E375" s="77">
        <f>VLOOKUP(A375,'The List'!B1:I665,8,FALSE)</f>
        <v>108.858547198456</v>
      </c>
      <c r="F375" s="77">
        <f>IF('Settings'!$E$15="POINTS",E375-VLOOKUP(B$2,C1:E392,3,FALSE),J375)</f>
        <v>-198.047457231135</v>
      </c>
      <c r="G375" s="77"/>
      <c r="H375" s="223">
        <f>RANK(I375,I3:I392)</f>
        <v>314</v>
      </c>
      <c r="I375" s="77">
        <f>VLOOKUP(A375,'Standard Deviations'!A1:C666,3,FALSE)</f>
        <v>-3.47389965806944</v>
      </c>
      <c r="J375" s="84">
        <f>I375-VLOOKUP(B$2,H1:J392,2,FALSE)</f>
        <v>-8.064031088628941</v>
      </c>
    </row>
    <row r="376" ht="21.25" customHeight="1">
      <c r="A376" t="s" s="10">
        <v>842</v>
      </c>
      <c r="B376" t="s" s="222">
        <f>VLOOKUP(A376,'The List'!B1:D665,3,FALSE)</f>
        <v>178</v>
      </c>
      <c r="C376" s="87">
        <f>IF('Settings'!$E$15="POINTS",RANK(E376,E3:E392),H376)</f>
        <v>380</v>
      </c>
      <c r="D376" t="s" s="86">
        <f>VLOOKUP(A376,'The List'!B1:F665,5,FALSE)</f>
        <v>149</v>
      </c>
      <c r="E376" s="77">
        <f>VLOOKUP(A376,'The List'!B1:I665,8,FALSE)</f>
        <v>121.941797678515</v>
      </c>
      <c r="F376" s="77">
        <f>IF('Settings'!$E$15="POINTS",E376-VLOOKUP(B$2,C1:E392,3,FALSE),J376)</f>
        <v>-184.964206751076</v>
      </c>
      <c r="G376" s="77"/>
      <c r="H376" s="223">
        <f>RANK(I376,I3:I392)</f>
        <v>357</v>
      </c>
      <c r="I376" s="77">
        <f>VLOOKUP(A376,'Standard Deviations'!A1:C666,3,FALSE)</f>
        <v>-4.55399736264745</v>
      </c>
      <c r="J376" s="84">
        <f>I376-VLOOKUP(B$2,H1:J392,2,FALSE)</f>
        <v>-9.144128793206949</v>
      </c>
    </row>
    <row r="377" ht="21.25" customHeight="1">
      <c r="A377" t="s" s="10">
        <v>831</v>
      </c>
      <c r="B377" t="s" s="222">
        <f>VLOOKUP(A377,'The List'!B1:D665,3,FALSE)</f>
        <v>128</v>
      </c>
      <c r="C377" s="87">
        <f>IF('Settings'!$E$15="POINTS",RANK(E377,E3:E392),H377)</f>
        <v>379</v>
      </c>
      <c r="D377" t="s" s="86">
        <f>VLOOKUP(A377,'The List'!B1:F665,5,FALSE)</f>
        <v>129</v>
      </c>
      <c r="E377" s="77">
        <f>VLOOKUP(A377,'The List'!B1:I665,8,FALSE)</f>
        <v>122.031406288862</v>
      </c>
      <c r="F377" s="77">
        <f>IF('Settings'!$E$15="POINTS",E377-VLOOKUP(B$2,C1:E392,3,FALSE),J377)</f>
        <v>-184.874598140729</v>
      </c>
      <c r="G377" s="77"/>
      <c r="H377" s="223">
        <f>RANK(I377,I3:I392)</f>
        <v>309</v>
      </c>
      <c r="I377" s="77">
        <f>VLOOKUP(A377,'Standard Deviations'!A1:C666,3,FALSE)</f>
        <v>-3.33462119970347</v>
      </c>
      <c r="J377" s="84">
        <f>I377-VLOOKUP(B$2,H1:J392,2,FALSE)</f>
        <v>-7.92475263026297</v>
      </c>
    </row>
    <row r="378" ht="21.25" customHeight="1">
      <c r="A378" t="s" s="10">
        <v>823</v>
      </c>
      <c r="B378" t="s" s="222">
        <f>VLOOKUP(A378,'The List'!B1:D665,3,FALSE)</f>
        <v>178</v>
      </c>
      <c r="C378" s="87">
        <f>IF('Settings'!$E$15="POINTS",RANK(E378,E3:E392),H378)</f>
        <v>365</v>
      </c>
      <c r="D378" t="s" s="86">
        <f>VLOOKUP(A378,'The List'!B1:F665,5,FALSE)</f>
        <v>899</v>
      </c>
      <c r="E378" s="77">
        <f>VLOOKUP(A378,'The List'!B1:I665,8,FALSE)</f>
        <v>131.614817606414</v>
      </c>
      <c r="F378" s="77">
        <f>IF('Settings'!$E$15="POINTS",E378-VLOOKUP(B$2,C1:E392,3,FALSE),J378)</f>
        <v>-175.291186823177</v>
      </c>
      <c r="G378" s="77"/>
      <c r="H378" s="223">
        <f>RANK(I378,I3:I392)</f>
        <v>388</v>
      </c>
      <c r="I378" s="77">
        <f>VLOOKUP(A378,'Standard Deviations'!A1:C666,3,FALSE)</f>
        <v>-6.13511109721973</v>
      </c>
      <c r="J378" s="84">
        <f>I378-VLOOKUP(B$2,H1:J392,2,FALSE)</f>
        <v>-10.7252425277792</v>
      </c>
    </row>
    <row r="379" ht="21.25" customHeight="1">
      <c r="A379" t="s" s="10">
        <v>854</v>
      </c>
      <c r="B379" t="s" s="222">
        <f>VLOOKUP(A379,'The List'!B1:D665,3,FALSE)</f>
        <v>140</v>
      </c>
      <c r="C379" s="87">
        <f>IF('Settings'!$E$15="POINTS",RANK(E379,E3:E392),H379)</f>
        <v>389</v>
      </c>
      <c r="D379" t="s" s="86">
        <f>VLOOKUP(A379,'The List'!B1:F665,5,FALSE)</f>
        <v>129</v>
      </c>
      <c r="E379" s="77">
        <f>VLOOKUP(A379,'The List'!B1:I665,8,FALSE)</f>
        <v>93.8423248896289</v>
      </c>
      <c r="F379" s="77">
        <f>IF('Settings'!$E$15="POINTS",E379-VLOOKUP(B$2,C1:E392,3,FALSE),J379)</f>
        <v>-213.063679539962</v>
      </c>
      <c r="G379" s="77"/>
      <c r="H379" s="223">
        <f>RANK(I379,I3:I392)</f>
        <v>329</v>
      </c>
      <c r="I379" s="77">
        <f>VLOOKUP(A379,'Standard Deviations'!A1:C666,3,FALSE)</f>
        <v>-3.76789721854043</v>
      </c>
      <c r="J379" s="84">
        <f>I379-VLOOKUP(B$2,H1:J392,2,FALSE)</f>
        <v>-8.35802864909993</v>
      </c>
    </row>
    <row r="380" ht="21.25" customHeight="1">
      <c r="A380" t="s" s="10">
        <v>729</v>
      </c>
      <c r="B380" t="s" s="222">
        <f>VLOOKUP(A380,'The List'!B1:D665,3,FALSE)</f>
        <v>128</v>
      </c>
      <c r="C380" s="87">
        <f>IF('Settings'!$E$15="POINTS",RANK(E380,E3:E392),H380)</f>
        <v>312</v>
      </c>
      <c r="D380" t="s" s="86">
        <f>VLOOKUP(A380,'The List'!B1:F665,5,FALSE)</f>
        <v>899</v>
      </c>
      <c r="E380" s="77">
        <f>VLOOKUP(A380,'The List'!B1:I665,8,FALSE)</f>
        <v>156.796380570825</v>
      </c>
      <c r="F380" s="77">
        <f>IF('Settings'!$E$15="POINTS",E380-VLOOKUP(B$2,C1:E392,3,FALSE),J380)</f>
        <v>-150.109623858766</v>
      </c>
      <c r="G380" s="77"/>
      <c r="H380" s="223">
        <f>RANK(I380,I3:I392)</f>
        <v>352</v>
      </c>
      <c r="I380" s="77">
        <f>VLOOKUP(A380,'Standard Deviations'!A1:C666,3,FALSE)</f>
        <v>-4.39657949565768</v>
      </c>
      <c r="J380" s="84">
        <f>I380-VLOOKUP(B$2,H1:J392,2,FALSE)</f>
        <v>-8.98671092621718</v>
      </c>
    </row>
    <row r="381" ht="21.25" customHeight="1">
      <c r="A381" t="s" s="10">
        <v>716</v>
      </c>
      <c r="B381" t="s" s="222">
        <f>VLOOKUP(A381,'The List'!B1:D665,3,FALSE)</f>
        <v>140</v>
      </c>
      <c r="C381" s="87">
        <f>IF('Settings'!$E$15="POINTS",RANK(E381,E3:E392),H381)</f>
        <v>291</v>
      </c>
      <c r="D381" t="s" s="86">
        <f>VLOOKUP(A381,'The List'!B1:F665,5,FALSE)</f>
        <v>914</v>
      </c>
      <c r="E381" s="77">
        <f>VLOOKUP(A381,'The List'!B1:I665,8,FALSE)</f>
        <v>165.994583039955</v>
      </c>
      <c r="F381" s="77">
        <f>IF('Settings'!$E$15="POINTS",E381-VLOOKUP(B$2,C1:E392,3,FALSE),J381)</f>
        <v>-140.911421389636</v>
      </c>
      <c r="G381" s="77"/>
      <c r="H381" s="223">
        <f>RANK(I381,I3:I392)</f>
        <v>389</v>
      </c>
      <c r="I381" s="77">
        <f>VLOOKUP(A381,'Standard Deviations'!A1:C666,3,FALSE)</f>
        <v>-6.17140739192647</v>
      </c>
      <c r="J381" s="84">
        <f>I381-VLOOKUP(B$2,H1:J392,2,FALSE)</f>
        <v>-10.761538822486</v>
      </c>
    </row>
    <row r="382" ht="21.25" customHeight="1">
      <c r="A382" t="s" s="10">
        <v>757</v>
      </c>
      <c r="B382" t="s" s="222">
        <f>VLOOKUP(A382,'The List'!B1:D665,3,FALSE)</f>
        <v>178</v>
      </c>
      <c r="C382" s="87">
        <f>IF('Settings'!$E$15="POINTS",RANK(E382,E3:E392),H382)</f>
        <v>320</v>
      </c>
      <c r="D382" t="s" s="86">
        <f>VLOOKUP(A382,'The List'!B1:F665,5,FALSE)</f>
        <v>174</v>
      </c>
      <c r="E382" s="77">
        <f>VLOOKUP(A382,'The List'!B1:I665,8,FALSE)</f>
        <v>154.537512567508</v>
      </c>
      <c r="F382" s="77">
        <f>IF('Settings'!$E$15="POINTS",E382-VLOOKUP(B$2,C1:E392,3,FALSE),J382)</f>
        <v>-152.368491862083</v>
      </c>
      <c r="G382" s="77"/>
      <c r="H382" s="223">
        <f>RANK(I382,I3:I392)</f>
        <v>339</v>
      </c>
      <c r="I382" s="77">
        <f>VLOOKUP(A382,'Standard Deviations'!A1:C666,3,FALSE)</f>
        <v>-3.89716077733282</v>
      </c>
      <c r="J382" s="84">
        <f>I382-VLOOKUP(B$2,H1:J392,2,FALSE)</f>
        <v>-8.48729220789232</v>
      </c>
    </row>
    <row r="383" ht="21.25" customHeight="1">
      <c r="A383" t="s" s="10">
        <v>732</v>
      </c>
      <c r="B383" t="s" s="222">
        <f>VLOOKUP(A383,'The List'!B1:D665,3,FALSE)</f>
        <v>128</v>
      </c>
      <c r="C383" s="87">
        <f>IF('Settings'!$E$15="POINTS",RANK(E383,E3:E392),H383)</f>
        <v>314</v>
      </c>
      <c r="D383" t="s" s="86">
        <f>VLOOKUP(A383,'The List'!B1:F665,5,FALSE)</f>
        <v>866</v>
      </c>
      <c r="E383" s="77">
        <f>VLOOKUP(A383,'The List'!B1:I665,8,FALSE)</f>
        <v>156.132895262558</v>
      </c>
      <c r="F383" s="77">
        <f>IF('Settings'!$E$15="POINTS",E383-VLOOKUP(B$2,C1:E392,3,FALSE),J383)</f>
        <v>-150.773109167033</v>
      </c>
      <c r="G383" s="77"/>
      <c r="H383" s="223">
        <f>RANK(I383,I3:I392)</f>
        <v>367</v>
      </c>
      <c r="I383" s="77">
        <f>VLOOKUP(A383,'Standard Deviations'!A1:C666,3,FALSE)</f>
        <v>-4.85444273109771</v>
      </c>
      <c r="J383" s="84">
        <f>I383-VLOOKUP(B$2,H1:J392,2,FALSE)</f>
        <v>-9.44457416165721</v>
      </c>
    </row>
    <row r="384" ht="21.25" customHeight="1">
      <c r="A384" t="s" s="10">
        <v>790</v>
      </c>
      <c r="B384" t="s" s="222">
        <f>VLOOKUP(A384,'The List'!B1:D665,3,FALSE)</f>
        <v>140</v>
      </c>
      <c r="C384" s="87">
        <f>IF('Settings'!$E$15="POINTS",RANK(E384,E3:E392),H384)</f>
        <v>345</v>
      </c>
      <c r="D384" t="s" s="86">
        <f>VLOOKUP(A384,'The List'!B1:F665,5,FALSE)</f>
        <v>866</v>
      </c>
      <c r="E384" s="77">
        <f>VLOOKUP(A384,'The List'!B1:I665,8,FALSE)</f>
        <v>145.313318743979</v>
      </c>
      <c r="F384" s="77">
        <f>IF('Settings'!$E$15="POINTS",E384-VLOOKUP(B$2,C1:E392,3,FALSE),J384)</f>
        <v>-161.592685685612</v>
      </c>
      <c r="G384" s="77"/>
      <c r="H384" s="223">
        <f>RANK(I384,I3:I392)</f>
        <v>364</v>
      </c>
      <c r="I384" s="77">
        <f>VLOOKUP(A384,'Standard Deviations'!A1:C666,3,FALSE)</f>
        <v>-4.78877023413871</v>
      </c>
      <c r="J384" s="84">
        <f>I384-VLOOKUP(B$2,H1:J392,2,FALSE)</f>
        <v>-9.37890166469821</v>
      </c>
    </row>
    <row r="385" ht="21.25" customHeight="1">
      <c r="A385" t="s" s="10">
        <v>819</v>
      </c>
      <c r="B385" t="s" s="222">
        <f>VLOOKUP(A385,'The List'!B1:D665,3,FALSE)</f>
        <v>178</v>
      </c>
      <c r="C385" s="87">
        <f>IF('Settings'!$E$15="POINTS",RANK(E385,E3:E392),H385)</f>
        <v>362</v>
      </c>
      <c r="D385" t="s" s="86">
        <f>VLOOKUP(A385,'The List'!B1:F665,5,FALSE)</f>
        <v>905</v>
      </c>
      <c r="E385" s="77">
        <f>VLOOKUP(A385,'The List'!B1:I665,8,FALSE)</f>
        <v>133.298219645001</v>
      </c>
      <c r="F385" s="77">
        <f>IF('Settings'!$E$15="POINTS",E385-VLOOKUP(B$2,C1:E392,3,FALSE),J385)</f>
        <v>-173.607784784590</v>
      </c>
      <c r="G385" s="77"/>
      <c r="H385" s="223">
        <f>RANK(I385,I3:I392)</f>
        <v>379</v>
      </c>
      <c r="I385" s="77">
        <f>VLOOKUP(A385,'Standard Deviations'!A1:C666,3,FALSE)</f>
        <v>-5.23975023569871</v>
      </c>
      <c r="J385" s="84">
        <f>I385-VLOOKUP(B$2,H1:J392,2,FALSE)</f>
        <v>-9.82988166625821</v>
      </c>
    </row>
    <row r="386" ht="21.25" customHeight="1">
      <c r="A386" t="s" s="10">
        <v>740</v>
      </c>
      <c r="B386" t="s" s="222">
        <f>VLOOKUP(A386,'The List'!B1:D665,3,FALSE)</f>
        <v>128</v>
      </c>
      <c r="C386" s="87">
        <f>IF('Settings'!$E$15="POINTS",RANK(E386,E3:E392),H386)</f>
        <v>321</v>
      </c>
      <c r="D386" t="s" s="86">
        <f>VLOOKUP(A386,'The List'!B1:F665,5,FALSE)</f>
        <v>275</v>
      </c>
      <c r="E386" s="77">
        <f>VLOOKUP(A386,'The List'!B1:I665,8,FALSE)</f>
        <v>154.465703819208</v>
      </c>
      <c r="F386" s="77">
        <f>IF('Settings'!$E$15="POINTS",E386-VLOOKUP(B$2,C1:E392,3,FALSE),J386)</f>
        <v>-152.440300610383</v>
      </c>
      <c r="G386" s="77"/>
      <c r="H386" s="223">
        <f>RANK(I386,I3:I392)</f>
        <v>369</v>
      </c>
      <c r="I386" s="77">
        <f>VLOOKUP(A386,'Standard Deviations'!A1:C666,3,FALSE)</f>
        <v>-4.86210903469374</v>
      </c>
      <c r="J386" s="84">
        <f>I386-VLOOKUP(B$2,H1:J392,2,FALSE)</f>
        <v>-9.45224046525324</v>
      </c>
    </row>
    <row r="387" ht="21.25" customHeight="1">
      <c r="A387" t="s" s="10">
        <v>841</v>
      </c>
      <c r="B387" t="s" s="222">
        <f>VLOOKUP(A387,'The List'!B1:D665,3,FALSE)</f>
        <v>178</v>
      </c>
      <c r="C387" s="87">
        <f>IF('Settings'!$E$15="POINTS",RANK(E387,E3:E392),H387)</f>
        <v>378</v>
      </c>
      <c r="D387" t="s" s="86">
        <f>VLOOKUP(A387,'The List'!B1:F665,5,FALSE)</f>
        <v>871</v>
      </c>
      <c r="E387" s="77">
        <f>VLOOKUP(A387,'The List'!B1:I665,8,FALSE)</f>
        <v>122.085195576665</v>
      </c>
      <c r="F387" s="77">
        <f>IF('Settings'!$E$15="POINTS",E387-VLOOKUP(B$2,C1:E392,3,FALSE),J387)</f>
        <v>-184.820808852926</v>
      </c>
      <c r="G387" s="77"/>
      <c r="H387" s="223">
        <f>RANK(I387,I3:I392)</f>
        <v>361</v>
      </c>
      <c r="I387" s="77">
        <f>VLOOKUP(A387,'Standard Deviations'!A1:C666,3,FALSE)</f>
        <v>-4.66419324563397</v>
      </c>
      <c r="J387" s="84">
        <f>I387-VLOOKUP(B$2,H1:J392,2,FALSE)</f>
        <v>-9.25432467619347</v>
      </c>
    </row>
    <row r="388" ht="21.25" customHeight="1">
      <c r="A388" t="s" s="10">
        <v>852</v>
      </c>
      <c r="B388" t="s" s="222">
        <f>VLOOKUP(A388,'The List'!B1:D665,3,FALSE)</f>
        <v>128</v>
      </c>
      <c r="C388" s="87">
        <f>IF('Settings'!$E$15="POINTS",RANK(E388,E3:E392),H388)</f>
        <v>387</v>
      </c>
      <c r="D388" t="s" s="86">
        <f>VLOOKUP(A388,'The List'!B1:F665,5,FALSE)</f>
        <v>906</v>
      </c>
      <c r="E388" s="77">
        <f>VLOOKUP(A388,'The List'!B1:I665,8,FALSE)</f>
        <v>98.4974128592571</v>
      </c>
      <c r="F388" s="77">
        <f>IF('Settings'!$E$15="POINTS",E388-VLOOKUP(B$2,C1:E392,3,FALSE),J388)</f>
        <v>-208.408591570334</v>
      </c>
      <c r="G388" s="77"/>
      <c r="H388" s="223">
        <f>RANK(I388,I3:I392)</f>
        <v>366</v>
      </c>
      <c r="I388" s="77">
        <f>VLOOKUP(A388,'Standard Deviations'!A1:C666,3,FALSE)</f>
        <v>-4.84135163082685</v>
      </c>
      <c r="J388" s="84">
        <f>I388-VLOOKUP(B$2,H1:J392,2,FALSE)</f>
        <v>-9.43148306138635</v>
      </c>
    </row>
    <row r="389" ht="21.25" customHeight="1">
      <c r="A389" t="s" s="10">
        <v>836</v>
      </c>
      <c r="B389" t="s" s="222">
        <f>VLOOKUP(A389,'The List'!B1:D665,3,FALSE)</f>
        <v>136</v>
      </c>
      <c r="C389" s="87">
        <f>IF('Settings'!$E$15="POINTS",RANK(E389,E3:E392),H389)</f>
        <v>376</v>
      </c>
      <c r="D389" t="s" s="86">
        <f>VLOOKUP(A389,'The List'!B1:F665,5,FALSE)</f>
        <v>174</v>
      </c>
      <c r="E389" s="77">
        <f>VLOOKUP(A389,'The List'!B1:I665,8,FALSE)</f>
        <v>123.910965244142</v>
      </c>
      <c r="F389" s="77">
        <f>IF('Settings'!$E$15="POINTS",E389-VLOOKUP(B$2,C1:E392,3,FALSE),J389)</f>
        <v>-182.995039185449</v>
      </c>
      <c r="G389" s="77"/>
      <c r="H389" s="223">
        <f>RANK(I389,I3:I392)</f>
        <v>384</v>
      </c>
      <c r="I389" s="77">
        <f>VLOOKUP(A389,'Standard Deviations'!A1:C666,3,FALSE)</f>
        <v>-5.6626339880688</v>
      </c>
      <c r="J389" s="84">
        <f>I389-VLOOKUP(B$2,H1:J392,2,FALSE)</f>
        <v>-10.2527654186283</v>
      </c>
    </row>
    <row r="390" ht="21.25" customHeight="1">
      <c r="A390" t="s" s="10">
        <v>839</v>
      </c>
      <c r="B390" t="s" s="222">
        <f>VLOOKUP(A390,'The List'!B1:D665,3,FALSE)</f>
        <v>178</v>
      </c>
      <c r="C390" s="87">
        <f>IF('Settings'!$E$15="POINTS",RANK(E390,E3:E392),H390)</f>
        <v>377</v>
      </c>
      <c r="D390" t="s" s="86">
        <f>VLOOKUP(A390,'The List'!B1:F665,5,FALSE)</f>
        <v>149</v>
      </c>
      <c r="E390" s="77">
        <f>VLOOKUP(A390,'The List'!B1:I665,8,FALSE)</f>
        <v>122.392651954841</v>
      </c>
      <c r="F390" s="77">
        <f>IF('Settings'!$E$15="POINTS",E390-VLOOKUP(B$2,C1:E392,3,FALSE),J390)</f>
        <v>-184.513352474750</v>
      </c>
      <c r="G390" s="77"/>
      <c r="H390" s="223">
        <f>RANK(I390,I3:I392)</f>
        <v>368</v>
      </c>
      <c r="I390" s="77">
        <f>VLOOKUP(A390,'Standard Deviations'!A1:C666,3,FALSE)</f>
        <v>-4.85674927805336</v>
      </c>
      <c r="J390" s="84">
        <f>I390-VLOOKUP(B$2,H1:J392,2,FALSE)</f>
        <v>-9.446880708612859</v>
      </c>
    </row>
    <row r="391" ht="21.25" customHeight="1">
      <c r="A391" t="s" s="10">
        <v>853</v>
      </c>
      <c r="B391" t="s" s="222">
        <f>VLOOKUP(A391,'The List'!B1:D665,3,FALSE)</f>
        <v>128</v>
      </c>
      <c r="C391" s="87">
        <f>IF('Settings'!$E$15="POINTS",RANK(E391,E3:E392),H391)</f>
        <v>388</v>
      </c>
      <c r="D391" t="s" s="86">
        <f>VLOOKUP(A391,'The List'!B1:F665,5,FALSE)</f>
        <v>904</v>
      </c>
      <c r="E391" s="77">
        <f>VLOOKUP(A391,'The List'!B1:I665,8,FALSE)</f>
        <v>96.9668223762322</v>
      </c>
      <c r="F391" s="77">
        <f>IF('Settings'!$E$15="POINTS",E391-VLOOKUP(B$2,C1:E392,3,FALSE),J391)</f>
        <v>-209.939182053359</v>
      </c>
      <c r="G391" s="77"/>
      <c r="H391" s="223">
        <f>RANK(I391,I3:I392)</f>
        <v>390</v>
      </c>
      <c r="I391" s="77">
        <f>VLOOKUP(A391,'Standard Deviations'!A1:C666,3,FALSE)</f>
        <v>-6.18564271955263</v>
      </c>
      <c r="J391" s="84">
        <f>I391-VLOOKUP(B$2,H1:J392,2,FALSE)</f>
        <v>-10.7757741501121</v>
      </c>
    </row>
    <row r="392" ht="21.25" customHeight="1">
      <c r="A392" t="s" s="10">
        <v>855</v>
      </c>
      <c r="B392" t="s" s="222">
        <f>VLOOKUP(A392,'The List'!B1:D665,3,FALSE)</f>
        <v>128</v>
      </c>
      <c r="C392" s="87">
        <f>IF('Settings'!$E$15="POINTS",RANK(E392,E3:E392),H392)</f>
        <v>390</v>
      </c>
      <c r="D392" t="s" s="86">
        <f>VLOOKUP(A392,'The List'!B1:F665,5,FALSE)</f>
        <v>878</v>
      </c>
      <c r="E392" s="77">
        <f>VLOOKUP(A392,'The List'!B1:I665,8,FALSE)</f>
        <v>83.8440989246798</v>
      </c>
      <c r="F392" s="77">
        <f>IF('Settings'!$E$15="POINTS",E392-VLOOKUP(B$2,C1:E392,3,FALSE),J392)</f>
        <v>-223.061905504911</v>
      </c>
      <c r="G392" s="77"/>
      <c r="H392" s="223">
        <f>RANK(I392,I3:I392)</f>
        <v>383</v>
      </c>
      <c r="I392" s="77">
        <f>VLOOKUP(A392,'Standard Deviations'!A1:C666,3,FALSE)</f>
        <v>-5.4856967565932</v>
      </c>
      <c r="J392" s="84">
        <f>I392-VLOOKUP(B$2,H1:J392,2,FALSE)</f>
        <v>-10.0758281871527</v>
      </c>
    </row>
  </sheetData>
  <conditionalFormatting sqref="C3:C392 H3:H392">
    <cfRule type="containsText" dxfId="17" priority="1" stopIfTrue="1" text="/">
      <formula>NOT(ISERROR(FIND(UPPER("/"),UPPER(C3))))</formula>
      <formula>"/"</formula>
    </cfRule>
    <cfRule type="containsText" dxfId="18" priority="2" stopIfTrue="1" text="C">
      <formula>NOT(ISERROR(FIND(UPPER("C"),UPPER(C3))))</formula>
      <formula>"C"</formula>
    </cfRule>
    <cfRule type="containsText" dxfId="19" priority="3" stopIfTrue="1" text="D">
      <formula>NOT(ISERROR(FIND(UPPER("D"),UPPER(C3))))</formula>
      <formula>"D"</formula>
    </cfRule>
    <cfRule type="containsText" dxfId="20" priority="4" stopIfTrue="1" text="LW">
      <formula>NOT(ISERROR(FIND(UPPER("LW"),UPPER(C3))))</formula>
      <formula>"LW"</formula>
    </cfRule>
    <cfRule type="containsText" dxfId="21" priority="5" stopIfTrue="1" text="RW">
      <formula>NOT(ISERROR(FIND(UPPER("RW"),UPPER(C3))))</formula>
      <formula>"RW"</formula>
    </cfRule>
    <cfRule type="containsText" dxfId="22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06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24" customWidth="1"/>
    <col min="2" max="2" width="7.17188" style="224" customWidth="1"/>
    <col min="3" max="3" width="6" style="224" customWidth="1"/>
    <col min="4" max="6" width="8.35156" style="224" customWidth="1"/>
    <col min="7" max="10" width="1.35156" style="224" customWidth="1"/>
    <col min="11" max="16384" width="8" style="224" customWidth="1"/>
  </cols>
  <sheetData>
    <row r="1" ht="28.25" customHeight="1">
      <c r="A1" t="s" s="209">
        <v>895</v>
      </c>
      <c r="B1" t="s" s="210">
        <v>915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'Settings'!F2</f>
        <v>29</v>
      </c>
      <c r="C2" s="218"/>
      <c r="D2" s="219"/>
      <c r="E2" s="220"/>
      <c r="F2" s="220"/>
      <c r="G2" s="220"/>
      <c r="H2" s="225"/>
      <c r="I2" s="220"/>
      <c r="J2" s="226"/>
    </row>
    <row r="3" ht="21.25" customHeight="1">
      <c r="A3" t="s" s="10">
        <v>133</v>
      </c>
      <c r="B3" t="s" s="117">
        <f>VLOOKUP(A3,'The List'!B1:D665,3,FALSE)</f>
        <v>128</v>
      </c>
      <c r="C3" s="118">
        <f>IF('Settings'!$E$15="POINTS",RANK(E3,E3:E206),H3)</f>
        <v>3</v>
      </c>
      <c r="D3" t="s" s="86">
        <f>VLOOKUP(A3,'The List'!B1:F665,5,FALSE)</f>
        <v>871</v>
      </c>
      <c r="E3" s="77">
        <f>VLOOKUP(A3,'The List'!B1:I665,8,FALSE)</f>
        <v>493.067142317071</v>
      </c>
      <c r="F3" s="77">
        <f>IF('Settings'!$E$15="POINTS",E3-VLOOKUP(B$2,C1:E206,3,FALSE),J3)</f>
        <v>163.375248235893</v>
      </c>
      <c r="G3" s="77"/>
      <c r="H3" s="227">
        <f>RANK(I3,I3:I206)</f>
        <v>3</v>
      </c>
      <c r="I3" s="77">
        <f>VLOOKUP(A3,'Standard Deviations'!A1:C666,3,FALSE)</f>
        <v>16.2391061255574</v>
      </c>
      <c r="J3" s="228">
        <f>I3-VLOOKUP(B$2,H1:J206,2,FALSE)</f>
        <v>10.4730413170011</v>
      </c>
    </row>
    <row r="4" ht="21.25" customHeight="1">
      <c r="A4" t="s" s="10">
        <v>126</v>
      </c>
      <c r="B4" t="s" s="117">
        <f>VLOOKUP(A4,'The List'!B1:D665,3,FALSE)</f>
        <v>128</v>
      </c>
      <c r="C4" s="118">
        <f>IF('Settings'!$E$15="POINTS",RANK(E4,E3:E206),H4)</f>
        <v>1</v>
      </c>
      <c r="D4" t="s" s="86">
        <f>VLOOKUP(A4,'The List'!B1:F665,5,FALSE)</f>
        <v>129</v>
      </c>
      <c r="E4" s="77">
        <f>VLOOKUP(A4,'The List'!B1:I665,8,FALSE)</f>
        <v>538.262931176885</v>
      </c>
      <c r="F4" s="77">
        <f>IF('Settings'!$E$15="POINTS",E4-VLOOKUP(B$2,C1:E206,3,FALSE),J4)</f>
        <v>208.571037095707</v>
      </c>
      <c r="G4" s="77"/>
      <c r="H4" s="223">
        <f>RANK(I4,I3:I206)</f>
        <v>1</v>
      </c>
      <c r="I4" s="77">
        <f>VLOOKUP(A4,'Standard Deviations'!A1:C666,3,FALSE)</f>
        <v>17.888068165153</v>
      </c>
      <c r="J4" s="84">
        <f>I4-VLOOKUP(B$2,H1:J206,2,FALSE)</f>
        <v>12.1220033565967</v>
      </c>
    </row>
    <row r="5" ht="21.25" customHeight="1">
      <c r="A5" t="s" s="10">
        <v>131</v>
      </c>
      <c r="B5" t="s" s="117">
        <f>VLOOKUP(A5,'The List'!B1:D665,3,FALSE)</f>
        <v>128</v>
      </c>
      <c r="C5" s="118">
        <f>IF('Settings'!$E$15="POINTS",RANK(E5,E3:E206),H5)</f>
        <v>2</v>
      </c>
      <c r="D5" t="s" s="86">
        <f>VLOOKUP(A5,'The List'!B1:F665,5,FALSE)</f>
        <v>132</v>
      </c>
      <c r="E5" s="77">
        <f>VLOOKUP(A5,'The List'!B1:I665,8,FALSE)</f>
        <v>515.437788085147</v>
      </c>
      <c r="F5" s="77">
        <f>IF('Settings'!$E$15="POINTS",E5-VLOOKUP(B$2,C1:E206,3,FALSE),J5)</f>
        <v>185.745894003969</v>
      </c>
      <c r="G5" s="77"/>
      <c r="H5" s="223">
        <f>RANK(I5,I3:I206)</f>
        <v>2</v>
      </c>
      <c r="I5" s="77">
        <f>VLOOKUP(A5,'Standard Deviations'!A1:C666,3,FALSE)</f>
        <v>16.2778208961252</v>
      </c>
      <c r="J5" s="84">
        <f>I5-VLOOKUP(B$2,H1:J206,2,FALSE)</f>
        <v>10.5117560875689</v>
      </c>
    </row>
    <row r="6" ht="21.25" customHeight="1">
      <c r="A6" t="s" s="10">
        <v>193</v>
      </c>
      <c r="B6" t="s" s="117">
        <f>VLOOKUP(A6,'The List'!B1:D665,3,FALSE)</f>
        <v>136</v>
      </c>
      <c r="C6" s="118">
        <f>IF('Settings'!$E$15="POINTS",RANK(E6,E3:E206),H6)</f>
        <v>10</v>
      </c>
      <c r="D6" t="s" s="86">
        <f>VLOOKUP(A6,'The List'!B1:F665,5,FALSE)</f>
        <v>900</v>
      </c>
      <c r="E6" s="77">
        <f>VLOOKUP(A6,'The List'!B1:I665,8,FALSE)</f>
        <v>376.928308347434</v>
      </c>
      <c r="F6" s="77">
        <f>IF('Settings'!$E$15="POINTS",E6-VLOOKUP(B$2,C1:E206,3,FALSE),J6)</f>
        <v>47.236414266256</v>
      </c>
      <c r="G6" s="77"/>
      <c r="H6" s="223">
        <f>RANK(I6,I3:I206)</f>
        <v>5</v>
      </c>
      <c r="I6" s="77">
        <f>VLOOKUP(A6,'Standard Deviations'!A1:C666,3,FALSE)</f>
        <v>11.2257035689631</v>
      </c>
      <c r="J6" s="84">
        <f>I6-VLOOKUP(B$2,H1:J206,2,FALSE)</f>
        <v>5.45963876040678</v>
      </c>
    </row>
    <row r="7" ht="21.25" customHeight="1">
      <c r="A7" t="s" s="10">
        <v>150</v>
      </c>
      <c r="B7" t="s" s="117">
        <f>VLOOKUP(A7,'The List'!B1:D665,3,FALSE)</f>
        <v>136</v>
      </c>
      <c r="C7" s="118">
        <f>IF('Settings'!$E$15="POINTS",RANK(E7,E3:E206),H7)</f>
        <v>6</v>
      </c>
      <c r="D7" t="s" s="86">
        <f>VLOOKUP(A7,'The List'!B1:F665,5,FALSE)</f>
        <v>129</v>
      </c>
      <c r="E7" s="77">
        <f>VLOOKUP(A7,'The List'!B1:I665,8,FALSE)</f>
        <v>434.174277848426</v>
      </c>
      <c r="F7" s="77">
        <f>IF('Settings'!$E$15="POINTS",E7-VLOOKUP(B$2,C1:E206,3,FALSE),J7)</f>
        <v>104.482383767248</v>
      </c>
      <c r="G7" s="77"/>
      <c r="H7" s="223">
        <f>RANK(I7,I3:I206)</f>
        <v>4</v>
      </c>
      <c r="I7" s="77">
        <f>VLOOKUP(A7,'Standard Deviations'!A1:C666,3,FALSE)</f>
        <v>13.2534884048484</v>
      </c>
      <c r="J7" s="84">
        <f>I7-VLOOKUP(B$2,H1:J206,2,FALSE)</f>
        <v>7.48742359629208</v>
      </c>
    </row>
    <row r="8" ht="21.25" customHeight="1">
      <c r="A8" t="s" s="10">
        <v>215</v>
      </c>
      <c r="B8" t="s" s="117">
        <f>VLOOKUP(A8,'The List'!B1:D665,3,FALSE)</f>
        <v>128</v>
      </c>
      <c r="C8" s="118">
        <f>IF('Settings'!$E$15="POINTS",RANK(E8,E3:E206),H8)</f>
        <v>17</v>
      </c>
      <c r="D8" t="s" s="86">
        <f>VLOOKUP(A8,'The List'!B1:F665,5,FALSE)</f>
        <v>903</v>
      </c>
      <c r="E8" s="77">
        <f>VLOOKUP(A8,'The List'!B1:I665,8,FALSE)</f>
        <v>347.906538398473</v>
      </c>
      <c r="F8" s="77">
        <f>IF('Settings'!$E$15="POINTS",E8-VLOOKUP(B$2,C1:E206,3,FALSE),J8)</f>
        <v>18.214644317295</v>
      </c>
      <c r="G8" s="77"/>
      <c r="H8" s="223">
        <f>RANK(I8,I3:I206)</f>
        <v>11</v>
      </c>
      <c r="I8" s="77">
        <f>VLOOKUP(A8,'Standard Deviations'!A1:C666,3,FALSE)</f>
        <v>7.98142659320786</v>
      </c>
      <c r="J8" s="84">
        <f>I8-VLOOKUP(B$2,H1:J206,2,FALSE)</f>
        <v>2.21536178465154</v>
      </c>
    </row>
    <row r="9" ht="21.25" customHeight="1">
      <c r="A9" t="s" s="10">
        <v>151</v>
      </c>
      <c r="B9" t="s" s="117">
        <f>VLOOKUP(A9,'The List'!B1:D665,3,FALSE)</f>
        <v>136</v>
      </c>
      <c r="C9" s="118">
        <f>IF('Settings'!$E$15="POINTS",RANK(E9,E3:E206),H9)</f>
        <v>7</v>
      </c>
      <c r="D9" t="s" s="86">
        <f>VLOOKUP(A9,'The List'!B1:F665,5,FALSE)</f>
        <v>901</v>
      </c>
      <c r="E9" s="77">
        <f>VLOOKUP(A9,'The List'!B1:I665,8,FALSE)</f>
        <v>423.787729079359</v>
      </c>
      <c r="F9" s="77">
        <f>IF('Settings'!$E$15="POINTS",E9-VLOOKUP(B$2,C1:E206,3,FALSE),J9)</f>
        <v>94.095834998181</v>
      </c>
      <c r="G9" s="77"/>
      <c r="H9" s="223">
        <f>RANK(I9,I3:I206)</f>
        <v>6</v>
      </c>
      <c r="I9" s="77">
        <f>VLOOKUP(A9,'Standard Deviations'!A1:C666,3,FALSE)</f>
        <v>10.1105609461844</v>
      </c>
      <c r="J9" s="84">
        <f>I9-VLOOKUP(B$2,H1:J206,2,FALSE)</f>
        <v>4.34449613762808</v>
      </c>
    </row>
    <row r="10" ht="21.25" customHeight="1">
      <c r="A10" t="s" s="10">
        <v>171</v>
      </c>
      <c r="B10" t="s" s="117">
        <f>VLOOKUP(A10,'The List'!B1:D665,3,FALSE)</f>
        <v>128</v>
      </c>
      <c r="C10" s="118">
        <f>IF('Settings'!$E$15="POINTS",RANK(E10,E3:E206),H10)</f>
        <v>9</v>
      </c>
      <c r="D10" t="s" s="86">
        <f>VLOOKUP(A10,'The List'!B1:F665,5,FALSE)</f>
        <v>259</v>
      </c>
      <c r="E10" s="77">
        <f>VLOOKUP(A10,'The List'!B1:I665,8,FALSE)</f>
        <v>392.539712517407</v>
      </c>
      <c r="F10" s="77">
        <f>IF('Settings'!$E$15="POINTS",E10-VLOOKUP(B$2,C1:E206,3,FALSE),J10)</f>
        <v>62.847818436229</v>
      </c>
      <c r="G10" s="77"/>
      <c r="H10" s="223">
        <f>RANK(I10,I3:I206)</f>
        <v>9</v>
      </c>
      <c r="I10" s="77">
        <f>VLOOKUP(A10,'Standard Deviations'!A1:C666,3,FALSE)</f>
        <v>8.435911471143029</v>
      </c>
      <c r="J10" s="84">
        <f>I10-VLOOKUP(B$2,H1:J206,2,FALSE)</f>
        <v>2.66984666258671</v>
      </c>
    </row>
    <row r="11" ht="21.25" customHeight="1">
      <c r="A11" t="s" s="10">
        <v>243</v>
      </c>
      <c r="B11" t="s" s="117">
        <f>VLOOKUP(A11,'The List'!B1:D665,3,FALSE)</f>
        <v>128</v>
      </c>
      <c r="C11" s="118">
        <f>IF('Settings'!$E$15="POINTS",RANK(E11,E3:E206),H11)</f>
        <v>31</v>
      </c>
      <c r="D11" t="s" s="86">
        <f>VLOOKUP(A11,'The List'!B1:F665,5,FALSE)</f>
        <v>905</v>
      </c>
      <c r="E11" s="77">
        <f>VLOOKUP(A11,'The List'!B1:I665,8,FALSE)</f>
        <v>328.397685695025</v>
      </c>
      <c r="F11" s="77">
        <f>IF('Settings'!$E$15="POINTS",E11-VLOOKUP(B$2,C1:E206,3,FALSE),J11)</f>
        <v>-1.294208386153</v>
      </c>
      <c r="G11" s="77"/>
      <c r="H11" s="223">
        <f>RANK(I11,I3:I206)</f>
        <v>41</v>
      </c>
      <c r="I11" s="77">
        <f>VLOOKUP(A11,'Standard Deviations'!A1:C666,3,FALSE)</f>
        <v>4.47465875585155</v>
      </c>
      <c r="J11" s="84">
        <f>I11-VLOOKUP(B$2,H1:J206,2,FALSE)</f>
        <v>-1.29140605270477</v>
      </c>
    </row>
    <row r="12" ht="21.25" customHeight="1">
      <c r="A12" t="s" s="10">
        <v>214</v>
      </c>
      <c r="B12" t="s" s="117">
        <f>VLOOKUP(A12,'The List'!B1:D665,3,FALSE)</f>
        <v>145</v>
      </c>
      <c r="C12" s="118">
        <f>IF('Settings'!$E$15="POINTS",RANK(E12,E3:E206),H12)</f>
        <v>15</v>
      </c>
      <c r="D12" t="s" s="86">
        <f>VLOOKUP(A12,'The List'!B1:F665,5,FALSE)</f>
        <v>154</v>
      </c>
      <c r="E12" s="77">
        <f>VLOOKUP(A12,'The List'!B1:I665,8,FALSE)</f>
        <v>354.148567502498</v>
      </c>
      <c r="F12" s="77">
        <f>IF('Settings'!$E$15="POINTS",E12-VLOOKUP(B$2,C1:E206,3,FALSE),J12)</f>
        <v>24.456673421320</v>
      </c>
      <c r="G12" s="77"/>
      <c r="H12" s="223">
        <f>RANK(I12,I3:I206)</f>
        <v>16</v>
      </c>
      <c r="I12" s="77">
        <f>VLOOKUP(A12,'Standard Deviations'!A1:C666,3,FALSE)</f>
        <v>7.50177593797388</v>
      </c>
      <c r="J12" s="84">
        <f>I12-VLOOKUP(B$2,H1:J206,2,FALSE)</f>
        <v>1.73571112941756</v>
      </c>
    </row>
    <row r="13" ht="21.25" customHeight="1">
      <c r="A13" t="s" s="10">
        <v>186</v>
      </c>
      <c r="B13" t="s" s="117">
        <f>VLOOKUP(A13,'The List'!B1:D665,3,FALSE)</f>
        <v>128</v>
      </c>
      <c r="C13" s="118">
        <f>IF('Settings'!$E$15="POINTS",RANK(E13,E3:E206),H13)</f>
        <v>11</v>
      </c>
      <c r="D13" t="s" s="86">
        <f>VLOOKUP(A13,'The List'!B1:F665,5,FALSE)</f>
        <v>149</v>
      </c>
      <c r="E13" s="77">
        <f>VLOOKUP(A13,'The List'!B1:I665,8,FALSE)</f>
        <v>375.783938658533</v>
      </c>
      <c r="F13" s="77">
        <f>IF('Settings'!$E$15="POINTS",E13-VLOOKUP(B$2,C1:E206,3,FALSE),J13)</f>
        <v>46.092044577355</v>
      </c>
      <c r="G13" s="77"/>
      <c r="H13" s="223">
        <f>RANK(I13,I3:I206)</f>
        <v>7</v>
      </c>
      <c r="I13" s="77">
        <f>VLOOKUP(A13,'Standard Deviations'!A1:C666,3,FALSE)</f>
        <v>8.58617429910945</v>
      </c>
      <c r="J13" s="84">
        <f>I13-VLOOKUP(B$2,H1:J206,2,FALSE)</f>
        <v>2.82010949055313</v>
      </c>
    </row>
    <row r="14" ht="21.25" customHeight="1">
      <c r="A14" t="s" s="10">
        <v>220</v>
      </c>
      <c r="B14" t="s" s="117">
        <f>VLOOKUP(A14,'The List'!B1:D665,3,FALSE)</f>
        <v>128</v>
      </c>
      <c r="C14" s="118">
        <f>IF('Settings'!$E$15="POINTS",RANK(E14,E3:E206),H14)</f>
        <v>19</v>
      </c>
      <c r="D14" t="s" s="86">
        <f>VLOOKUP(A14,'The List'!B1:F665,5,FALSE)</f>
        <v>866</v>
      </c>
      <c r="E14" s="77">
        <f>VLOOKUP(A14,'The List'!B1:I665,8,FALSE)</f>
        <v>344.513693891404</v>
      </c>
      <c r="F14" s="77">
        <f>IF('Settings'!$E$15="POINTS",E14-VLOOKUP(B$2,C1:E206,3,FALSE),J14)</f>
        <v>14.821799810226</v>
      </c>
      <c r="G14" s="77"/>
      <c r="H14" s="223">
        <f>RANK(I14,I3:I206)</f>
        <v>10</v>
      </c>
      <c r="I14" s="77">
        <f>VLOOKUP(A14,'Standard Deviations'!A1:C666,3,FALSE)</f>
        <v>8.029104277723251</v>
      </c>
      <c r="J14" s="84">
        <f>I14-VLOOKUP(B$2,H1:J206,2,FALSE)</f>
        <v>2.26303946916693</v>
      </c>
    </row>
    <row r="15" ht="21.25" customHeight="1">
      <c r="A15" t="s" s="10">
        <v>250</v>
      </c>
      <c r="B15" t="s" s="117">
        <f>VLOOKUP(A15,'The List'!B1:D665,3,FALSE)</f>
        <v>145</v>
      </c>
      <c r="C15" s="118">
        <f>IF('Settings'!$E$15="POINTS",RANK(E15,E3:E206),H15)</f>
        <v>29</v>
      </c>
      <c r="D15" t="s" s="86">
        <f>VLOOKUP(A15,'The List'!B1:F665,5,FALSE)</f>
        <v>207</v>
      </c>
      <c r="E15" s="77">
        <f>VLOOKUP(A15,'The List'!B1:I665,8,FALSE)</f>
        <v>329.691894081178</v>
      </c>
      <c r="F15" s="77">
        <f>IF('Settings'!$E$15="POINTS",E15-VLOOKUP(B$2,C1:E206,3,FALSE),J15)</f>
        <v>0</v>
      </c>
      <c r="G15" s="77"/>
      <c r="H15" s="223">
        <f>RANK(I15,I3:I206)</f>
        <v>18</v>
      </c>
      <c r="I15" s="77">
        <f>VLOOKUP(A15,'Standard Deviations'!A1:C666,3,FALSE)</f>
        <v>7.3080163776891</v>
      </c>
      <c r="J15" s="84">
        <f>I15-VLOOKUP(B$2,H1:J206,2,FALSE)</f>
        <v>1.54195156913278</v>
      </c>
    </row>
    <row r="16" ht="21.25" customHeight="1">
      <c r="A16" t="s" s="10">
        <v>135</v>
      </c>
      <c r="B16" t="s" s="117">
        <f>VLOOKUP(A16,'The List'!B1:D665,3,FALSE)</f>
        <v>136</v>
      </c>
      <c r="C16" s="118">
        <f>IF('Settings'!$E$15="POINTS",RANK(E16,E3:E206),H16)</f>
        <v>4</v>
      </c>
      <c r="D16" t="s" s="86">
        <f>VLOOKUP(A16,'The List'!B1:F665,5,FALSE)</f>
        <v>904</v>
      </c>
      <c r="E16" s="77">
        <f>VLOOKUP(A16,'The List'!B1:I665,8,FALSE)</f>
        <v>447.701484892705</v>
      </c>
      <c r="F16" s="77">
        <f>IF('Settings'!$E$15="POINTS",E16-VLOOKUP(B$2,C1:E206,3,FALSE),J16)</f>
        <v>118.009590811527</v>
      </c>
      <c r="G16" s="77"/>
      <c r="H16" s="223">
        <f>RANK(I16,I3:I206)</f>
        <v>21</v>
      </c>
      <c r="I16" s="77">
        <f>VLOOKUP(A16,'Standard Deviations'!A1:C666,3,FALSE)</f>
        <v>7.01141582322105</v>
      </c>
      <c r="J16" s="84">
        <f>I16-VLOOKUP(B$2,H1:J206,2,FALSE)</f>
        <v>1.24535101466473</v>
      </c>
    </row>
    <row r="17" ht="21.25" customHeight="1">
      <c r="A17" t="s" s="10">
        <v>144</v>
      </c>
      <c r="B17" t="s" s="117">
        <f>VLOOKUP(A17,'The List'!B1:D665,3,FALSE)</f>
        <v>145</v>
      </c>
      <c r="C17" s="118">
        <f>IF('Settings'!$E$15="POINTS",RANK(E17,E3:E206),H17)</f>
        <v>5</v>
      </c>
      <c r="D17" t="s" s="86">
        <f>VLOOKUP(A17,'The List'!B1:F665,5,FALSE)</f>
        <v>901</v>
      </c>
      <c r="E17" s="77">
        <f>VLOOKUP(A17,'The List'!B1:I665,8,FALSE)</f>
        <v>438.710474226457</v>
      </c>
      <c r="F17" s="77">
        <f>IF('Settings'!$E$15="POINTS",E17-VLOOKUP(B$2,C1:E206,3,FALSE),J17)</f>
        <v>109.018580145279</v>
      </c>
      <c r="G17" s="77"/>
      <c r="H17" s="223">
        <f>RANK(I17,I3:I206)</f>
        <v>8</v>
      </c>
      <c r="I17" s="77">
        <f>VLOOKUP(A17,'Standard Deviations'!A1:C666,3,FALSE)</f>
        <v>8.471995652896309</v>
      </c>
      <c r="J17" s="84">
        <f>I17-VLOOKUP(B$2,H1:J206,2,FALSE)</f>
        <v>2.70593084433999</v>
      </c>
    </row>
    <row r="18" ht="21.25" customHeight="1">
      <c r="A18" t="s" s="10">
        <v>196</v>
      </c>
      <c r="B18" t="s" s="117">
        <f>VLOOKUP(A18,'The List'!B1:D665,3,FALSE)</f>
        <v>145</v>
      </c>
      <c r="C18" s="118">
        <f>IF('Settings'!$E$15="POINTS",RANK(E18,E3:E206),H18)</f>
        <v>12</v>
      </c>
      <c r="D18" t="s" s="86">
        <f>VLOOKUP(A18,'The List'!B1:F665,5,FALSE)</f>
        <v>149</v>
      </c>
      <c r="E18" s="77">
        <f>VLOOKUP(A18,'The List'!B1:I665,8,FALSE)</f>
        <v>373.831208092319</v>
      </c>
      <c r="F18" s="77">
        <f>IF('Settings'!$E$15="POINTS",E18-VLOOKUP(B$2,C1:E206,3,FALSE),J18)</f>
        <v>44.139314011141</v>
      </c>
      <c r="G18" s="77"/>
      <c r="H18" s="223">
        <f>RANK(I18,I3:I206)</f>
        <v>13</v>
      </c>
      <c r="I18" s="77">
        <f>VLOOKUP(A18,'Standard Deviations'!A1:C666,3,FALSE)</f>
        <v>7.74008223059075</v>
      </c>
      <c r="J18" s="84">
        <f>I18-VLOOKUP(B$2,H1:J206,2,FALSE)</f>
        <v>1.97401742203443</v>
      </c>
    </row>
    <row r="19" ht="21.25" customHeight="1">
      <c r="A19" t="s" s="10">
        <v>230</v>
      </c>
      <c r="B19" t="s" s="117">
        <f>VLOOKUP(A19,'The List'!B1:D665,3,FALSE)</f>
        <v>128</v>
      </c>
      <c r="C19" s="118">
        <f>IF('Settings'!$E$15="POINTS",RANK(E19,E3:E206),H19)</f>
        <v>24</v>
      </c>
      <c r="D19" t="s" s="86">
        <f>VLOOKUP(A19,'The List'!B1:F665,5,FALSE)</f>
        <v>156</v>
      </c>
      <c r="E19" s="77">
        <f>VLOOKUP(A19,'The List'!B1:I665,8,FALSE)</f>
        <v>336.556650896955</v>
      </c>
      <c r="F19" s="77">
        <f>IF('Settings'!$E$15="POINTS",E19-VLOOKUP(B$2,C1:E206,3,FALSE),J19)</f>
        <v>6.864756815777</v>
      </c>
      <c r="G19" s="77"/>
      <c r="H19" s="223">
        <f>RANK(I19,I3:I206)</f>
        <v>30</v>
      </c>
      <c r="I19" s="77">
        <f>VLOOKUP(A19,'Standard Deviations'!A1:C666,3,FALSE)</f>
        <v>5.61392004731672</v>
      </c>
      <c r="J19" s="84">
        <f>I19-VLOOKUP(B$2,H1:J206,2,FALSE)</f>
        <v>-0.1521447612396</v>
      </c>
    </row>
    <row r="20" ht="21.25" customHeight="1">
      <c r="A20" t="s" s="10">
        <v>226</v>
      </c>
      <c r="B20" t="s" s="117">
        <f>VLOOKUP(A20,'The List'!B1:D665,3,FALSE)</f>
        <v>128</v>
      </c>
      <c r="C20" s="118">
        <f>IF('Settings'!$E$15="POINTS",RANK(E20,E3:E206),H20)</f>
        <v>20</v>
      </c>
      <c r="D20" t="s" s="86">
        <f>VLOOKUP(A20,'The List'!B1:F665,5,FALSE)</f>
        <v>342</v>
      </c>
      <c r="E20" s="77">
        <f>VLOOKUP(A20,'The List'!B1:I665,8,FALSE)</f>
        <v>342.283887951689</v>
      </c>
      <c r="F20" s="77">
        <f>IF('Settings'!$E$15="POINTS",E20-VLOOKUP(B$2,C1:E206,3,FALSE),J20)</f>
        <v>12.591993870511</v>
      </c>
      <c r="G20" s="77"/>
      <c r="H20" s="223">
        <f>RANK(I20,I3:I206)</f>
        <v>12</v>
      </c>
      <c r="I20" s="77">
        <f>VLOOKUP(A20,'Standard Deviations'!A1:C666,3,FALSE)</f>
        <v>7.95316832539225</v>
      </c>
      <c r="J20" s="84">
        <f>I20-VLOOKUP(B$2,H1:J206,2,FALSE)</f>
        <v>2.18710351683593</v>
      </c>
    </row>
    <row r="21" ht="21.25" customHeight="1">
      <c r="A21" t="s" s="10">
        <v>231</v>
      </c>
      <c r="B21" t="s" s="117">
        <f>VLOOKUP(A21,'The List'!B1:D665,3,FALSE)</f>
        <v>128</v>
      </c>
      <c r="C21" s="118">
        <f>IF('Settings'!$E$15="POINTS",RANK(E21,E3:E206),H21)</f>
        <v>25</v>
      </c>
      <c r="D21" t="s" s="86">
        <f>VLOOKUP(A21,'The List'!B1:F665,5,FALSE)</f>
        <v>900</v>
      </c>
      <c r="E21" s="77">
        <f>VLOOKUP(A21,'The List'!B1:I665,8,FALSE)</f>
        <v>335.414601610426</v>
      </c>
      <c r="F21" s="77">
        <f>IF('Settings'!$E$15="POINTS",E21-VLOOKUP(B$2,C1:E206,3,FALSE),J21)</f>
        <v>5.722707529248</v>
      </c>
      <c r="G21" s="77"/>
      <c r="H21" s="223">
        <f>RANK(I21,I3:I206)</f>
        <v>22</v>
      </c>
      <c r="I21" s="77">
        <f>VLOOKUP(A21,'Standard Deviations'!A1:C666,3,FALSE)</f>
        <v>6.70121862315256</v>
      </c>
      <c r="J21" s="84">
        <f>I21-VLOOKUP(B$2,H1:J206,2,FALSE)</f>
        <v>0.93515381459624</v>
      </c>
    </row>
    <row r="22" ht="21.25" customHeight="1">
      <c r="A22" t="s" s="10">
        <v>291</v>
      </c>
      <c r="B22" t="s" s="117">
        <f>VLOOKUP(A22,'The List'!B1:D665,3,FALSE)</f>
        <v>145</v>
      </c>
      <c r="C22" s="118">
        <f>IF('Settings'!$E$15="POINTS",RANK(E22,E3:E206),H22)</f>
        <v>37</v>
      </c>
      <c r="D22" t="s" s="86">
        <f>VLOOKUP(A22,'The List'!B1:F665,5,FALSE)</f>
        <v>907</v>
      </c>
      <c r="E22" s="77">
        <f>VLOOKUP(A22,'The List'!B1:I665,8,FALSE)</f>
        <v>308.127612095702</v>
      </c>
      <c r="F22" s="77">
        <f>IF('Settings'!$E$15="POINTS",E22-VLOOKUP(B$2,C1:E206,3,FALSE),J22)</f>
        <v>-21.564281985476</v>
      </c>
      <c r="G22" s="77"/>
      <c r="H22" s="223">
        <f>RANK(I22,I3:I206)</f>
        <v>31</v>
      </c>
      <c r="I22" s="77">
        <f>VLOOKUP(A22,'Standard Deviations'!A1:C666,3,FALSE)</f>
        <v>5.44903367425587</v>
      </c>
      <c r="J22" s="84">
        <f>I22-VLOOKUP(B$2,H1:J206,2,FALSE)</f>
        <v>-0.31703113430045</v>
      </c>
    </row>
    <row r="23" ht="21.25" customHeight="1">
      <c r="A23" t="s" s="10">
        <v>213</v>
      </c>
      <c r="B23" t="s" s="117">
        <f>VLOOKUP(A23,'The List'!B1:D665,3,FALSE)</f>
        <v>136</v>
      </c>
      <c r="C23" s="118">
        <f>IF('Settings'!$E$15="POINTS",RANK(E23,E3:E206),H23)</f>
        <v>14</v>
      </c>
      <c r="D23" t="s" s="86">
        <f>VLOOKUP(A23,'The List'!B1:F665,5,FALSE)</f>
        <v>904</v>
      </c>
      <c r="E23" s="77">
        <f>VLOOKUP(A23,'The List'!B1:I665,8,FALSE)</f>
        <v>355.276737939928</v>
      </c>
      <c r="F23" s="77">
        <f>IF('Settings'!$E$15="POINTS",E23-VLOOKUP(B$2,C1:E206,3,FALSE),J23)</f>
        <v>25.584843858750</v>
      </c>
      <c r="G23" s="77"/>
      <c r="H23" s="223">
        <f>RANK(I23,I3:I206)</f>
        <v>33</v>
      </c>
      <c r="I23" s="77">
        <f>VLOOKUP(A23,'Standard Deviations'!A1:C666,3,FALSE)</f>
        <v>5.25407288662652</v>
      </c>
      <c r="J23" s="84">
        <f>I23-VLOOKUP(B$2,H1:J206,2,FALSE)</f>
        <v>-0.5119919219298</v>
      </c>
    </row>
    <row r="24" ht="21.25" customHeight="1">
      <c r="A24" t="s" s="10">
        <v>229</v>
      </c>
      <c r="B24" t="s" s="117">
        <f>VLOOKUP(A24,'The List'!B1:D665,3,FALSE)</f>
        <v>128</v>
      </c>
      <c r="C24" s="118">
        <f>IF('Settings'!$E$15="POINTS",RANK(E24,E3:E206),H24)</f>
        <v>21</v>
      </c>
      <c r="D24" t="s" s="86">
        <f>VLOOKUP(A24,'The List'!B1:F665,5,FALSE)</f>
        <v>878</v>
      </c>
      <c r="E24" s="77">
        <f>VLOOKUP(A24,'The List'!B1:I665,8,FALSE)</f>
        <v>340.969453310165</v>
      </c>
      <c r="F24" s="77">
        <f>IF('Settings'!$E$15="POINTS",E24-VLOOKUP(B$2,C1:E206,3,FALSE),J24)</f>
        <v>11.277559228987</v>
      </c>
      <c r="G24" s="77"/>
      <c r="H24" s="223">
        <f>RANK(I24,I3:I206)</f>
        <v>17</v>
      </c>
      <c r="I24" s="77">
        <f>VLOOKUP(A24,'Standard Deviations'!A1:C666,3,FALSE)</f>
        <v>7.48638233957139</v>
      </c>
      <c r="J24" s="84">
        <f>I24-VLOOKUP(B$2,H1:J206,2,FALSE)</f>
        <v>1.72031753101507</v>
      </c>
    </row>
    <row r="25" ht="21.25" customHeight="1">
      <c r="A25" t="s" s="10">
        <v>233</v>
      </c>
      <c r="B25" t="s" s="117">
        <f>VLOOKUP(A25,'The List'!B1:D665,3,FALSE)</f>
        <v>136</v>
      </c>
      <c r="C25" s="118">
        <f>IF('Settings'!$E$15="POINTS",RANK(E25,E3:E206),H25)</f>
        <v>22</v>
      </c>
      <c r="D25" t="s" s="86">
        <f>VLOOKUP(A25,'The List'!B1:F665,5,FALSE)</f>
        <v>165</v>
      </c>
      <c r="E25" s="77">
        <f>VLOOKUP(A25,'The List'!B1:I665,8,FALSE)</f>
        <v>339.341662407457</v>
      </c>
      <c r="F25" s="77">
        <f>IF('Settings'!$E$15="POINTS",E25-VLOOKUP(B$2,C1:E206,3,FALSE),J25)</f>
        <v>9.649768326279</v>
      </c>
      <c r="G25" s="77"/>
      <c r="H25" s="223">
        <f>RANK(I25,I3:I206)</f>
        <v>26</v>
      </c>
      <c r="I25" s="77">
        <f>VLOOKUP(A25,'Standard Deviations'!A1:C666,3,FALSE)</f>
        <v>6.45880956885536</v>
      </c>
      <c r="J25" s="84">
        <f>I25-VLOOKUP(B$2,H1:J206,2,FALSE)</f>
        <v>0.69274476029904</v>
      </c>
    </row>
    <row r="26" ht="21.25" customHeight="1">
      <c r="A26" t="s" s="10">
        <v>270</v>
      </c>
      <c r="B26" t="s" s="117">
        <f>VLOOKUP(A26,'The List'!B1:D665,3,FALSE)</f>
        <v>128</v>
      </c>
      <c r="C26" s="118">
        <f>IF('Settings'!$E$15="POINTS",RANK(E26,E3:E206),H26)</f>
        <v>35</v>
      </c>
      <c r="D26" t="s" s="86">
        <f>VLOOKUP(A26,'The List'!B1:F665,5,FALSE)</f>
        <v>907</v>
      </c>
      <c r="E26" s="77">
        <f>VLOOKUP(A26,'The List'!B1:I665,8,FALSE)</f>
        <v>311.673419816241</v>
      </c>
      <c r="F26" s="77">
        <f>IF('Settings'!$E$15="POINTS",E26-VLOOKUP(B$2,C1:E206,3,FALSE),J26)</f>
        <v>-18.018474264937</v>
      </c>
      <c r="G26" s="77"/>
      <c r="H26" s="223">
        <f>RANK(I26,I3:I206)</f>
        <v>34</v>
      </c>
      <c r="I26" s="77">
        <f>VLOOKUP(A26,'Standard Deviations'!A1:C666,3,FALSE)</f>
        <v>5.20639963081062</v>
      </c>
      <c r="J26" s="84">
        <f>I26-VLOOKUP(B$2,H1:J206,2,FALSE)</f>
        <v>-0.5596651777457</v>
      </c>
    </row>
    <row r="27" ht="21.25" customHeight="1">
      <c r="A27" t="s" s="10">
        <v>249</v>
      </c>
      <c r="B27" t="s" s="117">
        <f>VLOOKUP(A27,'The List'!B1:D665,3,FALSE)</f>
        <v>145</v>
      </c>
      <c r="C27" s="118">
        <f>IF('Settings'!$E$15="POINTS",RANK(E27,E3:E206),H27)</f>
        <v>27</v>
      </c>
      <c r="D27" t="s" s="86">
        <f>VLOOKUP(A27,'The List'!B1:F665,5,FALSE)</f>
        <v>902</v>
      </c>
      <c r="E27" s="77">
        <f>VLOOKUP(A27,'The List'!B1:I665,8,FALSE)</f>
        <v>330.466334966661</v>
      </c>
      <c r="F27" s="77">
        <f>IF('Settings'!$E$15="POINTS",E27-VLOOKUP(B$2,C1:E206,3,FALSE),J27)</f>
        <v>0.7744408854830001</v>
      </c>
      <c r="G27" s="77"/>
      <c r="H27" s="223">
        <f>RANK(I27,I3:I206)</f>
        <v>19</v>
      </c>
      <c r="I27" s="77">
        <f>VLOOKUP(A27,'Standard Deviations'!A1:C666,3,FALSE)</f>
        <v>7.18070049133762</v>
      </c>
      <c r="J27" s="84">
        <f>I27-VLOOKUP(B$2,H1:J206,2,FALSE)</f>
        <v>1.4146356827813</v>
      </c>
    </row>
    <row r="28" ht="21.25" customHeight="1">
      <c r="A28" t="s" s="10">
        <v>208</v>
      </c>
      <c r="B28" t="s" s="117">
        <f>VLOOKUP(A28,'The List'!B1:D665,3,FALSE)</f>
        <v>128</v>
      </c>
      <c r="C28" s="118">
        <f>IF('Settings'!$E$15="POINTS",RANK(E28,E3:E206),H28)</f>
        <v>13</v>
      </c>
      <c r="D28" t="s" s="86">
        <f>VLOOKUP(A28,'The List'!B1:F665,5,FALSE)</f>
        <v>132</v>
      </c>
      <c r="E28" s="77">
        <f>VLOOKUP(A28,'The List'!B1:I665,8,FALSE)</f>
        <v>360.105476017253</v>
      </c>
      <c r="F28" s="77">
        <f>IF('Settings'!$E$15="POINTS",E28-VLOOKUP(B$2,C1:E206,3,FALSE),J28)</f>
        <v>30.413581936075</v>
      </c>
      <c r="G28" s="77"/>
      <c r="H28" s="223">
        <f>RANK(I28,I3:I206)</f>
        <v>14</v>
      </c>
      <c r="I28" s="77">
        <f>VLOOKUP(A28,'Standard Deviations'!A1:C666,3,FALSE)</f>
        <v>7.57815305165113</v>
      </c>
      <c r="J28" s="84">
        <f>I28-VLOOKUP(B$2,H1:J206,2,FALSE)</f>
        <v>1.81208824309481</v>
      </c>
    </row>
    <row r="29" ht="21.25" customHeight="1">
      <c r="A29" t="s" s="10">
        <v>169</v>
      </c>
      <c r="B29" t="s" s="117">
        <f>VLOOKUP(A29,'The List'!B1:D665,3,FALSE)</f>
        <v>128</v>
      </c>
      <c r="C29" s="118">
        <f>IF('Settings'!$E$15="POINTS",RANK(E29,E3:E206),H29)</f>
        <v>8</v>
      </c>
      <c r="D29" t="s" s="86">
        <f>VLOOKUP(A29,'The List'!B1:F665,5,FALSE)</f>
        <v>878</v>
      </c>
      <c r="E29" s="77">
        <f>VLOOKUP(A29,'The List'!B1:I665,8,FALSE)</f>
        <v>401.623691281516</v>
      </c>
      <c r="F29" s="77">
        <f>IF('Settings'!$E$15="POINTS",E29-VLOOKUP(B$2,C1:E206,3,FALSE),J29)</f>
        <v>71.931797200338</v>
      </c>
      <c r="G29" s="77"/>
      <c r="H29" s="223">
        <f>RANK(I29,I3:I206)</f>
        <v>23</v>
      </c>
      <c r="I29" s="77">
        <f>VLOOKUP(A29,'Standard Deviations'!A1:C666,3,FALSE)</f>
        <v>6.68420195425249</v>
      </c>
      <c r="J29" s="84">
        <f>I29-VLOOKUP(B$2,H1:J206,2,FALSE)</f>
        <v>0.91813714569617</v>
      </c>
    </row>
    <row r="30" ht="21.25" customHeight="1">
      <c r="A30" t="s" s="10">
        <v>289</v>
      </c>
      <c r="B30" t="s" s="117">
        <f>VLOOKUP(A30,'The List'!B1:D665,3,FALSE)</f>
        <v>136</v>
      </c>
      <c r="C30" s="118">
        <f>IF('Settings'!$E$15="POINTS",RANK(E30,E3:E206),H30)</f>
        <v>36</v>
      </c>
      <c r="D30" t="s" s="86">
        <f>VLOOKUP(A30,'The List'!B1:F665,5,FALSE)</f>
        <v>129</v>
      </c>
      <c r="E30" s="77">
        <f>VLOOKUP(A30,'The List'!B1:I665,8,FALSE)</f>
        <v>310.097085248459</v>
      </c>
      <c r="F30" s="77">
        <f>IF('Settings'!$E$15="POINTS",E30-VLOOKUP(B$2,C1:E206,3,FALSE),J30)</f>
        <v>-19.594808832719</v>
      </c>
      <c r="G30" s="77"/>
      <c r="H30" s="223">
        <f>RANK(I30,I3:I206)</f>
        <v>15</v>
      </c>
      <c r="I30" s="77">
        <f>VLOOKUP(A30,'Standard Deviations'!A1:C666,3,FALSE)</f>
        <v>7.52906892026699</v>
      </c>
      <c r="J30" s="84">
        <f>I30-VLOOKUP(B$2,H1:J206,2,FALSE)</f>
        <v>1.76300411171067</v>
      </c>
    </row>
    <row r="31" ht="21.25" customHeight="1">
      <c r="A31" t="s" s="10">
        <v>238</v>
      </c>
      <c r="B31" t="s" s="117">
        <f>VLOOKUP(A31,'The List'!B1:D665,3,FALSE)</f>
        <v>128</v>
      </c>
      <c r="C31" s="118">
        <f>IF('Settings'!$E$15="POINTS",RANK(E31,E3:E206),H31)</f>
        <v>28</v>
      </c>
      <c r="D31" t="s" s="86">
        <f>VLOOKUP(A31,'The List'!B1:F665,5,FALSE)</f>
        <v>909</v>
      </c>
      <c r="E31" s="77">
        <f>VLOOKUP(A31,'The List'!B1:I665,8,FALSE)</f>
        <v>330.166903996450</v>
      </c>
      <c r="F31" s="77">
        <f>IF('Settings'!$E$15="POINTS",E31-VLOOKUP(B$2,C1:E206,3,FALSE),J31)</f>
        <v>0.475009915272</v>
      </c>
      <c r="G31" s="77"/>
      <c r="H31" s="223">
        <f>RANK(I31,I3:I206)</f>
        <v>35</v>
      </c>
      <c r="I31" s="77">
        <f>VLOOKUP(A31,'Standard Deviations'!A1:C666,3,FALSE)</f>
        <v>4.8931156643819</v>
      </c>
      <c r="J31" s="84">
        <f>I31-VLOOKUP(B$2,H1:J206,2,FALSE)</f>
        <v>-0.87294914417442</v>
      </c>
    </row>
    <row r="32" ht="21.25" customHeight="1">
      <c r="A32" t="s" s="10">
        <v>224</v>
      </c>
      <c r="B32" t="s" s="117">
        <f>VLOOKUP(A32,'The List'!B1:D665,3,FALSE)</f>
        <v>145</v>
      </c>
      <c r="C32" s="118">
        <f>IF('Settings'!$E$15="POINTS",RANK(E32,E3:E206),H32)</f>
        <v>18</v>
      </c>
      <c r="D32" t="s" s="86">
        <f>VLOOKUP(A32,'The List'!B1:F665,5,FALSE)</f>
        <v>267</v>
      </c>
      <c r="E32" s="77">
        <f>VLOOKUP(A32,'The List'!B1:I665,8,FALSE)</f>
        <v>347.542979555274</v>
      </c>
      <c r="F32" s="77">
        <f>IF('Settings'!$E$15="POINTS",E32-VLOOKUP(B$2,C1:E206,3,FALSE),J32)</f>
        <v>17.851085474096</v>
      </c>
      <c r="G32" s="77"/>
      <c r="H32" s="223">
        <f>RANK(I32,I3:I206)</f>
        <v>29</v>
      </c>
      <c r="I32" s="77">
        <f>VLOOKUP(A32,'Standard Deviations'!A1:C666,3,FALSE)</f>
        <v>5.76606480855632</v>
      </c>
      <c r="J32" s="84">
        <f>I32-VLOOKUP(B$2,H1:J206,2,FALSE)</f>
        <v>0</v>
      </c>
    </row>
    <row r="33" ht="21.25" customHeight="1">
      <c r="A33" t="s" s="10">
        <v>240</v>
      </c>
      <c r="B33" t="s" s="117">
        <f>VLOOKUP(A33,'The List'!B1:D665,3,FALSE)</f>
        <v>128</v>
      </c>
      <c r="C33" s="118">
        <f>IF('Settings'!$E$15="POINTS",RANK(E33,E3:E206),H33)</f>
        <v>30</v>
      </c>
      <c r="D33" t="s" s="86">
        <f>VLOOKUP(A33,'The List'!B1:F665,5,FALSE)</f>
        <v>207</v>
      </c>
      <c r="E33" s="77">
        <f>VLOOKUP(A33,'The List'!B1:I665,8,FALSE)</f>
        <v>329.270027925468</v>
      </c>
      <c r="F33" s="77">
        <f>IF('Settings'!$E$15="POINTS",E33-VLOOKUP(B$2,C1:E206,3,FALSE),J33)</f>
        <v>-0.421866155710</v>
      </c>
      <c r="G33" s="77"/>
      <c r="H33" s="223">
        <f>RANK(I33,I3:I206)</f>
        <v>27</v>
      </c>
      <c r="I33" s="77">
        <f>VLOOKUP(A33,'Standard Deviations'!A1:C666,3,FALSE)</f>
        <v>5.91278652471946</v>
      </c>
      <c r="J33" s="84">
        <f>I33-VLOOKUP(B$2,H1:J206,2,FALSE)</f>
        <v>0.14672171616314</v>
      </c>
    </row>
    <row r="34" ht="21.25" customHeight="1">
      <c r="A34" t="s" s="10">
        <v>292</v>
      </c>
      <c r="B34" t="s" s="117">
        <f>VLOOKUP(A34,'The List'!B1:D665,3,FALSE)</f>
        <v>136</v>
      </c>
      <c r="C34" s="118">
        <f>IF('Settings'!$E$15="POINTS",RANK(E34,E3:E206),H34)</f>
        <v>38</v>
      </c>
      <c r="D34" t="s" s="86">
        <f>VLOOKUP(A34,'The List'!B1:F665,5,FALSE)</f>
        <v>149</v>
      </c>
      <c r="E34" s="77">
        <f>VLOOKUP(A34,'The List'!B1:I665,8,FALSE)</f>
        <v>306.987600152579</v>
      </c>
      <c r="F34" s="77">
        <f>IF('Settings'!$E$15="POINTS",E34-VLOOKUP(B$2,C1:E206,3,FALSE),J34)</f>
        <v>-22.704293928599</v>
      </c>
      <c r="G34" s="77"/>
      <c r="H34" s="223">
        <f>RANK(I34,I3:I206)</f>
        <v>24</v>
      </c>
      <c r="I34" s="77">
        <f>VLOOKUP(A34,'Standard Deviations'!A1:C666,3,FALSE)</f>
        <v>6.67771973517782</v>
      </c>
      <c r="J34" s="84">
        <f>I34-VLOOKUP(B$2,H1:J206,2,FALSE)</f>
        <v>0.9116549266215001</v>
      </c>
    </row>
    <row r="35" ht="21.25" customHeight="1">
      <c r="A35" t="s" s="10">
        <v>290</v>
      </c>
      <c r="B35" t="s" s="117">
        <f>VLOOKUP(A35,'The List'!B1:D665,3,FALSE)</f>
        <v>128</v>
      </c>
      <c r="C35" s="118">
        <f>IF('Settings'!$E$15="POINTS",RANK(E35,E3:E206),H35)</f>
        <v>41</v>
      </c>
      <c r="D35" t="s" s="86">
        <f>VLOOKUP(A35,'The List'!B1:F665,5,FALSE)</f>
        <v>174</v>
      </c>
      <c r="E35" s="77">
        <f>VLOOKUP(A35,'The List'!B1:I665,8,FALSE)</f>
        <v>304.254982136035</v>
      </c>
      <c r="F35" s="77">
        <f>IF('Settings'!$E$15="POINTS",E35-VLOOKUP(B$2,C1:E206,3,FALSE),J35)</f>
        <v>-25.436911945143</v>
      </c>
      <c r="G35" s="77"/>
      <c r="H35" s="223">
        <f>RANK(I35,I3:I206)</f>
        <v>36</v>
      </c>
      <c r="I35" s="77">
        <f>VLOOKUP(A35,'Standard Deviations'!A1:C666,3,FALSE)</f>
        <v>4.68096785011885</v>
      </c>
      <c r="J35" s="84">
        <f>I35-VLOOKUP(B$2,H1:J206,2,FALSE)</f>
        <v>-1.08509695843747</v>
      </c>
    </row>
    <row r="36" ht="21.25" customHeight="1">
      <c r="A36" t="s" s="10">
        <v>255</v>
      </c>
      <c r="B36" t="s" s="117">
        <f>VLOOKUP(A36,'The List'!B1:D665,3,FALSE)</f>
        <v>128</v>
      </c>
      <c r="C36" s="118">
        <f>IF('Settings'!$E$15="POINTS",RANK(E36,E3:E206),H36)</f>
        <v>32</v>
      </c>
      <c r="D36" t="s" s="86">
        <f>VLOOKUP(A36,'The List'!B1:F665,5,FALSE)</f>
        <v>902</v>
      </c>
      <c r="E36" s="77">
        <f>VLOOKUP(A36,'The List'!B1:I665,8,FALSE)</f>
        <v>321.037300797620</v>
      </c>
      <c r="F36" s="77">
        <f>IF('Settings'!$E$15="POINTS",E36-VLOOKUP(B$2,C1:E206,3,FALSE),J36)</f>
        <v>-8.654593283558</v>
      </c>
      <c r="G36" s="77"/>
      <c r="H36" s="223">
        <f>RANK(I36,I3:I206)</f>
        <v>20</v>
      </c>
      <c r="I36" s="77">
        <f>VLOOKUP(A36,'Standard Deviations'!A1:C666,3,FALSE)</f>
        <v>7.11568444046407</v>
      </c>
      <c r="J36" s="84">
        <f>I36-VLOOKUP(B$2,H1:J206,2,FALSE)</f>
        <v>1.34961963190775</v>
      </c>
    </row>
    <row r="37" ht="21.25" customHeight="1">
      <c r="A37" t="s" s="10">
        <v>315</v>
      </c>
      <c r="B37" t="s" s="117">
        <f>VLOOKUP(A37,'The List'!B1:D665,3,FALSE)</f>
        <v>136</v>
      </c>
      <c r="C37" s="118">
        <f>IF('Settings'!$E$15="POINTS",RANK(E37,E3:E206),H37)</f>
        <v>46</v>
      </c>
      <c r="D37" t="s" s="86">
        <f>VLOOKUP(A37,'The List'!B1:F665,5,FALSE)</f>
        <v>907</v>
      </c>
      <c r="E37" s="77">
        <f>VLOOKUP(A37,'The List'!B1:I665,8,FALSE)</f>
        <v>296.193841845545</v>
      </c>
      <c r="F37" s="77">
        <f>IF('Settings'!$E$15="POINTS",E37-VLOOKUP(B$2,C1:E206,3,FALSE),J37)</f>
        <v>-33.498052235633</v>
      </c>
      <c r="G37" s="77"/>
      <c r="H37" s="223">
        <f>RANK(I37,I3:I206)</f>
        <v>43</v>
      </c>
      <c r="I37" s="77">
        <f>VLOOKUP(A37,'Standard Deviations'!A1:C666,3,FALSE)</f>
        <v>4.38687363798802</v>
      </c>
      <c r="J37" s="84">
        <f>I37-VLOOKUP(B$2,H1:J206,2,FALSE)</f>
        <v>-1.3791911705683</v>
      </c>
    </row>
    <row r="38" ht="21.25" customHeight="1">
      <c r="A38" t="s" s="10">
        <v>287</v>
      </c>
      <c r="B38" t="s" s="117">
        <f>VLOOKUP(A38,'The List'!B1:D665,3,FALSE)</f>
        <v>128</v>
      </c>
      <c r="C38" s="118">
        <f>IF('Settings'!$E$15="POINTS",RANK(E38,E3:E206),H38)</f>
        <v>39</v>
      </c>
      <c r="D38" t="s" s="86">
        <f>VLOOKUP(A38,'The List'!B1:F665,5,FALSE)</f>
        <v>207</v>
      </c>
      <c r="E38" s="77">
        <f>VLOOKUP(A38,'The List'!B1:I665,8,FALSE)</f>
        <v>305.991524204619</v>
      </c>
      <c r="F38" s="77">
        <f>IF('Settings'!$E$15="POINTS",E38-VLOOKUP(B$2,C1:E206,3,FALSE),J38)</f>
        <v>-23.700369876559</v>
      </c>
      <c r="G38" s="77"/>
      <c r="H38" s="223">
        <f>RANK(I38,I3:I206)</f>
        <v>28</v>
      </c>
      <c r="I38" s="77">
        <f>VLOOKUP(A38,'Standard Deviations'!A1:C666,3,FALSE)</f>
        <v>5.88191145606507</v>
      </c>
      <c r="J38" s="84">
        <f>I38-VLOOKUP(B$2,H1:J206,2,FALSE)</f>
        <v>0.11584664750875</v>
      </c>
    </row>
    <row r="39" ht="21.25" customHeight="1">
      <c r="A39" t="s" s="10">
        <v>210</v>
      </c>
      <c r="B39" t="s" s="117">
        <f>VLOOKUP(A39,'The List'!B1:D665,3,FALSE)</f>
        <v>128</v>
      </c>
      <c r="C39" s="118">
        <f>IF('Settings'!$E$15="POINTS",RANK(E39,E3:E206),H39)</f>
        <v>16</v>
      </c>
      <c r="D39" t="s" s="86">
        <f>VLOOKUP(A39,'The List'!B1:F665,5,FALSE)</f>
        <v>275</v>
      </c>
      <c r="E39" s="77">
        <f>VLOOKUP(A39,'The List'!B1:I665,8,FALSE)</f>
        <v>352.837609537559</v>
      </c>
      <c r="F39" s="77">
        <f>IF('Settings'!$E$15="POINTS",E39-VLOOKUP(B$2,C1:E206,3,FALSE),J39)</f>
        <v>23.145715456381</v>
      </c>
      <c r="G39" s="77"/>
      <c r="H39" s="223">
        <f>RANK(I39,I3:I206)</f>
        <v>32</v>
      </c>
      <c r="I39" s="77">
        <f>VLOOKUP(A39,'Standard Deviations'!A1:C666,3,FALSE)</f>
        <v>5.38236107352089</v>
      </c>
      <c r="J39" s="84">
        <f>I39-VLOOKUP(B$2,H1:J206,2,FALSE)</f>
        <v>-0.38370373503543</v>
      </c>
    </row>
    <row r="40" ht="21.25" customHeight="1">
      <c r="A40" t="s" s="10">
        <v>303</v>
      </c>
      <c r="B40" t="s" s="117">
        <f>VLOOKUP(A40,'The List'!B1:D665,3,FALSE)</f>
        <v>136</v>
      </c>
      <c r="C40" s="118">
        <f>IF('Settings'!$E$15="POINTS",RANK(E40,E3:E206),H40)</f>
        <v>42</v>
      </c>
      <c r="D40" t="s" s="86">
        <f>VLOOKUP(A40,'The List'!B1:F665,5,FALSE)</f>
        <v>911</v>
      </c>
      <c r="E40" s="77">
        <f>VLOOKUP(A40,'The List'!B1:I665,8,FALSE)</f>
        <v>303.759524742097</v>
      </c>
      <c r="F40" s="77">
        <f>IF('Settings'!$E$15="POINTS",E40-VLOOKUP(B$2,C1:E206,3,FALSE),J40)</f>
        <v>-25.932369339081</v>
      </c>
      <c r="G40" s="77"/>
      <c r="H40" s="223">
        <f>RANK(I40,I3:I206)</f>
        <v>39</v>
      </c>
      <c r="I40" s="77">
        <f>VLOOKUP(A40,'Standard Deviations'!A1:C666,3,FALSE)</f>
        <v>4.5424847105712</v>
      </c>
      <c r="J40" s="84">
        <f>I40-VLOOKUP(B$2,H1:J206,2,FALSE)</f>
        <v>-1.22358009798512</v>
      </c>
    </row>
    <row r="41" ht="21.25" customHeight="1">
      <c r="A41" t="s" s="10">
        <v>295</v>
      </c>
      <c r="B41" t="s" s="117">
        <f>VLOOKUP(A41,'The List'!B1:D665,3,FALSE)</f>
        <v>128</v>
      </c>
      <c r="C41" s="118">
        <f>IF('Settings'!$E$15="POINTS",RANK(E41,E3:E206),H41)</f>
        <v>43</v>
      </c>
      <c r="D41" t="s" s="86">
        <f>VLOOKUP(A41,'The List'!B1:F665,5,FALSE)</f>
        <v>906</v>
      </c>
      <c r="E41" s="77">
        <f>VLOOKUP(A41,'The List'!B1:I665,8,FALSE)</f>
        <v>301.581697526914</v>
      </c>
      <c r="F41" s="77">
        <f>IF('Settings'!$E$15="POINTS",E41-VLOOKUP(B$2,C1:E206,3,FALSE),J41)</f>
        <v>-28.110196554264</v>
      </c>
      <c r="G41" s="77"/>
      <c r="H41" s="223">
        <f>RANK(I41,I3:I206)</f>
        <v>38</v>
      </c>
      <c r="I41" s="77">
        <f>VLOOKUP(A41,'Standard Deviations'!A1:C666,3,FALSE)</f>
        <v>4.5901314305595</v>
      </c>
      <c r="J41" s="84">
        <f>I41-VLOOKUP(B$2,H1:J206,2,FALSE)</f>
        <v>-1.17593337799682</v>
      </c>
    </row>
    <row r="42" ht="21.25" customHeight="1">
      <c r="A42" t="s" s="10">
        <v>236</v>
      </c>
      <c r="B42" t="s" s="117">
        <f>VLOOKUP(A42,'The List'!B1:D665,3,FALSE)</f>
        <v>145</v>
      </c>
      <c r="C42" s="118">
        <f>IF('Settings'!$E$15="POINTS",RANK(E42,E3:E206),H42)</f>
        <v>23</v>
      </c>
      <c r="D42" t="s" s="86">
        <f>VLOOKUP(A42,'The List'!B1:F665,5,FALSE)</f>
        <v>342</v>
      </c>
      <c r="E42" s="77">
        <f>VLOOKUP(A42,'The List'!B1:I665,8,FALSE)</f>
        <v>337.649822652502</v>
      </c>
      <c r="F42" s="77">
        <f>IF('Settings'!$E$15="POINTS",E42-VLOOKUP(B$2,C1:E206,3,FALSE),J42)</f>
        <v>7.957928571324</v>
      </c>
      <c r="G42" s="77"/>
      <c r="H42" s="223">
        <f>RANK(I42,I3:I206)</f>
        <v>25</v>
      </c>
      <c r="I42" s="77">
        <f>VLOOKUP(A42,'Standard Deviations'!A1:C666,3,FALSE)</f>
        <v>6.49877902735164</v>
      </c>
      <c r="J42" s="84">
        <f>I42-VLOOKUP(B$2,H1:J206,2,FALSE)</f>
        <v>0.7327142187953199</v>
      </c>
    </row>
    <row r="43" ht="21.25" customHeight="1">
      <c r="A43" t="s" s="10">
        <v>359</v>
      </c>
      <c r="B43" t="s" s="117">
        <f>VLOOKUP(A43,'The List'!B1:D665,3,FALSE)</f>
        <v>128</v>
      </c>
      <c r="C43" s="118">
        <f>IF('Settings'!$E$15="POINTS",RANK(E43,E3:E206),H43)</f>
        <v>60</v>
      </c>
      <c r="D43" t="s" s="86">
        <f>VLOOKUP(A43,'The List'!B1:F665,5,FALSE)</f>
        <v>259</v>
      </c>
      <c r="E43" s="77">
        <f>VLOOKUP(A43,'The List'!B1:I665,8,FALSE)</f>
        <v>271.041117324558</v>
      </c>
      <c r="F43" s="77">
        <f>IF('Settings'!$E$15="POINTS",E43-VLOOKUP(B$2,C1:E206,3,FALSE),J43)</f>
        <v>-58.650776756620</v>
      </c>
      <c r="G43" s="77"/>
      <c r="H43" s="223">
        <f>RANK(I43,I3:I206)</f>
        <v>44</v>
      </c>
      <c r="I43" s="77">
        <f>VLOOKUP(A43,'Standard Deviations'!A1:C666,3,FALSE)</f>
        <v>4.38439471800499</v>
      </c>
      <c r="J43" s="84">
        <f>I43-VLOOKUP(B$2,H1:J206,2,FALSE)</f>
        <v>-1.38167009055133</v>
      </c>
    </row>
    <row r="44" ht="21.25" customHeight="1">
      <c r="A44" t="s" s="10">
        <v>269</v>
      </c>
      <c r="B44" t="s" s="117">
        <f>VLOOKUP(A44,'The List'!B1:D665,3,FALSE)</f>
        <v>128</v>
      </c>
      <c r="C44" s="118">
        <f>IF('Settings'!$E$15="POINTS",RANK(E44,E3:E206),H44)</f>
        <v>34</v>
      </c>
      <c r="D44" t="s" s="86">
        <f>VLOOKUP(A44,'The List'!B1:F665,5,FALSE)</f>
        <v>154</v>
      </c>
      <c r="E44" s="77">
        <f>VLOOKUP(A44,'The List'!B1:I665,8,FALSE)</f>
        <v>311.712644061643</v>
      </c>
      <c r="F44" s="77">
        <f>IF('Settings'!$E$15="POINTS",E44-VLOOKUP(B$2,C1:E206,3,FALSE),J44)</f>
        <v>-17.979250019535</v>
      </c>
      <c r="G44" s="77"/>
      <c r="H44" s="223">
        <f>RANK(I44,I3:I206)</f>
        <v>48</v>
      </c>
      <c r="I44" s="77">
        <f>VLOOKUP(A44,'Standard Deviations'!A1:C666,3,FALSE)</f>
        <v>3.8150620862711</v>
      </c>
      <c r="J44" s="84">
        <f>I44-VLOOKUP(B$2,H1:J206,2,FALSE)</f>
        <v>-1.95100272228522</v>
      </c>
    </row>
    <row r="45" ht="21.25" customHeight="1">
      <c r="A45" t="s" s="10">
        <v>234</v>
      </c>
      <c r="B45" t="s" s="117">
        <f>VLOOKUP(A45,'The List'!B1:D665,3,FALSE)</f>
        <v>128</v>
      </c>
      <c r="C45" s="118">
        <f>IF('Settings'!$E$15="POINTS",RANK(E45,E3:E206),H45)</f>
        <v>26</v>
      </c>
      <c r="D45" t="s" s="86">
        <f>VLOOKUP(A45,'The List'!B1:F665,5,FALSE)</f>
        <v>899</v>
      </c>
      <c r="E45" s="77">
        <f>VLOOKUP(A45,'The List'!B1:I665,8,FALSE)</f>
        <v>333.350336300328</v>
      </c>
      <c r="F45" s="77">
        <f>IF('Settings'!$E$15="POINTS",E45-VLOOKUP(B$2,C1:E206,3,FALSE),J45)</f>
        <v>3.658442219150</v>
      </c>
      <c r="G45" s="77"/>
      <c r="H45" s="223">
        <f>RANK(I45,I3:I206)</f>
        <v>45</v>
      </c>
      <c r="I45" s="77">
        <f>VLOOKUP(A45,'Standard Deviations'!A1:C666,3,FALSE)</f>
        <v>4.24824898214315</v>
      </c>
      <c r="J45" s="84">
        <f>I45-VLOOKUP(B$2,H1:J206,2,FALSE)</f>
        <v>-1.51781582641317</v>
      </c>
    </row>
    <row r="46" ht="21.25" customHeight="1">
      <c r="A46" t="s" s="10">
        <v>334</v>
      </c>
      <c r="B46" t="s" s="117">
        <f>VLOOKUP(A46,'The List'!B1:D665,3,FALSE)</f>
        <v>128</v>
      </c>
      <c r="C46" s="118">
        <f>IF('Settings'!$E$15="POINTS",RANK(E46,E3:E206),H46)</f>
        <v>51</v>
      </c>
      <c r="D46" t="s" s="86">
        <f>VLOOKUP(A46,'The List'!B1:F665,5,FALSE)</f>
        <v>192</v>
      </c>
      <c r="E46" s="77">
        <f>VLOOKUP(A46,'The List'!B1:I665,8,FALSE)</f>
        <v>280.753737933816</v>
      </c>
      <c r="F46" s="77">
        <f>IF('Settings'!$E$15="POINTS",E46-VLOOKUP(B$2,C1:E206,3,FALSE),J46)</f>
        <v>-48.938156147362</v>
      </c>
      <c r="G46" s="77"/>
      <c r="H46" s="223">
        <f>RANK(I46,I3:I206)</f>
        <v>40</v>
      </c>
      <c r="I46" s="77">
        <f>VLOOKUP(A46,'Standard Deviations'!A1:C666,3,FALSE)</f>
        <v>4.49611444519018</v>
      </c>
      <c r="J46" s="84">
        <f>I46-VLOOKUP(B$2,H1:J206,2,FALSE)</f>
        <v>-1.26995036336614</v>
      </c>
    </row>
    <row r="47" ht="21.25" customHeight="1">
      <c r="A47" t="s" s="10">
        <v>404</v>
      </c>
      <c r="B47" t="s" s="117">
        <f>VLOOKUP(A47,'The List'!B1:D665,3,FALSE)</f>
        <v>145</v>
      </c>
      <c r="C47" s="118">
        <f>IF('Settings'!$E$15="POINTS",RANK(E47,E3:E206),H47)</f>
        <v>69</v>
      </c>
      <c r="D47" t="s" s="86">
        <f>VLOOKUP(A47,'The List'!B1:F665,5,FALSE)</f>
        <v>912</v>
      </c>
      <c r="E47" s="77">
        <f>VLOOKUP(A47,'The List'!B1:I665,8,FALSE)</f>
        <v>258.075093138858</v>
      </c>
      <c r="F47" s="77">
        <f>IF('Settings'!$E$15="POINTS",E47-VLOOKUP(B$2,C1:E206,3,FALSE),J47)</f>
        <v>-71.616800942320</v>
      </c>
      <c r="G47" s="77"/>
      <c r="H47" s="223">
        <f>RANK(I47,I3:I206)</f>
        <v>63</v>
      </c>
      <c r="I47" s="77">
        <f>VLOOKUP(A47,'Standard Deviations'!A1:C666,3,FALSE)</f>
        <v>1.93583717795528</v>
      </c>
      <c r="J47" s="84">
        <f>I47-VLOOKUP(B$2,H1:J206,2,FALSE)</f>
        <v>-3.83022763060104</v>
      </c>
    </row>
    <row r="48" ht="21.25" customHeight="1">
      <c r="A48" t="s" s="10">
        <v>297</v>
      </c>
      <c r="B48" t="s" s="117">
        <f>VLOOKUP(A48,'The List'!B1:D665,3,FALSE)</f>
        <v>128</v>
      </c>
      <c r="C48" s="118">
        <f>IF('Settings'!$E$15="POINTS",RANK(E48,E3:E206),H48)</f>
        <v>44</v>
      </c>
      <c r="D48" t="s" s="86">
        <f>VLOOKUP(A48,'The List'!B1:F665,5,FALSE)</f>
        <v>903</v>
      </c>
      <c r="E48" s="77">
        <f>VLOOKUP(A48,'The List'!B1:I665,8,FALSE)</f>
        <v>300.560242430703</v>
      </c>
      <c r="F48" s="77">
        <f>IF('Settings'!$E$15="POINTS",E48-VLOOKUP(B$2,C1:E206,3,FALSE),J48)</f>
        <v>-29.131651650475</v>
      </c>
      <c r="G48" s="77"/>
      <c r="H48" s="223">
        <f>RANK(I48,I3:I206)</f>
        <v>49</v>
      </c>
      <c r="I48" s="77">
        <f>VLOOKUP(A48,'Standard Deviations'!A1:C666,3,FALSE)</f>
        <v>3.77776432760113</v>
      </c>
      <c r="J48" s="84">
        <f>I48-VLOOKUP(B$2,H1:J206,2,FALSE)</f>
        <v>-1.98830048095519</v>
      </c>
    </row>
    <row r="49" ht="21.25" customHeight="1">
      <c r="A49" t="s" s="10">
        <v>343</v>
      </c>
      <c r="B49" t="s" s="117">
        <f>VLOOKUP(A49,'The List'!B1:D665,3,FALSE)</f>
        <v>145</v>
      </c>
      <c r="C49" s="118">
        <f>IF('Settings'!$E$15="POINTS",RANK(E49,E3:E206),H49)</f>
        <v>50</v>
      </c>
      <c r="D49" t="s" s="86">
        <f>VLOOKUP(A49,'The List'!B1:F665,5,FALSE)</f>
        <v>342</v>
      </c>
      <c r="E49" s="77">
        <f>VLOOKUP(A49,'The List'!B1:I665,8,FALSE)</f>
        <v>281.577108864490</v>
      </c>
      <c r="F49" s="77">
        <f>IF('Settings'!$E$15="POINTS",E49-VLOOKUP(B$2,C1:E206,3,FALSE),J49)</f>
        <v>-48.114785216688</v>
      </c>
      <c r="G49" s="77"/>
      <c r="H49" s="223">
        <f>RANK(I49,I3:I206)</f>
        <v>37</v>
      </c>
      <c r="I49" s="77">
        <f>VLOOKUP(A49,'Standard Deviations'!A1:C666,3,FALSE)</f>
        <v>4.63968199030756</v>
      </c>
      <c r="J49" s="84">
        <f>I49-VLOOKUP(B$2,H1:J206,2,FALSE)</f>
        <v>-1.12638281824876</v>
      </c>
    </row>
    <row r="50" ht="21.25" customHeight="1">
      <c r="A50" t="s" s="10">
        <v>352</v>
      </c>
      <c r="B50" t="s" s="117">
        <f>VLOOKUP(A50,'The List'!B1:D665,3,FALSE)</f>
        <v>128</v>
      </c>
      <c r="C50" s="118">
        <f>IF('Settings'!$E$15="POINTS",RANK(E50,E3:E206),H50)</f>
        <v>58</v>
      </c>
      <c r="D50" t="s" s="86">
        <f>VLOOKUP(A50,'The List'!B1:F665,5,FALSE)</f>
        <v>908</v>
      </c>
      <c r="E50" s="77">
        <f>VLOOKUP(A50,'The List'!B1:I665,8,FALSE)</f>
        <v>273.647517106312</v>
      </c>
      <c r="F50" s="77">
        <f>IF('Settings'!$E$15="POINTS",E50-VLOOKUP(B$2,C1:E206,3,FALSE),J50)</f>
        <v>-56.044376974866</v>
      </c>
      <c r="G50" s="77"/>
      <c r="H50" s="223">
        <f>RANK(I50,I3:I206)</f>
        <v>47</v>
      </c>
      <c r="I50" s="77">
        <f>VLOOKUP(A50,'Standard Deviations'!A1:C666,3,FALSE)</f>
        <v>3.93233015235487</v>
      </c>
      <c r="J50" s="84">
        <f>I50-VLOOKUP(B$2,H1:J206,2,FALSE)</f>
        <v>-1.83373465620145</v>
      </c>
    </row>
    <row r="51" ht="21.25" customHeight="1">
      <c r="A51" t="s" s="10">
        <v>365</v>
      </c>
      <c r="B51" t="s" s="117">
        <f>VLOOKUP(A51,'The List'!B1:D665,3,FALSE)</f>
        <v>128</v>
      </c>
      <c r="C51" s="118">
        <f>IF('Settings'!$E$15="POINTS",RANK(E51,E3:E206),H51)</f>
        <v>61</v>
      </c>
      <c r="D51" t="s" s="86">
        <f>VLOOKUP(A51,'The List'!B1:F665,5,FALSE)</f>
        <v>165</v>
      </c>
      <c r="E51" s="77">
        <f>VLOOKUP(A51,'The List'!B1:I665,8,FALSE)</f>
        <v>270.004573608843</v>
      </c>
      <c r="F51" s="77">
        <f>IF('Settings'!$E$15="POINTS",E51-VLOOKUP(B$2,C1:E206,3,FALSE),J51)</f>
        <v>-59.687320472335</v>
      </c>
      <c r="G51" s="77"/>
      <c r="H51" s="223">
        <f>RANK(I51,I3:I206)</f>
        <v>46</v>
      </c>
      <c r="I51" s="77">
        <f>VLOOKUP(A51,'Standard Deviations'!A1:C666,3,FALSE)</f>
        <v>4.24712151991631</v>
      </c>
      <c r="J51" s="84">
        <f>I51-VLOOKUP(B$2,H1:J206,2,FALSE)</f>
        <v>-1.51894328864001</v>
      </c>
    </row>
    <row r="52" ht="21.25" customHeight="1">
      <c r="A52" t="s" s="10">
        <v>375</v>
      </c>
      <c r="B52" t="s" s="117">
        <f>VLOOKUP(A52,'The List'!B1:D665,3,FALSE)</f>
        <v>145</v>
      </c>
      <c r="C52" s="118">
        <f>IF('Settings'!$E$15="POINTS",RANK(E52,E3:E206),H52)</f>
        <v>62</v>
      </c>
      <c r="D52" t="s" s="86">
        <f>VLOOKUP(A52,'The List'!B1:F665,5,FALSE)</f>
        <v>174</v>
      </c>
      <c r="E52" s="77">
        <f>VLOOKUP(A52,'The List'!B1:I665,8,FALSE)</f>
        <v>269.588445524555</v>
      </c>
      <c r="F52" s="77">
        <f>IF('Settings'!$E$15="POINTS",E52-VLOOKUP(B$2,C1:E206,3,FALSE),J52)</f>
        <v>-60.103448556623</v>
      </c>
      <c r="G52" s="77"/>
      <c r="H52" s="223">
        <f>RANK(I52,I3:I206)</f>
        <v>58</v>
      </c>
      <c r="I52" s="77">
        <f>VLOOKUP(A52,'Standard Deviations'!A1:C666,3,FALSE)</f>
        <v>2.2861546248777</v>
      </c>
      <c r="J52" s="84">
        <f>I52-VLOOKUP(B$2,H1:J206,2,FALSE)</f>
        <v>-3.47991018367862</v>
      </c>
    </row>
    <row r="53" ht="21.25" customHeight="1">
      <c r="A53" t="s" s="10">
        <v>335</v>
      </c>
      <c r="B53" t="s" s="117">
        <f>VLOOKUP(A53,'The List'!B1:D665,3,FALSE)</f>
        <v>128</v>
      </c>
      <c r="C53" s="118">
        <f>IF('Settings'!$E$15="POINTS",RANK(E53,E3:E206),H53)</f>
        <v>52</v>
      </c>
      <c r="D53" t="s" s="86">
        <f>VLOOKUP(A53,'The List'!B1:F665,5,FALSE)</f>
        <v>912</v>
      </c>
      <c r="E53" s="77">
        <f>VLOOKUP(A53,'The List'!B1:I665,8,FALSE)</f>
        <v>280.077443543182</v>
      </c>
      <c r="F53" s="77">
        <f>IF('Settings'!$E$15="POINTS",E53-VLOOKUP(B$2,C1:E206,3,FALSE),J53)</f>
        <v>-49.614450537996</v>
      </c>
      <c r="G53" s="77"/>
      <c r="H53" s="223">
        <f>RANK(I53,I3:I206)</f>
        <v>76</v>
      </c>
      <c r="I53" s="77">
        <f>VLOOKUP(A53,'Standard Deviations'!A1:C666,3,FALSE)</f>
        <v>0.911176069198333</v>
      </c>
      <c r="J53" s="84">
        <f>I53-VLOOKUP(B$2,H1:J206,2,FALSE)</f>
        <v>-4.85488873935799</v>
      </c>
    </row>
    <row r="54" ht="21.25" customHeight="1">
      <c r="A54" t="s" s="10">
        <v>432</v>
      </c>
      <c r="B54" t="s" s="117">
        <f>VLOOKUP(A54,'The List'!B1:D665,3,FALSE)</f>
        <v>145</v>
      </c>
      <c r="C54" s="118">
        <f>IF('Settings'!$E$15="POINTS",RANK(E54,E3:E206),H54)</f>
        <v>75</v>
      </c>
      <c r="D54" t="s" s="86">
        <f>VLOOKUP(A54,'The List'!B1:F665,5,FALSE)</f>
        <v>908</v>
      </c>
      <c r="E54" s="77">
        <f>VLOOKUP(A54,'The List'!B1:I665,8,FALSE)</f>
        <v>246.559075242969</v>
      </c>
      <c r="F54" s="77">
        <f>IF('Settings'!$E$15="POINTS",E54-VLOOKUP(B$2,C1:E206,3,FALSE),J54)</f>
        <v>-83.132818838209</v>
      </c>
      <c r="G54" s="77"/>
      <c r="H54" s="223">
        <f>RANK(I54,I3:I206)</f>
        <v>54</v>
      </c>
      <c r="I54" s="77">
        <f>VLOOKUP(A54,'Standard Deviations'!A1:C666,3,FALSE)</f>
        <v>2.93786437389904</v>
      </c>
      <c r="J54" s="84">
        <f>I54-VLOOKUP(B$2,H1:J206,2,FALSE)</f>
        <v>-2.82820043465728</v>
      </c>
    </row>
    <row r="55" ht="21.25" customHeight="1">
      <c r="A55" t="s" s="10">
        <v>299</v>
      </c>
      <c r="B55" t="s" s="117">
        <f>VLOOKUP(A55,'The List'!B1:D665,3,FALSE)</f>
        <v>128</v>
      </c>
      <c r="C55" s="118">
        <f>IF('Settings'!$E$15="POINTS",RANK(E55,E3:E206),H55)</f>
        <v>45</v>
      </c>
      <c r="D55" t="s" s="86">
        <f>VLOOKUP(A55,'The List'!B1:F665,5,FALSE)</f>
        <v>267</v>
      </c>
      <c r="E55" s="77">
        <f>VLOOKUP(A55,'The List'!B1:I665,8,FALSE)</f>
        <v>300.254605669244</v>
      </c>
      <c r="F55" s="77">
        <f>IF('Settings'!$E$15="POINTS",E55-VLOOKUP(B$2,C1:E206,3,FALSE),J55)</f>
        <v>-29.437288411934</v>
      </c>
      <c r="G55" s="77"/>
      <c r="H55" s="223">
        <f>RANK(I55,I3:I206)</f>
        <v>42</v>
      </c>
      <c r="I55" s="77">
        <f>VLOOKUP(A55,'Standard Deviations'!A1:C666,3,FALSE)</f>
        <v>4.42825062369793</v>
      </c>
      <c r="J55" s="84">
        <f>I55-VLOOKUP(B$2,H1:J206,2,FALSE)</f>
        <v>-1.33781418485839</v>
      </c>
    </row>
    <row r="56" ht="21.25" customHeight="1">
      <c r="A56" t="s" s="10">
        <v>376</v>
      </c>
      <c r="B56" t="s" s="117">
        <f>VLOOKUP(A56,'The List'!B1:D665,3,FALSE)</f>
        <v>128</v>
      </c>
      <c r="C56" s="118">
        <f>IF('Settings'!$E$15="POINTS",RANK(E56,E3:E206),H56)</f>
        <v>65</v>
      </c>
      <c r="D56" t="s" s="86">
        <f>VLOOKUP(A56,'The List'!B1:F665,5,FALSE)</f>
        <v>914</v>
      </c>
      <c r="E56" s="77">
        <f>VLOOKUP(A56,'The List'!B1:I665,8,FALSE)</f>
        <v>264.346088183893</v>
      </c>
      <c r="F56" s="77">
        <f>IF('Settings'!$E$15="POINTS",E56-VLOOKUP(B$2,C1:E206,3,FALSE),J56)</f>
        <v>-65.345805897285</v>
      </c>
      <c r="G56" s="77"/>
      <c r="H56" s="223">
        <f>RANK(I56,I3:I206)</f>
        <v>92</v>
      </c>
      <c r="I56" s="77">
        <f>VLOOKUP(A56,'Standard Deviations'!A1:C666,3,FALSE)</f>
        <v>-0.047440966549967</v>
      </c>
      <c r="J56" s="84">
        <f>I56-VLOOKUP(B$2,H1:J206,2,FALSE)</f>
        <v>-5.81350577510629</v>
      </c>
    </row>
    <row r="57" ht="21.25" customHeight="1">
      <c r="A57" t="s" s="10">
        <v>451</v>
      </c>
      <c r="B57" t="s" s="117">
        <f>VLOOKUP(A57,'The List'!B1:D665,3,FALSE)</f>
        <v>128</v>
      </c>
      <c r="C57" s="118">
        <f>IF('Settings'!$E$15="POINTS",RANK(E57,E3:E206),H57)</f>
        <v>88</v>
      </c>
      <c r="D57" t="s" s="86">
        <f>VLOOKUP(A57,'The List'!B1:F665,5,FALSE)</f>
        <v>912</v>
      </c>
      <c r="E57" s="77">
        <f>VLOOKUP(A57,'The List'!B1:I665,8,FALSE)</f>
        <v>234.718952480169</v>
      </c>
      <c r="F57" s="77">
        <f>IF('Settings'!$E$15="POINTS",E57-VLOOKUP(B$2,C1:E206,3,FALSE),J57)</f>
        <v>-94.972941601009</v>
      </c>
      <c r="G57" s="77"/>
      <c r="H57" s="223">
        <f>RANK(I57,I3:I206)</f>
        <v>81</v>
      </c>
      <c r="I57" s="77">
        <f>VLOOKUP(A57,'Standard Deviations'!A1:C666,3,FALSE)</f>
        <v>0.576806775967215</v>
      </c>
      <c r="J57" s="84">
        <f>I57-VLOOKUP(B$2,H1:J206,2,FALSE)</f>
        <v>-5.18925803258911</v>
      </c>
    </row>
    <row r="58" ht="21.25" customHeight="1">
      <c r="A58" t="s" s="10">
        <v>280</v>
      </c>
      <c r="B58" t="s" s="117">
        <f>VLOOKUP(A58,'The List'!B1:D665,3,FALSE)</f>
        <v>136</v>
      </c>
      <c r="C58" s="118">
        <f>IF('Settings'!$E$15="POINTS",RANK(E58,E3:E206),H58)</f>
        <v>33</v>
      </c>
      <c r="D58" t="s" s="86">
        <f>VLOOKUP(A58,'The List'!B1:F665,5,FALSE)</f>
        <v>914</v>
      </c>
      <c r="E58" s="77">
        <f>VLOOKUP(A58,'The List'!B1:I665,8,FALSE)</f>
        <v>314.505784228817</v>
      </c>
      <c r="F58" s="77">
        <f>IF('Settings'!$E$15="POINTS",E58-VLOOKUP(B$2,C1:E206,3,FALSE),J58)</f>
        <v>-15.186109852361</v>
      </c>
      <c r="G58" s="77"/>
      <c r="H58" s="223">
        <f>RANK(I58,I3:I206)</f>
        <v>73</v>
      </c>
      <c r="I58" s="77">
        <f>VLOOKUP(A58,'Standard Deviations'!A1:C666,3,FALSE)</f>
        <v>0.958323956213622</v>
      </c>
      <c r="J58" s="84">
        <f>I58-VLOOKUP(B$2,H1:J206,2,FALSE)</f>
        <v>-4.8077408523427</v>
      </c>
    </row>
    <row r="59" ht="21.25" customHeight="1">
      <c r="A59" t="s" s="10">
        <v>368</v>
      </c>
      <c r="B59" t="s" s="117">
        <f>VLOOKUP(A59,'The List'!B1:D665,3,FALSE)</f>
        <v>136</v>
      </c>
      <c r="C59" s="118">
        <f>IF('Settings'!$E$15="POINTS",RANK(E59,E3:E206),H59)</f>
        <v>57</v>
      </c>
      <c r="D59" t="s" s="86">
        <f>VLOOKUP(A59,'The List'!B1:F665,5,FALSE)</f>
        <v>174</v>
      </c>
      <c r="E59" s="77">
        <f>VLOOKUP(A59,'The List'!B1:I665,8,FALSE)</f>
        <v>273.841798447359</v>
      </c>
      <c r="F59" s="77">
        <f>IF('Settings'!$E$15="POINTS",E59-VLOOKUP(B$2,C1:E206,3,FALSE),J59)</f>
        <v>-55.850095633819</v>
      </c>
      <c r="G59" s="77"/>
      <c r="H59" s="223">
        <f>RANK(I59,I3:I206)</f>
        <v>56</v>
      </c>
      <c r="I59" s="77">
        <f>VLOOKUP(A59,'Standard Deviations'!A1:C666,3,FALSE)</f>
        <v>2.67527244924765</v>
      </c>
      <c r="J59" s="84">
        <f>I59-VLOOKUP(B$2,H1:J206,2,FALSE)</f>
        <v>-3.09079235930867</v>
      </c>
    </row>
    <row r="60" ht="21.25" customHeight="1">
      <c r="A60" t="s" s="10">
        <v>327</v>
      </c>
      <c r="B60" t="s" s="117">
        <f>VLOOKUP(A60,'The List'!B1:D665,3,FALSE)</f>
        <v>136</v>
      </c>
      <c r="C60" s="118">
        <f>IF('Settings'!$E$15="POINTS",RANK(E60,E3:E206),H60)</f>
        <v>48</v>
      </c>
      <c r="D60" t="s" s="86">
        <f>VLOOKUP(A60,'The List'!B1:F665,5,FALSE)</f>
        <v>192</v>
      </c>
      <c r="E60" s="77">
        <f>VLOOKUP(A60,'The List'!B1:I665,8,FALSE)</f>
        <v>288.904443173583</v>
      </c>
      <c r="F60" s="77">
        <f>IF('Settings'!$E$15="POINTS",E60-VLOOKUP(B$2,C1:E206,3,FALSE),J60)</f>
        <v>-40.787450907595</v>
      </c>
      <c r="G60" s="77"/>
      <c r="H60" s="223">
        <f>RANK(I60,I3:I206)</f>
        <v>50</v>
      </c>
      <c r="I60" s="77">
        <f>VLOOKUP(A60,'Standard Deviations'!A1:C666,3,FALSE)</f>
        <v>3.69364528788546</v>
      </c>
      <c r="J60" s="84">
        <f>I60-VLOOKUP(B$2,H1:J206,2,FALSE)</f>
        <v>-2.07241952067086</v>
      </c>
    </row>
    <row r="61" ht="21.25" customHeight="1">
      <c r="A61" t="s" s="10">
        <v>409</v>
      </c>
      <c r="B61" t="s" s="117">
        <f>VLOOKUP(A61,'The List'!B1:D665,3,FALSE)</f>
        <v>128</v>
      </c>
      <c r="C61" s="118">
        <f>IF('Settings'!$E$15="POINTS",RANK(E61,E3:E206),H61)</f>
        <v>72</v>
      </c>
      <c r="D61" t="s" s="86">
        <f>VLOOKUP(A61,'The List'!B1:F665,5,FALSE)</f>
        <v>913</v>
      </c>
      <c r="E61" s="77">
        <f>VLOOKUP(A61,'The List'!B1:I665,8,FALSE)</f>
        <v>250.682372147590</v>
      </c>
      <c r="F61" s="77">
        <f>IF('Settings'!$E$15="POINTS",E61-VLOOKUP(B$2,C1:E206,3,FALSE),J61)</f>
        <v>-79.009521933588</v>
      </c>
      <c r="G61" s="77"/>
      <c r="H61" s="223">
        <f>RANK(I61,I3:I206)</f>
        <v>91</v>
      </c>
      <c r="I61" s="77">
        <f>VLOOKUP(A61,'Standard Deviations'!A1:C666,3,FALSE)</f>
        <v>-0.045481037456045</v>
      </c>
      <c r="J61" s="84">
        <f>I61-VLOOKUP(B$2,H1:J206,2,FALSE)</f>
        <v>-5.81154584601237</v>
      </c>
    </row>
    <row r="62" ht="21.25" customHeight="1">
      <c r="A62" t="s" s="10">
        <v>390</v>
      </c>
      <c r="B62" t="s" s="117">
        <f>VLOOKUP(A62,'The List'!B1:D665,3,FALSE)</f>
        <v>128</v>
      </c>
      <c r="C62" s="118">
        <f>IF('Settings'!$E$15="POINTS",RANK(E62,E3:E206),H62)</f>
        <v>68</v>
      </c>
      <c r="D62" t="s" s="86">
        <f>VLOOKUP(A62,'The List'!B1:F665,5,FALSE)</f>
        <v>267</v>
      </c>
      <c r="E62" s="77">
        <f>VLOOKUP(A62,'The List'!B1:I665,8,FALSE)</f>
        <v>258.329883759428</v>
      </c>
      <c r="F62" s="77">
        <f>IF('Settings'!$E$15="POINTS",E62-VLOOKUP(B$2,C1:E206,3,FALSE),J62)</f>
        <v>-71.36201032175001</v>
      </c>
      <c r="G62" s="77"/>
      <c r="H62" s="223">
        <f>RANK(I62,I3:I206)</f>
        <v>51</v>
      </c>
      <c r="I62" s="77">
        <f>VLOOKUP(A62,'Standard Deviations'!A1:C666,3,FALSE)</f>
        <v>3.27101414631076</v>
      </c>
      <c r="J62" s="84">
        <f>I62-VLOOKUP(B$2,H1:J206,2,FALSE)</f>
        <v>-2.49505066224556</v>
      </c>
    </row>
    <row r="63" ht="21.25" customHeight="1">
      <c r="A63" t="s" s="10">
        <v>520</v>
      </c>
      <c r="B63" t="s" s="117">
        <f>VLOOKUP(A63,'The List'!B1:D665,3,FALSE)</f>
        <v>145</v>
      </c>
      <c r="C63" s="118">
        <f>IF('Settings'!$E$15="POINTS",RANK(E63,E3:E206),H63)</f>
        <v>99</v>
      </c>
      <c r="D63" t="s" s="86">
        <f>VLOOKUP(A63,'The List'!B1:F665,5,FALSE)</f>
        <v>906</v>
      </c>
      <c r="E63" s="77">
        <f>VLOOKUP(A63,'The List'!B1:I665,8,FALSE)</f>
        <v>221.649652624321</v>
      </c>
      <c r="F63" s="77">
        <f>IF('Settings'!$E$15="POINTS",E63-VLOOKUP(B$2,C1:E206,3,FALSE),J63)</f>
        <v>-108.042241456857</v>
      </c>
      <c r="G63" s="77"/>
      <c r="H63" s="223">
        <f>RANK(I63,I3:I206)</f>
        <v>60</v>
      </c>
      <c r="I63" s="77">
        <f>VLOOKUP(A63,'Standard Deviations'!A1:C666,3,FALSE)</f>
        <v>2.16676629876964</v>
      </c>
      <c r="J63" s="84">
        <f>I63-VLOOKUP(B$2,H1:J206,2,FALSE)</f>
        <v>-3.59929850978668</v>
      </c>
    </row>
    <row r="64" ht="21.25" customHeight="1">
      <c r="A64" t="s" s="10">
        <v>524</v>
      </c>
      <c r="B64" t="s" s="117">
        <f>VLOOKUP(A64,'The List'!B1:D665,3,FALSE)</f>
        <v>128</v>
      </c>
      <c r="C64" s="118">
        <f>IF('Settings'!$E$15="POINTS",RANK(E64,E3:E206),H64)</f>
        <v>111</v>
      </c>
      <c r="D64" t="s" s="86">
        <f>VLOOKUP(A64,'The List'!B1:F665,5,FALSE)</f>
        <v>912</v>
      </c>
      <c r="E64" s="77">
        <f>VLOOKUP(A64,'The List'!B1:I665,8,FALSE)</f>
        <v>215.356966527661</v>
      </c>
      <c r="F64" s="77">
        <f>IF('Settings'!$E$15="POINTS",E64-VLOOKUP(B$2,C1:E206,3,FALSE),J64)</f>
        <v>-114.334927553517</v>
      </c>
      <c r="G64" s="77"/>
      <c r="H64" s="223">
        <f>RANK(I64,I3:I206)</f>
        <v>85</v>
      </c>
      <c r="I64" s="77">
        <f>VLOOKUP(A64,'Standard Deviations'!A1:C666,3,FALSE)</f>
        <v>0.493078905853743</v>
      </c>
      <c r="J64" s="84">
        <f>I64-VLOOKUP(B$2,H1:J206,2,FALSE)</f>
        <v>-5.27298590270258</v>
      </c>
    </row>
    <row r="65" ht="21.25" customHeight="1">
      <c r="A65" t="s" s="10">
        <v>367</v>
      </c>
      <c r="B65" t="s" s="117">
        <f>VLOOKUP(A65,'The List'!B1:D665,3,FALSE)</f>
        <v>128</v>
      </c>
      <c r="C65" s="118">
        <f>IF('Settings'!$E$15="POINTS",RANK(E65,E3:E206),H65)</f>
        <v>63</v>
      </c>
      <c r="D65" t="s" s="86">
        <f>VLOOKUP(A65,'The List'!B1:F665,5,FALSE)</f>
        <v>913</v>
      </c>
      <c r="E65" s="77">
        <f>VLOOKUP(A65,'The List'!B1:I665,8,FALSE)</f>
        <v>269.276009294918</v>
      </c>
      <c r="F65" s="77">
        <f>IF('Settings'!$E$15="POINTS",E65-VLOOKUP(B$2,C1:E206,3,FALSE),J65)</f>
        <v>-60.415884786260</v>
      </c>
      <c r="G65" s="77"/>
      <c r="H65" s="223">
        <f>RANK(I65,I3:I206)</f>
        <v>71</v>
      </c>
      <c r="I65" s="77">
        <f>VLOOKUP(A65,'Standard Deviations'!A1:C666,3,FALSE)</f>
        <v>1.11500494574375</v>
      </c>
      <c r="J65" s="84">
        <f>I65-VLOOKUP(B$2,H1:J206,2,FALSE)</f>
        <v>-4.65105986281257</v>
      </c>
    </row>
    <row r="66" ht="21.25" customHeight="1">
      <c r="A66" t="s" s="10">
        <v>301</v>
      </c>
      <c r="B66" t="s" s="117">
        <f>VLOOKUP(A66,'The List'!B1:D665,3,FALSE)</f>
        <v>136</v>
      </c>
      <c r="C66" s="118">
        <f>IF('Settings'!$E$15="POINTS",RANK(E66,E3:E206),H66)</f>
        <v>40</v>
      </c>
      <c r="D66" t="s" s="86">
        <f>VLOOKUP(A66,'The List'!B1:F665,5,FALSE)</f>
        <v>912</v>
      </c>
      <c r="E66" s="77">
        <f>VLOOKUP(A66,'The List'!B1:I665,8,FALSE)</f>
        <v>304.347272950626</v>
      </c>
      <c r="F66" s="77">
        <f>IF('Settings'!$E$15="POINTS",E66-VLOOKUP(B$2,C1:E206,3,FALSE),J66)</f>
        <v>-25.344621130552</v>
      </c>
      <c r="G66" s="77"/>
      <c r="H66" s="223">
        <f>RANK(I66,I3:I206)</f>
        <v>82</v>
      </c>
      <c r="I66" s="77">
        <f>VLOOKUP(A66,'Standard Deviations'!A1:C666,3,FALSE)</f>
        <v>0.525014549771521</v>
      </c>
      <c r="J66" s="84">
        <f>I66-VLOOKUP(B$2,H1:J206,2,FALSE)</f>
        <v>-5.2410502587848</v>
      </c>
    </row>
    <row r="67" ht="21.25" customHeight="1">
      <c r="A67" t="s" s="10">
        <v>381</v>
      </c>
      <c r="B67" t="s" s="117">
        <f>VLOOKUP(A67,'The List'!B1:D665,3,FALSE)</f>
        <v>128</v>
      </c>
      <c r="C67" s="118">
        <f>IF('Settings'!$E$15="POINTS",RANK(E67,E3:E206),H67)</f>
        <v>66</v>
      </c>
      <c r="D67" t="s" s="86">
        <f>VLOOKUP(A67,'The List'!B1:F665,5,FALSE)</f>
        <v>903</v>
      </c>
      <c r="E67" s="77">
        <f>VLOOKUP(A67,'The List'!B1:I665,8,FALSE)</f>
        <v>262.681917286389</v>
      </c>
      <c r="F67" s="77">
        <f>IF('Settings'!$E$15="POINTS",E67-VLOOKUP(B$2,C1:E206,3,FALSE),J67)</f>
        <v>-67.009976794789</v>
      </c>
      <c r="G67" s="77"/>
      <c r="H67" s="223">
        <f>RANK(I67,I3:I206)</f>
        <v>55</v>
      </c>
      <c r="I67" s="77">
        <f>VLOOKUP(A67,'Standard Deviations'!A1:C666,3,FALSE)</f>
        <v>2.77525046723824</v>
      </c>
      <c r="J67" s="84">
        <f>I67-VLOOKUP(B$2,H1:J206,2,FALSE)</f>
        <v>-2.99081434131808</v>
      </c>
    </row>
    <row r="68" ht="21.25" customHeight="1">
      <c r="A68" t="s" s="10">
        <v>393</v>
      </c>
      <c r="B68" t="s" s="117">
        <f>VLOOKUP(A68,'The List'!B1:D665,3,FALSE)</f>
        <v>128</v>
      </c>
      <c r="C68" s="118">
        <f>IF('Settings'!$E$15="POINTS",RANK(E68,E3:E206),H68)</f>
        <v>71</v>
      </c>
      <c r="D68" t="s" s="86">
        <f>VLOOKUP(A68,'The List'!B1:F665,5,FALSE)</f>
        <v>911</v>
      </c>
      <c r="E68" s="77">
        <f>VLOOKUP(A68,'The List'!B1:I665,8,FALSE)</f>
        <v>256.541922725089</v>
      </c>
      <c r="F68" s="77">
        <f>IF('Settings'!$E$15="POINTS",E68-VLOOKUP(B$2,C1:E206,3,FALSE),J68)</f>
        <v>-73.149971356089</v>
      </c>
      <c r="G68" s="77"/>
      <c r="H68" s="223">
        <f>RANK(I68,I3:I206)</f>
        <v>59</v>
      </c>
      <c r="I68" s="77">
        <f>VLOOKUP(A68,'Standard Deviations'!A1:C666,3,FALSE)</f>
        <v>2.24545932200994</v>
      </c>
      <c r="J68" s="84">
        <f>I68-VLOOKUP(B$2,H1:J206,2,FALSE)</f>
        <v>-3.52060548654638</v>
      </c>
    </row>
    <row r="69" ht="21.25" customHeight="1">
      <c r="A69" t="s" s="10">
        <v>436</v>
      </c>
      <c r="B69" t="s" s="117">
        <f>VLOOKUP(A69,'The List'!B1:D665,3,FALSE)</f>
        <v>128</v>
      </c>
      <c r="C69" s="118">
        <f>IF('Settings'!$E$15="POINTS",RANK(E69,E3:E206),H69)</f>
        <v>84</v>
      </c>
      <c r="D69" t="s" s="86">
        <f>VLOOKUP(A69,'The List'!B1:F665,5,FALSE)</f>
        <v>904</v>
      </c>
      <c r="E69" s="77">
        <f>VLOOKUP(A69,'The List'!B1:I665,8,FALSE)</f>
        <v>240.406429093613</v>
      </c>
      <c r="F69" s="77">
        <f>IF('Settings'!$E$15="POINTS",E69-VLOOKUP(B$2,C1:E206,3,FALSE),J69)</f>
        <v>-89.28546498756501</v>
      </c>
      <c r="G69" s="77"/>
      <c r="H69" s="223">
        <f>RANK(I69,I3:I206)</f>
        <v>70</v>
      </c>
      <c r="I69" s="77">
        <f>VLOOKUP(A69,'Standard Deviations'!A1:C666,3,FALSE)</f>
        <v>1.16739092721847</v>
      </c>
      <c r="J69" s="84">
        <f>I69-VLOOKUP(B$2,H1:J206,2,FALSE)</f>
        <v>-4.59867388133785</v>
      </c>
    </row>
    <row r="70" ht="21.25" customHeight="1">
      <c r="A70" t="s" s="10">
        <v>447</v>
      </c>
      <c r="B70" t="s" s="117">
        <f>VLOOKUP(A70,'The List'!B1:D665,3,FALSE)</f>
        <v>145</v>
      </c>
      <c r="C70" s="118">
        <f>IF('Settings'!$E$15="POINTS",RANK(E70,E3:E206),H70)</f>
        <v>83</v>
      </c>
      <c r="D70" t="s" s="86">
        <f>VLOOKUP(A70,'The List'!B1:F665,5,FALSE)</f>
        <v>902</v>
      </c>
      <c r="E70" s="77">
        <f>VLOOKUP(A70,'The List'!B1:I665,8,FALSE)</f>
        <v>241.700695791079</v>
      </c>
      <c r="F70" s="77">
        <f>IF('Settings'!$E$15="POINTS",E70-VLOOKUP(B$2,C1:E206,3,FALSE),J70)</f>
        <v>-87.99119829009901</v>
      </c>
      <c r="G70" s="77"/>
      <c r="H70" s="223">
        <f>RANK(I70,I3:I206)</f>
        <v>52</v>
      </c>
      <c r="I70" s="77">
        <f>VLOOKUP(A70,'Standard Deviations'!A1:C666,3,FALSE)</f>
        <v>3.25842229780808</v>
      </c>
      <c r="J70" s="84">
        <f>I70-VLOOKUP(B$2,H1:J206,2,FALSE)</f>
        <v>-2.50764251074824</v>
      </c>
    </row>
    <row r="71" ht="21.25" customHeight="1">
      <c r="A71" t="s" s="10">
        <v>312</v>
      </c>
      <c r="B71" t="s" s="117">
        <f>VLOOKUP(A71,'The List'!B1:D665,3,FALSE)</f>
        <v>128</v>
      </c>
      <c r="C71" s="118">
        <f>IF('Settings'!$E$15="POINTS",RANK(E71,E3:E206),H71)</f>
        <v>47</v>
      </c>
      <c r="D71" t="s" s="86">
        <f>VLOOKUP(A71,'The List'!B1:F665,5,FALSE)</f>
        <v>149</v>
      </c>
      <c r="E71" s="77">
        <f>VLOOKUP(A71,'The List'!B1:I665,8,FALSE)</f>
        <v>292.131533986641</v>
      </c>
      <c r="F71" s="77">
        <f>IF('Settings'!$E$15="POINTS",E71-VLOOKUP(B$2,C1:E206,3,FALSE),J71)</f>
        <v>-37.560360094537</v>
      </c>
      <c r="G71" s="77"/>
      <c r="H71" s="223">
        <f>RANK(I71,I3:I206)</f>
        <v>53</v>
      </c>
      <c r="I71" s="77">
        <f>VLOOKUP(A71,'Standard Deviations'!A1:C666,3,FALSE)</f>
        <v>2.99471504753579</v>
      </c>
      <c r="J71" s="84">
        <f>I71-VLOOKUP(B$2,H1:J206,2,FALSE)</f>
        <v>-2.77134976102053</v>
      </c>
    </row>
    <row r="72" ht="21.25" customHeight="1">
      <c r="A72" t="s" s="10">
        <v>438</v>
      </c>
      <c r="B72" t="s" s="117">
        <f>VLOOKUP(A72,'The List'!B1:D665,3,FALSE)</f>
        <v>128</v>
      </c>
      <c r="C72" s="118">
        <f>IF('Settings'!$E$15="POINTS",RANK(E72,E3:E206),H72)</f>
        <v>85</v>
      </c>
      <c r="D72" t="s" s="86">
        <f>VLOOKUP(A72,'The List'!B1:F665,5,FALSE)</f>
        <v>913</v>
      </c>
      <c r="E72" s="77">
        <f>VLOOKUP(A72,'The List'!B1:I665,8,FALSE)</f>
        <v>240.204740191501</v>
      </c>
      <c r="F72" s="77">
        <f>IF('Settings'!$E$15="POINTS",E72-VLOOKUP(B$2,C1:E206,3,FALSE),J72)</f>
        <v>-89.487153889677</v>
      </c>
      <c r="G72" s="77"/>
      <c r="H72" s="223">
        <f>RANK(I72,I3:I206)</f>
        <v>95</v>
      </c>
      <c r="I72" s="77">
        <f>VLOOKUP(A72,'Standard Deviations'!A1:C666,3,FALSE)</f>
        <v>-0.160936404009059</v>
      </c>
      <c r="J72" s="84">
        <f>I72-VLOOKUP(B$2,H1:J206,2,FALSE)</f>
        <v>-5.92700121256538</v>
      </c>
    </row>
    <row r="73" ht="21.25" customHeight="1">
      <c r="A73" t="s" s="10">
        <v>370</v>
      </c>
      <c r="B73" t="s" s="117">
        <f>VLOOKUP(A73,'The List'!B1:D665,3,FALSE)</f>
        <v>128</v>
      </c>
      <c r="C73" s="118">
        <f>IF('Settings'!$E$15="POINTS",RANK(E73,E3:E206),H73)</f>
        <v>64</v>
      </c>
      <c r="D73" t="s" s="86">
        <f>VLOOKUP(A73,'The List'!B1:F665,5,FALSE)</f>
        <v>899</v>
      </c>
      <c r="E73" s="77">
        <f>VLOOKUP(A73,'The List'!B1:I665,8,FALSE)</f>
        <v>267.553627635774</v>
      </c>
      <c r="F73" s="77">
        <f>IF('Settings'!$E$15="POINTS",E73-VLOOKUP(B$2,C1:E206,3,FALSE),J73)</f>
        <v>-62.138266445404</v>
      </c>
      <c r="G73" s="77"/>
      <c r="H73" s="223">
        <f>RANK(I73,I3:I206)</f>
        <v>57</v>
      </c>
      <c r="I73" s="77">
        <f>VLOOKUP(A73,'Standard Deviations'!A1:C666,3,FALSE)</f>
        <v>2.43556258208297</v>
      </c>
      <c r="J73" s="84">
        <f>I73-VLOOKUP(B$2,H1:J206,2,FALSE)</f>
        <v>-3.33050222647335</v>
      </c>
    </row>
    <row r="74" ht="21.25" customHeight="1">
      <c r="A74" t="s" s="10">
        <v>510</v>
      </c>
      <c r="B74" t="s" s="117">
        <f>VLOOKUP(A74,'The List'!B1:D665,3,FALSE)</f>
        <v>128</v>
      </c>
      <c r="C74" s="118">
        <f>IF('Settings'!$E$15="POINTS",RANK(E74,E3:E206),H74)</f>
        <v>107</v>
      </c>
      <c r="D74" t="s" s="86">
        <f>VLOOKUP(A74,'The List'!B1:F665,5,FALSE)</f>
        <v>914</v>
      </c>
      <c r="E74" s="77">
        <f>VLOOKUP(A74,'The List'!B1:I665,8,FALSE)</f>
        <v>217.492254695932</v>
      </c>
      <c r="F74" s="77">
        <f>IF('Settings'!$E$15="POINTS",E74-VLOOKUP(B$2,C1:E206,3,FALSE),J74)</f>
        <v>-112.199639385246</v>
      </c>
      <c r="G74" s="77"/>
      <c r="H74" s="223">
        <f>RANK(I74,I3:I206)</f>
        <v>75</v>
      </c>
      <c r="I74" s="77">
        <f>VLOOKUP(A74,'Standard Deviations'!A1:C666,3,FALSE)</f>
        <v>0.928334880530311</v>
      </c>
      <c r="J74" s="84">
        <f>I74-VLOOKUP(B$2,H1:J206,2,FALSE)</f>
        <v>-4.83772992802601</v>
      </c>
    </row>
    <row r="75" ht="21.25" customHeight="1">
      <c r="A75" t="s" s="10">
        <v>329</v>
      </c>
      <c r="B75" t="s" s="117">
        <f>VLOOKUP(A75,'The List'!B1:D665,3,FALSE)</f>
        <v>136</v>
      </c>
      <c r="C75" s="118">
        <f>IF('Settings'!$E$15="POINTS",RANK(E75,E3:E206),H75)</f>
        <v>49</v>
      </c>
      <c r="D75" t="s" s="86">
        <f>VLOOKUP(A75,'The List'!B1:F665,5,FALSE)</f>
        <v>907</v>
      </c>
      <c r="E75" s="77">
        <f>VLOOKUP(A75,'The List'!B1:I665,8,FALSE)</f>
        <v>288.638952942063</v>
      </c>
      <c r="F75" s="77">
        <f>IF('Settings'!$E$15="POINTS",E75-VLOOKUP(B$2,C1:E206,3,FALSE),J75)</f>
        <v>-41.052941139115</v>
      </c>
      <c r="G75" s="77"/>
      <c r="H75" s="223">
        <f>RANK(I75,I3:I206)</f>
        <v>86</v>
      </c>
      <c r="I75" s="77">
        <f>VLOOKUP(A75,'Standard Deviations'!A1:C666,3,FALSE)</f>
        <v>0.466865306476788</v>
      </c>
      <c r="J75" s="84">
        <f>I75-VLOOKUP(B$2,H1:J206,2,FALSE)</f>
        <v>-5.29919950207953</v>
      </c>
    </row>
    <row r="76" ht="21.25" customHeight="1">
      <c r="A76" t="s" s="10">
        <v>419</v>
      </c>
      <c r="B76" t="s" s="117">
        <f>VLOOKUP(A76,'The List'!B1:D665,3,FALSE)</f>
        <v>145</v>
      </c>
      <c r="C76" s="118">
        <f>IF('Settings'!$E$15="POINTS",RANK(E76,E3:E206),H76)</f>
        <v>73</v>
      </c>
      <c r="D76" t="s" s="86">
        <f>VLOOKUP(A76,'The List'!B1:F665,5,FALSE)</f>
        <v>902</v>
      </c>
      <c r="E76" s="77">
        <f>VLOOKUP(A76,'The List'!B1:I665,8,FALSE)</f>
        <v>250.212489478524</v>
      </c>
      <c r="F76" s="77">
        <f>IF('Settings'!$E$15="POINTS",E76-VLOOKUP(B$2,C1:E206,3,FALSE),J76)</f>
        <v>-79.479404602654</v>
      </c>
      <c r="G76" s="77"/>
      <c r="H76" s="223">
        <f>RANK(I76,I3:I206)</f>
        <v>61</v>
      </c>
      <c r="I76" s="77">
        <f>VLOOKUP(A76,'Standard Deviations'!A1:C666,3,FALSE)</f>
        <v>2.14603922350914</v>
      </c>
      <c r="J76" s="84">
        <f>I76-VLOOKUP(B$2,H1:J206,2,FALSE)</f>
        <v>-3.62002558504718</v>
      </c>
    </row>
    <row r="77" ht="21.25" customHeight="1">
      <c r="A77" t="s" s="10">
        <v>501</v>
      </c>
      <c r="B77" t="s" s="117">
        <f>VLOOKUP(A77,'The List'!B1:D665,3,FALSE)</f>
        <v>128</v>
      </c>
      <c r="C77" s="118">
        <f>IF('Settings'!$E$15="POINTS",RANK(E77,E3:E206),H77)</f>
        <v>102</v>
      </c>
      <c r="D77" t="s" s="86">
        <f>VLOOKUP(A77,'The List'!B1:F665,5,FALSE)</f>
        <v>902</v>
      </c>
      <c r="E77" s="77">
        <f>VLOOKUP(A77,'The List'!B1:I665,8,FALSE)</f>
        <v>220.500122051964</v>
      </c>
      <c r="F77" s="77">
        <f>IF('Settings'!$E$15="POINTS",E77-VLOOKUP(B$2,C1:E206,3,FALSE),J77)</f>
        <v>-109.191772029214</v>
      </c>
      <c r="G77" s="77"/>
      <c r="H77" s="223">
        <f>RANK(I77,I3:I206)</f>
        <v>65</v>
      </c>
      <c r="I77" s="77">
        <f>VLOOKUP(A77,'Standard Deviations'!A1:C666,3,FALSE)</f>
        <v>1.49964573984896</v>
      </c>
      <c r="J77" s="84">
        <f>I77-VLOOKUP(B$2,H1:J206,2,FALSE)</f>
        <v>-4.26641906870736</v>
      </c>
    </row>
    <row r="78" ht="21.25" customHeight="1">
      <c r="A78" t="s" s="10">
        <v>632</v>
      </c>
      <c r="B78" t="s" s="117">
        <f>VLOOKUP(A78,'The List'!B1:D665,3,FALSE)</f>
        <v>128</v>
      </c>
      <c r="C78" s="118">
        <f>IF('Settings'!$E$15="POINTS",RANK(E78,E3:E206),H78)</f>
        <v>136</v>
      </c>
      <c r="D78" t="s" s="86">
        <f>VLOOKUP(A78,'The List'!B1:F665,5,FALSE)</f>
        <v>165</v>
      </c>
      <c r="E78" s="77">
        <f>VLOOKUP(A78,'The List'!B1:I665,8,FALSE)</f>
        <v>187.278682270619</v>
      </c>
      <c r="F78" s="77">
        <f>IF('Settings'!$E$15="POINTS",E78-VLOOKUP(B$2,C1:E206,3,FALSE),J78)</f>
        <v>-142.413211810559</v>
      </c>
      <c r="G78" s="77"/>
      <c r="H78" s="223">
        <f>RANK(I78,I3:I206)</f>
        <v>78</v>
      </c>
      <c r="I78" s="77">
        <f>VLOOKUP(A78,'Standard Deviations'!A1:C666,3,FALSE)</f>
        <v>0.809730355866612</v>
      </c>
      <c r="J78" s="84">
        <f>I78-VLOOKUP(B$2,H1:J206,2,FALSE)</f>
        <v>-4.95633445268971</v>
      </c>
    </row>
    <row r="79" ht="21.25" customHeight="1">
      <c r="A79" t="s" s="10">
        <v>599</v>
      </c>
      <c r="B79" t="s" s="117">
        <f>VLOOKUP(A79,'The List'!B1:D665,3,FALSE)</f>
        <v>136</v>
      </c>
      <c r="C79" s="118">
        <f>IF('Settings'!$E$15="POINTS",RANK(E79,E3:E206),H79)</f>
        <v>122</v>
      </c>
      <c r="D79" t="s" s="86">
        <f>VLOOKUP(A79,'The List'!B1:F665,5,FALSE)</f>
        <v>906</v>
      </c>
      <c r="E79" s="77">
        <f>VLOOKUP(A79,'The List'!B1:I665,8,FALSE)</f>
        <v>200.811298848854</v>
      </c>
      <c r="F79" s="77">
        <f>IF('Settings'!$E$15="POINTS",E79-VLOOKUP(B$2,C1:E206,3,FALSE),J79)</f>
        <v>-128.880595232324</v>
      </c>
      <c r="G79" s="77"/>
      <c r="H79" s="223">
        <f>RANK(I79,I3:I206)</f>
        <v>69</v>
      </c>
      <c r="I79" s="77">
        <f>VLOOKUP(A79,'Standard Deviations'!A1:C666,3,FALSE)</f>
        <v>1.24645823002078</v>
      </c>
      <c r="J79" s="84">
        <f>I79-VLOOKUP(B$2,H1:J206,2,FALSE)</f>
        <v>-4.51960657853554</v>
      </c>
    </row>
    <row r="80" ht="21.25" customHeight="1">
      <c r="A80" t="s" s="10">
        <v>420</v>
      </c>
      <c r="B80" t="s" s="117">
        <f>VLOOKUP(A80,'The List'!B1:D665,3,FALSE)</f>
        <v>128</v>
      </c>
      <c r="C80" s="118">
        <f>IF('Settings'!$E$15="POINTS",RANK(E80,E3:E206),H80)</f>
        <v>79</v>
      </c>
      <c r="D80" t="s" s="86">
        <f>VLOOKUP(A80,'The List'!B1:F665,5,FALSE)</f>
        <v>866</v>
      </c>
      <c r="E80" s="77">
        <f>VLOOKUP(A80,'The List'!B1:I665,8,FALSE)</f>
        <v>244.432766152621</v>
      </c>
      <c r="F80" s="77">
        <f>IF('Settings'!$E$15="POINTS",E80-VLOOKUP(B$2,C1:E206,3,FALSE),J80)</f>
        <v>-85.25912792855701</v>
      </c>
      <c r="G80" s="77"/>
      <c r="H80" s="223">
        <f>RANK(I80,I3:I206)</f>
        <v>67</v>
      </c>
      <c r="I80" s="77">
        <f>VLOOKUP(A80,'Standard Deviations'!A1:C666,3,FALSE)</f>
        <v>1.28234085166417</v>
      </c>
      <c r="J80" s="84">
        <f>I80-VLOOKUP(B$2,H1:J206,2,FALSE)</f>
        <v>-4.48372395689215</v>
      </c>
    </row>
    <row r="81" ht="21.25" customHeight="1">
      <c r="A81" t="s" s="10">
        <v>385</v>
      </c>
      <c r="B81" t="s" s="117">
        <f>VLOOKUP(A81,'The List'!B1:D665,3,FALSE)</f>
        <v>128</v>
      </c>
      <c r="C81" s="118">
        <f>IF('Settings'!$E$15="POINTS",RANK(E81,E3:E206),H81)</f>
        <v>67</v>
      </c>
      <c r="D81" t="s" s="86">
        <f>VLOOKUP(A81,'The List'!B1:F665,5,FALSE)</f>
        <v>267</v>
      </c>
      <c r="E81" s="77">
        <f>VLOOKUP(A81,'The List'!B1:I665,8,FALSE)</f>
        <v>261.081678023883</v>
      </c>
      <c r="F81" s="77">
        <f>IF('Settings'!$E$15="POINTS",E81-VLOOKUP(B$2,C1:E206,3,FALSE),J81)</f>
        <v>-68.61021605729501</v>
      </c>
      <c r="G81" s="77"/>
      <c r="H81" s="223">
        <f>RANK(I81,I3:I206)</f>
        <v>62</v>
      </c>
      <c r="I81" s="77">
        <f>VLOOKUP(A81,'Standard Deviations'!A1:C666,3,FALSE)</f>
        <v>2.0268863081538</v>
      </c>
      <c r="J81" s="84">
        <f>I81-VLOOKUP(B$2,H1:J206,2,FALSE)</f>
        <v>-3.73917850040252</v>
      </c>
    </row>
    <row r="82" ht="21.25" customHeight="1">
      <c r="A82" t="s" s="10">
        <v>453</v>
      </c>
      <c r="B82" t="s" s="117">
        <f>VLOOKUP(A82,'The List'!B1:D665,3,FALSE)</f>
        <v>128</v>
      </c>
      <c r="C82" s="118">
        <f>IF('Settings'!$E$15="POINTS",RANK(E82,E3:E206),H82)</f>
        <v>89</v>
      </c>
      <c r="D82" t="s" s="86">
        <f>VLOOKUP(A82,'The List'!B1:F665,5,FALSE)</f>
        <v>900</v>
      </c>
      <c r="E82" s="77">
        <f>VLOOKUP(A82,'The List'!B1:I665,8,FALSE)</f>
        <v>234.659227557442</v>
      </c>
      <c r="F82" s="77">
        <f>IF('Settings'!$E$15="POINTS",E82-VLOOKUP(B$2,C1:E206,3,FALSE),J82)</f>
        <v>-95.032666523736</v>
      </c>
      <c r="G82" s="77"/>
      <c r="H82" s="223">
        <f>RANK(I82,I3:I206)</f>
        <v>64</v>
      </c>
      <c r="I82" s="77">
        <f>VLOOKUP(A82,'Standard Deviations'!A1:C666,3,FALSE)</f>
        <v>1.59097056414447</v>
      </c>
      <c r="J82" s="84">
        <f>I82-VLOOKUP(B$2,H1:J206,2,FALSE)</f>
        <v>-4.17509424441185</v>
      </c>
    </row>
    <row r="83" ht="21.25" customHeight="1">
      <c r="A83" t="s" s="10">
        <v>578</v>
      </c>
      <c r="B83" t="s" s="117">
        <f>VLOOKUP(A83,'The List'!B1:D665,3,FALSE)</f>
        <v>128</v>
      </c>
      <c r="C83" s="118">
        <f>IF('Settings'!$E$15="POINTS",RANK(E83,E3:E206),H83)</f>
        <v>123</v>
      </c>
      <c r="D83" t="s" s="86">
        <f>VLOOKUP(A83,'The List'!B1:F665,5,FALSE)</f>
        <v>910</v>
      </c>
      <c r="E83" s="77">
        <f>VLOOKUP(A83,'The List'!B1:I665,8,FALSE)</f>
        <v>200.794579632484</v>
      </c>
      <c r="F83" s="77">
        <f>IF('Settings'!$E$15="POINTS",E83-VLOOKUP(B$2,C1:E206,3,FALSE),J83)</f>
        <v>-128.897314448694</v>
      </c>
      <c r="G83" s="77"/>
      <c r="H83" s="223">
        <f>RANK(I83,I3:I206)</f>
        <v>115</v>
      </c>
      <c r="I83" s="77">
        <f>VLOOKUP(A83,'Standard Deviations'!A1:C666,3,FALSE)</f>
        <v>-1.03789684992794</v>
      </c>
      <c r="J83" s="84">
        <f>I83-VLOOKUP(B$2,H1:J206,2,FALSE)</f>
        <v>-6.80396165848426</v>
      </c>
    </row>
    <row r="84" ht="21.25" customHeight="1">
      <c r="A84" t="s" s="10">
        <v>566</v>
      </c>
      <c r="B84" t="s" s="117">
        <f>VLOOKUP(A84,'The List'!B1:D665,3,FALSE)</f>
        <v>128</v>
      </c>
      <c r="C84" s="118">
        <f>IF('Settings'!$E$15="POINTS",RANK(E84,E3:E206),H84)</f>
        <v>120</v>
      </c>
      <c r="D84" t="s" s="86">
        <f>VLOOKUP(A84,'The List'!B1:F665,5,FALSE)</f>
        <v>871</v>
      </c>
      <c r="E84" s="77">
        <f>VLOOKUP(A84,'The List'!B1:I665,8,FALSE)</f>
        <v>204.965538609219</v>
      </c>
      <c r="F84" s="77">
        <f>IF('Settings'!$E$15="POINTS",E84-VLOOKUP(B$2,C1:E206,3,FALSE),J84)</f>
        <v>-124.726355471959</v>
      </c>
      <c r="G84" s="77"/>
      <c r="H84" s="223">
        <f>RANK(I84,I3:I206)</f>
        <v>88</v>
      </c>
      <c r="I84" s="77">
        <f>VLOOKUP(A84,'Standard Deviations'!A1:C666,3,FALSE)</f>
        <v>0.322422876277595</v>
      </c>
      <c r="J84" s="84">
        <f>I84-VLOOKUP(B$2,H1:J206,2,FALSE)</f>
        <v>-5.44364193227873</v>
      </c>
    </row>
    <row r="85" ht="21.25" customHeight="1">
      <c r="A85" t="s" s="10">
        <v>477</v>
      </c>
      <c r="B85" t="s" s="117">
        <f>VLOOKUP(A85,'The List'!B1:D665,3,FALSE)</f>
        <v>128</v>
      </c>
      <c r="C85" s="118">
        <f>IF('Settings'!$E$15="POINTS",RANK(E85,E3:E206),H85)</f>
        <v>93</v>
      </c>
      <c r="D85" t="s" s="86">
        <f>VLOOKUP(A85,'The List'!B1:F665,5,FALSE)</f>
        <v>904</v>
      </c>
      <c r="E85" s="77">
        <f>VLOOKUP(A85,'The List'!B1:I665,8,FALSE)</f>
        <v>228.437869129711</v>
      </c>
      <c r="F85" s="77">
        <f>IF('Settings'!$E$15="POINTS",E85-VLOOKUP(B$2,C1:E206,3,FALSE),J85)</f>
        <v>-101.254024951467</v>
      </c>
      <c r="G85" s="77"/>
      <c r="H85" s="223">
        <f>RANK(I85,I3:I206)</f>
        <v>101</v>
      </c>
      <c r="I85" s="77">
        <f>VLOOKUP(A85,'Standard Deviations'!A1:C666,3,FALSE)</f>
        <v>-0.387548701015902</v>
      </c>
      <c r="J85" s="84">
        <f>I85-VLOOKUP(B$2,H1:J206,2,FALSE)</f>
        <v>-6.15361350957222</v>
      </c>
    </row>
    <row r="86" ht="21.25" customHeight="1">
      <c r="A86" t="s" s="10">
        <v>469</v>
      </c>
      <c r="B86" t="s" s="117">
        <f>VLOOKUP(A86,'The List'!B1:D665,3,FALSE)</f>
        <v>128</v>
      </c>
      <c r="C86" s="118">
        <f>IF('Settings'!$E$15="POINTS",RANK(E86,E3:E206),H86)</f>
        <v>92</v>
      </c>
      <c r="D86" t="s" s="86">
        <f>VLOOKUP(A86,'The List'!B1:F665,5,FALSE)</f>
        <v>910</v>
      </c>
      <c r="E86" s="77">
        <f>VLOOKUP(A86,'The List'!B1:I665,8,FALSE)</f>
        <v>229.943633645577</v>
      </c>
      <c r="F86" s="77">
        <f>IF('Settings'!$E$15="POINTS",E86-VLOOKUP(B$2,C1:E206,3,FALSE),J86)</f>
        <v>-99.748260435601</v>
      </c>
      <c r="G86" s="77"/>
      <c r="H86" s="223">
        <f>RANK(I86,I3:I206)</f>
        <v>87</v>
      </c>
      <c r="I86" s="77">
        <f>VLOOKUP(A86,'Standard Deviations'!A1:C666,3,FALSE)</f>
        <v>0.355053987825407</v>
      </c>
      <c r="J86" s="84">
        <f>I86-VLOOKUP(B$2,H1:J206,2,FALSE)</f>
        <v>-5.41101082073091</v>
      </c>
    </row>
    <row r="87" ht="21.25" customHeight="1">
      <c r="A87" t="s" s="10">
        <v>366</v>
      </c>
      <c r="B87" t="s" s="117">
        <f>VLOOKUP(A87,'The List'!B1:D665,3,FALSE)</f>
        <v>145</v>
      </c>
      <c r="C87" s="118">
        <f>IF('Settings'!$E$15="POINTS",RANK(E87,E3:E206),H87)</f>
        <v>55</v>
      </c>
      <c r="D87" t="s" s="86">
        <f>VLOOKUP(A87,'The List'!B1:F665,5,FALSE)</f>
        <v>174</v>
      </c>
      <c r="E87" s="77">
        <f>VLOOKUP(A87,'The List'!B1:I665,8,FALSE)</f>
        <v>274.959767936726</v>
      </c>
      <c r="F87" s="77">
        <f>IF('Settings'!$E$15="POINTS",E87-VLOOKUP(B$2,C1:E206,3,FALSE),J87)</f>
        <v>-54.732126144452</v>
      </c>
      <c r="G87" s="77"/>
      <c r="H87" s="223">
        <f>RANK(I87,I3:I206)</f>
        <v>89</v>
      </c>
      <c r="I87" s="77">
        <f>VLOOKUP(A87,'Standard Deviations'!A1:C666,3,FALSE)</f>
        <v>0.275818135312742</v>
      </c>
      <c r="J87" s="84">
        <f>I87-VLOOKUP(B$2,H1:J206,2,FALSE)</f>
        <v>-5.49024667324358</v>
      </c>
    </row>
    <row r="88" ht="21.25" customHeight="1">
      <c r="A88" t="s" s="10">
        <v>479</v>
      </c>
      <c r="B88" t="s" s="117">
        <f>VLOOKUP(A88,'The List'!B1:D665,3,FALSE)</f>
        <v>145</v>
      </c>
      <c r="C88" s="118">
        <f>IF('Settings'!$E$15="POINTS",RANK(E88,E3:E206),H88)</f>
        <v>90</v>
      </c>
      <c r="D88" t="s" s="86">
        <f>VLOOKUP(A88,'The List'!B1:F665,5,FALSE)</f>
        <v>275</v>
      </c>
      <c r="E88" s="77">
        <f>VLOOKUP(A88,'The List'!B1:I665,8,FALSE)</f>
        <v>233.299422632730</v>
      </c>
      <c r="F88" s="77">
        <f>IF('Settings'!$E$15="POINTS",E88-VLOOKUP(B$2,C1:E206,3,FALSE),J88)</f>
        <v>-96.39247144844801</v>
      </c>
      <c r="G88" s="77"/>
      <c r="H88" s="223">
        <f>RANK(I88,I3:I206)</f>
        <v>77</v>
      </c>
      <c r="I88" s="77">
        <f>VLOOKUP(A88,'Standard Deviations'!A1:C666,3,FALSE)</f>
        <v>0.8196395980386481</v>
      </c>
      <c r="J88" s="84">
        <f>I88-VLOOKUP(B$2,H1:J206,2,FALSE)</f>
        <v>-4.94642521051767</v>
      </c>
    </row>
    <row r="89" ht="21.25" customHeight="1">
      <c r="A89" t="s" s="10">
        <v>644</v>
      </c>
      <c r="B89" t="s" s="117">
        <f>VLOOKUP(A89,'The List'!B1:D665,3,FALSE)</f>
        <v>128</v>
      </c>
      <c r="C89" s="118">
        <f>IF('Settings'!$E$15="POINTS",RANK(E89,E3:E206),H89)</f>
        <v>141</v>
      </c>
      <c r="D89" t="s" s="86">
        <f>VLOOKUP(A89,'The List'!B1:F665,5,FALSE)</f>
        <v>878</v>
      </c>
      <c r="E89" s="77">
        <f>VLOOKUP(A89,'The List'!B1:I665,8,FALSE)</f>
        <v>182.193242935889</v>
      </c>
      <c r="F89" s="77">
        <f>IF('Settings'!$E$15="POINTS",E89-VLOOKUP(B$2,C1:E206,3,FALSE),J89)</f>
        <v>-147.498651145289</v>
      </c>
      <c r="G89" s="77"/>
      <c r="H89" s="223">
        <f>RANK(I89,I3:I206)</f>
        <v>96</v>
      </c>
      <c r="I89" s="77">
        <f>VLOOKUP(A89,'Standard Deviations'!A1:C666,3,FALSE)</f>
        <v>-0.174728700349023</v>
      </c>
      <c r="J89" s="84">
        <f>I89-VLOOKUP(B$2,H1:J206,2,FALSE)</f>
        <v>-5.94079350890534</v>
      </c>
    </row>
    <row r="90" ht="21.25" customHeight="1">
      <c r="A90" t="s" s="10">
        <v>347</v>
      </c>
      <c r="B90" t="s" s="117">
        <f>VLOOKUP(A90,'The List'!B1:D665,3,FALSE)</f>
        <v>128</v>
      </c>
      <c r="C90" s="118">
        <f>IF('Settings'!$E$15="POINTS",RANK(E90,E3:E206),H90)</f>
        <v>56</v>
      </c>
      <c r="D90" t="s" s="86">
        <f>VLOOKUP(A90,'The List'!B1:F665,5,FALSE)</f>
        <v>899</v>
      </c>
      <c r="E90" s="77">
        <f>VLOOKUP(A90,'The List'!B1:I665,8,FALSE)</f>
        <v>274.393075041023</v>
      </c>
      <c r="F90" s="77">
        <f>IF('Settings'!$E$15="POINTS",E90-VLOOKUP(B$2,C1:E206,3,FALSE),J90)</f>
        <v>-55.298819040155</v>
      </c>
      <c r="G90" s="77"/>
      <c r="H90" s="223">
        <f>RANK(I90,I3:I206)</f>
        <v>72</v>
      </c>
      <c r="I90" s="77">
        <f>VLOOKUP(A90,'Standard Deviations'!A1:C666,3,FALSE)</f>
        <v>1.09103971357203</v>
      </c>
      <c r="J90" s="84">
        <f>I90-VLOOKUP(B$2,H1:J206,2,FALSE)</f>
        <v>-4.67502509498429</v>
      </c>
    </row>
    <row r="91" ht="21.25" customHeight="1">
      <c r="A91" t="s" s="10">
        <v>537</v>
      </c>
      <c r="B91" t="s" s="117">
        <f>VLOOKUP(A91,'The List'!B1:D665,3,FALSE)</f>
        <v>145</v>
      </c>
      <c r="C91" s="118">
        <f>IF('Settings'!$E$15="POINTS",RANK(E91,E3:E206),H91)</f>
        <v>110</v>
      </c>
      <c r="D91" t="s" s="86">
        <f>VLOOKUP(A91,'The List'!B1:F665,5,FALSE)</f>
        <v>149</v>
      </c>
      <c r="E91" s="77">
        <f>VLOOKUP(A91,'The List'!B1:I665,8,FALSE)</f>
        <v>216.258554880830</v>
      </c>
      <c r="F91" s="77">
        <f>IF('Settings'!$E$15="POINTS",E91-VLOOKUP(B$2,C1:E206,3,FALSE),J91)</f>
        <v>-113.433339200348</v>
      </c>
      <c r="G91" s="77"/>
      <c r="H91" s="223">
        <f>RANK(I91,I3:I206)</f>
        <v>66</v>
      </c>
      <c r="I91" s="77">
        <f>VLOOKUP(A91,'Standard Deviations'!A1:C666,3,FALSE)</f>
        <v>1.45886683529718</v>
      </c>
      <c r="J91" s="84">
        <f>I91-VLOOKUP(B$2,H1:J206,2,FALSE)</f>
        <v>-4.30719797325914</v>
      </c>
    </row>
    <row r="92" ht="21.25" customHeight="1">
      <c r="A92" t="s" s="10">
        <v>517</v>
      </c>
      <c r="B92" t="s" s="117">
        <f>VLOOKUP(A92,'The List'!B1:D665,3,FALSE)</f>
        <v>128</v>
      </c>
      <c r="C92" s="118">
        <f>IF('Settings'!$E$15="POINTS",RANK(E92,E3:E206),H92)</f>
        <v>108</v>
      </c>
      <c r="D92" t="s" s="86">
        <f>VLOOKUP(A92,'The List'!B1:F665,5,FALSE)</f>
        <v>913</v>
      </c>
      <c r="E92" s="77">
        <f>VLOOKUP(A92,'The List'!B1:I665,8,FALSE)</f>
        <v>216.959499186349</v>
      </c>
      <c r="F92" s="77">
        <f>IF('Settings'!$E$15="POINTS",E92-VLOOKUP(B$2,C1:E206,3,FALSE),J92)</f>
        <v>-112.732394894829</v>
      </c>
      <c r="G92" s="77"/>
      <c r="H92" s="223">
        <f>RANK(I92,I3:I206)</f>
        <v>119</v>
      </c>
      <c r="I92" s="77">
        <f>VLOOKUP(A92,'Standard Deviations'!A1:C666,3,FALSE)</f>
        <v>-1.29298534803739</v>
      </c>
      <c r="J92" s="84">
        <f>I92-VLOOKUP(B$2,H1:J206,2,FALSE)</f>
        <v>-7.05905015659371</v>
      </c>
    </row>
    <row r="93" ht="21.25" customHeight="1">
      <c r="A93" t="s" s="10">
        <v>439</v>
      </c>
      <c r="B93" t="s" s="117">
        <f>VLOOKUP(A93,'The List'!B1:D665,3,FALSE)</f>
        <v>145</v>
      </c>
      <c r="C93" s="118">
        <f>IF('Settings'!$E$15="POINTS",RANK(E93,E3:E206),H93)</f>
        <v>78</v>
      </c>
      <c r="D93" t="s" s="86">
        <f>VLOOKUP(A93,'The List'!B1:F665,5,FALSE)</f>
        <v>259</v>
      </c>
      <c r="E93" s="77">
        <f>VLOOKUP(A93,'The List'!B1:I665,8,FALSE)</f>
        <v>245.075610720755</v>
      </c>
      <c r="F93" s="77">
        <f>IF('Settings'!$E$15="POINTS",E93-VLOOKUP(B$2,C1:E206,3,FALSE),J93)</f>
        <v>-84.616283360423</v>
      </c>
      <c r="G93" s="77"/>
      <c r="H93" s="223">
        <f>RANK(I93,I3:I206)</f>
        <v>74</v>
      </c>
      <c r="I93" s="77">
        <f>VLOOKUP(A93,'Standard Deviations'!A1:C666,3,FALSE)</f>
        <v>0.957336520298755</v>
      </c>
      <c r="J93" s="84">
        <f>I93-VLOOKUP(B$2,H1:J206,2,FALSE)</f>
        <v>-4.80872828825757</v>
      </c>
    </row>
    <row r="94" ht="21.25" customHeight="1">
      <c r="A94" t="s" s="10">
        <v>523</v>
      </c>
      <c r="B94" t="s" s="117">
        <f>VLOOKUP(A94,'The List'!B1:D665,3,FALSE)</f>
        <v>145</v>
      </c>
      <c r="C94" s="118">
        <f>IF('Settings'!$E$15="POINTS",RANK(E94,E3:E206),H94)</f>
        <v>101</v>
      </c>
      <c r="D94" t="s" s="86">
        <f>VLOOKUP(A94,'The List'!B1:F665,5,FALSE)</f>
        <v>913</v>
      </c>
      <c r="E94" s="77">
        <f>VLOOKUP(A94,'The List'!B1:I665,8,FALSE)</f>
        <v>220.676404546592</v>
      </c>
      <c r="F94" s="77">
        <f>IF('Settings'!$E$15="POINTS",E94-VLOOKUP(B$2,C1:E206,3,FALSE),J94)</f>
        <v>-109.015489534586</v>
      </c>
      <c r="G94" s="77"/>
      <c r="H94" s="223">
        <f>RANK(I94,I3:I206)</f>
        <v>125</v>
      </c>
      <c r="I94" s="77">
        <f>VLOOKUP(A94,'Standard Deviations'!A1:C666,3,FALSE)</f>
        <v>-1.67106100741926</v>
      </c>
      <c r="J94" s="84">
        <f>I94-VLOOKUP(B$2,H1:J206,2,FALSE)</f>
        <v>-7.43712581597558</v>
      </c>
    </row>
    <row r="95" ht="21.25" customHeight="1">
      <c r="A95" t="s" s="10">
        <v>443</v>
      </c>
      <c r="B95" t="s" s="117">
        <f>VLOOKUP(A95,'The List'!B1:D665,3,FALSE)</f>
        <v>145</v>
      </c>
      <c r="C95" s="118">
        <f>IF('Settings'!$E$15="POINTS",RANK(E95,E3:E206),H95)</f>
        <v>81</v>
      </c>
      <c r="D95" t="s" s="86">
        <f>VLOOKUP(A95,'The List'!B1:F665,5,FALSE)</f>
        <v>910</v>
      </c>
      <c r="E95" s="77">
        <f>VLOOKUP(A95,'The List'!B1:I665,8,FALSE)</f>
        <v>243.218604292631</v>
      </c>
      <c r="F95" s="77">
        <f>IF('Settings'!$E$15="POINTS",E95-VLOOKUP(B$2,C1:E206,3,FALSE),J95)</f>
        <v>-86.47328978854701</v>
      </c>
      <c r="G95" s="77"/>
      <c r="H95" s="223">
        <f>RANK(I95,I3:I206)</f>
        <v>90</v>
      </c>
      <c r="I95" s="77">
        <f>VLOOKUP(A95,'Standard Deviations'!A1:C666,3,FALSE)</f>
        <v>0.231654203760825</v>
      </c>
      <c r="J95" s="84">
        <f>I95-VLOOKUP(B$2,H1:J206,2,FALSE)</f>
        <v>-5.5344106047955</v>
      </c>
    </row>
    <row r="96" ht="21.25" customHeight="1">
      <c r="A96" t="s" s="10">
        <v>624</v>
      </c>
      <c r="B96" t="s" s="117">
        <f>VLOOKUP(A96,'The List'!B1:D665,3,FALSE)</f>
        <v>128</v>
      </c>
      <c r="C96" s="118">
        <f>IF('Settings'!$E$15="POINTS",RANK(E96,E3:E206),H96)</f>
        <v>133</v>
      </c>
      <c r="D96" t="s" s="86">
        <f>VLOOKUP(A96,'The List'!B1:F665,5,FALSE)</f>
        <v>275</v>
      </c>
      <c r="E96" s="77">
        <f>VLOOKUP(A96,'The List'!B1:I665,8,FALSE)</f>
        <v>189.724365534213</v>
      </c>
      <c r="F96" s="77">
        <f>IF('Settings'!$E$15="POINTS",E96-VLOOKUP(B$2,C1:E206,3,FALSE),J96)</f>
        <v>-139.967528546965</v>
      </c>
      <c r="G96" s="77"/>
      <c r="H96" s="223">
        <f>RANK(I96,I3:I206)</f>
        <v>93</v>
      </c>
      <c r="I96" s="77">
        <f>VLOOKUP(A96,'Standard Deviations'!A1:C666,3,FALSE)</f>
        <v>-0.0666862130132128</v>
      </c>
      <c r="J96" s="84">
        <f>I96-VLOOKUP(B$2,H1:J206,2,FALSE)</f>
        <v>-5.83275102156953</v>
      </c>
    </row>
    <row r="97" ht="21.25" customHeight="1">
      <c r="A97" t="s" s="10">
        <v>502</v>
      </c>
      <c r="B97" t="s" s="117">
        <f>VLOOKUP(A97,'The List'!B1:D665,3,FALSE)</f>
        <v>136</v>
      </c>
      <c r="C97" s="118">
        <f>IF('Settings'!$E$15="POINTS",RANK(E97,E3:E206),H97)</f>
        <v>95</v>
      </c>
      <c r="D97" t="s" s="86">
        <f>VLOOKUP(A97,'The List'!B1:F665,5,FALSE)</f>
        <v>912</v>
      </c>
      <c r="E97" s="77">
        <f>VLOOKUP(A97,'The List'!B1:I665,8,FALSE)</f>
        <v>225.170453987233</v>
      </c>
      <c r="F97" s="77">
        <f>IF('Settings'!$E$15="POINTS",E97-VLOOKUP(B$2,C1:E206,3,FALSE),J97)</f>
        <v>-104.521440093945</v>
      </c>
      <c r="G97" s="77"/>
      <c r="H97" s="223">
        <f>RANK(I97,I3:I206)</f>
        <v>122</v>
      </c>
      <c r="I97" s="77">
        <f>VLOOKUP(A97,'Standard Deviations'!A1:C666,3,FALSE)</f>
        <v>-1.35974619677293</v>
      </c>
      <c r="J97" s="84">
        <f>I97-VLOOKUP(B$2,H1:J206,2,FALSE)</f>
        <v>-7.12581100532925</v>
      </c>
    </row>
    <row r="98" ht="21.25" customHeight="1">
      <c r="A98" t="s" s="10">
        <v>463</v>
      </c>
      <c r="B98" t="s" s="117">
        <f>VLOOKUP(A98,'The List'!B1:D665,3,FALSE)</f>
        <v>128</v>
      </c>
      <c r="C98" s="118">
        <f>IF('Settings'!$E$15="POINTS",RANK(E98,E3:E206),H98)</f>
        <v>91</v>
      </c>
      <c r="D98" t="s" s="86">
        <f>VLOOKUP(A98,'The List'!B1:F665,5,FALSE)</f>
        <v>911</v>
      </c>
      <c r="E98" s="77">
        <f>VLOOKUP(A98,'The List'!B1:I665,8,FALSE)</f>
        <v>230.653257024291</v>
      </c>
      <c r="F98" s="77">
        <f>IF('Settings'!$E$15="POINTS",E98-VLOOKUP(B$2,C1:E206,3,FALSE),J98)</f>
        <v>-99.038637056887</v>
      </c>
      <c r="G98" s="77"/>
      <c r="H98" s="223">
        <f>RANK(I98,I3:I206)</f>
        <v>94</v>
      </c>
      <c r="I98" s="77">
        <f>VLOOKUP(A98,'Standard Deviations'!A1:C666,3,FALSE)</f>
        <v>-0.110217472241077</v>
      </c>
      <c r="J98" s="84">
        <f>I98-VLOOKUP(B$2,H1:J206,2,FALSE)</f>
        <v>-5.8762822807974</v>
      </c>
    </row>
    <row r="99" ht="21.25" customHeight="1">
      <c r="A99" t="s" s="10">
        <v>440</v>
      </c>
      <c r="B99" t="s" s="117">
        <f>VLOOKUP(A99,'The List'!B1:D665,3,FALSE)</f>
        <v>145</v>
      </c>
      <c r="C99" s="118">
        <f>IF('Settings'!$E$15="POINTS",RANK(E99,E3:E206),H99)</f>
        <v>80</v>
      </c>
      <c r="D99" t="s" s="86">
        <f>VLOOKUP(A99,'The List'!B1:F665,5,FALSE)</f>
        <v>899</v>
      </c>
      <c r="E99" s="77">
        <f>VLOOKUP(A99,'The List'!B1:I665,8,FALSE)</f>
        <v>244.002992358096</v>
      </c>
      <c r="F99" s="77">
        <f>IF('Settings'!$E$15="POINTS",E99-VLOOKUP(B$2,C1:E206,3,FALSE),J99)</f>
        <v>-85.688901723082</v>
      </c>
      <c r="G99" s="77"/>
      <c r="H99" s="223">
        <f>RANK(I99,I3:I206)</f>
        <v>80</v>
      </c>
      <c r="I99" s="77">
        <f>VLOOKUP(A99,'Standard Deviations'!A1:C666,3,FALSE)</f>
        <v>0.762506540765718</v>
      </c>
      <c r="J99" s="84">
        <f>I99-VLOOKUP(B$2,H1:J206,2,FALSE)</f>
        <v>-5.0035582677906</v>
      </c>
    </row>
    <row r="100" ht="21.25" customHeight="1">
      <c r="A100" t="s" s="10">
        <v>521</v>
      </c>
      <c r="B100" t="s" s="117">
        <f>VLOOKUP(A100,'The List'!B1:D665,3,FALSE)</f>
        <v>136</v>
      </c>
      <c r="C100" s="118">
        <f>IF('Settings'!$E$15="POINTS",RANK(E100,E3:E206),H100)</f>
        <v>100</v>
      </c>
      <c r="D100" t="s" s="86">
        <f>VLOOKUP(A100,'The List'!B1:F665,5,FALSE)</f>
        <v>174</v>
      </c>
      <c r="E100" s="77">
        <f>VLOOKUP(A100,'The List'!B1:I665,8,FALSE)</f>
        <v>221.567472567814</v>
      </c>
      <c r="F100" s="77">
        <f>IF('Settings'!$E$15="POINTS",E100-VLOOKUP(B$2,C1:E206,3,FALSE),J100)</f>
        <v>-108.124421513364</v>
      </c>
      <c r="G100" s="77"/>
      <c r="H100" s="223">
        <f>RANK(I100,I3:I206)</f>
        <v>100</v>
      </c>
      <c r="I100" s="77">
        <f>VLOOKUP(A100,'Standard Deviations'!A1:C666,3,FALSE)</f>
        <v>-0.312268507884213</v>
      </c>
      <c r="J100" s="84">
        <f>I100-VLOOKUP(B$2,H1:J206,2,FALSE)</f>
        <v>-6.07833331644053</v>
      </c>
    </row>
    <row r="101" ht="21.25" customHeight="1">
      <c r="A101" t="s" s="10">
        <v>574</v>
      </c>
      <c r="B101" t="s" s="117">
        <f>VLOOKUP(A101,'The List'!B1:D665,3,FALSE)</f>
        <v>128</v>
      </c>
      <c r="C101" s="118">
        <f>IF('Settings'!$E$15="POINTS",RANK(E101,E3:E206),H101)</f>
        <v>121</v>
      </c>
      <c r="D101" t="s" s="86">
        <f>VLOOKUP(A101,'The List'!B1:F665,5,FALSE)</f>
        <v>911</v>
      </c>
      <c r="E101" s="77">
        <f>VLOOKUP(A101,'The List'!B1:I665,8,FALSE)</f>
        <v>201.924581686643</v>
      </c>
      <c r="F101" s="77">
        <f>IF('Settings'!$E$15="POINTS",E101-VLOOKUP(B$2,C1:E206,3,FALSE),J101)</f>
        <v>-127.767312394535</v>
      </c>
      <c r="G101" s="77"/>
      <c r="H101" s="223">
        <f>RANK(I101,I3:I206)</f>
        <v>97</v>
      </c>
      <c r="I101" s="77">
        <f>VLOOKUP(A101,'Standard Deviations'!A1:C666,3,FALSE)</f>
        <v>-0.191045832354655</v>
      </c>
      <c r="J101" s="84">
        <f>I101-VLOOKUP(B$2,H1:J206,2,FALSE)</f>
        <v>-5.95711064091098</v>
      </c>
    </row>
    <row r="102" ht="21.25" customHeight="1">
      <c r="A102" t="s" s="10">
        <v>360</v>
      </c>
      <c r="B102" t="s" s="117">
        <f>VLOOKUP(A102,'The List'!B1:D665,3,FALSE)</f>
        <v>136</v>
      </c>
      <c r="C102" s="118">
        <f>IF('Settings'!$E$15="POINTS",RANK(E102,E3:E206),H102)</f>
        <v>54</v>
      </c>
      <c r="D102" t="s" s="86">
        <f>VLOOKUP(A102,'The List'!B1:F665,5,FALSE)</f>
        <v>903</v>
      </c>
      <c r="E102" s="77">
        <f>VLOOKUP(A102,'The List'!B1:I665,8,FALSE)</f>
        <v>276.088639020191</v>
      </c>
      <c r="F102" s="77">
        <f>IF('Settings'!$E$15="POINTS",E102-VLOOKUP(B$2,C1:E206,3,FALSE),J102)</f>
        <v>-53.603255060987</v>
      </c>
      <c r="G102" s="77"/>
      <c r="H102" s="223">
        <f>RANK(I102,I3:I206)</f>
        <v>84</v>
      </c>
      <c r="I102" s="77">
        <f>VLOOKUP(A102,'Standard Deviations'!A1:C666,3,FALSE)</f>
        <v>0.494191793279049</v>
      </c>
      <c r="J102" s="84">
        <f>I102-VLOOKUP(B$2,H1:J206,2,FALSE)</f>
        <v>-5.27187301527727</v>
      </c>
    </row>
    <row r="103" ht="21.25" customHeight="1">
      <c r="A103" t="s" s="10">
        <v>553</v>
      </c>
      <c r="B103" t="s" s="117">
        <f>VLOOKUP(A103,'The List'!B1:D665,3,FALSE)</f>
        <v>554</v>
      </c>
      <c r="C103" s="118">
        <f>IF('Settings'!$E$15="POINTS",RANK(E103,E3:E206),H103)</f>
        <v>113</v>
      </c>
      <c r="D103" t="s" s="86">
        <f>VLOOKUP(A103,'The List'!B1:F665,5,FALSE)</f>
        <v>156</v>
      </c>
      <c r="E103" s="77">
        <f>VLOOKUP(A103,'The List'!B1:I665,8,FALSE)</f>
        <v>212.040273084470</v>
      </c>
      <c r="F103" s="77">
        <f>IF('Settings'!$E$15="POINTS",E103-VLOOKUP(B$2,C1:E206,3,FALSE),J103)</f>
        <v>-117.651620996708</v>
      </c>
      <c r="G103" s="77"/>
      <c r="H103" s="223">
        <f>RANK(I103,I3:I206)</f>
        <v>106</v>
      </c>
      <c r="I103" s="77">
        <f>VLOOKUP(A103,'Standard Deviations'!A1:C666,3,FALSE)</f>
        <v>-0.712640770411608</v>
      </c>
      <c r="J103" s="84">
        <f>I103-VLOOKUP(B$2,H1:J206,2,FALSE)</f>
        <v>-6.47870557896793</v>
      </c>
    </row>
    <row r="104" ht="21.25" customHeight="1">
      <c r="A104" t="s" s="10">
        <v>575</v>
      </c>
      <c r="B104" t="s" s="117">
        <f>VLOOKUP(A104,'The List'!B1:D665,3,FALSE)</f>
        <v>136</v>
      </c>
      <c r="C104" s="118">
        <f>IF('Settings'!$E$15="POINTS",RANK(E104,E3:E206),H104)</f>
        <v>116</v>
      </c>
      <c r="D104" t="s" s="86">
        <f>VLOOKUP(A104,'The List'!B1:F665,5,FALSE)</f>
        <v>149</v>
      </c>
      <c r="E104" s="77">
        <f>VLOOKUP(A104,'The List'!B1:I665,8,FALSE)</f>
        <v>206.982312925074</v>
      </c>
      <c r="F104" s="77">
        <f>IF('Settings'!$E$15="POINTS",E104-VLOOKUP(B$2,C1:E206,3,FALSE),J104)</f>
        <v>-122.709581156104</v>
      </c>
      <c r="G104" s="77"/>
      <c r="H104" s="223">
        <f>RANK(I104,I3:I206)</f>
        <v>68</v>
      </c>
      <c r="I104" s="77">
        <f>VLOOKUP(A104,'Standard Deviations'!A1:C666,3,FALSE)</f>
        <v>1.28037295444817</v>
      </c>
      <c r="J104" s="84">
        <f>I104-VLOOKUP(B$2,H1:J206,2,FALSE)</f>
        <v>-4.48569185410815</v>
      </c>
    </row>
    <row r="105" ht="21.25" customHeight="1">
      <c r="A105" t="s" s="10">
        <v>493</v>
      </c>
      <c r="B105" t="s" s="117">
        <f>VLOOKUP(A105,'The List'!B1:D665,3,FALSE)</f>
        <v>136</v>
      </c>
      <c r="C105" s="118">
        <f>IF('Settings'!$E$15="POINTS",RANK(E105,E3:E206),H105)</f>
        <v>94</v>
      </c>
      <c r="D105" t="s" s="86">
        <f>VLOOKUP(A105,'The List'!B1:F665,5,FALSE)</f>
        <v>129</v>
      </c>
      <c r="E105" s="77">
        <f>VLOOKUP(A105,'The List'!B1:I665,8,FALSE)</f>
        <v>228.035444042432</v>
      </c>
      <c r="F105" s="77">
        <f>IF('Settings'!$E$15="POINTS",E105-VLOOKUP(B$2,C1:E206,3,FALSE),J105)</f>
        <v>-101.656450038746</v>
      </c>
      <c r="G105" s="77"/>
      <c r="H105" s="223">
        <f>RANK(I105,I3:I206)</f>
        <v>99</v>
      </c>
      <c r="I105" s="77">
        <f>VLOOKUP(A105,'Standard Deviations'!A1:C666,3,FALSE)</f>
        <v>-0.274171546405</v>
      </c>
      <c r="J105" s="84">
        <f>I105-VLOOKUP(B$2,H1:J206,2,FALSE)</f>
        <v>-6.04023635496132</v>
      </c>
    </row>
    <row r="106" ht="21.25" customHeight="1">
      <c r="A106" t="s" s="10">
        <v>654</v>
      </c>
      <c r="B106" t="s" s="117">
        <f>VLOOKUP(A106,'The List'!B1:D665,3,FALSE)</f>
        <v>145</v>
      </c>
      <c r="C106" s="118">
        <f>IF('Settings'!$E$15="POINTS",RANK(E106,E3:E206),H106)</f>
        <v>139</v>
      </c>
      <c r="D106" t="s" s="86">
        <f>VLOOKUP(A106,'The List'!B1:F665,5,FALSE)</f>
        <v>905</v>
      </c>
      <c r="E106" s="77">
        <f>VLOOKUP(A106,'The List'!B1:I665,8,FALSE)</f>
        <v>184.645887838037</v>
      </c>
      <c r="F106" s="77">
        <f>IF('Settings'!$E$15="POINTS",E106-VLOOKUP(B$2,C1:E206,3,FALSE),J106)</f>
        <v>-145.046006243141</v>
      </c>
      <c r="G106" s="77"/>
      <c r="H106" s="223">
        <f>RANK(I106,I3:I206)</f>
        <v>145</v>
      </c>
      <c r="I106" s="77">
        <f>VLOOKUP(A106,'Standard Deviations'!A1:C666,3,FALSE)</f>
        <v>-2.67657297097521</v>
      </c>
      <c r="J106" s="84">
        <f>I106-VLOOKUP(B$2,H1:J206,2,FALSE)</f>
        <v>-8.44263777953153</v>
      </c>
    </row>
    <row r="107" ht="21.25" customHeight="1">
      <c r="A107" t="s" s="10">
        <v>593</v>
      </c>
      <c r="B107" t="s" s="117">
        <f>VLOOKUP(A107,'The List'!B1:D665,3,FALSE)</f>
        <v>128</v>
      </c>
      <c r="C107" s="118">
        <f>IF('Settings'!$E$15="POINTS",RANK(E107,E3:E206),H107)</f>
        <v>126</v>
      </c>
      <c r="D107" t="s" s="86">
        <f>VLOOKUP(A107,'The List'!B1:F665,5,FALSE)</f>
        <v>192</v>
      </c>
      <c r="E107" s="77">
        <f>VLOOKUP(A107,'The List'!B1:I665,8,FALSE)</f>
        <v>197.332986209653</v>
      </c>
      <c r="F107" s="77">
        <f>IF('Settings'!$E$15="POINTS",E107-VLOOKUP(B$2,C1:E206,3,FALSE),J107)</f>
        <v>-132.358907871525</v>
      </c>
      <c r="G107" s="77"/>
      <c r="H107" s="223">
        <f>RANK(I107,I3:I206)</f>
        <v>120</v>
      </c>
      <c r="I107" s="77">
        <f>VLOOKUP(A107,'Standard Deviations'!A1:C666,3,FALSE)</f>
        <v>-1.32913478811772</v>
      </c>
      <c r="J107" s="84">
        <f>I107-VLOOKUP(B$2,H1:J206,2,FALSE)</f>
        <v>-7.09519959667404</v>
      </c>
    </row>
    <row r="108" ht="21.25" customHeight="1">
      <c r="A108" t="s" s="10">
        <v>529</v>
      </c>
      <c r="B108" t="s" s="117">
        <f>VLOOKUP(A108,'The List'!B1:D665,3,FALSE)</f>
        <v>128</v>
      </c>
      <c r="C108" s="118">
        <f>IF('Settings'!$E$15="POINTS",RANK(E108,E3:E206),H108)</f>
        <v>112</v>
      </c>
      <c r="D108" t="s" s="86">
        <f>VLOOKUP(A108,'The List'!B1:F665,5,FALSE)</f>
        <v>342</v>
      </c>
      <c r="E108" s="77">
        <f>VLOOKUP(A108,'The List'!B1:I665,8,FALSE)</f>
        <v>213.727177902738</v>
      </c>
      <c r="F108" s="77">
        <f>IF('Settings'!$E$15="POINTS",E108-VLOOKUP(B$2,C1:E206,3,FALSE),J108)</f>
        <v>-115.964716178440</v>
      </c>
      <c r="G108" s="77"/>
      <c r="H108" s="223">
        <f>RANK(I108,I3:I206)</f>
        <v>79</v>
      </c>
      <c r="I108" s="77">
        <f>VLOOKUP(A108,'Standard Deviations'!A1:C666,3,FALSE)</f>
        <v>0.78305213257355</v>
      </c>
      <c r="J108" s="84">
        <f>I108-VLOOKUP(B$2,H1:J206,2,FALSE)</f>
        <v>-4.98301267598277</v>
      </c>
    </row>
    <row r="109" ht="21.25" customHeight="1">
      <c r="A109" t="s" s="10">
        <v>715</v>
      </c>
      <c r="B109" t="s" s="117">
        <f>VLOOKUP(A109,'The List'!B1:D665,3,FALSE)</f>
        <v>128</v>
      </c>
      <c r="C109" s="118">
        <f>IF('Settings'!$E$15="POINTS",RANK(E109,E3:E206),H109)</f>
        <v>163</v>
      </c>
      <c r="D109" t="s" s="86">
        <f>VLOOKUP(A109,'The List'!B1:F665,5,FALSE)</f>
        <v>909</v>
      </c>
      <c r="E109" s="77">
        <f>VLOOKUP(A109,'The List'!B1:I665,8,FALSE)</f>
        <v>160.935371215133</v>
      </c>
      <c r="F109" s="77">
        <f>IF('Settings'!$E$15="POINTS",E109-VLOOKUP(B$2,C1:E206,3,FALSE),J109)</f>
        <v>-168.756522866045</v>
      </c>
      <c r="G109" s="77"/>
      <c r="H109" s="223">
        <f>RANK(I109,I3:I206)</f>
        <v>142</v>
      </c>
      <c r="I109" s="77">
        <f>VLOOKUP(A109,'Standard Deviations'!A1:C666,3,FALSE)</f>
        <v>-2.49365699621147</v>
      </c>
      <c r="J109" s="84">
        <f>I109-VLOOKUP(B$2,H1:J206,2,FALSE)</f>
        <v>-8.259721804767789</v>
      </c>
    </row>
    <row r="110" ht="21.25" customHeight="1">
      <c r="A110" t="s" s="10">
        <v>625</v>
      </c>
      <c r="B110" t="s" s="117">
        <f>VLOOKUP(A110,'The List'!B1:D665,3,FALSE)</f>
        <v>128</v>
      </c>
      <c r="C110" s="118">
        <f>IF('Settings'!$E$15="POINTS",RANK(E110,E3:E206),H110)</f>
        <v>134</v>
      </c>
      <c r="D110" t="s" s="86">
        <f>VLOOKUP(A110,'The List'!B1:F665,5,FALSE)</f>
        <v>909</v>
      </c>
      <c r="E110" s="77">
        <f>VLOOKUP(A110,'The List'!B1:I665,8,FALSE)</f>
        <v>189.671546133777</v>
      </c>
      <c r="F110" s="77">
        <f>IF('Settings'!$E$15="POINTS",E110-VLOOKUP(B$2,C1:E206,3,FALSE),J110)</f>
        <v>-140.020347947401</v>
      </c>
      <c r="G110" s="77"/>
      <c r="H110" s="223">
        <f>RANK(I110,I3:I206)</f>
        <v>131</v>
      </c>
      <c r="I110" s="77">
        <f>VLOOKUP(A110,'Standard Deviations'!A1:C666,3,FALSE)</f>
        <v>-1.83864737512743</v>
      </c>
      <c r="J110" s="84">
        <f>I110-VLOOKUP(B$2,H1:J206,2,FALSE)</f>
        <v>-7.60471218368375</v>
      </c>
    </row>
    <row r="111" ht="21.25" customHeight="1">
      <c r="A111" t="s" s="10">
        <v>673</v>
      </c>
      <c r="B111" t="s" s="117">
        <f>VLOOKUP(A111,'The List'!B1:D665,3,FALSE)</f>
        <v>145</v>
      </c>
      <c r="C111" s="118">
        <f>IF('Settings'!$E$15="POINTS",RANK(E111,E3:E206),H111)</f>
        <v>143</v>
      </c>
      <c r="D111" t="s" s="86">
        <f>VLOOKUP(A111,'The List'!B1:F665,5,FALSE)</f>
        <v>174</v>
      </c>
      <c r="E111" s="77">
        <f>VLOOKUP(A111,'The List'!B1:I665,8,FALSE)</f>
        <v>178.425040179140</v>
      </c>
      <c r="F111" s="77">
        <f>IF('Settings'!$E$15="POINTS",E111-VLOOKUP(B$2,C1:E206,3,FALSE),J111)</f>
        <v>-151.266853902038</v>
      </c>
      <c r="G111" s="77"/>
      <c r="H111" s="223">
        <f>RANK(I111,I3:I206)</f>
        <v>123</v>
      </c>
      <c r="I111" s="77">
        <f>VLOOKUP(A111,'Standard Deviations'!A1:C666,3,FALSE)</f>
        <v>-1.36776484270839</v>
      </c>
      <c r="J111" s="84">
        <f>I111-VLOOKUP(B$2,H1:J206,2,FALSE)</f>
        <v>-7.13382965126471</v>
      </c>
    </row>
    <row r="112" ht="21.25" customHeight="1">
      <c r="A112" t="s" s="10">
        <v>634</v>
      </c>
      <c r="B112" t="s" s="117">
        <f>VLOOKUP(A112,'The List'!B1:D665,3,FALSE)</f>
        <v>128</v>
      </c>
      <c r="C112" s="118">
        <f>IF('Settings'!$E$15="POINTS",RANK(E112,E3:E206),H112)</f>
        <v>138</v>
      </c>
      <c r="D112" t="s" s="86">
        <f>VLOOKUP(A112,'The List'!B1:F665,5,FALSE)</f>
        <v>132</v>
      </c>
      <c r="E112" s="77">
        <f>VLOOKUP(A112,'The List'!B1:I665,8,FALSE)</f>
        <v>185.952016994283</v>
      </c>
      <c r="F112" s="77">
        <f>IF('Settings'!$E$15="POINTS",E112-VLOOKUP(B$2,C1:E206,3,FALSE),J112)</f>
        <v>-143.739877086895</v>
      </c>
      <c r="G112" s="77"/>
      <c r="H112" s="223">
        <f>RANK(I112,I3:I206)</f>
        <v>83</v>
      </c>
      <c r="I112" s="77">
        <f>VLOOKUP(A112,'Standard Deviations'!A1:C666,3,FALSE)</f>
        <v>0.512574510882885</v>
      </c>
      <c r="J112" s="84">
        <f>I112-VLOOKUP(B$2,H1:J206,2,FALSE)</f>
        <v>-5.25349029767344</v>
      </c>
    </row>
    <row r="113" ht="21.25" customHeight="1">
      <c r="A113" t="s" s="10">
        <v>415</v>
      </c>
      <c r="B113" t="s" s="117">
        <f>VLOOKUP(A113,'The List'!B1:D665,3,FALSE)</f>
        <v>128</v>
      </c>
      <c r="C113" s="118">
        <f>IF('Settings'!$E$15="POINTS",RANK(E113,E3:E206),H113)</f>
        <v>76</v>
      </c>
      <c r="D113" t="s" s="86">
        <f>VLOOKUP(A113,'The List'!B1:F665,5,FALSE)</f>
        <v>156</v>
      </c>
      <c r="E113" s="77">
        <f>VLOOKUP(A113,'The List'!B1:I665,8,FALSE)</f>
        <v>246.043119965554</v>
      </c>
      <c r="F113" s="77">
        <f>IF('Settings'!$E$15="POINTS",E113-VLOOKUP(B$2,C1:E206,3,FALSE),J113)</f>
        <v>-83.64877411562399</v>
      </c>
      <c r="G113" s="77"/>
      <c r="H113" s="223">
        <f>RANK(I113,I3:I206)</f>
        <v>129</v>
      </c>
      <c r="I113" s="77">
        <f>VLOOKUP(A113,'Standard Deviations'!A1:C666,3,FALSE)</f>
        <v>-1.81722078993685</v>
      </c>
      <c r="J113" s="84">
        <f>I113-VLOOKUP(B$2,H1:J206,2,FALSE)</f>
        <v>-7.58328559849317</v>
      </c>
    </row>
    <row r="114" ht="21.25" customHeight="1">
      <c r="A114" t="s" s="10">
        <v>536</v>
      </c>
      <c r="B114" t="s" s="117">
        <f>VLOOKUP(A114,'The List'!B1:D665,3,FALSE)</f>
        <v>128</v>
      </c>
      <c r="C114" s="118">
        <f>IF('Settings'!$E$15="POINTS",RANK(E114,E3:E206),H114)</f>
        <v>114</v>
      </c>
      <c r="D114" t="s" s="86">
        <f>VLOOKUP(A114,'The List'!B1:F665,5,FALSE)</f>
        <v>904</v>
      </c>
      <c r="E114" s="77">
        <f>VLOOKUP(A114,'The List'!B1:I665,8,FALSE)</f>
        <v>211.396164667561</v>
      </c>
      <c r="F114" s="77">
        <f>IF('Settings'!$E$15="POINTS",E114-VLOOKUP(B$2,C1:E206,3,FALSE),J114)</f>
        <v>-118.295729413617</v>
      </c>
      <c r="G114" s="77"/>
      <c r="H114" s="223">
        <f>RANK(I114,I3:I206)</f>
        <v>121</v>
      </c>
      <c r="I114" s="77">
        <f>VLOOKUP(A114,'Standard Deviations'!A1:C666,3,FALSE)</f>
        <v>-1.33172586433082</v>
      </c>
      <c r="J114" s="84">
        <f>I114-VLOOKUP(B$2,H1:J206,2,FALSE)</f>
        <v>-7.09779067288714</v>
      </c>
    </row>
    <row r="115" ht="21.25" customHeight="1">
      <c r="A115" t="s" s="10">
        <v>449</v>
      </c>
      <c r="B115" t="s" s="117">
        <f>VLOOKUP(A115,'The List'!B1:D665,3,FALSE)</f>
        <v>128</v>
      </c>
      <c r="C115" s="118">
        <f>IF('Settings'!$E$15="POINTS",RANK(E115,E3:E206),H115)</f>
        <v>86</v>
      </c>
      <c r="D115" t="s" s="86">
        <f>VLOOKUP(A115,'The List'!B1:F665,5,FALSE)</f>
        <v>911</v>
      </c>
      <c r="E115" s="77">
        <f>VLOOKUP(A115,'The List'!B1:I665,8,FALSE)</f>
        <v>236.268452259899</v>
      </c>
      <c r="F115" s="77">
        <f>IF('Settings'!$E$15="POINTS",E115-VLOOKUP(B$2,C1:E206,3,FALSE),J115)</f>
        <v>-93.423441821279</v>
      </c>
      <c r="G115" s="77"/>
      <c r="H115" s="223">
        <f>RANK(I115,I3:I206)</f>
        <v>124</v>
      </c>
      <c r="I115" s="77">
        <f>VLOOKUP(A115,'Standard Deviations'!A1:C666,3,FALSE)</f>
        <v>-1.49174319376564</v>
      </c>
      <c r="J115" s="84">
        <f>I115-VLOOKUP(B$2,H1:J206,2,FALSE)</f>
        <v>-7.25780800232196</v>
      </c>
    </row>
    <row r="116" ht="21.25" customHeight="1">
      <c r="A116" t="s" s="10">
        <v>769</v>
      </c>
      <c r="B116" t="s" s="117">
        <f>VLOOKUP(A116,'The List'!B1:D665,3,FALSE)</f>
        <v>128</v>
      </c>
      <c r="C116" s="118">
        <f>IF('Settings'!$E$15="POINTS",RANK(E116,E3:E206),H116)</f>
        <v>181</v>
      </c>
      <c r="D116" t="s" s="86">
        <f>VLOOKUP(A116,'The List'!B1:F665,5,FALSE)</f>
        <v>899</v>
      </c>
      <c r="E116" s="77">
        <f>VLOOKUP(A116,'The List'!B1:I665,8,FALSE)</f>
        <v>146.363992288450</v>
      </c>
      <c r="F116" s="77">
        <f>IF('Settings'!$E$15="POINTS",E116-VLOOKUP(B$2,C1:E206,3,FALSE),J116)</f>
        <v>-183.327901792728</v>
      </c>
      <c r="G116" s="77"/>
      <c r="H116" s="223">
        <f>RANK(I116,I3:I206)</f>
        <v>136</v>
      </c>
      <c r="I116" s="77">
        <f>VLOOKUP(A116,'Standard Deviations'!A1:C666,3,FALSE)</f>
        <v>-2.16256059619132</v>
      </c>
      <c r="J116" s="84">
        <f>I116-VLOOKUP(B$2,H1:J206,2,FALSE)</f>
        <v>-7.92862540474764</v>
      </c>
    </row>
    <row r="117" ht="21.25" customHeight="1">
      <c r="A117" t="s" s="10">
        <v>689</v>
      </c>
      <c r="B117" t="s" s="117">
        <f>VLOOKUP(A117,'The List'!B1:D665,3,FALSE)</f>
        <v>128</v>
      </c>
      <c r="C117" s="118">
        <f>IF('Settings'!$E$15="POINTS",RANK(E117,E3:E206),H117)</f>
        <v>151</v>
      </c>
      <c r="D117" t="s" s="86">
        <f>VLOOKUP(A117,'The List'!B1:F665,5,FALSE)</f>
        <v>911</v>
      </c>
      <c r="E117" s="77">
        <f>VLOOKUP(A117,'The List'!B1:I665,8,FALSE)</f>
        <v>169.167095893387</v>
      </c>
      <c r="F117" s="77">
        <f>IF('Settings'!$E$15="POINTS",E117-VLOOKUP(B$2,C1:E206,3,FALSE),J117)</f>
        <v>-160.524798187791</v>
      </c>
      <c r="G117" s="77"/>
      <c r="H117" s="223">
        <f>RANK(I117,I3:I206)</f>
        <v>130</v>
      </c>
      <c r="I117" s="77">
        <f>VLOOKUP(A117,'Standard Deviations'!A1:C666,3,FALSE)</f>
        <v>-1.83337523816325</v>
      </c>
      <c r="J117" s="84">
        <f>I117-VLOOKUP(B$2,H1:J206,2,FALSE)</f>
        <v>-7.59944004671957</v>
      </c>
    </row>
    <row r="118" ht="21.25" customHeight="1">
      <c r="A118" t="s" s="10">
        <v>518</v>
      </c>
      <c r="B118" t="s" s="117">
        <f>VLOOKUP(A118,'The List'!B1:D665,3,FALSE)</f>
        <v>128</v>
      </c>
      <c r="C118" s="118">
        <f>IF('Settings'!$E$15="POINTS",RANK(E118,E3:E206),H118)</f>
        <v>109</v>
      </c>
      <c r="D118" t="s" s="86">
        <f>VLOOKUP(A118,'The List'!B1:F665,5,FALSE)</f>
        <v>914</v>
      </c>
      <c r="E118" s="77">
        <f>VLOOKUP(A118,'The List'!B1:I665,8,FALSE)</f>
        <v>216.940205532548</v>
      </c>
      <c r="F118" s="77">
        <f>IF('Settings'!$E$15="POINTS",E118-VLOOKUP(B$2,C1:E206,3,FALSE),J118)</f>
        <v>-112.751688548630</v>
      </c>
      <c r="G118" s="77"/>
      <c r="H118" s="223">
        <f>RANK(I118,I3:I206)</f>
        <v>165</v>
      </c>
      <c r="I118" s="77">
        <f>VLOOKUP(A118,'Standard Deviations'!A1:C666,3,FALSE)</f>
        <v>-3.24719529277182</v>
      </c>
      <c r="J118" s="84">
        <f>I118-VLOOKUP(B$2,H1:J206,2,FALSE)</f>
        <v>-9.013260101328139</v>
      </c>
    </row>
    <row r="119" ht="21.25" customHeight="1">
      <c r="A119" t="s" s="10">
        <v>745</v>
      </c>
      <c r="B119" t="s" s="117">
        <f>VLOOKUP(A119,'The List'!B1:D665,3,FALSE)</f>
        <v>128</v>
      </c>
      <c r="C119" s="118">
        <f>IF('Settings'!$E$15="POINTS",RANK(E119,E3:E206),H119)</f>
        <v>177</v>
      </c>
      <c r="D119" t="s" s="86">
        <f>VLOOKUP(A119,'The List'!B1:F665,5,FALSE)</f>
        <v>165</v>
      </c>
      <c r="E119" s="77">
        <f>VLOOKUP(A119,'The List'!B1:I665,8,FALSE)</f>
        <v>152.760011420672</v>
      </c>
      <c r="F119" s="77">
        <f>IF('Settings'!$E$15="POINTS",E119-VLOOKUP(B$2,C1:E206,3,FALSE),J119)</f>
        <v>-176.931882660506</v>
      </c>
      <c r="G119" s="77"/>
      <c r="H119" s="223">
        <f>RANK(I119,I3:I206)</f>
        <v>135</v>
      </c>
      <c r="I119" s="77">
        <f>VLOOKUP(A119,'Standard Deviations'!A1:C666,3,FALSE)</f>
        <v>-2.06377626525666</v>
      </c>
      <c r="J119" s="84">
        <f>I119-VLOOKUP(B$2,H1:J206,2,FALSE)</f>
        <v>-7.82984107381298</v>
      </c>
    </row>
    <row r="120" ht="21.25" customHeight="1">
      <c r="A120" t="s" s="10">
        <v>532</v>
      </c>
      <c r="B120" t="s" s="117">
        <f>VLOOKUP(A120,'The List'!B1:D665,3,FALSE)</f>
        <v>136</v>
      </c>
      <c r="C120" s="118">
        <f>IF('Settings'!$E$15="POINTS",RANK(E120,E3:E206),H120)</f>
        <v>106</v>
      </c>
      <c r="D120" t="s" s="86">
        <f>VLOOKUP(A120,'The List'!B1:F665,5,FALSE)</f>
        <v>866</v>
      </c>
      <c r="E120" s="77">
        <f>VLOOKUP(A120,'The List'!B1:I665,8,FALSE)</f>
        <v>217.843309598424</v>
      </c>
      <c r="F120" s="77">
        <f>IF('Settings'!$E$15="POINTS",E120-VLOOKUP(B$2,C1:E206,3,FALSE),J120)</f>
        <v>-111.848584482754</v>
      </c>
      <c r="G120" s="77"/>
      <c r="H120" s="223">
        <f>RANK(I120,I3:I206)</f>
        <v>104</v>
      </c>
      <c r="I120" s="77">
        <f>VLOOKUP(A120,'Standard Deviations'!A1:C666,3,FALSE)</f>
        <v>-0.668636256169563</v>
      </c>
      <c r="J120" s="84">
        <f>I120-VLOOKUP(B$2,H1:J206,2,FALSE)</f>
        <v>-6.43470106472588</v>
      </c>
    </row>
    <row r="121" ht="21.25" customHeight="1">
      <c r="A121" t="s" s="10">
        <v>613</v>
      </c>
      <c r="B121" t="s" s="117">
        <f>VLOOKUP(A121,'The List'!B1:D665,3,FALSE)</f>
        <v>145</v>
      </c>
      <c r="C121" s="118">
        <f>IF('Settings'!$E$15="POINTS",RANK(E121,E3:E206),H121)</f>
        <v>127</v>
      </c>
      <c r="D121" t="s" s="86">
        <f>VLOOKUP(A121,'The List'!B1:F665,5,FALSE)</f>
        <v>903</v>
      </c>
      <c r="E121" s="77">
        <f>VLOOKUP(A121,'The List'!B1:I665,8,FALSE)</f>
        <v>197.310827194617</v>
      </c>
      <c r="F121" s="77">
        <f>IF('Settings'!$E$15="POINTS",E121-VLOOKUP(B$2,C1:E206,3,FALSE),J121)</f>
        <v>-132.381066886561</v>
      </c>
      <c r="G121" s="77"/>
      <c r="H121" s="223">
        <f>RANK(I121,I3:I206)</f>
        <v>110</v>
      </c>
      <c r="I121" s="77">
        <f>VLOOKUP(A121,'Standard Deviations'!A1:C666,3,FALSE)</f>
        <v>-0.913052162695858</v>
      </c>
      <c r="J121" s="84">
        <f>I121-VLOOKUP(B$2,H1:J206,2,FALSE)</f>
        <v>-6.67911697125218</v>
      </c>
    </row>
    <row r="122" ht="21.25" customHeight="1">
      <c r="A122" t="s" s="10">
        <v>761</v>
      </c>
      <c r="B122" t="s" s="117">
        <f>VLOOKUP(A122,'The List'!B1:D665,3,FALSE)</f>
        <v>128</v>
      </c>
      <c r="C122" s="118">
        <f>IF('Settings'!$E$15="POINTS",RANK(E122,E3:E206),H122)</f>
        <v>178</v>
      </c>
      <c r="D122" t="s" s="86">
        <f>VLOOKUP(A122,'The List'!B1:F665,5,FALSE)</f>
        <v>914</v>
      </c>
      <c r="E122" s="77">
        <f>VLOOKUP(A122,'The List'!B1:I665,8,FALSE)</f>
        <v>148.322685617994</v>
      </c>
      <c r="F122" s="77">
        <f>IF('Settings'!$E$15="POINTS",E122-VLOOKUP(B$2,C1:E206,3,FALSE),J122)</f>
        <v>-181.369208463184</v>
      </c>
      <c r="G122" s="77"/>
      <c r="H122" s="223">
        <f>RANK(I122,I3:I206)</f>
        <v>166</v>
      </c>
      <c r="I122" s="77">
        <f>VLOOKUP(A122,'Standard Deviations'!A1:C666,3,FALSE)</f>
        <v>-3.28885355628027</v>
      </c>
      <c r="J122" s="84">
        <f>I122-VLOOKUP(B$2,H1:J206,2,FALSE)</f>
        <v>-9.05491836483659</v>
      </c>
    </row>
    <row r="123" ht="21.25" customHeight="1">
      <c r="A123" t="s" s="10">
        <v>490</v>
      </c>
      <c r="B123" t="s" s="117">
        <f>VLOOKUP(A123,'The List'!B1:D665,3,FALSE)</f>
        <v>128</v>
      </c>
      <c r="C123" s="118">
        <f>IF('Settings'!$E$15="POINTS",RANK(E123,E3:E206),H123)</f>
        <v>97</v>
      </c>
      <c r="D123" t="s" s="86">
        <f>VLOOKUP(A123,'The List'!B1:F665,5,FALSE)</f>
        <v>908</v>
      </c>
      <c r="E123" s="77">
        <f>VLOOKUP(A123,'The List'!B1:I665,8,FALSE)</f>
        <v>223.744960971686</v>
      </c>
      <c r="F123" s="77">
        <f>IF('Settings'!$E$15="POINTS",E123-VLOOKUP(B$2,C1:E206,3,FALSE),J123)</f>
        <v>-105.946933109492</v>
      </c>
      <c r="G123" s="77"/>
      <c r="H123" s="223">
        <f>RANK(I123,I3:I206)</f>
        <v>117</v>
      </c>
      <c r="I123" s="77">
        <f>VLOOKUP(A123,'Standard Deviations'!A1:C666,3,FALSE)</f>
        <v>-1.16752554867308</v>
      </c>
      <c r="J123" s="84">
        <f>I123-VLOOKUP(B$2,H1:J206,2,FALSE)</f>
        <v>-6.9335903572294</v>
      </c>
    </row>
    <row r="124" ht="21.25" customHeight="1">
      <c r="A124" t="s" s="10">
        <v>353</v>
      </c>
      <c r="B124" t="s" s="117">
        <f>VLOOKUP(A124,'The List'!B1:D665,3,FALSE)</f>
        <v>128</v>
      </c>
      <c r="C124" s="118">
        <f>IF('Settings'!$E$15="POINTS",RANK(E124,E3:E206),H124)</f>
        <v>59</v>
      </c>
      <c r="D124" t="s" s="86">
        <f>VLOOKUP(A124,'The List'!B1:F665,5,FALSE)</f>
        <v>207</v>
      </c>
      <c r="E124" s="77">
        <f>VLOOKUP(A124,'The List'!B1:I665,8,FALSE)</f>
        <v>273.613678328890</v>
      </c>
      <c r="F124" s="77">
        <f>IF('Settings'!$E$15="POINTS",E124-VLOOKUP(B$2,C1:E206,3,FALSE),J124)</f>
        <v>-56.078215752288</v>
      </c>
      <c r="G124" s="77"/>
      <c r="H124" s="223">
        <f>RANK(I124,I3:I206)</f>
        <v>111</v>
      </c>
      <c r="I124" s="77">
        <f>VLOOKUP(A124,'Standard Deviations'!A1:C666,3,FALSE)</f>
        <v>-0.958855805582807</v>
      </c>
      <c r="J124" s="84">
        <f>I124-VLOOKUP(B$2,H1:J206,2,FALSE)</f>
        <v>-6.72492061413913</v>
      </c>
    </row>
    <row r="125" ht="21.25" customHeight="1">
      <c r="A125" t="s" s="10">
        <v>705</v>
      </c>
      <c r="B125" t="s" s="117">
        <f>VLOOKUP(A125,'The List'!B1:D665,3,FALSE)</f>
        <v>128</v>
      </c>
      <c r="C125" s="118">
        <f>IF('Settings'!$E$15="POINTS",RANK(E125,E3:E206),H125)</f>
        <v>160</v>
      </c>
      <c r="D125" t="s" s="86">
        <f>VLOOKUP(A125,'The List'!B1:F665,5,FALSE)</f>
        <v>259</v>
      </c>
      <c r="E125" s="77">
        <f>VLOOKUP(A125,'The List'!B1:I665,8,FALSE)</f>
        <v>164.808179063976</v>
      </c>
      <c r="F125" s="77">
        <f>IF('Settings'!$E$15="POINTS",E125-VLOOKUP(B$2,C1:E206,3,FALSE),J125)</f>
        <v>-164.883715017202</v>
      </c>
      <c r="G125" s="77"/>
      <c r="H125" s="223">
        <f>RANK(I125,I3:I206)</f>
        <v>138</v>
      </c>
      <c r="I125" s="77">
        <f>VLOOKUP(A125,'Standard Deviations'!A1:C666,3,FALSE)</f>
        <v>-2.22848850154597</v>
      </c>
      <c r="J125" s="84">
        <f>I125-VLOOKUP(B$2,H1:J206,2,FALSE)</f>
        <v>-7.99455331010229</v>
      </c>
    </row>
    <row r="126" ht="21.25" customHeight="1">
      <c r="A126" t="s" s="10">
        <v>429</v>
      </c>
      <c r="B126" t="s" s="117">
        <f>VLOOKUP(A126,'The List'!B1:D665,3,FALSE)</f>
        <v>128</v>
      </c>
      <c r="C126" s="118">
        <f>IF('Settings'!$E$15="POINTS",RANK(E126,E3:E206),H126)</f>
        <v>82</v>
      </c>
      <c r="D126" t="s" s="86">
        <f>VLOOKUP(A126,'The List'!B1:F665,5,FALSE)</f>
        <v>871</v>
      </c>
      <c r="E126" s="77">
        <f>VLOOKUP(A126,'The List'!B1:I665,8,FALSE)</f>
        <v>241.793000654110</v>
      </c>
      <c r="F126" s="77">
        <f>IF('Settings'!$E$15="POINTS",E126-VLOOKUP(B$2,C1:E206,3,FALSE),J126)</f>
        <v>-87.898893427068</v>
      </c>
      <c r="G126" s="77"/>
      <c r="H126" s="223">
        <f>RANK(I126,I3:I206)</f>
        <v>103</v>
      </c>
      <c r="I126" s="77">
        <f>VLOOKUP(A126,'Standard Deviations'!A1:C666,3,FALSE)</f>
        <v>-0.612425169273255</v>
      </c>
      <c r="J126" s="84">
        <f>I126-VLOOKUP(B$2,H1:J206,2,FALSE)</f>
        <v>-6.37848997782958</v>
      </c>
    </row>
    <row r="127" ht="21.25" customHeight="1">
      <c r="A127" t="s" s="10">
        <v>437</v>
      </c>
      <c r="B127" t="s" s="117">
        <f>VLOOKUP(A127,'The List'!B1:D665,3,FALSE)</f>
        <v>145</v>
      </c>
      <c r="C127" s="118">
        <f>IF('Settings'!$E$15="POINTS",RANK(E127,E3:E206),H127)</f>
        <v>77</v>
      </c>
      <c r="D127" t="s" s="86">
        <f>VLOOKUP(A127,'The List'!B1:F665,5,FALSE)</f>
        <v>899</v>
      </c>
      <c r="E127" s="77">
        <f>VLOOKUP(A127,'The List'!B1:I665,8,FALSE)</f>
        <v>245.399218627563</v>
      </c>
      <c r="F127" s="77">
        <f>IF('Settings'!$E$15="POINTS",E127-VLOOKUP(B$2,C1:E206,3,FALSE),J127)</f>
        <v>-84.292675453615</v>
      </c>
      <c r="G127" s="77"/>
      <c r="H127" s="223">
        <f>RANK(I127,I3:I206)</f>
        <v>107</v>
      </c>
      <c r="I127" s="77">
        <f>VLOOKUP(A127,'Standard Deviations'!A1:C666,3,FALSE)</f>
        <v>-0.714883388483898</v>
      </c>
      <c r="J127" s="84">
        <f>I127-VLOOKUP(B$2,H1:J206,2,FALSE)</f>
        <v>-6.48094819704022</v>
      </c>
    </row>
    <row r="128" ht="21.25" customHeight="1">
      <c r="A128" t="s" s="10">
        <v>498</v>
      </c>
      <c r="B128" t="s" s="117">
        <f>VLOOKUP(A128,'The List'!B1:D665,3,FALSE)</f>
        <v>128</v>
      </c>
      <c r="C128" s="118">
        <f>IF('Settings'!$E$15="POINTS",RANK(E128,E3:E206),H128)</f>
        <v>98</v>
      </c>
      <c r="D128" t="s" s="86">
        <f>VLOOKUP(A128,'The List'!B1:F665,5,FALSE)</f>
        <v>149</v>
      </c>
      <c r="E128" s="77">
        <f>VLOOKUP(A128,'The List'!B1:I665,8,FALSE)</f>
        <v>221.700691396207</v>
      </c>
      <c r="F128" s="77">
        <f>IF('Settings'!$E$15="POINTS",E128-VLOOKUP(B$2,C1:E206,3,FALSE),J128)</f>
        <v>-107.991202684971</v>
      </c>
      <c r="G128" s="77"/>
      <c r="H128" s="223">
        <f>RANK(I128,I3:I206)</f>
        <v>98</v>
      </c>
      <c r="I128" s="77">
        <f>VLOOKUP(A128,'Standard Deviations'!A1:C666,3,FALSE)</f>
        <v>-0.202838306675881</v>
      </c>
      <c r="J128" s="84">
        <f>I128-VLOOKUP(B$2,H1:J206,2,FALSE)</f>
        <v>-5.9689031152322</v>
      </c>
    </row>
    <row r="129" ht="21.25" customHeight="1">
      <c r="A129" t="s" s="10">
        <v>468</v>
      </c>
      <c r="B129" t="s" s="117">
        <f>VLOOKUP(A129,'The List'!B1:D665,3,FALSE)</f>
        <v>136</v>
      </c>
      <c r="C129" s="118">
        <f>IF('Settings'!$E$15="POINTS",RANK(E129,E3:E206),H129)</f>
        <v>87</v>
      </c>
      <c r="D129" t="s" s="86">
        <f>VLOOKUP(A129,'The List'!B1:F665,5,FALSE)</f>
        <v>910</v>
      </c>
      <c r="E129" s="77">
        <f>VLOOKUP(A129,'The List'!B1:I665,8,FALSE)</f>
        <v>235.156306873962</v>
      </c>
      <c r="F129" s="77">
        <f>IF('Settings'!$E$15="POINTS",E129-VLOOKUP(B$2,C1:E206,3,FALSE),J129)</f>
        <v>-94.535587207216</v>
      </c>
      <c r="G129" s="77"/>
      <c r="H129" s="223">
        <f>RANK(I129,I3:I206)</f>
        <v>149</v>
      </c>
      <c r="I129" s="77">
        <f>VLOOKUP(A129,'Standard Deviations'!A1:C666,3,FALSE)</f>
        <v>-2.86163103423953</v>
      </c>
      <c r="J129" s="84">
        <f>I129-VLOOKUP(B$2,H1:J206,2,FALSE)</f>
        <v>-8.62769584279585</v>
      </c>
    </row>
    <row r="130" ht="21.25" customHeight="1">
      <c r="A130" t="s" s="10">
        <v>581</v>
      </c>
      <c r="B130" t="s" s="117">
        <f>VLOOKUP(A130,'The List'!B1:D665,3,FALSE)</f>
        <v>136</v>
      </c>
      <c r="C130" s="118">
        <f>IF('Settings'!$E$15="POINTS",RANK(E130,E3:E206),H130)</f>
        <v>119</v>
      </c>
      <c r="D130" t="s" s="86">
        <f>VLOOKUP(A130,'The List'!B1:F665,5,FALSE)</f>
        <v>900</v>
      </c>
      <c r="E130" s="77">
        <f>VLOOKUP(A130,'The List'!B1:I665,8,FALSE)</f>
        <v>205.405401194184</v>
      </c>
      <c r="F130" s="77">
        <f>IF('Settings'!$E$15="POINTS",E130-VLOOKUP(B$2,C1:E206,3,FALSE),J130)</f>
        <v>-124.286492886994</v>
      </c>
      <c r="G130" s="77"/>
      <c r="H130" s="223">
        <f>RANK(I130,I3:I206)</f>
        <v>102</v>
      </c>
      <c r="I130" s="77">
        <f>VLOOKUP(A130,'Standard Deviations'!A1:C666,3,FALSE)</f>
        <v>-0.469731966088611</v>
      </c>
      <c r="J130" s="84">
        <f>I130-VLOOKUP(B$2,H1:J206,2,FALSE)</f>
        <v>-6.23579677464493</v>
      </c>
    </row>
    <row r="131" ht="21.25" customHeight="1">
      <c r="A131" t="s" s="10">
        <v>391</v>
      </c>
      <c r="B131" t="s" s="117">
        <f>VLOOKUP(A131,'The List'!B1:D665,3,FALSE)</f>
        <v>128</v>
      </c>
      <c r="C131" s="118">
        <f>IF('Settings'!$E$15="POINTS",RANK(E131,E3:E206),H131)</f>
        <v>70</v>
      </c>
      <c r="D131" t="s" s="86">
        <f>VLOOKUP(A131,'The List'!B1:F665,5,FALSE)</f>
        <v>906</v>
      </c>
      <c r="E131" s="77">
        <f>VLOOKUP(A131,'The List'!B1:I665,8,FALSE)</f>
        <v>257.380177594157</v>
      </c>
      <c r="F131" s="77">
        <f>IF('Settings'!$E$15="POINTS",E131-VLOOKUP(B$2,C1:E206,3,FALSE),J131)</f>
        <v>-72.311716487021</v>
      </c>
      <c r="G131" s="77"/>
      <c r="H131" s="223">
        <f>RANK(I131,I3:I206)</f>
        <v>105</v>
      </c>
      <c r="I131" s="77">
        <f>VLOOKUP(A131,'Standard Deviations'!A1:C666,3,FALSE)</f>
        <v>-0.69061584332697</v>
      </c>
      <c r="J131" s="84">
        <f>I131-VLOOKUP(B$2,H1:J206,2,FALSE)</f>
        <v>-6.45668065188329</v>
      </c>
    </row>
    <row r="132" ht="21.25" customHeight="1">
      <c r="A132" t="s" s="10">
        <v>710</v>
      </c>
      <c r="B132" t="s" s="117">
        <f>VLOOKUP(A132,'The List'!B1:D665,3,FALSE)</f>
        <v>128</v>
      </c>
      <c r="C132" s="118">
        <f>IF('Settings'!$E$15="POINTS",RANK(E132,E3:E206),H132)</f>
        <v>161</v>
      </c>
      <c r="D132" t="s" s="86">
        <f>VLOOKUP(A132,'The List'!B1:F665,5,FALSE)</f>
        <v>908</v>
      </c>
      <c r="E132" s="77">
        <f>VLOOKUP(A132,'The List'!B1:I665,8,FALSE)</f>
        <v>162.524340986813</v>
      </c>
      <c r="F132" s="77">
        <f>IF('Settings'!$E$15="POINTS",E132-VLOOKUP(B$2,C1:E206,3,FALSE),J132)</f>
        <v>-167.167553094365</v>
      </c>
      <c r="G132" s="77"/>
      <c r="H132" s="223">
        <f>RANK(I132,I3:I206)</f>
        <v>137</v>
      </c>
      <c r="I132" s="77">
        <f>VLOOKUP(A132,'Standard Deviations'!A1:C666,3,FALSE)</f>
        <v>-2.21980121075048</v>
      </c>
      <c r="J132" s="84">
        <f>I132-VLOOKUP(B$2,H1:J206,2,FALSE)</f>
        <v>-7.9858660193068</v>
      </c>
    </row>
    <row r="133" ht="21.25" customHeight="1">
      <c r="A133" t="s" s="10">
        <v>674</v>
      </c>
      <c r="B133" t="s" s="117">
        <f>VLOOKUP(A133,'The List'!B1:D665,3,FALSE)</f>
        <v>136</v>
      </c>
      <c r="C133" s="118">
        <f>IF('Settings'!$E$15="POINTS",RANK(E133,E3:E206),H133)</f>
        <v>144</v>
      </c>
      <c r="D133" t="s" s="86">
        <f>VLOOKUP(A133,'The List'!B1:F665,5,FALSE)</f>
        <v>156</v>
      </c>
      <c r="E133" s="77">
        <f>VLOOKUP(A133,'The List'!B1:I665,8,FALSE)</f>
        <v>178.333883067631</v>
      </c>
      <c r="F133" s="77">
        <f>IF('Settings'!$E$15="POINTS",E133-VLOOKUP(B$2,C1:E206,3,FALSE),J133)</f>
        <v>-151.358011013547</v>
      </c>
      <c r="G133" s="77"/>
      <c r="H133" s="223">
        <f>RANK(I133,I3:I206)</f>
        <v>140</v>
      </c>
      <c r="I133" s="77">
        <f>VLOOKUP(A133,'Standard Deviations'!A1:C666,3,FALSE)</f>
        <v>-2.34508892905957</v>
      </c>
      <c r="J133" s="84">
        <f>I133-VLOOKUP(B$2,H1:J206,2,FALSE)</f>
        <v>-8.11115373761589</v>
      </c>
    </row>
    <row r="134" ht="21.25" customHeight="1">
      <c r="A134" t="s" s="10">
        <v>348</v>
      </c>
      <c r="B134" t="s" s="117">
        <f>VLOOKUP(A134,'The List'!B1:D665,3,FALSE)</f>
        <v>136</v>
      </c>
      <c r="C134" s="118">
        <f>IF('Settings'!$E$15="POINTS",RANK(E134,E3:E206),H134)</f>
        <v>53</v>
      </c>
      <c r="D134" t="s" s="86">
        <f>VLOOKUP(A134,'The List'!B1:F665,5,FALSE)</f>
        <v>901</v>
      </c>
      <c r="E134" s="77">
        <f>VLOOKUP(A134,'The List'!B1:I665,8,FALSE)</f>
        <v>279.413996929503</v>
      </c>
      <c r="F134" s="77">
        <f>IF('Settings'!$E$15="POINTS",E134-VLOOKUP(B$2,C1:E206,3,FALSE),J134)</f>
        <v>-50.277897151675</v>
      </c>
      <c r="G134" s="77"/>
      <c r="H134" s="223">
        <f>RANK(I134,I3:I206)</f>
        <v>112</v>
      </c>
      <c r="I134" s="77">
        <f>VLOOKUP(A134,'Standard Deviations'!A1:C666,3,FALSE)</f>
        <v>-0.980985163185326</v>
      </c>
      <c r="J134" s="84">
        <f>I134-VLOOKUP(B$2,H1:J206,2,FALSE)</f>
        <v>-6.74704997174165</v>
      </c>
    </row>
    <row r="135" ht="21.25" customHeight="1">
      <c r="A135" t="s" s="10">
        <v>718</v>
      </c>
      <c r="B135" t="s" s="117">
        <f>VLOOKUP(A135,'The List'!B1:D665,3,FALSE)</f>
        <v>128</v>
      </c>
      <c r="C135" s="118">
        <f>IF('Settings'!$E$15="POINTS",RANK(E135,E3:E206),H135)</f>
        <v>165</v>
      </c>
      <c r="D135" t="s" s="86">
        <f>VLOOKUP(A135,'The List'!B1:F665,5,FALSE)</f>
        <v>192</v>
      </c>
      <c r="E135" s="77">
        <f>VLOOKUP(A135,'The List'!B1:I665,8,FALSE)</f>
        <v>160.109510089350</v>
      </c>
      <c r="F135" s="77">
        <f>IF('Settings'!$E$15="POINTS",E135-VLOOKUP(B$2,C1:E206,3,FALSE),J135)</f>
        <v>-169.582383991828</v>
      </c>
      <c r="G135" s="77"/>
      <c r="H135" s="223">
        <f>RANK(I135,I3:I206)</f>
        <v>144</v>
      </c>
      <c r="I135" s="77">
        <f>VLOOKUP(A135,'Standard Deviations'!A1:C666,3,FALSE)</f>
        <v>-2.66342888122872</v>
      </c>
      <c r="J135" s="84">
        <f>I135-VLOOKUP(B$2,H1:J206,2,FALSE)</f>
        <v>-8.429493689785041</v>
      </c>
    </row>
    <row r="136" ht="21.25" customHeight="1">
      <c r="A136" t="s" s="10">
        <v>719</v>
      </c>
      <c r="B136" t="s" s="117">
        <f>VLOOKUP(A136,'The List'!B1:D665,3,FALSE)</f>
        <v>136</v>
      </c>
      <c r="C136" s="118">
        <f>IF('Settings'!$E$15="POINTS",RANK(E136,E3:E206),H136)</f>
        <v>159</v>
      </c>
      <c r="D136" t="s" s="86">
        <f>VLOOKUP(A136,'The List'!B1:F665,5,FALSE)</f>
        <v>912</v>
      </c>
      <c r="E136" s="77">
        <f>VLOOKUP(A136,'The List'!B1:I665,8,FALSE)</f>
        <v>164.972673914832</v>
      </c>
      <c r="F136" s="77">
        <f>IF('Settings'!$E$15="POINTS",E136-VLOOKUP(B$2,C1:E206,3,FALSE),J136)</f>
        <v>-164.719220166346</v>
      </c>
      <c r="G136" s="77"/>
      <c r="H136" s="223">
        <f>RANK(I136,I3:I206)</f>
        <v>170</v>
      </c>
      <c r="I136" s="77">
        <f>VLOOKUP(A136,'Standard Deviations'!A1:C666,3,FALSE)</f>
        <v>-3.47783994967856</v>
      </c>
      <c r="J136" s="84">
        <f>I136-VLOOKUP(B$2,H1:J206,2,FALSE)</f>
        <v>-9.24390475823488</v>
      </c>
    </row>
    <row r="137" ht="21.25" customHeight="1">
      <c r="A137" t="s" s="10">
        <v>702</v>
      </c>
      <c r="B137" t="s" s="117">
        <f>VLOOKUP(A137,'The List'!B1:D665,3,FALSE)</f>
        <v>554</v>
      </c>
      <c r="C137" s="118">
        <f>IF('Settings'!$E$15="POINTS",RANK(E137,E3:E206),H137)</f>
        <v>146</v>
      </c>
      <c r="D137" t="s" s="86">
        <f>VLOOKUP(A137,'The List'!B1:F665,5,FALSE)</f>
        <v>906</v>
      </c>
      <c r="E137" s="77">
        <f>VLOOKUP(A137,'The List'!B1:I665,8,FALSE)</f>
        <v>171.190782716769</v>
      </c>
      <c r="F137" s="77">
        <f>IF('Settings'!$E$15="POINTS",E137-VLOOKUP(B$2,C1:E206,3,FALSE),J137)</f>
        <v>-158.501111364409</v>
      </c>
      <c r="G137" s="77"/>
      <c r="H137" s="223">
        <f>RANK(I137,I3:I206)</f>
        <v>109</v>
      </c>
      <c r="I137" s="77">
        <f>VLOOKUP(A137,'Standard Deviations'!A1:C666,3,FALSE)</f>
        <v>-0.838127271578573</v>
      </c>
      <c r="J137" s="84">
        <f>I137-VLOOKUP(B$2,H1:J206,2,FALSE)</f>
        <v>-6.60419208013489</v>
      </c>
    </row>
    <row r="138" ht="21.25" customHeight="1">
      <c r="A138" t="s" s="10">
        <v>602</v>
      </c>
      <c r="B138" t="s" s="117">
        <f>VLOOKUP(A138,'The List'!B1:D665,3,FALSE)</f>
        <v>136</v>
      </c>
      <c r="C138" s="118">
        <f>IF('Settings'!$E$15="POINTS",RANK(E138,E3:E206),H138)</f>
        <v>125</v>
      </c>
      <c r="D138" t="s" s="86">
        <f>VLOOKUP(A138,'The List'!B1:F665,5,FALSE)</f>
        <v>906</v>
      </c>
      <c r="E138" s="77">
        <f>VLOOKUP(A138,'The List'!B1:I665,8,FALSE)</f>
        <v>199.789336074108</v>
      </c>
      <c r="F138" s="77">
        <f>IF('Settings'!$E$15="POINTS",E138-VLOOKUP(B$2,C1:E206,3,FALSE),J138)</f>
        <v>-129.902558007070</v>
      </c>
      <c r="G138" s="77"/>
      <c r="H138" s="223">
        <f>RANK(I138,I3:I206)</f>
        <v>108</v>
      </c>
      <c r="I138" s="77">
        <f>VLOOKUP(A138,'Standard Deviations'!A1:C666,3,FALSE)</f>
        <v>-0.787161711853107</v>
      </c>
      <c r="J138" s="84">
        <f>I138-VLOOKUP(B$2,H1:J206,2,FALSE)</f>
        <v>-6.55322652040943</v>
      </c>
    </row>
    <row r="139" ht="21.25" customHeight="1">
      <c r="A139" t="s" s="10">
        <v>489</v>
      </c>
      <c r="B139" t="s" s="117">
        <f>VLOOKUP(A139,'The List'!B1:D665,3,FALSE)</f>
        <v>128</v>
      </c>
      <c r="C139" s="118">
        <f>IF('Settings'!$E$15="POINTS",RANK(E139,E3:E206),H139)</f>
        <v>96</v>
      </c>
      <c r="D139" t="s" s="86">
        <f>VLOOKUP(A139,'The List'!B1:F665,5,FALSE)</f>
        <v>905</v>
      </c>
      <c r="E139" s="77">
        <f>VLOOKUP(A139,'The List'!B1:I665,8,FALSE)</f>
        <v>223.988319556732</v>
      </c>
      <c r="F139" s="77">
        <f>IF('Settings'!$E$15="POINTS",E139-VLOOKUP(B$2,C1:E206,3,FALSE),J139)</f>
        <v>-105.703574524446</v>
      </c>
      <c r="G139" s="77"/>
      <c r="H139" s="223">
        <f>RANK(I139,I3:I206)</f>
        <v>162</v>
      </c>
      <c r="I139" s="77">
        <f>VLOOKUP(A139,'Standard Deviations'!A1:C666,3,FALSE)</f>
        <v>-3.13488096832942</v>
      </c>
      <c r="J139" s="84">
        <f>I139-VLOOKUP(B$2,H1:J206,2,FALSE)</f>
        <v>-8.90094577688574</v>
      </c>
    </row>
    <row r="140" ht="21.25" customHeight="1">
      <c r="A140" t="s" s="10">
        <v>818</v>
      </c>
      <c r="B140" t="s" s="117">
        <f>VLOOKUP(A140,'The List'!B1:D665,3,FALSE)</f>
        <v>128</v>
      </c>
      <c r="C140" s="118">
        <f>IF('Settings'!$E$15="POINTS",RANK(E140,E3:E206),H140)</f>
        <v>193</v>
      </c>
      <c r="D140" t="s" s="86">
        <f>VLOOKUP(A140,'The List'!B1:F665,5,FALSE)</f>
        <v>903</v>
      </c>
      <c r="E140" s="77">
        <f>VLOOKUP(A140,'The List'!B1:I665,8,FALSE)</f>
        <v>129.555920495278</v>
      </c>
      <c r="F140" s="77">
        <f>IF('Settings'!$E$15="POINTS",E140-VLOOKUP(B$2,C1:E206,3,FALSE),J140)</f>
        <v>-200.1359735859</v>
      </c>
      <c r="G140" s="77"/>
      <c r="H140" s="223">
        <f>RANK(I140,I3:I206)</f>
        <v>177</v>
      </c>
      <c r="I140" s="77">
        <f>VLOOKUP(A140,'Standard Deviations'!A1:C666,3,FALSE)</f>
        <v>-3.70257593514601</v>
      </c>
      <c r="J140" s="84">
        <f>I140-VLOOKUP(B$2,H1:J206,2,FALSE)</f>
        <v>-9.468640743702331</v>
      </c>
    </row>
    <row r="141" ht="21.25" customHeight="1">
      <c r="A141" t="s" s="10">
        <v>826</v>
      </c>
      <c r="B141" t="s" s="117">
        <f>VLOOKUP(A141,'The List'!B1:D665,3,FALSE)</f>
        <v>128</v>
      </c>
      <c r="C141" s="118">
        <f>IF('Settings'!$E$15="POINTS",RANK(E141,E3:E206),H141)</f>
        <v>195</v>
      </c>
      <c r="D141" t="s" s="86">
        <f>VLOOKUP(A141,'The List'!B1:F665,5,FALSE)</f>
        <v>913</v>
      </c>
      <c r="E141" s="77">
        <f>VLOOKUP(A141,'The List'!B1:I665,8,FALSE)</f>
        <v>124.639009168397</v>
      </c>
      <c r="F141" s="77">
        <f>IF('Settings'!$E$15="POINTS",E141-VLOOKUP(B$2,C1:E206,3,FALSE),J141)</f>
        <v>-205.052884912781</v>
      </c>
      <c r="G141" s="77"/>
      <c r="H141" s="223">
        <f>RANK(I141,I3:I206)</f>
        <v>191</v>
      </c>
      <c r="I141" s="77">
        <f>VLOOKUP(A141,'Standard Deviations'!A1:C666,3,FALSE)</f>
        <v>-4.65881168830116</v>
      </c>
      <c r="J141" s="84">
        <f>I141-VLOOKUP(B$2,H1:J206,2,FALSE)</f>
        <v>-10.4248764968575</v>
      </c>
    </row>
    <row r="142" ht="21.25" customHeight="1">
      <c r="A142" t="s" s="10">
        <v>580</v>
      </c>
      <c r="B142" t="s" s="117">
        <f>VLOOKUP(A142,'The List'!B1:D665,3,FALSE)</f>
        <v>128</v>
      </c>
      <c r="C142" s="118">
        <f>IF('Settings'!$E$15="POINTS",RANK(E142,E3:E206),H142)</f>
        <v>124</v>
      </c>
      <c r="D142" t="s" s="86">
        <f>VLOOKUP(A142,'The List'!B1:F665,5,FALSE)</f>
        <v>866</v>
      </c>
      <c r="E142" s="77">
        <f>VLOOKUP(A142,'The List'!B1:I665,8,FALSE)</f>
        <v>200.373583362108</v>
      </c>
      <c r="F142" s="77">
        <f>IF('Settings'!$E$15="POINTS",E142-VLOOKUP(B$2,C1:E206,3,FALSE),J142)</f>
        <v>-129.318310719070</v>
      </c>
      <c r="G142" s="77"/>
      <c r="H142" s="223">
        <f>RANK(I142,I3:I206)</f>
        <v>132</v>
      </c>
      <c r="I142" s="77">
        <f>VLOOKUP(A142,'Standard Deviations'!A1:C666,3,FALSE)</f>
        <v>-1.86580339892287</v>
      </c>
      <c r="J142" s="84">
        <f>I142-VLOOKUP(B$2,H1:J206,2,FALSE)</f>
        <v>-7.63186820747919</v>
      </c>
    </row>
    <row r="143" ht="21.25" customHeight="1">
      <c r="A143" t="s" s="10">
        <v>773</v>
      </c>
      <c r="B143" t="s" s="117">
        <f>VLOOKUP(A143,'The List'!B1:D665,3,FALSE)</f>
        <v>128</v>
      </c>
      <c r="C143" s="118">
        <f>IF('Settings'!$E$15="POINTS",RANK(E143,E3:E206),H143)</f>
        <v>184</v>
      </c>
      <c r="D143" t="s" s="86">
        <f>VLOOKUP(A143,'The List'!B1:F665,5,FALSE)</f>
        <v>342</v>
      </c>
      <c r="E143" s="77">
        <f>VLOOKUP(A143,'The List'!B1:I665,8,FALSE)</f>
        <v>145.424865925261</v>
      </c>
      <c r="F143" s="77">
        <f>IF('Settings'!$E$15="POINTS",E143-VLOOKUP(B$2,C1:E206,3,FALSE),J143)</f>
        <v>-184.267028155917</v>
      </c>
      <c r="G143" s="77"/>
      <c r="H143" s="223">
        <f>RANK(I143,I3:I206)</f>
        <v>116</v>
      </c>
      <c r="I143" s="77">
        <f>VLOOKUP(A143,'Standard Deviations'!A1:C666,3,FALSE)</f>
        <v>-1.09014749499915</v>
      </c>
      <c r="J143" s="84">
        <f>I143-VLOOKUP(B$2,H1:J206,2,FALSE)</f>
        <v>-6.85621230355547</v>
      </c>
    </row>
    <row r="144" ht="21.25" customHeight="1">
      <c r="A144" t="s" s="10">
        <v>638</v>
      </c>
      <c r="B144" t="s" s="117">
        <f>VLOOKUP(A144,'The List'!B1:D665,3,FALSE)</f>
        <v>136</v>
      </c>
      <c r="C144" s="118">
        <f>IF('Settings'!$E$15="POINTS",RANK(E144,E3:E206),H144)</f>
        <v>135</v>
      </c>
      <c r="D144" t="s" s="86">
        <f>VLOOKUP(A144,'The List'!B1:F665,5,FALSE)</f>
        <v>908</v>
      </c>
      <c r="E144" s="77">
        <f>VLOOKUP(A144,'The List'!B1:I665,8,FALSE)</f>
        <v>189.336323222551</v>
      </c>
      <c r="F144" s="77">
        <f>IF('Settings'!$E$15="POINTS",E144-VLOOKUP(B$2,C1:E206,3,FALSE),J144)</f>
        <v>-140.355570858627</v>
      </c>
      <c r="G144" s="77"/>
      <c r="H144" s="223">
        <f>RANK(I144,I3:I206)</f>
        <v>127</v>
      </c>
      <c r="I144" s="77">
        <f>VLOOKUP(A144,'Standard Deviations'!A1:C666,3,FALSE)</f>
        <v>-1.76224604963092</v>
      </c>
      <c r="J144" s="84">
        <f>I144-VLOOKUP(B$2,H1:J206,2,FALSE)</f>
        <v>-7.52831085818724</v>
      </c>
    </row>
    <row r="145" ht="21.25" customHeight="1">
      <c r="A145" t="s" s="10">
        <v>637</v>
      </c>
      <c r="B145" t="s" s="117">
        <f>VLOOKUP(A145,'The List'!B1:D665,3,FALSE)</f>
        <v>128</v>
      </c>
      <c r="C145" s="118">
        <f>IF('Settings'!$E$15="POINTS",RANK(E145,E3:E206),H145)</f>
        <v>140</v>
      </c>
      <c r="D145" t="s" s="86">
        <f>VLOOKUP(A145,'The List'!B1:F665,5,FALSE)</f>
        <v>910</v>
      </c>
      <c r="E145" s="77">
        <f>VLOOKUP(A145,'The List'!B1:I665,8,FALSE)</f>
        <v>184.231337370470</v>
      </c>
      <c r="F145" s="77">
        <f>IF('Settings'!$E$15="POINTS",E145-VLOOKUP(B$2,C1:E206,3,FALSE),J145)</f>
        <v>-145.460556710708</v>
      </c>
      <c r="G145" s="77"/>
      <c r="H145" s="223">
        <f>RANK(I145,I3:I206)</f>
        <v>152</v>
      </c>
      <c r="I145" s="77">
        <f>VLOOKUP(A145,'Standard Deviations'!A1:C666,3,FALSE)</f>
        <v>-2.9022861002785</v>
      </c>
      <c r="J145" s="84">
        <f>I145-VLOOKUP(B$2,H1:J206,2,FALSE)</f>
        <v>-8.668350908834819</v>
      </c>
    </row>
    <row r="146" ht="21.25" customHeight="1">
      <c r="A146" t="s" s="10">
        <v>426</v>
      </c>
      <c r="B146" t="s" s="117">
        <f>VLOOKUP(A146,'The List'!B1:D665,3,FALSE)</f>
        <v>145</v>
      </c>
      <c r="C146" s="118">
        <f>IF('Settings'!$E$15="POINTS",RANK(E146,E3:E206),H146)</f>
        <v>74</v>
      </c>
      <c r="D146" t="s" s="86">
        <f>VLOOKUP(A146,'The List'!B1:F665,5,FALSE)</f>
        <v>174</v>
      </c>
      <c r="E146" s="77">
        <f>VLOOKUP(A146,'The List'!B1:I665,8,FALSE)</f>
        <v>247.225567381071</v>
      </c>
      <c r="F146" s="77">
        <f>IF('Settings'!$E$15="POINTS",E146-VLOOKUP(B$2,C1:E206,3,FALSE),J146)</f>
        <v>-82.466326700107</v>
      </c>
      <c r="G146" s="77"/>
      <c r="H146" s="223">
        <f>RANK(I146,I3:I206)</f>
        <v>151</v>
      </c>
      <c r="I146" s="77">
        <f>VLOOKUP(A146,'Standard Deviations'!A1:C666,3,FALSE)</f>
        <v>-2.89260127133826</v>
      </c>
      <c r="J146" s="84">
        <f>I146-VLOOKUP(B$2,H1:J206,2,FALSE)</f>
        <v>-8.65866607989458</v>
      </c>
    </row>
    <row r="147" ht="21.25" customHeight="1">
      <c r="A147" t="s" s="10">
        <v>685</v>
      </c>
      <c r="B147" t="s" s="117">
        <f>VLOOKUP(A147,'The List'!B1:D665,3,FALSE)</f>
        <v>128</v>
      </c>
      <c r="C147" s="118">
        <f>IF('Settings'!$E$15="POINTS",RANK(E147,E3:E206),H147)</f>
        <v>150</v>
      </c>
      <c r="D147" t="s" s="86">
        <f>VLOOKUP(A147,'The List'!B1:F665,5,FALSE)</f>
        <v>913</v>
      </c>
      <c r="E147" s="77">
        <f>VLOOKUP(A147,'The List'!B1:I665,8,FALSE)</f>
        <v>170.026103004533</v>
      </c>
      <c r="F147" s="77">
        <f>IF('Settings'!$E$15="POINTS",E147-VLOOKUP(B$2,C1:E206,3,FALSE),J147)</f>
        <v>-159.665791076645</v>
      </c>
      <c r="G147" s="77"/>
      <c r="H147" s="223">
        <f>RANK(I147,I3:I206)</f>
        <v>128</v>
      </c>
      <c r="I147" s="77">
        <f>VLOOKUP(A147,'Standard Deviations'!A1:C666,3,FALSE)</f>
        <v>-1.76885182226238</v>
      </c>
      <c r="J147" s="84">
        <f>I147-VLOOKUP(B$2,H1:J206,2,FALSE)</f>
        <v>-7.5349166308187</v>
      </c>
    </row>
    <row r="148" ht="21.25" customHeight="1">
      <c r="A148" t="s" s="10">
        <v>714</v>
      </c>
      <c r="B148" t="s" s="117">
        <f>VLOOKUP(A148,'The List'!B1:D665,3,FALSE)</f>
        <v>128</v>
      </c>
      <c r="C148" s="118">
        <f>IF('Settings'!$E$15="POINTS",RANK(E148,E3:E206),H148)</f>
        <v>162</v>
      </c>
      <c r="D148" t="s" s="86">
        <f>VLOOKUP(A148,'The List'!B1:F665,5,FALSE)</f>
        <v>904</v>
      </c>
      <c r="E148" s="77">
        <f>VLOOKUP(A148,'The List'!B1:I665,8,FALSE)</f>
        <v>161.082337605198</v>
      </c>
      <c r="F148" s="77">
        <f>IF('Settings'!$E$15="POINTS",E148-VLOOKUP(B$2,C1:E206,3,FALSE),J148)</f>
        <v>-168.609556475980</v>
      </c>
      <c r="G148" s="77"/>
      <c r="H148" s="223">
        <f>RANK(I148,I3:I206)</f>
        <v>133</v>
      </c>
      <c r="I148" s="77">
        <f>VLOOKUP(A148,'Standard Deviations'!A1:C666,3,FALSE)</f>
        <v>-1.9371511860832</v>
      </c>
      <c r="J148" s="84">
        <f>I148-VLOOKUP(B$2,H1:J206,2,FALSE)</f>
        <v>-7.70321599463952</v>
      </c>
    </row>
    <row r="149" ht="21.25" customHeight="1">
      <c r="A149" t="s" s="10">
        <v>770</v>
      </c>
      <c r="B149" t="s" s="117">
        <f>VLOOKUP(A149,'The List'!B1:D665,3,FALSE)</f>
        <v>128</v>
      </c>
      <c r="C149" s="118">
        <f>IF('Settings'!$E$15="POINTS",RANK(E149,E3:E206),H149)</f>
        <v>182</v>
      </c>
      <c r="D149" t="s" s="86">
        <f>VLOOKUP(A149,'The List'!B1:F665,5,FALSE)</f>
        <v>259</v>
      </c>
      <c r="E149" s="77">
        <f>VLOOKUP(A149,'The List'!B1:I665,8,FALSE)</f>
        <v>146.215719797158</v>
      </c>
      <c r="F149" s="77">
        <f>IF('Settings'!$E$15="POINTS",E149-VLOOKUP(B$2,C1:E206,3,FALSE),J149)</f>
        <v>-183.476174284020</v>
      </c>
      <c r="G149" s="77"/>
      <c r="H149" s="223">
        <f>RANK(I149,I3:I206)</f>
        <v>146</v>
      </c>
      <c r="I149" s="77">
        <f>VLOOKUP(A149,'Standard Deviations'!A1:C666,3,FALSE)</f>
        <v>-2.69485542947823</v>
      </c>
      <c r="J149" s="84">
        <f>I149-VLOOKUP(B$2,H1:J206,2,FALSE)</f>
        <v>-8.46092023803455</v>
      </c>
    </row>
    <row r="150" ht="21.25" customHeight="1">
      <c r="A150" t="s" s="10">
        <v>507</v>
      </c>
      <c r="B150" t="s" s="117">
        <f>VLOOKUP(A150,'The List'!B1:D665,3,FALSE)</f>
        <v>128</v>
      </c>
      <c r="C150" s="118">
        <f>IF('Settings'!$E$15="POINTS",RANK(E150,E3:E206),H150)</f>
        <v>105</v>
      </c>
      <c r="D150" t="s" s="86">
        <f>VLOOKUP(A150,'The List'!B1:F665,5,FALSE)</f>
        <v>192</v>
      </c>
      <c r="E150" s="77">
        <f>VLOOKUP(A150,'The List'!B1:I665,8,FALSE)</f>
        <v>218.141230324997</v>
      </c>
      <c r="F150" s="77">
        <f>IF('Settings'!$E$15="POINTS",E150-VLOOKUP(B$2,C1:E206,3,FALSE),J150)</f>
        <v>-111.550663756181</v>
      </c>
      <c r="G150" s="77"/>
      <c r="H150" s="223">
        <f>RANK(I150,I3:I206)</f>
        <v>156</v>
      </c>
      <c r="I150" s="77">
        <f>VLOOKUP(A150,'Standard Deviations'!A1:C666,3,FALSE)</f>
        <v>-2.99884660466576</v>
      </c>
      <c r="J150" s="84">
        <f>I150-VLOOKUP(B$2,H1:J206,2,FALSE)</f>
        <v>-8.76491141322208</v>
      </c>
    </row>
    <row r="151" ht="21.25" customHeight="1">
      <c r="A151" t="s" s="10">
        <v>700</v>
      </c>
      <c r="B151" t="s" s="117">
        <f>VLOOKUP(A151,'The List'!B1:D665,3,FALSE)</f>
        <v>128</v>
      </c>
      <c r="C151" s="118">
        <f>IF('Settings'!$E$15="POINTS",RANK(E151,E3:E206),H151)</f>
        <v>156</v>
      </c>
      <c r="D151" t="s" s="86">
        <f>VLOOKUP(A151,'The List'!B1:F665,5,FALSE)</f>
        <v>154</v>
      </c>
      <c r="E151" s="77">
        <f>VLOOKUP(A151,'The List'!B1:I665,8,FALSE)</f>
        <v>166.251705122371</v>
      </c>
      <c r="F151" s="77">
        <f>IF('Settings'!$E$15="POINTS",E151-VLOOKUP(B$2,C1:E206,3,FALSE),J151)</f>
        <v>-163.440188958807</v>
      </c>
      <c r="G151" s="77"/>
      <c r="H151" s="223">
        <f>RANK(I151,I3:I206)</f>
        <v>113</v>
      </c>
      <c r="I151" s="77">
        <f>VLOOKUP(A151,'Standard Deviations'!A1:C666,3,FALSE)</f>
        <v>-0.987825125328144</v>
      </c>
      <c r="J151" s="84">
        <f>I151-VLOOKUP(B$2,H1:J206,2,FALSE)</f>
        <v>-6.75388993388446</v>
      </c>
    </row>
    <row r="152" ht="21.25" customHeight="1">
      <c r="A152" t="s" s="10">
        <v>622</v>
      </c>
      <c r="B152" t="s" s="117">
        <f>VLOOKUP(A152,'The List'!B1:D665,3,FALSE)</f>
        <v>128</v>
      </c>
      <c r="C152" s="118">
        <f>IF('Settings'!$E$15="POINTS",RANK(E152,E3:E206),H152)</f>
        <v>132</v>
      </c>
      <c r="D152" t="s" s="86">
        <f>VLOOKUP(A152,'The List'!B1:F665,5,FALSE)</f>
        <v>156</v>
      </c>
      <c r="E152" s="77">
        <f>VLOOKUP(A152,'The List'!B1:I665,8,FALSE)</f>
        <v>190.057215476914</v>
      </c>
      <c r="F152" s="77">
        <f>IF('Settings'!$E$15="POINTS",E152-VLOOKUP(B$2,C1:E206,3,FALSE),J152)</f>
        <v>-139.634678604264</v>
      </c>
      <c r="G152" s="77"/>
      <c r="H152" s="223">
        <f>RANK(I152,I3:I206)</f>
        <v>155</v>
      </c>
      <c r="I152" s="77">
        <f>VLOOKUP(A152,'Standard Deviations'!A1:C666,3,FALSE)</f>
        <v>-2.96214013068433</v>
      </c>
      <c r="J152" s="84">
        <f>I152-VLOOKUP(B$2,H1:J206,2,FALSE)</f>
        <v>-8.72820493924065</v>
      </c>
    </row>
    <row r="153" ht="21.25" customHeight="1">
      <c r="A153" t="s" s="10">
        <v>723</v>
      </c>
      <c r="B153" t="s" s="117">
        <f>VLOOKUP(A153,'The List'!B1:D665,3,FALSE)</f>
        <v>128</v>
      </c>
      <c r="C153" s="118">
        <f>IF('Settings'!$E$15="POINTS",RANK(E153,E3:E206),H153)</f>
        <v>167</v>
      </c>
      <c r="D153" t="s" s="86">
        <f>VLOOKUP(A153,'The List'!B1:F665,5,FALSE)</f>
        <v>901</v>
      </c>
      <c r="E153" s="77">
        <f>VLOOKUP(A153,'The List'!B1:I665,8,FALSE)</f>
        <v>158.207323131312</v>
      </c>
      <c r="F153" s="77">
        <f>IF('Settings'!$E$15="POINTS",E153-VLOOKUP(B$2,C1:E206,3,FALSE),J153)</f>
        <v>-171.484570949866</v>
      </c>
      <c r="G153" s="77"/>
      <c r="H153" s="223">
        <f>RANK(I153,I3:I206)</f>
        <v>114</v>
      </c>
      <c r="I153" s="77">
        <f>VLOOKUP(A153,'Standard Deviations'!A1:C666,3,FALSE)</f>
        <v>-1.03472655796894</v>
      </c>
      <c r="J153" s="84">
        <f>I153-VLOOKUP(B$2,H1:J206,2,FALSE)</f>
        <v>-6.80079136652526</v>
      </c>
    </row>
    <row r="154" ht="21.25" customHeight="1">
      <c r="A154" t="s" s="10">
        <v>704</v>
      </c>
      <c r="B154" t="s" s="117">
        <f>VLOOKUP(A154,'The List'!B1:D665,3,FALSE)</f>
        <v>145</v>
      </c>
      <c r="C154" s="118">
        <f>IF('Settings'!$E$15="POINTS",RANK(E154,E3:E206),H154)</f>
        <v>148</v>
      </c>
      <c r="D154" t="s" s="86">
        <f>VLOOKUP(A154,'The List'!B1:F665,5,FALSE)</f>
        <v>906</v>
      </c>
      <c r="E154" s="77">
        <f>VLOOKUP(A154,'The List'!B1:I665,8,FALSE)</f>
        <v>170.662108029993</v>
      </c>
      <c r="F154" s="77">
        <f>IF('Settings'!$E$15="POINTS",E154-VLOOKUP(B$2,C1:E206,3,FALSE),J154)</f>
        <v>-159.029786051185</v>
      </c>
      <c r="G154" s="77"/>
      <c r="H154" s="223">
        <f>RANK(I154,I3:I206)</f>
        <v>139</v>
      </c>
      <c r="I154" s="77">
        <f>VLOOKUP(A154,'Standard Deviations'!A1:C666,3,FALSE)</f>
        <v>-2.28769407721253</v>
      </c>
      <c r="J154" s="84">
        <f>I154-VLOOKUP(B$2,H1:J206,2,FALSE)</f>
        <v>-8.05375888576885</v>
      </c>
    </row>
    <row r="155" ht="21.25" customHeight="1">
      <c r="A155" t="s" s="10">
        <v>820</v>
      </c>
      <c r="B155" t="s" s="117">
        <f>VLOOKUP(A155,'The List'!B1:D665,3,FALSE)</f>
        <v>128</v>
      </c>
      <c r="C155" s="118">
        <f>IF('Settings'!$E$15="POINTS",RANK(E155,E3:E206),H155)</f>
        <v>194</v>
      </c>
      <c r="D155" t="s" s="86">
        <f>VLOOKUP(A155,'The List'!B1:F665,5,FALSE)</f>
        <v>905</v>
      </c>
      <c r="E155" s="77">
        <f>VLOOKUP(A155,'The List'!B1:I665,8,FALSE)</f>
        <v>127.878198152889</v>
      </c>
      <c r="F155" s="77">
        <f>IF('Settings'!$E$15="POINTS",E155-VLOOKUP(B$2,C1:E206,3,FALSE),J155)</f>
        <v>-201.813695928289</v>
      </c>
      <c r="G155" s="77"/>
      <c r="H155" s="223">
        <f>RANK(I155,I3:I206)</f>
        <v>190</v>
      </c>
      <c r="I155" s="77">
        <f>VLOOKUP(A155,'Standard Deviations'!A1:C666,3,FALSE)</f>
        <v>-4.51798235006133</v>
      </c>
      <c r="J155" s="84">
        <f>I155-VLOOKUP(B$2,H1:J206,2,FALSE)</f>
        <v>-10.2840471586177</v>
      </c>
    </row>
    <row r="156" ht="21.25" customHeight="1">
      <c r="A156" t="s" s="10">
        <v>684</v>
      </c>
      <c r="B156" t="s" s="117">
        <f>VLOOKUP(A156,'The List'!B1:D665,3,FALSE)</f>
        <v>128</v>
      </c>
      <c r="C156" s="118">
        <f>IF('Settings'!$E$15="POINTS",RANK(E156,E3:E206),H156)</f>
        <v>149</v>
      </c>
      <c r="D156" t="s" s="86">
        <f>VLOOKUP(A156,'The List'!B1:F665,5,FALSE)</f>
        <v>905</v>
      </c>
      <c r="E156" s="77">
        <f>VLOOKUP(A156,'The List'!B1:I665,8,FALSE)</f>
        <v>170.034629831937</v>
      </c>
      <c r="F156" s="77">
        <f>IF('Settings'!$E$15="POINTS",E156-VLOOKUP(B$2,C1:E206,3,FALSE),J156)</f>
        <v>-159.657264249241</v>
      </c>
      <c r="G156" s="77"/>
      <c r="H156" s="223">
        <f>RANK(I156,I3:I206)</f>
        <v>184</v>
      </c>
      <c r="I156" s="77">
        <f>VLOOKUP(A156,'Standard Deviations'!A1:C666,3,FALSE)</f>
        <v>-3.9924526106742</v>
      </c>
      <c r="J156" s="84">
        <f>I156-VLOOKUP(B$2,H1:J206,2,FALSE)</f>
        <v>-9.75851741923052</v>
      </c>
    </row>
    <row r="157" ht="21.25" customHeight="1">
      <c r="A157" t="s" s="10">
        <v>838</v>
      </c>
      <c r="B157" t="s" s="117">
        <f>VLOOKUP(A157,'The List'!B1:D665,3,FALSE)</f>
        <v>128</v>
      </c>
      <c r="C157" s="118">
        <f>IF('Settings'!$E$15="POINTS",RANK(E157,E3:E206),H157)</f>
        <v>198</v>
      </c>
      <c r="D157" t="s" s="86">
        <f>VLOOKUP(A157,'The List'!B1:F665,5,FALSE)</f>
        <v>267</v>
      </c>
      <c r="E157" s="77">
        <f>VLOOKUP(A157,'The List'!B1:I665,8,FALSE)</f>
        <v>117.368539149420</v>
      </c>
      <c r="F157" s="77">
        <f>IF('Settings'!$E$15="POINTS",E157-VLOOKUP(B$2,C1:E206,3,FALSE),J157)</f>
        <v>-212.323354931758</v>
      </c>
      <c r="G157" s="77"/>
      <c r="H157" s="223">
        <f>RANK(I157,I3:I206)</f>
        <v>174</v>
      </c>
      <c r="I157" s="77">
        <f>VLOOKUP(A157,'Standard Deviations'!A1:C666,3,FALSE)</f>
        <v>-3.63981359784066</v>
      </c>
      <c r="J157" s="84">
        <f>I157-VLOOKUP(B$2,H1:J206,2,FALSE)</f>
        <v>-9.40587840639698</v>
      </c>
    </row>
    <row r="158" ht="21.25" customHeight="1">
      <c r="A158" t="s" s="10">
        <v>503</v>
      </c>
      <c r="B158" t="s" s="117">
        <f>VLOOKUP(A158,'The List'!B1:D665,3,FALSE)</f>
        <v>128</v>
      </c>
      <c r="C158" s="118">
        <f>IF('Settings'!$E$15="POINTS",RANK(E158,E3:E206),H158)</f>
        <v>103</v>
      </c>
      <c r="D158" t="s" s="86">
        <f>VLOOKUP(A158,'The List'!B1:F665,5,FALSE)</f>
        <v>342</v>
      </c>
      <c r="E158" s="77">
        <f>VLOOKUP(A158,'The List'!B1:I665,8,FALSE)</f>
        <v>219.011919747579</v>
      </c>
      <c r="F158" s="77">
        <f>IF('Settings'!$E$15="POINTS",E158-VLOOKUP(B$2,C1:E206,3,FALSE),J158)</f>
        <v>-110.679974333599</v>
      </c>
      <c r="G158" s="77"/>
      <c r="H158" s="223">
        <f>RANK(I158,I3:I206)</f>
        <v>118</v>
      </c>
      <c r="I158" s="77">
        <f>VLOOKUP(A158,'Standard Deviations'!A1:C666,3,FALSE)</f>
        <v>-1.20586965153178</v>
      </c>
      <c r="J158" s="84">
        <f>I158-VLOOKUP(B$2,H1:J206,2,FALSE)</f>
        <v>-6.9719344600881</v>
      </c>
    </row>
    <row r="159" ht="21.25" customHeight="1">
      <c r="A159" t="s" s="10">
        <v>752</v>
      </c>
      <c r="B159" t="s" s="117">
        <f>VLOOKUP(A159,'The List'!B1:D665,3,FALSE)</f>
        <v>136</v>
      </c>
      <c r="C159" s="118">
        <f>IF('Settings'!$E$15="POINTS",RANK(E159,E3:E206),H159)</f>
        <v>170</v>
      </c>
      <c r="D159" t="s" s="86">
        <f>VLOOKUP(A159,'The List'!B1:F665,5,FALSE)</f>
        <v>912</v>
      </c>
      <c r="E159" s="77">
        <f>VLOOKUP(A159,'The List'!B1:I665,8,FALSE)</f>
        <v>156.635248898101</v>
      </c>
      <c r="F159" s="77">
        <f>IF('Settings'!$E$15="POINTS",E159-VLOOKUP(B$2,C1:E206,3,FALSE),J159)</f>
        <v>-173.056645183077</v>
      </c>
      <c r="G159" s="77"/>
      <c r="H159" s="223">
        <f>RANK(I159,I3:I206)</f>
        <v>176</v>
      </c>
      <c r="I159" s="77">
        <f>VLOOKUP(A159,'Standard Deviations'!A1:C666,3,FALSE)</f>
        <v>-3.67188723474243</v>
      </c>
      <c r="J159" s="84">
        <f>I159-VLOOKUP(B$2,H1:J206,2,FALSE)</f>
        <v>-9.43795204329875</v>
      </c>
    </row>
    <row r="160" ht="21.25" customHeight="1">
      <c r="A160" t="s" s="10">
        <v>735</v>
      </c>
      <c r="B160" t="s" s="117">
        <f>VLOOKUP(A160,'The List'!B1:D665,3,FALSE)</f>
        <v>128</v>
      </c>
      <c r="C160" s="118">
        <f>IF('Settings'!$E$15="POINTS",RANK(E160,E3:E206),H160)</f>
        <v>172</v>
      </c>
      <c r="D160" t="s" s="86">
        <f>VLOOKUP(A160,'The List'!B1:F665,5,FALSE)</f>
        <v>132</v>
      </c>
      <c r="E160" s="77">
        <f>VLOOKUP(A160,'The List'!B1:I665,8,FALSE)</f>
        <v>155.422825129197</v>
      </c>
      <c r="F160" s="77">
        <f>IF('Settings'!$E$15="POINTS",E160-VLOOKUP(B$2,C1:E206,3,FALSE),J160)</f>
        <v>-174.269068951981</v>
      </c>
      <c r="G160" s="77"/>
      <c r="H160" s="223">
        <f>RANK(I160,I3:I206)</f>
        <v>126</v>
      </c>
      <c r="I160" s="77">
        <f>VLOOKUP(A160,'Standard Deviations'!A1:C666,3,FALSE)</f>
        <v>-1.70768757131329</v>
      </c>
      <c r="J160" s="84">
        <f>I160-VLOOKUP(B$2,H1:J206,2,FALSE)</f>
        <v>-7.47375237986961</v>
      </c>
    </row>
    <row r="161" ht="21.25" customHeight="1">
      <c r="A161" t="s" s="10">
        <v>739</v>
      </c>
      <c r="B161" t="s" s="117">
        <f>VLOOKUP(A161,'The List'!B1:D665,3,FALSE)</f>
        <v>128</v>
      </c>
      <c r="C161" s="118">
        <f>IF('Settings'!$E$15="POINTS",RANK(E161,E3:E206),H161)</f>
        <v>175</v>
      </c>
      <c r="D161" t="s" s="86">
        <f>VLOOKUP(A161,'The List'!B1:F665,5,FALSE)</f>
        <v>902</v>
      </c>
      <c r="E161" s="77">
        <f>VLOOKUP(A161,'The List'!B1:I665,8,FALSE)</f>
        <v>154.809912756428</v>
      </c>
      <c r="F161" s="77">
        <f>IF('Settings'!$E$15="POINTS",E161-VLOOKUP(B$2,C1:E206,3,FALSE),J161)</f>
        <v>-174.881981324750</v>
      </c>
      <c r="G161" s="77"/>
      <c r="H161" s="223">
        <f>RANK(I161,I3:I206)</f>
        <v>134</v>
      </c>
      <c r="I161" s="77">
        <f>VLOOKUP(A161,'Standard Deviations'!A1:C666,3,FALSE)</f>
        <v>-2.03593599279194</v>
      </c>
      <c r="J161" s="84">
        <f>I161-VLOOKUP(B$2,H1:J206,2,FALSE)</f>
        <v>-7.80200080134826</v>
      </c>
    </row>
    <row r="162" ht="21.25" customHeight="1">
      <c r="A162" t="s" s="10">
        <v>737</v>
      </c>
      <c r="B162" t="s" s="117">
        <f>VLOOKUP(A162,'The List'!B1:D665,3,FALSE)</f>
        <v>128</v>
      </c>
      <c r="C162" s="118">
        <f>IF('Settings'!$E$15="POINTS",RANK(E162,E3:E206),H162)</f>
        <v>173</v>
      </c>
      <c r="D162" t="s" s="86">
        <f>VLOOKUP(A162,'The List'!B1:F665,5,FALSE)</f>
        <v>165</v>
      </c>
      <c r="E162" s="77">
        <f>VLOOKUP(A162,'The List'!B1:I665,8,FALSE)</f>
        <v>155.247483285742</v>
      </c>
      <c r="F162" s="77">
        <f>IF('Settings'!$E$15="POINTS",E162-VLOOKUP(B$2,C1:E206,3,FALSE),J162)</f>
        <v>-174.444410795436</v>
      </c>
      <c r="G162" s="77"/>
      <c r="H162" s="223">
        <f>RANK(I162,I3:I206)</f>
        <v>171</v>
      </c>
      <c r="I162" s="77">
        <f>VLOOKUP(A162,'Standard Deviations'!A1:C666,3,FALSE)</f>
        <v>-3.48574030951075</v>
      </c>
      <c r="J162" s="84">
        <f>I162-VLOOKUP(B$2,H1:J206,2,FALSE)</f>
        <v>-9.25180511806707</v>
      </c>
    </row>
    <row r="163" ht="21.25" customHeight="1">
      <c r="A163" t="s" s="10">
        <v>794</v>
      </c>
      <c r="B163" t="s" s="117">
        <f>VLOOKUP(A163,'The List'!B1:D665,3,FALSE)</f>
        <v>128</v>
      </c>
      <c r="C163" s="118">
        <f>IF('Settings'!$E$15="POINTS",RANK(E163,E3:E206),H163)</f>
        <v>188</v>
      </c>
      <c r="D163" t="s" s="86">
        <f>VLOOKUP(A163,'The List'!B1:F665,5,FALSE)</f>
        <v>192</v>
      </c>
      <c r="E163" s="77">
        <f>VLOOKUP(A163,'The List'!B1:I665,8,FALSE)</f>
        <v>137.252865699537</v>
      </c>
      <c r="F163" s="77">
        <f>IF('Settings'!$E$15="POINTS",E163-VLOOKUP(B$2,C1:E206,3,FALSE),J163)</f>
        <v>-192.439028381641</v>
      </c>
      <c r="G163" s="77"/>
      <c r="H163" s="223">
        <f>RANK(I163,I3:I206)</f>
        <v>181</v>
      </c>
      <c r="I163" s="77">
        <f>VLOOKUP(A163,'Standard Deviations'!A1:C666,3,FALSE)</f>
        <v>-3.82183448467076</v>
      </c>
      <c r="J163" s="84">
        <f>I163-VLOOKUP(B$2,H1:J206,2,FALSE)</f>
        <v>-9.58789929322708</v>
      </c>
    </row>
    <row r="164" ht="21.25" customHeight="1">
      <c r="A164" t="s" s="10">
        <v>703</v>
      </c>
      <c r="B164" t="s" s="117">
        <f>VLOOKUP(A164,'The List'!B1:D665,3,FALSE)</f>
        <v>128</v>
      </c>
      <c r="C164" s="118">
        <f>IF('Settings'!$E$15="POINTS",RANK(E164,E3:E206),H164)</f>
        <v>158</v>
      </c>
      <c r="D164" t="s" s="86">
        <f>VLOOKUP(A164,'The List'!B1:F665,5,FALSE)</f>
        <v>259</v>
      </c>
      <c r="E164" s="77">
        <f>VLOOKUP(A164,'The List'!B1:I665,8,FALSE)</f>
        <v>166.054292057417</v>
      </c>
      <c r="F164" s="77">
        <f>IF('Settings'!$E$15="POINTS",E164-VLOOKUP(B$2,C1:E206,3,FALSE),J164)</f>
        <v>-163.637602023761</v>
      </c>
      <c r="G164" s="77"/>
      <c r="H164" s="223">
        <f>RANK(I164,I3:I206)</f>
        <v>143</v>
      </c>
      <c r="I164" s="77">
        <f>VLOOKUP(A164,'Standard Deviations'!A1:C666,3,FALSE)</f>
        <v>-2.64229725979266</v>
      </c>
      <c r="J164" s="84">
        <f>I164-VLOOKUP(B$2,H1:J206,2,FALSE)</f>
        <v>-8.40836206834898</v>
      </c>
    </row>
    <row r="165" ht="21.25" customHeight="1">
      <c r="A165" t="s" s="10">
        <v>696</v>
      </c>
      <c r="B165" t="s" s="117">
        <f>VLOOKUP(A165,'The List'!B1:D665,3,FALSE)</f>
        <v>128</v>
      </c>
      <c r="C165" s="118">
        <f>IF('Settings'!$E$15="POINTS",RANK(E165,E3:E206),H165)</f>
        <v>153</v>
      </c>
      <c r="D165" t="s" s="86">
        <f>VLOOKUP(A165,'The List'!B1:F665,5,FALSE)</f>
        <v>909</v>
      </c>
      <c r="E165" s="77">
        <f>VLOOKUP(A165,'The List'!B1:I665,8,FALSE)</f>
        <v>166.872614864883</v>
      </c>
      <c r="F165" s="77">
        <f>IF('Settings'!$E$15="POINTS",E165-VLOOKUP(B$2,C1:E206,3,FALSE),J165)</f>
        <v>-162.819279216295</v>
      </c>
      <c r="G165" s="77"/>
      <c r="H165" s="223">
        <f>RANK(I165,I3:I206)</f>
        <v>186</v>
      </c>
      <c r="I165" s="77">
        <f>VLOOKUP(A165,'Standard Deviations'!A1:C666,3,FALSE)</f>
        <v>-4.17327609033908</v>
      </c>
      <c r="J165" s="84">
        <f>I165-VLOOKUP(B$2,H1:J206,2,FALSE)</f>
        <v>-9.9393408988954</v>
      </c>
    </row>
    <row r="166" ht="21.25" customHeight="1">
      <c r="A166" t="s" s="10">
        <v>775</v>
      </c>
      <c r="B166" t="s" s="117">
        <f>VLOOKUP(A166,'The List'!B1:D665,3,FALSE)</f>
        <v>128</v>
      </c>
      <c r="C166" s="118">
        <f>IF('Settings'!$E$15="POINTS",RANK(E166,E3:E206),H166)</f>
        <v>185</v>
      </c>
      <c r="D166" t="s" s="86">
        <f>VLOOKUP(A166,'The List'!B1:F665,5,FALSE)</f>
        <v>275</v>
      </c>
      <c r="E166" s="77">
        <f>VLOOKUP(A166,'The List'!B1:I665,8,FALSE)</f>
        <v>144.645233925207</v>
      </c>
      <c r="F166" s="77">
        <f>IF('Settings'!$E$15="POINTS",E166-VLOOKUP(B$2,C1:E206,3,FALSE),J166)</f>
        <v>-185.046660155971</v>
      </c>
      <c r="G166" s="77"/>
      <c r="H166" s="223">
        <f>RANK(I166,I3:I206)</f>
        <v>164</v>
      </c>
      <c r="I166" s="77">
        <f>VLOOKUP(A166,'Standard Deviations'!A1:C666,3,FALSE)</f>
        <v>-3.22393110650916</v>
      </c>
      <c r="J166" s="84">
        <f>I166-VLOOKUP(B$2,H1:J206,2,FALSE)</f>
        <v>-8.98999591506548</v>
      </c>
    </row>
    <row r="167" ht="21.25" customHeight="1">
      <c r="A167" t="s" s="10">
        <v>810</v>
      </c>
      <c r="B167" t="s" s="117">
        <f>VLOOKUP(A167,'The List'!B1:D665,3,FALSE)</f>
        <v>128</v>
      </c>
      <c r="C167" s="118">
        <f>IF('Settings'!$E$15="POINTS",RANK(E167,E3:E206),H167)</f>
        <v>190</v>
      </c>
      <c r="D167" t="s" s="86">
        <f>VLOOKUP(A167,'The List'!B1:F665,5,FALSE)</f>
        <v>909</v>
      </c>
      <c r="E167" s="77">
        <f>VLOOKUP(A167,'The List'!B1:I665,8,FALSE)</f>
        <v>132.262781442692</v>
      </c>
      <c r="F167" s="77">
        <f>IF('Settings'!$E$15="POINTS",E167-VLOOKUP(B$2,C1:E206,3,FALSE),J167)</f>
        <v>-197.429112638486</v>
      </c>
      <c r="G167" s="77"/>
      <c r="H167" s="223">
        <f>RANK(I167,I3:I206)</f>
        <v>192</v>
      </c>
      <c r="I167" s="77">
        <f>VLOOKUP(A167,'Standard Deviations'!A1:C666,3,FALSE)</f>
        <v>-4.75017666622246</v>
      </c>
      <c r="J167" s="84">
        <f>I167-VLOOKUP(B$2,H1:J206,2,FALSE)</f>
        <v>-10.5162414747788</v>
      </c>
    </row>
    <row r="168" ht="21.25" customHeight="1">
      <c r="A168" t="s" s="10">
        <v>697</v>
      </c>
      <c r="B168" t="s" s="117">
        <f>VLOOKUP(A168,'The List'!B1:D665,3,FALSE)</f>
        <v>128</v>
      </c>
      <c r="C168" s="118">
        <f>IF('Settings'!$E$15="POINTS",RANK(E168,E3:E206),H168)</f>
        <v>154</v>
      </c>
      <c r="D168" t="s" s="86">
        <f>VLOOKUP(A168,'The List'!B1:F665,5,FALSE)</f>
        <v>901</v>
      </c>
      <c r="E168" s="77">
        <f>VLOOKUP(A168,'The List'!B1:I665,8,FALSE)</f>
        <v>166.742204629663</v>
      </c>
      <c r="F168" s="77">
        <f>IF('Settings'!$E$15="POINTS",E168-VLOOKUP(B$2,C1:E206,3,FALSE),J168)</f>
        <v>-162.949689451515</v>
      </c>
      <c r="G168" s="77"/>
      <c r="H168" s="223">
        <f>RANK(I168,I3:I206)</f>
        <v>141</v>
      </c>
      <c r="I168" s="77">
        <f>VLOOKUP(A168,'Standard Deviations'!A1:C666,3,FALSE)</f>
        <v>-2.45434685361616</v>
      </c>
      <c r="J168" s="84">
        <f>I168-VLOOKUP(B$2,H1:J206,2,FALSE)</f>
        <v>-8.220411662172481</v>
      </c>
    </row>
    <row r="169" ht="21.25" customHeight="1">
      <c r="A169" t="s" s="10">
        <v>563</v>
      </c>
      <c r="B169" t="s" s="117">
        <f>VLOOKUP(A169,'The List'!B1:D665,3,FALSE)</f>
        <v>128</v>
      </c>
      <c r="C169" s="118">
        <f>IF('Settings'!$E$15="POINTS",RANK(E169,E3:E206),H169)</f>
        <v>118</v>
      </c>
      <c r="D169" t="s" s="86">
        <f>VLOOKUP(A169,'The List'!B1:F665,5,FALSE)</f>
        <v>207</v>
      </c>
      <c r="E169" s="77">
        <f>VLOOKUP(A169,'The List'!B1:I665,8,FALSE)</f>
        <v>205.469509813345</v>
      </c>
      <c r="F169" s="77">
        <f>IF('Settings'!$E$15="POINTS",E169-VLOOKUP(B$2,C1:E206,3,FALSE),J169)</f>
        <v>-124.222384267833</v>
      </c>
      <c r="G169" s="77"/>
      <c r="H169" s="223">
        <f>RANK(I169,I3:I206)</f>
        <v>150</v>
      </c>
      <c r="I169" s="77">
        <f>VLOOKUP(A169,'Standard Deviations'!A1:C666,3,FALSE)</f>
        <v>-2.88186595251262</v>
      </c>
      <c r="J169" s="84">
        <f>I169-VLOOKUP(B$2,H1:J206,2,FALSE)</f>
        <v>-8.64793076106894</v>
      </c>
    </row>
    <row r="170" ht="21.25" customHeight="1">
      <c r="A170" t="s" s="10">
        <v>615</v>
      </c>
      <c r="B170" t="s" s="117">
        <f>VLOOKUP(A170,'The List'!B1:D665,3,FALSE)</f>
        <v>136</v>
      </c>
      <c r="C170" s="118">
        <f>IF('Settings'!$E$15="POINTS",RANK(E170,E3:E206),H170)</f>
        <v>128</v>
      </c>
      <c r="D170" t="s" s="86">
        <f>VLOOKUP(A170,'The List'!B1:F665,5,FALSE)</f>
        <v>165</v>
      </c>
      <c r="E170" s="77">
        <f>VLOOKUP(A170,'The List'!B1:I665,8,FALSE)</f>
        <v>196.907094258462</v>
      </c>
      <c r="F170" s="77">
        <f>IF('Settings'!$E$15="POINTS",E170-VLOOKUP(B$2,C1:E206,3,FALSE),J170)</f>
        <v>-132.784799822716</v>
      </c>
      <c r="G170" s="77"/>
      <c r="H170" s="223">
        <f>RANK(I170,I3:I206)</f>
        <v>147</v>
      </c>
      <c r="I170" s="77">
        <f>VLOOKUP(A170,'Standard Deviations'!A1:C666,3,FALSE)</f>
        <v>-2.71550626164818</v>
      </c>
      <c r="J170" s="84">
        <f>I170-VLOOKUP(B$2,H1:J206,2,FALSE)</f>
        <v>-8.481571070204501</v>
      </c>
    </row>
    <row r="171" ht="21.25" customHeight="1">
      <c r="A171" t="s" s="10">
        <v>771</v>
      </c>
      <c r="B171" t="s" s="117">
        <f>VLOOKUP(A171,'The List'!B1:D665,3,FALSE)</f>
        <v>128</v>
      </c>
      <c r="C171" s="118">
        <f>IF('Settings'!$E$15="POINTS",RANK(E171,E3:E206),H171)</f>
        <v>183</v>
      </c>
      <c r="D171" t="s" s="86">
        <f>VLOOKUP(A171,'The List'!B1:F665,5,FALSE)</f>
        <v>149</v>
      </c>
      <c r="E171" s="77">
        <f>VLOOKUP(A171,'The List'!B1:I665,8,FALSE)</f>
        <v>146.090961495431</v>
      </c>
      <c r="F171" s="77">
        <f>IF('Settings'!$E$15="POINTS",E171-VLOOKUP(B$2,C1:E206,3,FALSE),J171)</f>
        <v>-183.600932585747</v>
      </c>
      <c r="G171" s="77"/>
      <c r="H171" s="223">
        <f>RANK(I171,I3:I206)</f>
        <v>160</v>
      </c>
      <c r="I171" s="77">
        <f>VLOOKUP(A171,'Standard Deviations'!A1:C666,3,FALSE)</f>
        <v>-3.07680157098263</v>
      </c>
      <c r="J171" s="84">
        <f>I171-VLOOKUP(B$2,H1:J206,2,FALSE)</f>
        <v>-8.84286637953895</v>
      </c>
    </row>
    <row r="172" ht="21.25" customHeight="1">
      <c r="A172" t="s" s="10">
        <v>717</v>
      </c>
      <c r="B172" t="s" s="117">
        <f>VLOOKUP(A172,'The List'!B1:D665,3,FALSE)</f>
        <v>128</v>
      </c>
      <c r="C172" s="118">
        <f>IF('Settings'!$E$15="POINTS",RANK(E172,E3:E206),H172)</f>
        <v>164</v>
      </c>
      <c r="D172" t="s" s="86">
        <f>VLOOKUP(A172,'The List'!B1:F665,5,FALSE)</f>
        <v>259</v>
      </c>
      <c r="E172" s="77">
        <f>VLOOKUP(A172,'The List'!B1:I665,8,FALSE)</f>
        <v>160.262726244588</v>
      </c>
      <c r="F172" s="77">
        <f>IF('Settings'!$E$15="POINTS",E172-VLOOKUP(B$2,C1:E206,3,FALSE),J172)</f>
        <v>-169.429167836590</v>
      </c>
      <c r="G172" s="77"/>
      <c r="H172" s="223">
        <f>RANK(I172,I3:I206)</f>
        <v>154</v>
      </c>
      <c r="I172" s="77">
        <f>VLOOKUP(A172,'Standard Deviations'!A1:C666,3,FALSE)</f>
        <v>-2.95866272920501</v>
      </c>
      <c r="J172" s="84">
        <f>I172-VLOOKUP(B$2,H1:J206,2,FALSE)</f>
        <v>-8.72472753776133</v>
      </c>
    </row>
    <row r="173" ht="21.25" customHeight="1">
      <c r="A173" t="s" s="10">
        <v>505</v>
      </c>
      <c r="B173" t="s" s="117">
        <f>VLOOKUP(A173,'The List'!B1:D665,3,FALSE)</f>
        <v>128</v>
      </c>
      <c r="C173" s="118">
        <f>IF('Settings'!$E$15="POINTS",RANK(E173,E3:E206),H173)</f>
        <v>104</v>
      </c>
      <c r="D173" t="s" s="86">
        <f>VLOOKUP(A173,'The List'!B1:F665,5,FALSE)</f>
        <v>908</v>
      </c>
      <c r="E173" s="77">
        <f>VLOOKUP(A173,'The List'!B1:I665,8,FALSE)</f>
        <v>218.341807803253</v>
      </c>
      <c r="F173" s="77">
        <f>IF('Settings'!$E$15="POINTS",E173-VLOOKUP(B$2,C1:E206,3,FALSE),J173)</f>
        <v>-111.350086277925</v>
      </c>
      <c r="G173" s="77"/>
      <c r="H173" s="223">
        <f>RANK(I173,I3:I206)</f>
        <v>175</v>
      </c>
      <c r="I173" s="77">
        <f>VLOOKUP(A173,'Standard Deviations'!A1:C666,3,FALSE)</f>
        <v>-3.64610941793963</v>
      </c>
      <c r="J173" s="84">
        <f>I173-VLOOKUP(B$2,H1:J206,2,FALSE)</f>
        <v>-9.412174226495949</v>
      </c>
    </row>
    <row r="174" ht="21.25" customHeight="1">
      <c r="A174" t="s" s="10">
        <v>720</v>
      </c>
      <c r="B174" t="s" s="117">
        <f>VLOOKUP(A174,'The List'!B1:D665,3,FALSE)</f>
        <v>128</v>
      </c>
      <c r="C174" s="118">
        <f>IF('Settings'!$E$15="POINTS",RANK(E174,E3:E206),H174)</f>
        <v>166</v>
      </c>
      <c r="D174" t="s" s="86">
        <f>VLOOKUP(A174,'The List'!B1:F665,5,FALSE)</f>
        <v>903</v>
      </c>
      <c r="E174" s="77">
        <f>VLOOKUP(A174,'The List'!B1:I665,8,FALSE)</f>
        <v>159.699518618616</v>
      </c>
      <c r="F174" s="77">
        <f>IF('Settings'!$E$15="POINTS",E174-VLOOKUP(B$2,C1:E206,3,FALSE),J174)</f>
        <v>-169.992375462562</v>
      </c>
      <c r="G174" s="77"/>
      <c r="H174" s="223">
        <f>RANK(I174,I3:I206)</f>
        <v>172</v>
      </c>
      <c r="I174" s="77">
        <f>VLOOKUP(A174,'Standard Deviations'!A1:C666,3,FALSE)</f>
        <v>-3.5297124682083</v>
      </c>
      <c r="J174" s="84">
        <f>I174-VLOOKUP(B$2,H1:J206,2,FALSE)</f>
        <v>-9.295777276764619</v>
      </c>
    </row>
    <row r="175" ht="21.25" customHeight="1">
      <c r="A175" t="s" s="10">
        <v>543</v>
      </c>
      <c r="B175" t="s" s="117">
        <f>VLOOKUP(A175,'The List'!B1:D665,3,FALSE)</f>
        <v>128</v>
      </c>
      <c r="C175" s="118">
        <f>IF('Settings'!$E$15="POINTS",RANK(E175,E3:E206),H175)</f>
        <v>115</v>
      </c>
      <c r="D175" t="s" s="86">
        <f>VLOOKUP(A175,'The List'!B1:F665,5,FALSE)</f>
        <v>275</v>
      </c>
      <c r="E175" s="77">
        <f>VLOOKUP(A175,'The List'!B1:I665,8,FALSE)</f>
        <v>208.215920372234</v>
      </c>
      <c r="F175" s="77">
        <f>IF('Settings'!$E$15="POINTS",E175-VLOOKUP(B$2,C1:E206,3,FALSE),J175)</f>
        <v>-121.475973708944</v>
      </c>
      <c r="G175" s="77"/>
      <c r="H175" s="223">
        <f>RANK(I175,I3:I206)</f>
        <v>163</v>
      </c>
      <c r="I175" s="77">
        <f>VLOOKUP(A175,'Standard Deviations'!A1:C666,3,FALSE)</f>
        <v>-3.2190697165673</v>
      </c>
      <c r="J175" s="84">
        <f>I175-VLOOKUP(B$2,H1:J206,2,FALSE)</f>
        <v>-8.98513452512362</v>
      </c>
    </row>
    <row r="176" ht="21.25" customHeight="1">
      <c r="A176" t="s" s="10">
        <v>562</v>
      </c>
      <c r="B176" t="s" s="117">
        <f>VLOOKUP(A176,'The List'!B1:D665,3,FALSE)</f>
        <v>128</v>
      </c>
      <c r="C176" s="118">
        <f>IF('Settings'!$E$15="POINTS",RANK(E176,E3:E206),H176)</f>
        <v>117</v>
      </c>
      <c r="D176" t="s" s="86">
        <f>VLOOKUP(A176,'The List'!B1:F665,5,FALSE)</f>
        <v>900</v>
      </c>
      <c r="E176" s="77">
        <f>VLOOKUP(A176,'The List'!B1:I665,8,FALSE)</f>
        <v>205.723477083097</v>
      </c>
      <c r="F176" s="77">
        <f>IF('Settings'!$E$15="POINTS",E176-VLOOKUP(B$2,C1:E206,3,FALSE),J176)</f>
        <v>-123.968416998081</v>
      </c>
      <c r="G176" s="77"/>
      <c r="H176" s="223">
        <f>RANK(I176,I3:I206)</f>
        <v>153</v>
      </c>
      <c r="I176" s="77">
        <f>VLOOKUP(A176,'Standard Deviations'!A1:C666,3,FALSE)</f>
        <v>-2.94111534359583</v>
      </c>
      <c r="J176" s="84">
        <f>I176-VLOOKUP(B$2,H1:J206,2,FALSE)</f>
        <v>-8.70718015215215</v>
      </c>
    </row>
    <row r="177" ht="21.25" customHeight="1">
      <c r="A177" t="s" s="10">
        <v>675</v>
      </c>
      <c r="B177" t="s" s="117">
        <f>VLOOKUP(A177,'The List'!B1:D665,3,FALSE)</f>
        <v>128</v>
      </c>
      <c r="C177" s="118">
        <f>IF('Settings'!$E$15="POINTS",RANK(E177,E3:E206),H177)</f>
        <v>145</v>
      </c>
      <c r="D177" t="s" s="86">
        <f>VLOOKUP(A177,'The List'!B1:F665,5,FALSE)</f>
        <v>904</v>
      </c>
      <c r="E177" s="77">
        <f>VLOOKUP(A177,'The List'!B1:I665,8,FALSE)</f>
        <v>173.141888035767</v>
      </c>
      <c r="F177" s="77">
        <f>IF('Settings'!$E$15="POINTS",E177-VLOOKUP(B$2,C1:E206,3,FALSE),J177)</f>
        <v>-156.550006045411</v>
      </c>
      <c r="G177" s="77"/>
      <c r="H177" s="223">
        <f>RANK(I177,I3:I206)</f>
        <v>157</v>
      </c>
      <c r="I177" s="77">
        <f>VLOOKUP(A177,'Standard Deviations'!A1:C666,3,FALSE)</f>
        <v>-3.00291151854645</v>
      </c>
      <c r="J177" s="84">
        <f>I177-VLOOKUP(B$2,H1:J206,2,FALSE)</f>
        <v>-8.76897632710277</v>
      </c>
    </row>
    <row r="178" ht="21.25" customHeight="1">
      <c r="A178" t="s" s="10">
        <v>847</v>
      </c>
      <c r="B178" t="s" s="117">
        <f>VLOOKUP(A178,'The List'!B1:D665,3,FALSE)</f>
        <v>128</v>
      </c>
      <c r="C178" s="118">
        <f>IF('Settings'!$E$15="POINTS",RANK(E178,E3:E206),H178)</f>
        <v>201</v>
      </c>
      <c r="D178" t="s" s="86">
        <f>VLOOKUP(A178,'The List'!B1:F665,5,FALSE)</f>
        <v>878</v>
      </c>
      <c r="E178" s="77">
        <f>VLOOKUP(A178,'The List'!B1:I665,8,FALSE)</f>
        <v>107.852626998929</v>
      </c>
      <c r="F178" s="77">
        <f>IF('Settings'!$E$15="POINTS",E178-VLOOKUP(B$2,C1:E206,3,FALSE),J178)</f>
        <v>-221.839267082249</v>
      </c>
      <c r="G178" s="77"/>
      <c r="H178" s="223">
        <f>RANK(I178,I3:I206)</f>
        <v>178</v>
      </c>
      <c r="I178" s="77">
        <f>VLOOKUP(A178,'Standard Deviations'!A1:C666,3,FALSE)</f>
        <v>-3.77442648559896</v>
      </c>
      <c r="J178" s="84">
        <f>I178-VLOOKUP(B$2,H1:J206,2,FALSE)</f>
        <v>-9.540491294155281</v>
      </c>
    </row>
    <row r="179" ht="21.25" customHeight="1">
      <c r="A179" t="s" s="10">
        <v>678</v>
      </c>
      <c r="B179" t="s" s="117">
        <f>VLOOKUP(A179,'The List'!B1:D665,3,FALSE)</f>
        <v>128</v>
      </c>
      <c r="C179" s="118">
        <f>IF('Settings'!$E$15="POINTS",RANK(E179,E3:E206),H179)</f>
        <v>147</v>
      </c>
      <c r="D179" t="s" s="86">
        <f>VLOOKUP(A179,'The List'!B1:F665,5,FALSE)</f>
        <v>913</v>
      </c>
      <c r="E179" s="77">
        <f>VLOOKUP(A179,'The List'!B1:I665,8,FALSE)</f>
        <v>171.119176589080</v>
      </c>
      <c r="F179" s="77">
        <f>IF('Settings'!$E$15="POINTS",E179-VLOOKUP(B$2,C1:E206,3,FALSE),J179)</f>
        <v>-158.572717492098</v>
      </c>
      <c r="G179" s="77"/>
      <c r="H179" s="223">
        <f>RANK(I179,I3:I206)</f>
        <v>203</v>
      </c>
      <c r="I179" s="77">
        <f>VLOOKUP(A179,'Standard Deviations'!A1:C666,3,FALSE)</f>
        <v>-5.91286664726037</v>
      </c>
      <c r="J179" s="84">
        <f>I179-VLOOKUP(B$2,H1:J206,2,FALSE)</f>
        <v>-11.6789314558167</v>
      </c>
    </row>
    <row r="180" ht="21.25" customHeight="1">
      <c r="A180" t="s" s="10">
        <v>597</v>
      </c>
      <c r="B180" t="s" s="117">
        <f>VLOOKUP(A180,'The List'!B1:D665,3,FALSE)</f>
        <v>128</v>
      </c>
      <c r="C180" s="118">
        <f>IF('Settings'!$E$15="POINTS",RANK(E180,E3:E206),H180)</f>
        <v>130</v>
      </c>
      <c r="D180" t="s" s="86">
        <f>VLOOKUP(A180,'The List'!B1:F665,5,FALSE)</f>
        <v>914</v>
      </c>
      <c r="E180" s="77">
        <f>VLOOKUP(A180,'The List'!B1:I665,8,FALSE)</f>
        <v>195.941400999213</v>
      </c>
      <c r="F180" s="77">
        <f>IF('Settings'!$E$15="POINTS",E180-VLOOKUP(B$2,C1:E206,3,FALSE),J180)</f>
        <v>-133.750493081965</v>
      </c>
      <c r="G180" s="77"/>
      <c r="H180" s="223">
        <f>RANK(I180,I3:I206)</f>
        <v>199</v>
      </c>
      <c r="I180" s="77">
        <f>VLOOKUP(A180,'Standard Deviations'!A1:C666,3,FALSE)</f>
        <v>-5.41852429519614</v>
      </c>
      <c r="J180" s="84">
        <f>I180-VLOOKUP(B$2,H1:J206,2,FALSE)</f>
        <v>-11.1845891037525</v>
      </c>
    </row>
    <row r="181" ht="21.25" customHeight="1">
      <c r="A181" t="s" s="10">
        <v>786</v>
      </c>
      <c r="B181" t="s" s="117">
        <f>VLOOKUP(A181,'The List'!B1:D665,3,FALSE)</f>
        <v>128</v>
      </c>
      <c r="C181" s="118">
        <f>IF('Settings'!$E$15="POINTS",RANK(E181,E3:E206),H181)</f>
        <v>186</v>
      </c>
      <c r="D181" t="s" s="86">
        <f>VLOOKUP(A181,'The List'!B1:F665,5,FALSE)</f>
        <v>902</v>
      </c>
      <c r="E181" s="77">
        <f>VLOOKUP(A181,'The List'!B1:I665,8,FALSE)</f>
        <v>141.892895643532</v>
      </c>
      <c r="F181" s="77">
        <f>IF('Settings'!$E$15="POINTS",E181-VLOOKUP(B$2,C1:E206,3,FALSE),J181)</f>
        <v>-187.798998437646</v>
      </c>
      <c r="G181" s="77"/>
      <c r="H181" s="223">
        <f>RANK(I181,I3:I206)</f>
        <v>148</v>
      </c>
      <c r="I181" s="77">
        <f>VLOOKUP(A181,'Standard Deviations'!A1:C666,3,FALSE)</f>
        <v>-2.83374077433555</v>
      </c>
      <c r="J181" s="84">
        <f>I181-VLOOKUP(B$2,H1:J206,2,FALSE)</f>
        <v>-8.59980558289187</v>
      </c>
    </row>
    <row r="182" ht="21.25" customHeight="1">
      <c r="A182" t="s" s="10">
        <v>845</v>
      </c>
      <c r="B182" t="s" s="117">
        <f>VLOOKUP(A182,'The List'!B1:D665,3,FALSE)</f>
        <v>128</v>
      </c>
      <c r="C182" s="118">
        <f>IF('Settings'!$E$15="POINTS",RANK(E182,E3:E206),H182)</f>
        <v>199</v>
      </c>
      <c r="D182" t="s" s="86">
        <f>VLOOKUP(A182,'The List'!B1:F665,5,FALSE)</f>
        <v>165</v>
      </c>
      <c r="E182" s="77">
        <f>VLOOKUP(A182,'The List'!B1:I665,8,FALSE)</f>
        <v>112.602252088172</v>
      </c>
      <c r="F182" s="77">
        <f>IF('Settings'!$E$15="POINTS",E182-VLOOKUP(B$2,C1:E206,3,FALSE),J182)</f>
        <v>-217.089641993006</v>
      </c>
      <c r="G182" s="77"/>
      <c r="H182" s="223">
        <f>RANK(I182,I3:I206)</f>
        <v>179</v>
      </c>
      <c r="I182" s="77">
        <f>VLOOKUP(A182,'Standard Deviations'!A1:C666,3,FALSE)</f>
        <v>-3.78027168767332</v>
      </c>
      <c r="J182" s="84">
        <f>I182-VLOOKUP(B$2,H1:J206,2,FALSE)</f>
        <v>-9.546336496229641</v>
      </c>
    </row>
    <row r="183" ht="21.25" customHeight="1">
      <c r="A183" t="s" s="10">
        <v>603</v>
      </c>
      <c r="B183" t="s" s="117">
        <f>VLOOKUP(A183,'The List'!B1:D665,3,FALSE)</f>
        <v>128</v>
      </c>
      <c r="C183" s="118">
        <f>IF('Settings'!$E$15="POINTS",RANK(E183,E3:E206),H183)</f>
        <v>131</v>
      </c>
      <c r="D183" t="s" s="86">
        <f>VLOOKUP(A183,'The List'!B1:F665,5,FALSE)</f>
        <v>259</v>
      </c>
      <c r="E183" s="77">
        <f>VLOOKUP(A183,'The List'!B1:I665,8,FALSE)</f>
        <v>194.612764386130</v>
      </c>
      <c r="F183" s="77">
        <f>IF('Settings'!$E$15="POINTS",E183-VLOOKUP(B$2,C1:E206,3,FALSE),J183)</f>
        <v>-135.079129695048</v>
      </c>
      <c r="G183" s="77"/>
      <c r="H183" s="223">
        <f>RANK(I183,I3:I206)</f>
        <v>182</v>
      </c>
      <c r="I183" s="77">
        <f>VLOOKUP(A183,'Standard Deviations'!A1:C666,3,FALSE)</f>
        <v>-3.90884210978474</v>
      </c>
      <c r="J183" s="84">
        <f>I183-VLOOKUP(B$2,H1:J206,2,FALSE)</f>
        <v>-9.67490691834106</v>
      </c>
    </row>
    <row r="184" ht="21.25" customHeight="1">
      <c r="A184" t="s" s="10">
        <v>803</v>
      </c>
      <c r="B184" t="s" s="117">
        <f>VLOOKUP(A184,'The List'!B1:D665,3,FALSE)</f>
        <v>128</v>
      </c>
      <c r="C184" s="118">
        <f>IF('Settings'!$E$15="POINTS",RANK(E184,E3:E206),H184)</f>
        <v>189</v>
      </c>
      <c r="D184" t="s" s="86">
        <f>VLOOKUP(A184,'The List'!B1:F665,5,FALSE)</f>
        <v>912</v>
      </c>
      <c r="E184" s="77">
        <f>VLOOKUP(A184,'The List'!B1:I665,8,FALSE)</f>
        <v>134.539181062019</v>
      </c>
      <c r="F184" s="77">
        <f>IF('Settings'!$E$15="POINTS",E184-VLOOKUP(B$2,C1:E206,3,FALSE),J184)</f>
        <v>-195.152713019159</v>
      </c>
      <c r="G184" s="77"/>
      <c r="H184" s="223">
        <f>RANK(I184,I3:I206)</f>
        <v>197</v>
      </c>
      <c r="I184" s="77">
        <f>VLOOKUP(A184,'Standard Deviations'!A1:C666,3,FALSE)</f>
        <v>-5.27424366310825</v>
      </c>
      <c r="J184" s="84">
        <f>I184-VLOOKUP(B$2,H1:J206,2,FALSE)</f>
        <v>-11.0403084716646</v>
      </c>
    </row>
    <row r="185" ht="21.25" customHeight="1">
      <c r="A185" t="s" s="10">
        <v>738</v>
      </c>
      <c r="B185" t="s" s="117">
        <f>VLOOKUP(A185,'The List'!B1:D665,3,FALSE)</f>
        <v>128</v>
      </c>
      <c r="C185" s="118">
        <f>IF('Settings'!$E$15="POINTS",RANK(E185,E3:E206),H185)</f>
        <v>174</v>
      </c>
      <c r="D185" t="s" s="86">
        <f>VLOOKUP(A185,'The List'!B1:F665,5,FALSE)</f>
        <v>913</v>
      </c>
      <c r="E185" s="77">
        <f>VLOOKUP(A185,'The List'!B1:I665,8,FALSE)</f>
        <v>154.826644372950</v>
      </c>
      <c r="F185" s="77">
        <f>IF('Settings'!$E$15="POINTS",E185-VLOOKUP(B$2,C1:E206,3,FALSE),J185)</f>
        <v>-174.865249708228</v>
      </c>
      <c r="G185" s="77"/>
      <c r="H185" s="223">
        <f>RANK(I185,I3:I206)</f>
        <v>202</v>
      </c>
      <c r="I185" s="77">
        <f>VLOOKUP(A185,'Standard Deviations'!A1:C666,3,FALSE)</f>
        <v>-5.84019433012656</v>
      </c>
      <c r="J185" s="84">
        <f>I185-VLOOKUP(B$2,H1:J206,2,FALSE)</f>
        <v>-11.6062591386829</v>
      </c>
    </row>
    <row r="186" ht="21.25" customHeight="1">
      <c r="A186" t="s" s="10">
        <v>817</v>
      </c>
      <c r="B186" t="s" s="117">
        <f>VLOOKUP(A186,'The List'!B1:D665,3,FALSE)</f>
        <v>128</v>
      </c>
      <c r="C186" s="118">
        <f>IF('Settings'!$E$15="POINTS",RANK(E186,E3:E206),H186)</f>
        <v>192</v>
      </c>
      <c r="D186" t="s" s="86">
        <f>VLOOKUP(A186,'The List'!B1:F665,5,FALSE)</f>
        <v>902</v>
      </c>
      <c r="E186" s="77">
        <f>VLOOKUP(A186,'The List'!B1:I665,8,FALSE)</f>
        <v>129.704279658994</v>
      </c>
      <c r="F186" s="77">
        <f>IF('Settings'!$E$15="POINTS",E186-VLOOKUP(B$2,C1:E206,3,FALSE),J186)</f>
        <v>-199.987614422184</v>
      </c>
      <c r="G186" s="77"/>
      <c r="H186" s="223">
        <f>RANK(I186,I3:I206)</f>
        <v>198</v>
      </c>
      <c r="I186" s="77">
        <f>VLOOKUP(A186,'Standard Deviations'!A1:C666,3,FALSE)</f>
        <v>-5.41271847003413</v>
      </c>
      <c r="J186" s="84">
        <f>I186-VLOOKUP(B$2,H1:J206,2,FALSE)</f>
        <v>-11.1787832785905</v>
      </c>
    </row>
    <row r="187" ht="21.25" customHeight="1">
      <c r="A187" t="s" s="10">
        <v>762</v>
      </c>
      <c r="B187" t="s" s="117">
        <f>VLOOKUP(A187,'The List'!B1:D665,3,FALSE)</f>
        <v>128</v>
      </c>
      <c r="C187" s="118">
        <f>IF('Settings'!$E$15="POINTS",RANK(E187,E3:E206),H187)</f>
        <v>179</v>
      </c>
      <c r="D187" t="s" s="86">
        <f>VLOOKUP(A187,'The List'!B1:F665,5,FALSE)</f>
        <v>907</v>
      </c>
      <c r="E187" s="77">
        <f>VLOOKUP(A187,'The List'!B1:I665,8,FALSE)</f>
        <v>148.266502233479</v>
      </c>
      <c r="F187" s="77">
        <f>IF('Settings'!$E$15="POINTS",E187-VLOOKUP(B$2,C1:E206,3,FALSE),J187)</f>
        <v>-181.425391847699</v>
      </c>
      <c r="G187" s="77"/>
      <c r="H187" s="223">
        <f>RANK(I187,I3:I206)</f>
        <v>193</v>
      </c>
      <c r="I187" s="77">
        <f>VLOOKUP(A187,'Standard Deviations'!A1:C666,3,FALSE)</f>
        <v>-4.805116978008</v>
      </c>
      <c r="J187" s="84">
        <f>I187-VLOOKUP(B$2,H1:J206,2,FALSE)</f>
        <v>-10.5711817865643</v>
      </c>
    </row>
    <row r="188" ht="21.25" customHeight="1">
      <c r="A188" t="s" s="10">
        <v>595</v>
      </c>
      <c r="B188" t="s" s="117">
        <f>VLOOKUP(A188,'The List'!B1:D665,3,FALSE)</f>
        <v>128</v>
      </c>
      <c r="C188" s="118">
        <f>IF('Settings'!$E$15="POINTS",RANK(E188,E3:E206),H188)</f>
        <v>129</v>
      </c>
      <c r="D188" t="s" s="86">
        <f>VLOOKUP(A188,'The List'!B1:F665,5,FALSE)</f>
        <v>913</v>
      </c>
      <c r="E188" s="77">
        <f>VLOOKUP(A188,'The List'!B1:I665,8,FALSE)</f>
        <v>196.608833930105</v>
      </c>
      <c r="F188" s="77">
        <f>IF('Settings'!$E$15="POINTS",E188-VLOOKUP(B$2,C1:E206,3,FALSE),J188)</f>
        <v>-133.083060151073</v>
      </c>
      <c r="G188" s="77"/>
      <c r="H188" s="223">
        <f>RANK(I188,I3:I206)</f>
        <v>158</v>
      </c>
      <c r="I188" s="77">
        <f>VLOOKUP(A188,'Standard Deviations'!A1:C666,3,FALSE)</f>
        <v>-3.03277256155061</v>
      </c>
      <c r="J188" s="84">
        <f>I188-VLOOKUP(B$2,H1:J206,2,FALSE)</f>
        <v>-8.798837370106931</v>
      </c>
    </row>
    <row r="189" ht="21.25" customHeight="1">
      <c r="A189" t="s" s="10">
        <v>701</v>
      </c>
      <c r="B189" t="s" s="117">
        <f>VLOOKUP(A189,'The List'!B1:D665,3,FALSE)</f>
        <v>128</v>
      </c>
      <c r="C189" s="118">
        <f>IF('Settings'!$E$15="POINTS",RANK(E189,E3:E206),H189)</f>
        <v>157</v>
      </c>
      <c r="D189" t="s" s="86">
        <f>VLOOKUP(A189,'The List'!B1:F665,5,FALSE)</f>
        <v>132</v>
      </c>
      <c r="E189" s="77">
        <f>VLOOKUP(A189,'The List'!B1:I665,8,FALSE)</f>
        <v>166.239159316830</v>
      </c>
      <c r="F189" s="77">
        <f>IF('Settings'!$E$15="POINTS",E189-VLOOKUP(B$2,C1:E206,3,FALSE),J189)</f>
        <v>-163.452734764348</v>
      </c>
      <c r="G189" s="77"/>
      <c r="H189" s="223">
        <f>RANK(I189,I3:I206)</f>
        <v>183</v>
      </c>
      <c r="I189" s="77">
        <f>VLOOKUP(A189,'Standard Deviations'!A1:C666,3,FALSE)</f>
        <v>-3.98102088999546</v>
      </c>
      <c r="J189" s="84">
        <f>I189-VLOOKUP(B$2,H1:J206,2,FALSE)</f>
        <v>-9.74708569855178</v>
      </c>
    </row>
    <row r="190" ht="21.25" customHeight="1">
      <c r="A190" t="s" s="10">
        <v>728</v>
      </c>
      <c r="B190" t="s" s="117">
        <f>VLOOKUP(A190,'The List'!B1:D665,3,FALSE)</f>
        <v>128</v>
      </c>
      <c r="C190" s="118">
        <f>IF('Settings'!$E$15="POINTS",RANK(E190,E3:E206),H190)</f>
        <v>168</v>
      </c>
      <c r="D190" t="s" s="86">
        <f>VLOOKUP(A190,'The List'!B1:F665,5,FALSE)</f>
        <v>906</v>
      </c>
      <c r="E190" s="77">
        <f>VLOOKUP(A190,'The List'!B1:I665,8,FALSE)</f>
        <v>156.909889049767</v>
      </c>
      <c r="F190" s="77">
        <f>IF('Settings'!$E$15="POINTS",E190-VLOOKUP(B$2,C1:E206,3,FALSE),J190)</f>
        <v>-172.782005031411</v>
      </c>
      <c r="G190" s="77"/>
      <c r="H190" s="223">
        <f>RANK(I190,I3:I206)</f>
        <v>168</v>
      </c>
      <c r="I190" s="77">
        <f>VLOOKUP(A190,'Standard Deviations'!A1:C666,3,FALSE)</f>
        <v>-3.39996034751064</v>
      </c>
      <c r="J190" s="84">
        <f>I190-VLOOKUP(B$2,H1:J206,2,FALSE)</f>
        <v>-9.16602515606696</v>
      </c>
    </row>
    <row r="191" ht="21.25" customHeight="1">
      <c r="A191" t="s" s="10">
        <v>765</v>
      </c>
      <c r="B191" t="s" s="117">
        <f>VLOOKUP(A191,'The List'!B1:D665,3,FALSE)</f>
        <v>128</v>
      </c>
      <c r="C191" s="118">
        <f>IF('Settings'!$E$15="POINTS",RANK(E191,E3:E206),H191)</f>
        <v>180</v>
      </c>
      <c r="D191" t="s" s="86">
        <f>VLOOKUP(A191,'The List'!B1:F665,5,FALSE)</f>
        <v>132</v>
      </c>
      <c r="E191" s="77">
        <f>VLOOKUP(A191,'The List'!B1:I665,8,FALSE)</f>
        <v>147.379190276425</v>
      </c>
      <c r="F191" s="77">
        <f>IF('Settings'!$E$15="POINTS",E191-VLOOKUP(B$2,C1:E206,3,FALSE),J191)</f>
        <v>-182.312703804753</v>
      </c>
      <c r="G191" s="77"/>
      <c r="H191" s="223">
        <f>RANK(I191,I3:I206)</f>
        <v>159</v>
      </c>
      <c r="I191" s="77">
        <f>VLOOKUP(A191,'Standard Deviations'!A1:C666,3,FALSE)</f>
        <v>-3.04495394038125</v>
      </c>
      <c r="J191" s="84">
        <f>I191-VLOOKUP(B$2,H1:J206,2,FALSE)</f>
        <v>-8.81101874893757</v>
      </c>
    </row>
    <row r="192" ht="21.25" customHeight="1">
      <c r="A192" t="s" s="10">
        <v>656</v>
      </c>
      <c r="B192" t="s" s="117">
        <f>VLOOKUP(A192,'The List'!B1:D665,3,FALSE)</f>
        <v>128</v>
      </c>
      <c r="C192" s="118">
        <f>IF('Settings'!$E$15="POINTS",RANK(E192,E3:E206),H192)</f>
        <v>142</v>
      </c>
      <c r="D192" t="s" s="86">
        <f>VLOOKUP(A192,'The List'!B1:F665,5,FALSE)</f>
        <v>899</v>
      </c>
      <c r="E192" s="77">
        <f>VLOOKUP(A192,'The List'!B1:I665,8,FALSE)</f>
        <v>179.281262659204</v>
      </c>
      <c r="F192" s="77">
        <f>IF('Settings'!$E$15="POINTS",E192-VLOOKUP(B$2,C1:E206,3,FALSE),J192)</f>
        <v>-150.410631421974</v>
      </c>
      <c r="G192" s="77"/>
      <c r="H192" s="223">
        <f>RANK(I192,I3:I206)</f>
        <v>188</v>
      </c>
      <c r="I192" s="77">
        <f>VLOOKUP(A192,'Standard Deviations'!A1:C666,3,FALSE)</f>
        <v>-4.37388853442816</v>
      </c>
      <c r="J192" s="84">
        <f>I192-VLOOKUP(B$2,H1:J206,2,FALSE)</f>
        <v>-10.1399533429845</v>
      </c>
    </row>
    <row r="193" ht="21.25" customHeight="1">
      <c r="A193" t="s" s="10">
        <v>699</v>
      </c>
      <c r="B193" t="s" s="117">
        <f>VLOOKUP(A193,'The List'!B1:D665,3,FALSE)</f>
        <v>128</v>
      </c>
      <c r="C193" s="118">
        <f>IF('Settings'!$E$15="POINTS",RANK(E193,E3:E206),H193)</f>
        <v>155</v>
      </c>
      <c r="D193" t="s" s="86">
        <f>VLOOKUP(A193,'The List'!B1:F665,5,FALSE)</f>
        <v>907</v>
      </c>
      <c r="E193" s="77">
        <f>VLOOKUP(A193,'The List'!B1:I665,8,FALSE)</f>
        <v>166.506123563770</v>
      </c>
      <c r="F193" s="77">
        <f>IF('Settings'!$E$15="POINTS",E193-VLOOKUP(B$2,C1:E206,3,FALSE),J193)</f>
        <v>-163.185770517408</v>
      </c>
      <c r="G193" s="77"/>
      <c r="H193" s="223">
        <f>RANK(I193,I3:I206)</f>
        <v>161</v>
      </c>
      <c r="I193" s="77">
        <f>VLOOKUP(A193,'Standard Deviations'!A1:C666,3,FALSE)</f>
        <v>-3.10300104168872</v>
      </c>
      <c r="J193" s="84">
        <f>I193-VLOOKUP(B$2,H1:J206,2,FALSE)</f>
        <v>-8.86906585024504</v>
      </c>
    </row>
    <row r="194" ht="21.25" customHeight="1">
      <c r="A194" t="s" s="10">
        <v>792</v>
      </c>
      <c r="B194" t="s" s="117">
        <f>VLOOKUP(A194,'The List'!B1:D665,3,FALSE)</f>
        <v>128</v>
      </c>
      <c r="C194" s="118">
        <f>IF('Settings'!$E$15="POINTS",RANK(E194,E3:E206),H194)</f>
        <v>187</v>
      </c>
      <c r="D194" t="s" s="86">
        <f>VLOOKUP(A194,'The List'!B1:F665,5,FALSE)</f>
        <v>207</v>
      </c>
      <c r="E194" s="77">
        <f>VLOOKUP(A194,'The List'!B1:I665,8,FALSE)</f>
        <v>138.734519337153</v>
      </c>
      <c r="F194" s="77">
        <f>IF('Settings'!$E$15="POINTS",E194-VLOOKUP(B$2,C1:E206,3,FALSE),J194)</f>
        <v>-190.957374744025</v>
      </c>
      <c r="G194" s="77"/>
      <c r="H194" s="223">
        <f>RANK(I194,I3:I206)</f>
        <v>187</v>
      </c>
      <c r="I194" s="77">
        <f>VLOOKUP(A194,'Standard Deviations'!A1:C666,3,FALSE)</f>
        <v>-4.1910928386931</v>
      </c>
      <c r="J194" s="84">
        <f>I194-VLOOKUP(B$2,H1:J206,2,FALSE)</f>
        <v>-9.957157647249421</v>
      </c>
    </row>
    <row r="195" ht="21.25" customHeight="1">
      <c r="A195" t="s" s="10">
        <v>633</v>
      </c>
      <c r="B195" t="s" s="117">
        <f>VLOOKUP(A195,'The List'!B1:D665,3,FALSE)</f>
        <v>128</v>
      </c>
      <c r="C195" s="118">
        <f>IF('Settings'!$E$15="POINTS",RANK(E195,E3:E206),H195)</f>
        <v>137</v>
      </c>
      <c r="D195" t="s" s="86">
        <f>VLOOKUP(A195,'The List'!B1:F665,5,FALSE)</f>
        <v>900</v>
      </c>
      <c r="E195" s="77">
        <f>VLOOKUP(A195,'The List'!B1:I665,8,FALSE)</f>
        <v>186.875466221993</v>
      </c>
      <c r="F195" s="77">
        <f>IF('Settings'!$E$15="POINTS",E195-VLOOKUP(B$2,C1:E206,3,FALSE),J195)</f>
        <v>-142.816427859185</v>
      </c>
      <c r="G195" s="77"/>
      <c r="H195" s="223">
        <f>RANK(I195,I3:I206)</f>
        <v>185</v>
      </c>
      <c r="I195" s="77">
        <f>VLOOKUP(A195,'Standard Deviations'!A1:C666,3,FALSE)</f>
        <v>-4.09915663250607</v>
      </c>
      <c r="J195" s="84">
        <f>I195-VLOOKUP(B$2,H1:J206,2,FALSE)</f>
        <v>-9.86522144106239</v>
      </c>
    </row>
    <row r="196" ht="21.25" customHeight="1">
      <c r="A196" t="s" s="10">
        <v>813</v>
      </c>
      <c r="B196" t="s" s="117">
        <f>VLOOKUP(A196,'The List'!B1:D665,3,FALSE)</f>
        <v>128</v>
      </c>
      <c r="C196" s="118">
        <f>IF('Settings'!$E$15="POINTS",RANK(E196,E3:E206),H196)</f>
        <v>191</v>
      </c>
      <c r="D196" t="s" s="86">
        <f>VLOOKUP(A196,'The List'!B1:F665,5,FALSE)</f>
        <v>913</v>
      </c>
      <c r="E196" s="77">
        <f>VLOOKUP(A196,'The List'!B1:I665,8,FALSE)</f>
        <v>131.019469552622</v>
      </c>
      <c r="F196" s="77">
        <f>IF('Settings'!$E$15="POINTS",E196-VLOOKUP(B$2,C1:E206,3,FALSE),J196)</f>
        <v>-198.672424528556</v>
      </c>
      <c r="G196" s="77"/>
      <c r="H196" s="223">
        <f>RANK(I196,I3:I206)</f>
        <v>180</v>
      </c>
      <c r="I196" s="77">
        <f>VLOOKUP(A196,'Standard Deviations'!A1:C666,3,FALSE)</f>
        <v>-3.82052508270579</v>
      </c>
      <c r="J196" s="84">
        <f>I196-VLOOKUP(B$2,H1:J206,2,FALSE)</f>
        <v>-9.586589891262109</v>
      </c>
    </row>
    <row r="197" ht="21.25" customHeight="1">
      <c r="A197" t="s" s="10">
        <v>711</v>
      </c>
      <c r="B197" t="s" s="117">
        <f>VLOOKUP(A197,'The List'!B1:D665,3,FALSE)</f>
        <v>145</v>
      </c>
      <c r="C197" s="118">
        <f>IF('Settings'!$E$15="POINTS",RANK(E197,E3:E206),H197)</f>
        <v>152</v>
      </c>
      <c r="D197" t="s" s="86">
        <f>VLOOKUP(A197,'The List'!B1:F665,5,FALSE)</f>
        <v>154</v>
      </c>
      <c r="E197" s="77">
        <f>VLOOKUP(A197,'The List'!B1:I665,8,FALSE)</f>
        <v>166.879933865670</v>
      </c>
      <c r="F197" s="77">
        <f>IF('Settings'!$E$15="POINTS",E197-VLOOKUP(B$2,C1:E206,3,FALSE),J197)</f>
        <v>-162.811960215508</v>
      </c>
      <c r="G197" s="77"/>
      <c r="H197" s="223">
        <f>RANK(I197,I3:I206)</f>
        <v>173</v>
      </c>
      <c r="I197" s="77">
        <f>VLOOKUP(A197,'Standard Deviations'!A1:C666,3,FALSE)</f>
        <v>-3.63925959274839</v>
      </c>
      <c r="J197" s="84">
        <f>I197-VLOOKUP(B$2,H1:J206,2,FALSE)</f>
        <v>-9.405324401304711</v>
      </c>
    </row>
    <row r="198" ht="21.25" customHeight="1">
      <c r="A198" t="s" s="10">
        <v>729</v>
      </c>
      <c r="B198" t="s" s="117">
        <f>VLOOKUP(A198,'The List'!B1:D665,3,FALSE)</f>
        <v>128</v>
      </c>
      <c r="C198" s="118">
        <f>IF('Settings'!$E$15="POINTS",RANK(E198,E3:E206),H198)</f>
        <v>169</v>
      </c>
      <c r="D198" t="s" s="86">
        <f>VLOOKUP(A198,'The List'!B1:F665,5,FALSE)</f>
        <v>899</v>
      </c>
      <c r="E198" s="77">
        <f>VLOOKUP(A198,'The List'!B1:I665,8,FALSE)</f>
        <v>156.796380570825</v>
      </c>
      <c r="F198" s="77">
        <f>IF('Settings'!$E$15="POINTS",E198-VLOOKUP(B$2,C1:E206,3,FALSE),J198)</f>
        <v>-172.895513510353</v>
      </c>
      <c r="G198" s="77"/>
      <c r="H198" s="223">
        <f>RANK(I198,I3:I206)</f>
        <v>189</v>
      </c>
      <c r="I198" s="77">
        <f>VLOOKUP(A198,'Standard Deviations'!A1:C666,3,FALSE)</f>
        <v>-4.39657949565768</v>
      </c>
      <c r="J198" s="84">
        <f>I198-VLOOKUP(B$2,H1:J206,2,FALSE)</f>
        <v>-10.162644304214</v>
      </c>
    </row>
    <row r="199" ht="21.25" customHeight="1">
      <c r="A199" t="s" s="10">
        <v>740</v>
      </c>
      <c r="B199" t="s" s="117">
        <f>VLOOKUP(A199,'The List'!B1:D665,3,FALSE)</f>
        <v>128</v>
      </c>
      <c r="C199" s="118">
        <f>IF('Settings'!$E$15="POINTS",RANK(E199,E3:E206),H199)</f>
        <v>176</v>
      </c>
      <c r="D199" t="s" s="86">
        <f>VLOOKUP(A199,'The List'!B1:F665,5,FALSE)</f>
        <v>275</v>
      </c>
      <c r="E199" s="77">
        <f>VLOOKUP(A199,'The List'!B1:I665,8,FALSE)</f>
        <v>154.465703819208</v>
      </c>
      <c r="F199" s="77">
        <f>IF('Settings'!$E$15="POINTS",E199-VLOOKUP(B$2,C1:E206,3,FALSE),J199)</f>
        <v>-175.226190261970</v>
      </c>
      <c r="G199" s="77"/>
      <c r="H199" s="223">
        <f>RANK(I199,I3:I206)</f>
        <v>196</v>
      </c>
      <c r="I199" s="77">
        <f>VLOOKUP(A199,'Standard Deviations'!A1:C666,3,FALSE)</f>
        <v>-4.86210903469374</v>
      </c>
      <c r="J199" s="84">
        <f>I199-VLOOKUP(B$2,H1:J206,2,FALSE)</f>
        <v>-10.6281738432501</v>
      </c>
    </row>
    <row r="200" ht="21.25" customHeight="1">
      <c r="A200" t="s" s="10">
        <v>846</v>
      </c>
      <c r="B200" t="s" s="117">
        <f>VLOOKUP(A200,'The List'!B1:D665,3,FALSE)</f>
        <v>128</v>
      </c>
      <c r="C200" s="118">
        <f>IF('Settings'!$E$15="POINTS",RANK(E200,E3:E206),H200)</f>
        <v>200</v>
      </c>
      <c r="D200" t="s" s="86">
        <f>VLOOKUP(A200,'The List'!B1:F665,5,FALSE)</f>
        <v>129</v>
      </c>
      <c r="E200" s="77">
        <f>VLOOKUP(A200,'The List'!B1:I665,8,FALSE)</f>
        <v>108.858547198456</v>
      </c>
      <c r="F200" s="77">
        <f>IF('Settings'!$E$15="POINTS",E200-VLOOKUP(B$2,C1:E206,3,FALSE),J200)</f>
        <v>-220.833346882722</v>
      </c>
      <c r="G200" s="77"/>
      <c r="H200" s="223">
        <f>RANK(I200,I3:I206)</f>
        <v>169</v>
      </c>
      <c r="I200" s="77">
        <f>VLOOKUP(A200,'Standard Deviations'!A1:C666,3,FALSE)</f>
        <v>-3.47389965806944</v>
      </c>
      <c r="J200" s="84">
        <f>I200-VLOOKUP(B$2,H1:J206,2,FALSE)</f>
        <v>-9.239964466625761</v>
      </c>
    </row>
    <row r="201" ht="21.25" customHeight="1">
      <c r="A201" t="s" s="10">
        <v>836</v>
      </c>
      <c r="B201" t="s" s="117">
        <f>VLOOKUP(A201,'The List'!B1:D665,3,FALSE)</f>
        <v>136</v>
      </c>
      <c r="C201" s="118">
        <f>IF('Settings'!$E$15="POINTS",RANK(E201,E3:E206),H201)</f>
        <v>196</v>
      </c>
      <c r="D201" t="s" s="86">
        <f>VLOOKUP(A201,'The List'!B1:F665,5,FALSE)</f>
        <v>174</v>
      </c>
      <c r="E201" s="77">
        <f>VLOOKUP(A201,'The List'!B1:I665,8,FALSE)</f>
        <v>123.910965244142</v>
      </c>
      <c r="F201" s="77">
        <f>IF('Settings'!$E$15="POINTS",E201-VLOOKUP(B$2,C1:E206,3,FALSE),J201)</f>
        <v>-205.780928837036</v>
      </c>
      <c r="G201" s="77"/>
      <c r="H201" s="223">
        <f>RANK(I201,I3:I206)</f>
        <v>201</v>
      </c>
      <c r="I201" s="77">
        <f>VLOOKUP(A201,'Standard Deviations'!A1:C666,3,FALSE)</f>
        <v>-5.6626339880688</v>
      </c>
      <c r="J201" s="84">
        <f>I201-VLOOKUP(B$2,H1:J206,2,FALSE)</f>
        <v>-11.4286987966251</v>
      </c>
    </row>
    <row r="202" ht="21.25" customHeight="1">
      <c r="A202" t="s" s="10">
        <v>852</v>
      </c>
      <c r="B202" t="s" s="117">
        <f>VLOOKUP(A202,'The List'!B1:D665,3,FALSE)</f>
        <v>128</v>
      </c>
      <c r="C202" s="118">
        <f>IF('Settings'!$E$15="POINTS",RANK(E202,E3:E206),H202)</f>
        <v>202</v>
      </c>
      <c r="D202" t="s" s="86">
        <f>VLOOKUP(A202,'The List'!B1:F665,5,FALSE)</f>
        <v>906</v>
      </c>
      <c r="E202" s="77">
        <f>VLOOKUP(A202,'The List'!B1:I665,8,FALSE)</f>
        <v>98.4974128592571</v>
      </c>
      <c r="F202" s="77">
        <f>IF('Settings'!$E$15="POINTS",E202-VLOOKUP(B$2,C1:E206,3,FALSE),J202)</f>
        <v>-231.194481221921</v>
      </c>
      <c r="G202" s="77"/>
      <c r="H202" s="223">
        <f>RANK(I202,I3:I206)</f>
        <v>194</v>
      </c>
      <c r="I202" s="77">
        <f>VLOOKUP(A202,'Standard Deviations'!A1:C666,3,FALSE)</f>
        <v>-4.84135163082685</v>
      </c>
      <c r="J202" s="84">
        <f>I202-VLOOKUP(B$2,H1:J206,2,FALSE)</f>
        <v>-10.6074164393832</v>
      </c>
    </row>
    <row r="203" ht="21.25" customHeight="1">
      <c r="A203" t="s" s="10">
        <v>831</v>
      </c>
      <c r="B203" t="s" s="117">
        <f>VLOOKUP(A203,'The List'!B1:D665,3,FALSE)</f>
        <v>128</v>
      </c>
      <c r="C203" s="118">
        <f>IF('Settings'!$E$15="POINTS",RANK(E203,E3:E206),H203)</f>
        <v>197</v>
      </c>
      <c r="D203" t="s" s="86">
        <f>VLOOKUP(A203,'The List'!B1:F665,5,FALSE)</f>
        <v>129</v>
      </c>
      <c r="E203" s="77">
        <f>VLOOKUP(A203,'The List'!B1:I665,8,FALSE)</f>
        <v>122.031406288862</v>
      </c>
      <c r="F203" s="77">
        <f>IF('Settings'!$E$15="POINTS",E203-VLOOKUP(B$2,C1:E206,3,FALSE),J203)</f>
        <v>-207.660487792316</v>
      </c>
      <c r="G203" s="77"/>
      <c r="H203" s="223">
        <f>RANK(I203,I3:I206)</f>
        <v>167</v>
      </c>
      <c r="I203" s="77">
        <f>VLOOKUP(A203,'Standard Deviations'!A1:C666,3,FALSE)</f>
        <v>-3.33462119970347</v>
      </c>
      <c r="J203" s="84">
        <f>I203-VLOOKUP(B$2,H1:J206,2,FALSE)</f>
        <v>-9.100686008259791</v>
      </c>
    </row>
    <row r="204" ht="21.25" customHeight="1">
      <c r="A204" t="s" s="10">
        <v>732</v>
      </c>
      <c r="B204" t="s" s="117">
        <f>VLOOKUP(A204,'The List'!B1:D665,3,FALSE)</f>
        <v>128</v>
      </c>
      <c r="C204" s="118">
        <f>IF('Settings'!$E$15="POINTS",RANK(E204,E3:E206),H204)</f>
        <v>171</v>
      </c>
      <c r="D204" t="s" s="86">
        <f>VLOOKUP(A204,'The List'!B1:F665,5,FALSE)</f>
        <v>866</v>
      </c>
      <c r="E204" s="77">
        <f>VLOOKUP(A204,'The List'!B1:I665,8,FALSE)</f>
        <v>156.132895262558</v>
      </c>
      <c r="F204" s="77">
        <f>IF('Settings'!$E$15="POINTS",E204-VLOOKUP(B$2,C1:E206,3,FALSE),J204)</f>
        <v>-173.558998818620</v>
      </c>
      <c r="G204" s="77"/>
      <c r="H204" s="223">
        <f>RANK(I204,I3:I206)</f>
        <v>195</v>
      </c>
      <c r="I204" s="77">
        <f>VLOOKUP(A204,'Standard Deviations'!A1:C666,3,FALSE)</f>
        <v>-4.85444273109771</v>
      </c>
      <c r="J204" s="84">
        <f>I204-VLOOKUP(B$2,H1:J206,2,FALSE)</f>
        <v>-10.620507539654</v>
      </c>
    </row>
    <row r="205" ht="21.25" customHeight="1">
      <c r="A205" t="s" s="10">
        <v>855</v>
      </c>
      <c r="B205" t="s" s="117">
        <f>VLOOKUP(A205,'The List'!B1:D665,3,FALSE)</f>
        <v>128</v>
      </c>
      <c r="C205" s="118">
        <f>IF('Settings'!$E$15="POINTS",RANK(E205,E3:E206),H205)</f>
        <v>204</v>
      </c>
      <c r="D205" t="s" s="86">
        <f>VLOOKUP(A205,'The List'!B1:F665,5,FALSE)</f>
        <v>878</v>
      </c>
      <c r="E205" s="77">
        <f>VLOOKUP(A205,'The List'!B1:I665,8,FALSE)</f>
        <v>83.8440989246798</v>
      </c>
      <c r="F205" s="77">
        <f>IF('Settings'!$E$15="POINTS",E205-VLOOKUP(B$2,C1:E206,3,FALSE),J205)</f>
        <v>-245.847795156498</v>
      </c>
      <c r="G205" s="77"/>
      <c r="H205" s="223">
        <f>RANK(I205,I3:I206)</f>
        <v>200</v>
      </c>
      <c r="I205" s="77">
        <f>VLOOKUP(A205,'Standard Deviations'!A1:C666,3,FALSE)</f>
        <v>-5.4856967565932</v>
      </c>
      <c r="J205" s="84">
        <f>I205-VLOOKUP(B$2,H1:J206,2,FALSE)</f>
        <v>-11.2517615651495</v>
      </c>
    </row>
    <row r="206" ht="21.25" customHeight="1">
      <c r="A206" t="s" s="10">
        <v>853</v>
      </c>
      <c r="B206" t="s" s="117">
        <f>VLOOKUP(A206,'The List'!B1:D665,3,FALSE)</f>
        <v>128</v>
      </c>
      <c r="C206" s="118">
        <f>IF('Settings'!$E$15="POINTS",RANK(E206,E3:E206),H206)</f>
        <v>203</v>
      </c>
      <c r="D206" t="s" s="86">
        <f>VLOOKUP(A206,'The List'!B1:F665,5,FALSE)</f>
        <v>904</v>
      </c>
      <c r="E206" s="77">
        <f>VLOOKUP(A206,'The List'!B1:I665,8,FALSE)</f>
        <v>96.9668223762322</v>
      </c>
      <c r="F206" s="77">
        <f>IF('Settings'!$E$15="POINTS",E206-VLOOKUP(B$2,C1:E206,3,FALSE),J206)</f>
        <v>-232.725071704946</v>
      </c>
      <c r="G206" s="77"/>
      <c r="H206" s="223">
        <f>RANK(I206,I3:I206)</f>
        <v>204</v>
      </c>
      <c r="I206" s="77">
        <f>VLOOKUP(A206,'Standard Deviations'!A1:C666,3,FALSE)</f>
        <v>-6.18564271955263</v>
      </c>
      <c r="J206" s="84">
        <f>I206-VLOOKUP(B$2,H1:J206,2,FALSE)</f>
        <v>-11.951707528109</v>
      </c>
    </row>
  </sheetData>
  <conditionalFormatting sqref="C3:C206 H3:H206">
    <cfRule type="containsText" dxfId="23" priority="1" stopIfTrue="1" text="/">
      <formula>NOT(ISERROR(FIND(UPPER("/"),UPPER(C3))))</formula>
      <formula>"/"</formula>
    </cfRule>
    <cfRule type="containsText" dxfId="24" priority="2" stopIfTrue="1" text="C">
      <formula>NOT(ISERROR(FIND(UPPER("C"),UPPER(C3))))</formula>
      <formula>"C"</formula>
    </cfRule>
    <cfRule type="containsText" dxfId="25" priority="3" stopIfTrue="1" text="D">
      <formula>NOT(ISERROR(FIND(UPPER("D"),UPPER(C3))))</formula>
      <formula>"D"</formula>
    </cfRule>
    <cfRule type="containsText" dxfId="26" priority="4" stopIfTrue="1" text="LW">
      <formula>NOT(ISERROR(FIND(UPPER("LW"),UPPER(C3))))</formula>
      <formula>"LW"</formula>
    </cfRule>
    <cfRule type="containsText" dxfId="27" priority="5" stopIfTrue="1" text="RW">
      <formula>NOT(ISERROR(FIND(UPPER("RW"),UPPER(C3))))</formula>
      <formula>"RW"</formula>
    </cfRule>
    <cfRule type="containsText" dxfId="28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52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29" customWidth="1"/>
    <col min="2" max="2" width="7.17188" style="229" customWidth="1"/>
    <col min="3" max="3" width="6" style="229" customWidth="1"/>
    <col min="4" max="6" width="8.35156" style="229" customWidth="1"/>
    <col min="7" max="10" width="1.35156" style="229" customWidth="1"/>
    <col min="11" max="16384" width="8" style="229" customWidth="1"/>
  </cols>
  <sheetData>
    <row r="1" ht="28.25" customHeight="1">
      <c r="A1" t="s" s="209">
        <v>895</v>
      </c>
      <c r="B1" t="s" s="210">
        <v>916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'Settings'!F3</f>
        <v>19</v>
      </c>
      <c r="C2" s="218"/>
      <c r="D2" s="219"/>
      <c r="E2" s="220"/>
      <c r="F2" s="220"/>
      <c r="G2" s="220"/>
      <c r="H2" s="225"/>
      <c r="I2" s="220"/>
      <c r="J2" s="226"/>
    </row>
    <row r="3" ht="21.25" customHeight="1">
      <c r="A3" t="s" s="10">
        <v>193</v>
      </c>
      <c r="B3" t="s" s="126">
        <f>VLOOKUP(A3,'The List'!B1:D665,3,FALSE)</f>
        <v>136</v>
      </c>
      <c r="C3" s="127">
        <f>IF('Settings'!$E$15="POINTS",RANK(E3,E3:E152),H3)</f>
        <v>8</v>
      </c>
      <c r="D3" t="s" s="86">
        <f>VLOOKUP(A3,'The List'!B1:F665,5,FALSE)</f>
        <v>900</v>
      </c>
      <c r="E3" s="77">
        <f>VLOOKUP(A3,'The List'!B1:I665,8,FALSE)</f>
        <v>376.928308347434</v>
      </c>
      <c r="F3" s="77">
        <f>IF('Settings'!$E$15="POINTS",E3-VLOOKUP(B$2,C1:E152,3,FALSE),J3)</f>
        <v>45.208196581222</v>
      </c>
      <c r="G3" s="77"/>
      <c r="H3" s="227">
        <f>RANK(I3,I3:I152)</f>
        <v>3</v>
      </c>
      <c r="I3" s="77">
        <f>VLOOKUP(A3,'Standard Deviations'!A1:C666,3,FALSE)</f>
        <v>11.2257035689631</v>
      </c>
      <c r="J3" s="228">
        <f>I3-VLOOKUP(B$2,H1:J152,2,FALSE)</f>
        <v>5.03037233151045</v>
      </c>
    </row>
    <row r="4" ht="21.25" customHeight="1">
      <c r="A4" t="s" s="10">
        <v>150</v>
      </c>
      <c r="B4" t="s" s="126">
        <f>VLOOKUP(A4,'The List'!B1:D665,3,FALSE)</f>
        <v>136</v>
      </c>
      <c r="C4" s="127">
        <f>IF('Settings'!$E$15="POINTS",RANK(E4,E3:E152),H4)</f>
        <v>3</v>
      </c>
      <c r="D4" t="s" s="86">
        <f>VLOOKUP(A4,'The List'!B1:F665,5,FALSE)</f>
        <v>129</v>
      </c>
      <c r="E4" s="77">
        <f>VLOOKUP(A4,'The List'!B1:I665,8,FALSE)</f>
        <v>434.174277848426</v>
      </c>
      <c r="F4" s="77">
        <f>IF('Settings'!$E$15="POINTS",E4-VLOOKUP(B$2,C1:E152,3,FALSE),J4)</f>
        <v>102.454166082214</v>
      </c>
      <c r="G4" s="77"/>
      <c r="H4" s="223">
        <f>RANK(I4,I3:I152)</f>
        <v>1</v>
      </c>
      <c r="I4" s="77">
        <f>VLOOKUP(A4,'Standard Deviations'!A1:C666,3,FALSE)</f>
        <v>13.2534884048484</v>
      </c>
      <c r="J4" s="84">
        <f>I4-VLOOKUP(B$2,H1:J152,2,FALSE)</f>
        <v>7.05815716739575</v>
      </c>
    </row>
    <row r="5" ht="21.25" customHeight="1">
      <c r="A5" t="s" s="10">
        <v>147</v>
      </c>
      <c r="B5" t="s" s="126">
        <f>VLOOKUP(A5,'The List'!B1:D665,3,FALSE)</f>
        <v>148</v>
      </c>
      <c r="C5" s="127">
        <f>IF('Settings'!$E$15="POINTS",RANK(E5,E3:E152),H5)</f>
        <v>2</v>
      </c>
      <c r="D5" t="s" s="86">
        <f>VLOOKUP(A5,'The List'!B1:F665,5,FALSE)</f>
        <v>149</v>
      </c>
      <c r="E5" s="77">
        <f>VLOOKUP(A5,'The List'!B1:I665,8,FALSE)</f>
        <v>434.348325800968</v>
      </c>
      <c r="F5" s="77">
        <f>IF('Settings'!$E$15="POINTS",E5-VLOOKUP(B$2,C1:E152,3,FALSE),J5)</f>
        <v>102.628214034756</v>
      </c>
      <c r="G5" s="77"/>
      <c r="H5" s="223">
        <f>RANK(I5,I3:I152)</f>
        <v>2</v>
      </c>
      <c r="I5" s="77">
        <f>VLOOKUP(A5,'Standard Deviations'!A1:C666,3,FALSE)</f>
        <v>11.9174081313296</v>
      </c>
      <c r="J5" s="84">
        <f>I5-VLOOKUP(B$2,H1:J152,2,FALSE)</f>
        <v>5.72207689387695</v>
      </c>
    </row>
    <row r="6" ht="21.25" customHeight="1">
      <c r="A6" t="s" s="10">
        <v>198</v>
      </c>
      <c r="B6" t="s" s="126">
        <f>VLOOKUP(A6,'The List'!B1:D665,3,FALSE)</f>
        <v>178</v>
      </c>
      <c r="C6" s="127">
        <f>IF('Settings'!$E$15="POINTS",RANK(E6,E3:E152),H6)</f>
        <v>10</v>
      </c>
      <c r="D6" t="s" s="86">
        <f>VLOOKUP(A6,'The List'!B1:F665,5,FALSE)</f>
        <v>878</v>
      </c>
      <c r="E6" s="77">
        <f>VLOOKUP(A6,'The List'!B1:I665,8,FALSE)</f>
        <v>372.444677897683</v>
      </c>
      <c r="F6" s="77">
        <f>IF('Settings'!$E$15="POINTS",E6-VLOOKUP(B$2,C1:E152,3,FALSE),J6)</f>
        <v>40.724566131471</v>
      </c>
      <c r="G6" s="77"/>
      <c r="H6" s="223">
        <f>RANK(I6,I3:I152)</f>
        <v>4</v>
      </c>
      <c r="I6" s="77">
        <f>VLOOKUP(A6,'Standard Deviations'!A1:C666,3,FALSE)</f>
        <v>11.0029371991589</v>
      </c>
      <c r="J6" s="84">
        <f>I6-VLOOKUP(B$2,H1:J152,2,FALSE)</f>
        <v>4.80760596170625</v>
      </c>
    </row>
    <row r="7" ht="21.25" customHeight="1">
      <c r="A7" t="s" s="10">
        <v>181</v>
      </c>
      <c r="B7" t="s" s="126">
        <f>VLOOKUP(A7,'The List'!B1:D665,3,FALSE)</f>
        <v>178</v>
      </c>
      <c r="C7" s="127">
        <f>IF('Settings'!$E$15="POINTS",RANK(E7,E3:E152),H7)</f>
        <v>6</v>
      </c>
      <c r="D7" t="s" s="86">
        <f>VLOOKUP(A7,'The List'!B1:F665,5,FALSE)</f>
        <v>275</v>
      </c>
      <c r="E7" s="77">
        <f>VLOOKUP(A7,'The List'!B1:I665,8,FALSE)</f>
        <v>389.206036292817</v>
      </c>
      <c r="F7" s="77">
        <f>IF('Settings'!$E$15="POINTS",E7-VLOOKUP(B$2,C1:E152,3,FALSE),J7)</f>
        <v>57.485924526605</v>
      </c>
      <c r="G7" s="77"/>
      <c r="H7" s="223">
        <f>RANK(I7,I3:I152)</f>
        <v>7</v>
      </c>
      <c r="I7" s="77">
        <f>VLOOKUP(A7,'Standard Deviations'!A1:C666,3,FALSE)</f>
        <v>9.83957659571405</v>
      </c>
      <c r="J7" s="84">
        <f>I7-VLOOKUP(B$2,H1:J152,2,FALSE)</f>
        <v>3.6442453582614</v>
      </c>
    </row>
    <row r="8" ht="21.25" customHeight="1">
      <c r="A8" t="s" s="10">
        <v>177</v>
      </c>
      <c r="B8" t="s" s="126">
        <f>VLOOKUP(A8,'The List'!B1:D665,3,FALSE)</f>
        <v>178</v>
      </c>
      <c r="C8" s="127">
        <f>IF('Settings'!$E$15="POINTS",RANK(E8,E3:E152),H8)</f>
        <v>5</v>
      </c>
      <c r="D8" t="s" s="86">
        <f>VLOOKUP(A8,'The List'!B1:F665,5,FALSE)</f>
        <v>165</v>
      </c>
      <c r="E8" s="77">
        <f>VLOOKUP(A8,'The List'!B1:I665,8,FALSE)</f>
        <v>394.249894361275</v>
      </c>
      <c r="F8" s="77">
        <f>IF('Settings'!$E$15="POINTS",E8-VLOOKUP(B$2,C1:E152,3,FALSE),J8)</f>
        <v>62.529782595063</v>
      </c>
      <c r="G8" s="77"/>
      <c r="H8" s="223">
        <f>RANK(I8,I3:I152)</f>
        <v>9</v>
      </c>
      <c r="I8" s="77">
        <f>VLOOKUP(A8,'Standard Deviations'!A1:C666,3,FALSE)</f>
        <v>8.75925317331844</v>
      </c>
      <c r="J8" s="84">
        <f>I8-VLOOKUP(B$2,H1:J152,2,FALSE)</f>
        <v>2.56392193586579</v>
      </c>
    </row>
    <row r="9" ht="21.25" customHeight="1">
      <c r="A9" t="s" s="10">
        <v>151</v>
      </c>
      <c r="B9" t="s" s="126">
        <f>VLOOKUP(A9,'The List'!B1:D665,3,FALSE)</f>
        <v>136</v>
      </c>
      <c r="C9" s="127">
        <f>IF('Settings'!$E$15="POINTS",RANK(E9,E3:E152),H9)</f>
        <v>4</v>
      </c>
      <c r="D9" t="s" s="86">
        <f>VLOOKUP(A9,'The List'!B1:F665,5,FALSE)</f>
        <v>901</v>
      </c>
      <c r="E9" s="77">
        <f>VLOOKUP(A9,'The List'!B1:I665,8,FALSE)</f>
        <v>423.787729079359</v>
      </c>
      <c r="F9" s="77">
        <f>IF('Settings'!$E$15="POINTS",E9-VLOOKUP(B$2,C1:E152,3,FALSE),J9)</f>
        <v>92.067617313147</v>
      </c>
      <c r="G9" s="77"/>
      <c r="H9" s="223">
        <f>RANK(I9,I3:I152)</f>
        <v>6</v>
      </c>
      <c r="I9" s="77">
        <f>VLOOKUP(A9,'Standard Deviations'!A1:C666,3,FALSE)</f>
        <v>10.1105609461844</v>
      </c>
      <c r="J9" s="84">
        <f>I9-VLOOKUP(B$2,H1:J152,2,FALSE)</f>
        <v>3.91522970873175</v>
      </c>
    </row>
    <row r="10" ht="21.25" customHeight="1">
      <c r="A10" t="s" s="10">
        <v>209</v>
      </c>
      <c r="B10" t="s" s="126">
        <f>VLOOKUP(A10,'The List'!B1:D665,3,FALSE)</f>
        <v>178</v>
      </c>
      <c r="C10" s="127">
        <f>IF('Settings'!$E$15="POINTS",RANK(E10,E3:E152),H10)</f>
        <v>12</v>
      </c>
      <c r="D10" t="s" s="86">
        <f>VLOOKUP(A10,'The List'!B1:F665,5,FALSE)</f>
        <v>866</v>
      </c>
      <c r="E10" s="77">
        <f>VLOOKUP(A10,'The List'!B1:I665,8,FALSE)</f>
        <v>362.475956774604</v>
      </c>
      <c r="F10" s="77">
        <f>IF('Settings'!$E$15="POINTS",E10-VLOOKUP(B$2,C1:E152,3,FALSE),J10)</f>
        <v>30.755845008392</v>
      </c>
      <c r="G10" s="77"/>
      <c r="H10" s="223">
        <f>RANK(I10,I3:I152)</f>
        <v>10</v>
      </c>
      <c r="I10" s="77">
        <f>VLOOKUP(A10,'Standard Deviations'!A1:C666,3,FALSE)</f>
        <v>7.82680490529015</v>
      </c>
      <c r="J10" s="84">
        <f>I10-VLOOKUP(B$2,H1:J152,2,FALSE)</f>
        <v>1.6314736678375</v>
      </c>
    </row>
    <row r="11" ht="21.25" customHeight="1">
      <c r="A11" t="s" s="10">
        <v>203</v>
      </c>
      <c r="B11" t="s" s="126">
        <f>VLOOKUP(A11,'The List'!B1:D665,3,FALSE)</f>
        <v>178</v>
      </c>
      <c r="C11" s="127">
        <f>IF('Settings'!$E$15="POINTS",RANK(E11,E3:E152),H11)</f>
        <v>11</v>
      </c>
      <c r="D11" t="s" s="86">
        <f>VLOOKUP(A11,'The List'!B1:F665,5,FALSE)</f>
        <v>902</v>
      </c>
      <c r="E11" s="77">
        <f>VLOOKUP(A11,'The List'!B1:I665,8,FALSE)</f>
        <v>367.525256853988</v>
      </c>
      <c r="F11" s="77">
        <f>IF('Settings'!$E$15="POINTS",E11-VLOOKUP(B$2,C1:E152,3,FALSE),J11)</f>
        <v>35.805145087776</v>
      </c>
      <c r="G11" s="77"/>
      <c r="H11" s="223">
        <f>RANK(I11,I3:I152)</f>
        <v>5</v>
      </c>
      <c r="I11" s="77">
        <f>VLOOKUP(A11,'Standard Deviations'!A1:C666,3,FALSE)</f>
        <v>10.3124484756616</v>
      </c>
      <c r="J11" s="84">
        <f>I11-VLOOKUP(B$2,H1:J152,2,FALSE)</f>
        <v>4.11711723820895</v>
      </c>
    </row>
    <row r="12" ht="21.25" customHeight="1">
      <c r="A12" t="s" s="10">
        <v>195</v>
      </c>
      <c r="B12" t="s" s="126">
        <f>VLOOKUP(A12,'The List'!B1:D665,3,FALSE)</f>
        <v>148</v>
      </c>
      <c r="C12" s="127">
        <f>IF('Settings'!$E$15="POINTS",RANK(E12,E3:E152),H12)</f>
        <v>9</v>
      </c>
      <c r="D12" t="s" s="86">
        <f>VLOOKUP(A12,'The List'!B1:F665,5,FALSE)</f>
        <v>900</v>
      </c>
      <c r="E12" s="77">
        <f>VLOOKUP(A12,'The List'!B1:I665,8,FALSE)</f>
        <v>374.535841488805</v>
      </c>
      <c r="F12" s="77">
        <f>IF('Settings'!$E$15="POINTS",E12-VLOOKUP(B$2,C1:E152,3,FALSE),J12)</f>
        <v>42.815729722593</v>
      </c>
      <c r="G12" s="77"/>
      <c r="H12" s="223">
        <f>RANK(I12,I3:I152)</f>
        <v>12</v>
      </c>
      <c r="I12" s="77">
        <f>VLOOKUP(A12,'Standard Deviations'!A1:C666,3,FALSE)</f>
        <v>7.79040001645913</v>
      </c>
      <c r="J12" s="84">
        <f>I12-VLOOKUP(B$2,H1:J152,2,FALSE)</f>
        <v>1.59506877900648</v>
      </c>
    </row>
    <row r="13" ht="21.25" customHeight="1">
      <c r="A13" t="s" s="10">
        <v>135</v>
      </c>
      <c r="B13" t="s" s="126">
        <f>VLOOKUP(A13,'The List'!B1:D665,3,FALSE)</f>
        <v>136</v>
      </c>
      <c r="C13" s="127">
        <f>IF('Settings'!$E$15="POINTS",RANK(E13,E3:E152),H13)</f>
        <v>1</v>
      </c>
      <c r="D13" t="s" s="86">
        <f>VLOOKUP(A13,'The List'!B1:F665,5,FALSE)</f>
        <v>904</v>
      </c>
      <c r="E13" s="77">
        <f>VLOOKUP(A13,'The List'!B1:I665,8,FALSE)</f>
        <v>447.701484892705</v>
      </c>
      <c r="F13" s="77">
        <f>IF('Settings'!$E$15="POINTS",E13-VLOOKUP(B$2,C1:E152,3,FALSE),J13)</f>
        <v>115.981373126493</v>
      </c>
      <c r="G13" s="77"/>
      <c r="H13" s="223">
        <f>RANK(I13,I3:I152)</f>
        <v>14</v>
      </c>
      <c r="I13" s="77">
        <f>VLOOKUP(A13,'Standard Deviations'!A1:C666,3,FALSE)</f>
        <v>7.01141582322105</v>
      </c>
      <c r="J13" s="84">
        <f>I13-VLOOKUP(B$2,H1:J152,2,FALSE)</f>
        <v>0.8160845857684</v>
      </c>
    </row>
    <row r="14" ht="21.25" customHeight="1">
      <c r="A14" t="s" s="10">
        <v>285</v>
      </c>
      <c r="B14" t="s" s="126">
        <f>VLOOKUP(A14,'The List'!B1:D665,3,FALSE)</f>
        <v>178</v>
      </c>
      <c r="C14" s="127">
        <f>IF('Settings'!$E$15="POINTS",RANK(E14,E3:E152),H14)</f>
        <v>26</v>
      </c>
      <c r="D14" t="s" s="86">
        <f>VLOOKUP(A14,'The List'!B1:F665,5,FALSE)</f>
        <v>906</v>
      </c>
      <c r="E14" s="77">
        <f>VLOOKUP(A14,'The List'!B1:I665,8,FALSE)</f>
        <v>311.538199898735</v>
      </c>
      <c r="F14" s="77">
        <f>IF('Settings'!$E$15="POINTS",E14-VLOOKUP(B$2,C1:E152,3,FALSE),J14)</f>
        <v>-20.181911867477</v>
      </c>
      <c r="G14" s="77"/>
      <c r="H14" s="223">
        <f>RANK(I14,I3:I152)</f>
        <v>18</v>
      </c>
      <c r="I14" s="77">
        <f>VLOOKUP(A14,'Standard Deviations'!A1:C666,3,FALSE)</f>
        <v>6.22038828736208</v>
      </c>
      <c r="J14" s="84">
        <f>I14-VLOOKUP(B$2,H1:J152,2,FALSE)</f>
        <v>0.02505704990943</v>
      </c>
    </row>
    <row r="15" ht="21.25" customHeight="1">
      <c r="A15" t="s" s="10">
        <v>308</v>
      </c>
      <c r="B15" t="s" s="126">
        <f>VLOOKUP(A15,'The List'!B1:D665,3,FALSE)</f>
        <v>148</v>
      </c>
      <c r="C15" s="127">
        <f>IF('Settings'!$E$15="POINTS",RANK(E15,E3:E152),H15)</f>
        <v>36</v>
      </c>
      <c r="D15" t="s" s="86">
        <f>VLOOKUP(A15,'The List'!B1:F665,5,FALSE)</f>
        <v>909</v>
      </c>
      <c r="E15" s="77">
        <f>VLOOKUP(A15,'The List'!B1:I665,8,FALSE)</f>
        <v>300.588533564741</v>
      </c>
      <c r="F15" s="77">
        <f>IF('Settings'!$E$15="POINTS",E15-VLOOKUP(B$2,C1:E152,3,FALSE),J15)</f>
        <v>-31.131578201471</v>
      </c>
      <c r="G15" s="77"/>
      <c r="H15" s="223">
        <f>RANK(I15,I3:I152)</f>
        <v>28</v>
      </c>
      <c r="I15" s="77">
        <f>VLOOKUP(A15,'Standard Deviations'!A1:C666,3,FALSE)</f>
        <v>4.90694078225459</v>
      </c>
      <c r="J15" s="84">
        <f>I15-VLOOKUP(B$2,H1:J152,2,FALSE)</f>
        <v>-1.28839045519806</v>
      </c>
    </row>
    <row r="16" ht="21.25" customHeight="1">
      <c r="A16" t="s" s="10">
        <v>247</v>
      </c>
      <c r="B16" t="s" s="126">
        <f>VLOOKUP(A16,'The List'!B1:D665,3,FALSE)</f>
        <v>148</v>
      </c>
      <c r="C16" s="127">
        <f>IF('Settings'!$E$15="POINTS",RANK(E16,E3:E152),H16)</f>
        <v>19</v>
      </c>
      <c r="D16" t="s" s="86">
        <f>VLOOKUP(A16,'The List'!B1:F665,5,FALSE)</f>
        <v>900</v>
      </c>
      <c r="E16" s="77">
        <f>VLOOKUP(A16,'The List'!B1:I665,8,FALSE)</f>
        <v>331.720111766212</v>
      </c>
      <c r="F16" s="77">
        <f>IF('Settings'!$E$15="POINTS",E16-VLOOKUP(B$2,C1:E152,3,FALSE),J16)</f>
        <v>0</v>
      </c>
      <c r="G16" s="77"/>
      <c r="H16" s="223">
        <f>RANK(I16,I3:I152)</f>
        <v>11</v>
      </c>
      <c r="I16" s="77">
        <f>VLOOKUP(A16,'Standard Deviations'!A1:C666,3,FALSE)</f>
        <v>7.81499894368299</v>
      </c>
      <c r="J16" s="84">
        <f>I16-VLOOKUP(B$2,H1:J152,2,FALSE)</f>
        <v>1.61966770623034</v>
      </c>
    </row>
    <row r="17" ht="21.25" customHeight="1">
      <c r="A17" t="s" s="10">
        <v>219</v>
      </c>
      <c r="B17" t="s" s="126">
        <f>VLOOKUP(A17,'The List'!B1:D665,3,FALSE)</f>
        <v>148</v>
      </c>
      <c r="C17" s="127">
        <f>IF('Settings'!$E$15="POINTS",RANK(E17,E3:E152),H17)</f>
        <v>14</v>
      </c>
      <c r="D17" t="s" s="86">
        <f>VLOOKUP(A17,'The List'!B1:F665,5,FALSE)</f>
        <v>129</v>
      </c>
      <c r="E17" s="77">
        <f>VLOOKUP(A17,'The List'!B1:I665,8,FALSE)</f>
        <v>350.019136310129</v>
      </c>
      <c r="F17" s="77">
        <f>IF('Settings'!$E$15="POINTS",E17-VLOOKUP(B$2,C1:E152,3,FALSE),J17)</f>
        <v>18.299024543917</v>
      </c>
      <c r="G17" s="77"/>
      <c r="H17" s="223">
        <f>RANK(I17,I3:I152)</f>
        <v>8</v>
      </c>
      <c r="I17" s="77">
        <f>VLOOKUP(A17,'Standard Deviations'!A1:C666,3,FALSE)</f>
        <v>9.13526212915516</v>
      </c>
      <c r="J17" s="84">
        <f>I17-VLOOKUP(B$2,H1:J152,2,FALSE)</f>
        <v>2.93993089170251</v>
      </c>
    </row>
    <row r="18" ht="21.25" customHeight="1">
      <c r="A18" t="s" s="10">
        <v>191</v>
      </c>
      <c r="B18" t="s" s="126">
        <f>VLOOKUP(A18,'The List'!B1:D665,3,FALSE)</f>
        <v>178</v>
      </c>
      <c r="C18" s="127">
        <f>IF('Settings'!$E$15="POINTS",RANK(E18,E3:E152),H18)</f>
        <v>7</v>
      </c>
      <c r="D18" t="s" s="86">
        <f>VLOOKUP(A18,'The List'!B1:F665,5,FALSE)</f>
        <v>192</v>
      </c>
      <c r="E18" s="77">
        <f>VLOOKUP(A18,'The List'!B1:I665,8,FALSE)</f>
        <v>377.075301193214</v>
      </c>
      <c r="F18" s="77">
        <f>IF('Settings'!$E$15="POINTS",E18-VLOOKUP(B$2,C1:E152,3,FALSE),J18)</f>
        <v>45.355189427002</v>
      </c>
      <c r="G18" s="77"/>
      <c r="H18" s="223">
        <f>RANK(I18,I3:I152)</f>
        <v>23</v>
      </c>
      <c r="I18" s="77">
        <f>VLOOKUP(A18,'Standard Deviations'!A1:C666,3,FALSE)</f>
        <v>5.69396032788783</v>
      </c>
      <c r="J18" s="84">
        <f>I18-VLOOKUP(B$2,H1:J152,2,FALSE)</f>
        <v>-0.50137090956482</v>
      </c>
    </row>
    <row r="19" ht="21.25" customHeight="1">
      <c r="A19" t="s" s="10">
        <v>293</v>
      </c>
      <c r="B19" t="s" s="126">
        <f>VLOOKUP(A19,'The List'!B1:D665,3,FALSE)</f>
        <v>148</v>
      </c>
      <c r="C19" s="127">
        <f>IF('Settings'!$E$15="POINTS",RANK(E19,E3:E152),H19)</f>
        <v>31</v>
      </c>
      <c r="D19" t="s" s="86">
        <f>VLOOKUP(A19,'The List'!B1:F665,5,FALSE)</f>
        <v>908</v>
      </c>
      <c r="E19" s="77">
        <f>VLOOKUP(A19,'The List'!B1:I665,8,FALSE)</f>
        <v>306.906004429591</v>
      </c>
      <c r="F19" s="77">
        <f>IF('Settings'!$E$15="POINTS",E19-VLOOKUP(B$2,C1:E152,3,FALSE),J19)</f>
        <v>-24.814107336621</v>
      </c>
      <c r="G19" s="77"/>
      <c r="H19" s="223">
        <f>RANK(I19,I3:I152)</f>
        <v>22</v>
      </c>
      <c r="I19" s="77">
        <f>VLOOKUP(A19,'Standard Deviations'!A1:C666,3,FALSE)</f>
        <v>5.78948174178898</v>
      </c>
      <c r="J19" s="84">
        <f>I19-VLOOKUP(B$2,H1:J152,2,FALSE)</f>
        <v>-0.40584949566367</v>
      </c>
    </row>
    <row r="20" ht="21.25" customHeight="1">
      <c r="A20" t="s" s="10">
        <v>213</v>
      </c>
      <c r="B20" t="s" s="126">
        <f>VLOOKUP(A20,'The List'!B1:D665,3,FALSE)</f>
        <v>136</v>
      </c>
      <c r="C20" s="127">
        <f>IF('Settings'!$E$15="POINTS",RANK(E20,E3:E152),H20)</f>
        <v>13</v>
      </c>
      <c r="D20" t="s" s="86">
        <f>VLOOKUP(A20,'The List'!B1:F665,5,FALSE)</f>
        <v>904</v>
      </c>
      <c r="E20" s="77">
        <f>VLOOKUP(A20,'The List'!B1:I665,8,FALSE)</f>
        <v>355.276737939928</v>
      </c>
      <c r="F20" s="77">
        <f>IF('Settings'!$E$15="POINTS",E20-VLOOKUP(B$2,C1:E152,3,FALSE),J20)</f>
        <v>23.556626173716</v>
      </c>
      <c r="G20" s="77"/>
      <c r="H20" s="223">
        <f>RANK(I20,I3:I152)</f>
        <v>25</v>
      </c>
      <c r="I20" s="77">
        <f>VLOOKUP(A20,'Standard Deviations'!A1:C666,3,FALSE)</f>
        <v>5.25407288662652</v>
      </c>
      <c r="J20" s="84">
        <f>I20-VLOOKUP(B$2,H1:J152,2,FALSE)</f>
        <v>-0.94125835082613</v>
      </c>
    </row>
    <row r="21" ht="21.25" customHeight="1">
      <c r="A21" t="s" s="10">
        <v>233</v>
      </c>
      <c r="B21" t="s" s="126">
        <f>VLOOKUP(A21,'The List'!B1:D665,3,FALSE)</f>
        <v>136</v>
      </c>
      <c r="C21" s="127">
        <f>IF('Settings'!$E$15="POINTS",RANK(E21,E3:E152),H21)</f>
        <v>16</v>
      </c>
      <c r="D21" t="s" s="86">
        <f>VLOOKUP(A21,'The List'!B1:F665,5,FALSE)</f>
        <v>165</v>
      </c>
      <c r="E21" s="77">
        <f>VLOOKUP(A21,'The List'!B1:I665,8,FALSE)</f>
        <v>339.341662407457</v>
      </c>
      <c r="F21" s="77">
        <f>IF('Settings'!$E$15="POINTS",E21-VLOOKUP(B$2,C1:E152,3,FALSE),J21)</f>
        <v>7.621550641245</v>
      </c>
      <c r="G21" s="77"/>
      <c r="H21" s="223">
        <f>RANK(I21,I3:I152)</f>
        <v>17</v>
      </c>
      <c r="I21" s="77">
        <f>VLOOKUP(A21,'Standard Deviations'!A1:C666,3,FALSE)</f>
        <v>6.45880956885536</v>
      </c>
      <c r="J21" s="84">
        <f>I21-VLOOKUP(B$2,H1:J152,2,FALSE)</f>
        <v>0.26347833140271</v>
      </c>
    </row>
    <row r="22" ht="21.25" customHeight="1">
      <c r="A22" t="s" s="10">
        <v>283</v>
      </c>
      <c r="B22" t="s" s="126">
        <f>VLOOKUP(A22,'The List'!B1:D665,3,FALSE)</f>
        <v>178</v>
      </c>
      <c r="C22" s="127">
        <f>IF('Settings'!$E$15="POINTS",RANK(E22,E3:E152),H22)</f>
        <v>25</v>
      </c>
      <c r="D22" t="s" s="86">
        <f>VLOOKUP(A22,'The List'!B1:F665,5,FALSE)</f>
        <v>267</v>
      </c>
      <c r="E22" s="77">
        <f>VLOOKUP(A22,'The List'!B1:I665,8,FALSE)</f>
        <v>313.895928132871</v>
      </c>
      <c r="F22" s="77">
        <f>IF('Settings'!$E$15="POINTS",E22-VLOOKUP(B$2,C1:E152,3,FALSE),J22)</f>
        <v>-17.824183633341</v>
      </c>
      <c r="G22" s="77"/>
      <c r="H22" s="223">
        <f>RANK(I22,I3:I152)</f>
        <v>15</v>
      </c>
      <c r="I22" s="77">
        <f>VLOOKUP(A22,'Standard Deviations'!A1:C666,3,FALSE)</f>
        <v>6.7125754492529</v>
      </c>
      <c r="J22" s="84">
        <f>I22-VLOOKUP(B$2,H1:J152,2,FALSE)</f>
        <v>0.51724421180025</v>
      </c>
    </row>
    <row r="23" ht="21.25" customHeight="1">
      <c r="A23" t="s" s="10">
        <v>310</v>
      </c>
      <c r="B23" t="s" s="126">
        <f>VLOOKUP(A23,'The List'!B1:D665,3,FALSE)</f>
        <v>148</v>
      </c>
      <c r="C23" s="127">
        <f>IF('Settings'!$E$15="POINTS",RANK(E23,E3:E152),H23)</f>
        <v>37</v>
      </c>
      <c r="D23" t="s" s="86">
        <f>VLOOKUP(A23,'The List'!B1:F665,5,FALSE)</f>
        <v>275</v>
      </c>
      <c r="E23" s="77">
        <f>VLOOKUP(A23,'The List'!B1:I665,8,FALSE)</f>
        <v>298.307773346820</v>
      </c>
      <c r="F23" s="77">
        <f>IF('Settings'!$E$15="POINTS",E23-VLOOKUP(B$2,C1:E152,3,FALSE),J23)</f>
        <v>-33.412338419392</v>
      </c>
      <c r="G23" s="77"/>
      <c r="H23" s="223">
        <f>RANK(I23,I3:I152)</f>
        <v>20</v>
      </c>
      <c r="I23" s="77">
        <f>VLOOKUP(A23,'Standard Deviations'!A1:C666,3,FALSE)</f>
        <v>6.01506888006094</v>
      </c>
      <c r="J23" s="84">
        <f>I23-VLOOKUP(B$2,H1:J152,2,FALSE)</f>
        <v>-0.18026235739171</v>
      </c>
    </row>
    <row r="24" ht="21.25" customHeight="1">
      <c r="A24" t="s" s="10">
        <v>241</v>
      </c>
      <c r="B24" t="s" s="126">
        <f>VLOOKUP(A24,'The List'!B1:D665,3,FALSE)</f>
        <v>148</v>
      </c>
      <c r="C24" s="127">
        <f>IF('Settings'!$E$15="POINTS",RANK(E24,E3:E152),H24)</f>
        <v>18</v>
      </c>
      <c r="D24" t="s" s="86">
        <f>VLOOKUP(A24,'The List'!B1:F665,5,FALSE)</f>
        <v>910</v>
      </c>
      <c r="E24" s="77">
        <f>VLOOKUP(A24,'The List'!B1:I665,8,FALSE)</f>
        <v>334.098127711234</v>
      </c>
      <c r="F24" s="77">
        <f>IF('Settings'!$E$15="POINTS",E24-VLOOKUP(B$2,C1:E152,3,FALSE),J24)</f>
        <v>2.378015945022</v>
      </c>
      <c r="G24" s="77"/>
      <c r="H24" s="223">
        <f>RANK(I24,I3:I152)</f>
        <v>37</v>
      </c>
      <c r="I24" s="77">
        <f>VLOOKUP(A24,'Standard Deviations'!A1:C666,3,FALSE)</f>
        <v>3.683394045759</v>
      </c>
      <c r="J24" s="84">
        <f>I24-VLOOKUP(B$2,H1:J152,2,FALSE)</f>
        <v>-2.51193719169365</v>
      </c>
    </row>
    <row r="25" ht="21.25" customHeight="1">
      <c r="A25" t="s" s="10">
        <v>228</v>
      </c>
      <c r="B25" t="s" s="126">
        <f>VLOOKUP(A25,'The List'!B1:D665,3,FALSE)</f>
        <v>148</v>
      </c>
      <c r="C25" s="127">
        <f>IF('Settings'!$E$15="POINTS",RANK(E25,E3:E152),H25)</f>
        <v>15</v>
      </c>
      <c r="D25" t="s" s="86">
        <f>VLOOKUP(A25,'The List'!B1:F665,5,FALSE)</f>
        <v>342</v>
      </c>
      <c r="E25" s="77">
        <f>VLOOKUP(A25,'The List'!B1:I665,8,FALSE)</f>
        <v>347.360344458535</v>
      </c>
      <c r="F25" s="77">
        <f>IF('Settings'!$E$15="POINTS",E25-VLOOKUP(B$2,C1:E152,3,FALSE),J25)</f>
        <v>15.640232692323</v>
      </c>
      <c r="G25" s="77"/>
      <c r="H25" s="223">
        <f>RANK(I25,I3:I152)</f>
        <v>21</v>
      </c>
      <c r="I25" s="77">
        <f>VLOOKUP(A25,'Standard Deviations'!A1:C666,3,FALSE)</f>
        <v>5.8995100982243</v>
      </c>
      <c r="J25" s="84">
        <f>I25-VLOOKUP(B$2,H1:J152,2,FALSE)</f>
        <v>-0.29582113922835</v>
      </c>
    </row>
    <row r="26" ht="21.25" customHeight="1">
      <c r="A26" t="s" s="10">
        <v>289</v>
      </c>
      <c r="B26" t="s" s="126">
        <f>VLOOKUP(A26,'The List'!B1:D665,3,FALSE)</f>
        <v>136</v>
      </c>
      <c r="C26" s="127">
        <f>IF('Settings'!$E$15="POINTS",RANK(E26,E3:E152),H26)</f>
        <v>29</v>
      </c>
      <c r="D26" t="s" s="86">
        <f>VLOOKUP(A26,'The List'!B1:F665,5,FALSE)</f>
        <v>129</v>
      </c>
      <c r="E26" s="77">
        <f>VLOOKUP(A26,'The List'!B1:I665,8,FALSE)</f>
        <v>310.097085248459</v>
      </c>
      <c r="F26" s="77">
        <f>IF('Settings'!$E$15="POINTS",E26-VLOOKUP(B$2,C1:E152,3,FALSE),J26)</f>
        <v>-21.623026517753</v>
      </c>
      <c r="G26" s="77"/>
      <c r="H26" s="223">
        <f>RANK(I26,I3:I152)</f>
        <v>13</v>
      </c>
      <c r="I26" s="77">
        <f>VLOOKUP(A26,'Standard Deviations'!A1:C666,3,FALSE)</f>
        <v>7.52906892026699</v>
      </c>
      <c r="J26" s="84">
        <f>I26-VLOOKUP(B$2,H1:J152,2,FALSE)</f>
        <v>1.33373768281434</v>
      </c>
    </row>
    <row r="27" ht="21.25" customHeight="1">
      <c r="A27" t="s" s="10">
        <v>292</v>
      </c>
      <c r="B27" t="s" s="126">
        <f>VLOOKUP(A27,'The List'!B1:D665,3,FALSE)</f>
        <v>136</v>
      </c>
      <c r="C27" s="127">
        <f>IF('Settings'!$E$15="POINTS",RANK(E27,E3:E152),H27)</f>
        <v>30</v>
      </c>
      <c r="D27" t="s" s="86">
        <f>VLOOKUP(A27,'The List'!B1:F665,5,FALSE)</f>
        <v>149</v>
      </c>
      <c r="E27" s="77">
        <f>VLOOKUP(A27,'The List'!B1:I665,8,FALSE)</f>
        <v>306.987600152579</v>
      </c>
      <c r="F27" s="77">
        <f>IF('Settings'!$E$15="POINTS",E27-VLOOKUP(B$2,C1:E152,3,FALSE),J27)</f>
        <v>-24.732511613633</v>
      </c>
      <c r="G27" s="77"/>
      <c r="H27" s="223">
        <f>RANK(I27,I3:I152)</f>
        <v>16</v>
      </c>
      <c r="I27" s="77">
        <f>VLOOKUP(A27,'Standard Deviations'!A1:C666,3,FALSE)</f>
        <v>6.67771973517782</v>
      </c>
      <c r="J27" s="84">
        <f>I27-VLOOKUP(B$2,H1:J152,2,FALSE)</f>
        <v>0.48238849772517</v>
      </c>
    </row>
    <row r="28" ht="21.25" customHeight="1">
      <c r="A28" t="s" s="10">
        <v>448</v>
      </c>
      <c r="B28" t="s" s="126">
        <f>VLOOKUP(A28,'The List'!B1:D665,3,FALSE)</f>
        <v>178</v>
      </c>
      <c r="C28" s="127">
        <f>IF('Settings'!$E$15="POINTS",RANK(E28,E3:E152),H28)</f>
        <v>61</v>
      </c>
      <c r="D28" t="s" s="86">
        <f>VLOOKUP(A28,'The List'!B1:F665,5,FALSE)</f>
        <v>909</v>
      </c>
      <c r="E28" s="77">
        <f>VLOOKUP(A28,'The List'!B1:I665,8,FALSE)</f>
        <v>241.612340422803</v>
      </c>
      <c r="F28" s="77">
        <f>IF('Settings'!$E$15="POINTS",E28-VLOOKUP(B$2,C1:E152,3,FALSE),J28)</f>
        <v>-90.107771343409</v>
      </c>
      <c r="G28" s="77"/>
      <c r="H28" s="223">
        <f>RANK(I28,I3:I152)</f>
        <v>58</v>
      </c>
      <c r="I28" s="77">
        <f>VLOOKUP(A28,'Standard Deviations'!A1:C666,3,FALSE)</f>
        <v>1.14212306030947</v>
      </c>
      <c r="J28" s="84">
        <f>I28-VLOOKUP(B$2,H1:J152,2,FALSE)</f>
        <v>-5.05320817714318</v>
      </c>
    </row>
    <row r="29" ht="21.25" customHeight="1">
      <c r="A29" t="s" s="10">
        <v>315</v>
      </c>
      <c r="B29" t="s" s="126">
        <f>VLOOKUP(A29,'The List'!B1:D665,3,FALSE)</f>
        <v>136</v>
      </c>
      <c r="C29" s="127">
        <f>IF('Settings'!$E$15="POINTS",RANK(E29,E3:E152),H29)</f>
        <v>38</v>
      </c>
      <c r="D29" t="s" s="86">
        <f>VLOOKUP(A29,'The List'!B1:F665,5,FALSE)</f>
        <v>907</v>
      </c>
      <c r="E29" s="77">
        <f>VLOOKUP(A29,'The List'!B1:I665,8,FALSE)</f>
        <v>296.193841845545</v>
      </c>
      <c r="F29" s="77">
        <f>IF('Settings'!$E$15="POINTS",E29-VLOOKUP(B$2,C1:E152,3,FALSE),J29)</f>
        <v>-35.526269920667</v>
      </c>
      <c r="G29" s="77"/>
      <c r="H29" s="223">
        <f>RANK(I29,I3:I152)</f>
        <v>32</v>
      </c>
      <c r="I29" s="77">
        <f>VLOOKUP(A29,'Standard Deviations'!A1:C666,3,FALSE)</f>
        <v>4.38687363798802</v>
      </c>
      <c r="J29" s="84">
        <f>I29-VLOOKUP(B$2,H1:J152,2,FALSE)</f>
        <v>-1.80845759946463</v>
      </c>
    </row>
    <row r="30" ht="21.25" customHeight="1">
      <c r="A30" t="s" s="10">
        <v>262</v>
      </c>
      <c r="B30" t="s" s="126">
        <f>VLOOKUP(A30,'The List'!B1:D665,3,FALSE)</f>
        <v>148</v>
      </c>
      <c r="C30" s="127">
        <f>IF('Settings'!$E$15="POINTS",RANK(E30,E3:E152),H30)</f>
        <v>22</v>
      </c>
      <c r="D30" t="s" s="86">
        <f>VLOOKUP(A30,'The List'!B1:F665,5,FALSE)</f>
        <v>866</v>
      </c>
      <c r="E30" s="77">
        <f>VLOOKUP(A30,'The List'!B1:I665,8,FALSE)</f>
        <v>321.741508062660</v>
      </c>
      <c r="F30" s="77">
        <f>IF('Settings'!$E$15="POINTS",E30-VLOOKUP(B$2,C1:E152,3,FALSE),J30)</f>
        <v>-9.978603703552</v>
      </c>
      <c r="G30" s="77"/>
      <c r="H30" s="223">
        <f>RANK(I30,I3:I152)</f>
        <v>24</v>
      </c>
      <c r="I30" s="77">
        <f>VLOOKUP(A30,'Standard Deviations'!A1:C666,3,FALSE)</f>
        <v>5.35801486708004</v>
      </c>
      <c r="J30" s="84">
        <f>I30-VLOOKUP(B$2,H1:J152,2,FALSE)</f>
        <v>-0.83731637037261</v>
      </c>
    </row>
    <row r="31" ht="21.25" customHeight="1">
      <c r="A31" t="s" s="10">
        <v>374</v>
      </c>
      <c r="B31" t="s" s="126">
        <f>VLOOKUP(A31,'The List'!B1:D665,3,FALSE)</f>
        <v>178</v>
      </c>
      <c r="C31" s="127">
        <f>IF('Settings'!$E$15="POINTS",RANK(E31,E3:E152),H31)</f>
        <v>50</v>
      </c>
      <c r="D31" t="s" s="86">
        <f>VLOOKUP(A31,'The List'!B1:F665,5,FALSE)</f>
        <v>906</v>
      </c>
      <c r="E31" s="77">
        <f>VLOOKUP(A31,'The List'!B1:I665,8,FALSE)</f>
        <v>270.347527857760</v>
      </c>
      <c r="F31" s="77">
        <f>IF('Settings'!$E$15="POINTS",E31-VLOOKUP(B$2,C1:E152,3,FALSE),J31)</f>
        <v>-61.372583908452</v>
      </c>
      <c r="G31" s="77"/>
      <c r="H31" s="223">
        <f>RANK(I31,I3:I152)</f>
        <v>29</v>
      </c>
      <c r="I31" s="77">
        <f>VLOOKUP(A31,'Standard Deviations'!A1:C666,3,FALSE)</f>
        <v>4.80595025209068</v>
      </c>
      <c r="J31" s="84">
        <f>I31-VLOOKUP(B$2,H1:J152,2,FALSE)</f>
        <v>-1.38938098536197</v>
      </c>
    </row>
    <row r="32" ht="21.25" customHeight="1">
      <c r="A32" t="s" s="10">
        <v>286</v>
      </c>
      <c r="B32" t="s" s="126">
        <f>VLOOKUP(A32,'The List'!B1:D665,3,FALSE)</f>
        <v>148</v>
      </c>
      <c r="C32" s="127">
        <f>IF('Settings'!$E$15="POINTS",RANK(E32,E3:E152),H32)</f>
        <v>27</v>
      </c>
      <c r="D32" t="s" s="86">
        <f>VLOOKUP(A32,'The List'!B1:F665,5,FALSE)</f>
        <v>156</v>
      </c>
      <c r="E32" s="77">
        <f>VLOOKUP(A32,'The List'!B1:I665,8,FALSE)</f>
        <v>311.185759768805</v>
      </c>
      <c r="F32" s="77">
        <f>IF('Settings'!$E$15="POINTS",E32-VLOOKUP(B$2,C1:E152,3,FALSE),J32)</f>
        <v>-20.534351997407</v>
      </c>
      <c r="G32" s="77"/>
      <c r="H32" s="223">
        <f>RANK(I32,I3:I152)</f>
        <v>31</v>
      </c>
      <c r="I32" s="77">
        <f>VLOOKUP(A32,'Standard Deviations'!A1:C666,3,FALSE)</f>
        <v>4.52385699241967</v>
      </c>
      <c r="J32" s="84">
        <f>I32-VLOOKUP(B$2,H1:J152,2,FALSE)</f>
        <v>-1.67147424503298</v>
      </c>
    </row>
    <row r="33" ht="21.25" customHeight="1">
      <c r="A33" t="s" s="10">
        <v>303</v>
      </c>
      <c r="B33" t="s" s="126">
        <f>VLOOKUP(A33,'The List'!B1:D665,3,FALSE)</f>
        <v>136</v>
      </c>
      <c r="C33" s="127">
        <f>IF('Settings'!$E$15="POINTS",RANK(E33,E3:E152),H33)</f>
        <v>33</v>
      </c>
      <c r="D33" t="s" s="86">
        <f>VLOOKUP(A33,'The List'!B1:F665,5,FALSE)</f>
        <v>911</v>
      </c>
      <c r="E33" s="77">
        <f>VLOOKUP(A33,'The List'!B1:I665,8,FALSE)</f>
        <v>303.759524742097</v>
      </c>
      <c r="F33" s="77">
        <f>IF('Settings'!$E$15="POINTS",E33-VLOOKUP(B$2,C1:E152,3,FALSE),J33)</f>
        <v>-27.960587024115</v>
      </c>
      <c r="G33" s="77"/>
      <c r="H33" s="223">
        <f>RANK(I33,I3:I152)</f>
        <v>30</v>
      </c>
      <c r="I33" s="77">
        <f>VLOOKUP(A33,'Standard Deviations'!A1:C666,3,FALSE)</f>
        <v>4.5424847105712</v>
      </c>
      <c r="J33" s="84">
        <f>I33-VLOOKUP(B$2,H1:J152,2,FALSE)</f>
        <v>-1.65284652688145</v>
      </c>
    </row>
    <row r="34" ht="21.25" customHeight="1">
      <c r="A34" t="s" s="10">
        <v>237</v>
      </c>
      <c r="B34" t="s" s="126">
        <f>VLOOKUP(A34,'The List'!B1:D665,3,FALSE)</f>
        <v>178</v>
      </c>
      <c r="C34" s="127">
        <f>IF('Settings'!$E$15="POINTS",RANK(E34,E3:E152),H34)</f>
        <v>17</v>
      </c>
      <c r="D34" t="s" s="86">
        <f>VLOOKUP(A34,'The List'!B1:F665,5,FALSE)</f>
        <v>878</v>
      </c>
      <c r="E34" s="77">
        <f>VLOOKUP(A34,'The List'!B1:I665,8,FALSE)</f>
        <v>335.803194624843</v>
      </c>
      <c r="F34" s="77">
        <f>IF('Settings'!$E$15="POINTS",E34-VLOOKUP(B$2,C1:E152,3,FALSE),J34)</f>
        <v>4.083082858631</v>
      </c>
      <c r="G34" s="77"/>
      <c r="H34" s="223">
        <f>RANK(I34,I3:I152)</f>
        <v>19</v>
      </c>
      <c r="I34" s="77">
        <f>VLOOKUP(A34,'Standard Deviations'!A1:C666,3,FALSE)</f>
        <v>6.19533123745265</v>
      </c>
      <c r="J34" s="84">
        <f>I34-VLOOKUP(B$2,H1:J152,2,FALSE)</f>
        <v>0</v>
      </c>
    </row>
    <row r="35" ht="21.25" customHeight="1">
      <c r="A35" t="s" s="10">
        <v>339</v>
      </c>
      <c r="B35" t="s" s="126">
        <f>VLOOKUP(A35,'The List'!B1:D665,3,FALSE)</f>
        <v>178</v>
      </c>
      <c r="C35" s="127">
        <f>IF('Settings'!$E$15="POINTS",RANK(E35,E3:E152),H35)</f>
        <v>44</v>
      </c>
      <c r="D35" t="s" s="86">
        <f>VLOOKUP(A35,'The List'!B1:F665,5,FALSE)</f>
        <v>908</v>
      </c>
      <c r="E35" s="77">
        <f>VLOOKUP(A35,'The List'!B1:I665,8,FALSE)</f>
        <v>284.435506955399</v>
      </c>
      <c r="F35" s="77">
        <f>IF('Settings'!$E$15="POINTS",E35-VLOOKUP(B$2,C1:E152,3,FALSE),J35)</f>
        <v>-47.284604810813</v>
      </c>
      <c r="G35" s="77"/>
      <c r="H35" s="223">
        <f>RANK(I35,I3:I152)</f>
        <v>34</v>
      </c>
      <c r="I35" s="77">
        <f>VLOOKUP(A35,'Standard Deviations'!A1:C666,3,FALSE)</f>
        <v>4.1890248373706</v>
      </c>
      <c r="J35" s="84">
        <f>I35-VLOOKUP(B$2,H1:J152,2,FALSE)</f>
        <v>-2.00630640008205</v>
      </c>
    </row>
    <row r="36" ht="21.25" customHeight="1">
      <c r="A36" t="s" s="10">
        <v>306</v>
      </c>
      <c r="B36" t="s" s="126">
        <f>VLOOKUP(A36,'The List'!B1:D665,3,FALSE)</f>
        <v>148</v>
      </c>
      <c r="C36" s="127">
        <f>IF('Settings'!$E$15="POINTS",RANK(E36,E3:E152),H36)</f>
        <v>35</v>
      </c>
      <c r="D36" t="s" s="86">
        <f>VLOOKUP(A36,'The List'!B1:F665,5,FALSE)</f>
        <v>156</v>
      </c>
      <c r="E36" s="77">
        <f>VLOOKUP(A36,'The List'!B1:I665,8,FALSE)</f>
        <v>302.120509318090</v>
      </c>
      <c r="F36" s="77">
        <f>IF('Settings'!$E$15="POINTS",E36-VLOOKUP(B$2,C1:E152,3,FALSE),J36)</f>
        <v>-29.599602448122</v>
      </c>
      <c r="G36" s="77"/>
      <c r="H36" s="223">
        <f>RANK(I36,I3:I152)</f>
        <v>41</v>
      </c>
      <c r="I36" s="77">
        <f>VLOOKUP(A36,'Standard Deviations'!A1:C666,3,FALSE)</f>
        <v>3.18788634863182</v>
      </c>
      <c r="J36" s="84">
        <f>I36-VLOOKUP(B$2,H1:J152,2,FALSE)</f>
        <v>-3.00744488882083</v>
      </c>
    </row>
    <row r="37" ht="21.25" customHeight="1">
      <c r="A37" t="s" s="10">
        <v>248</v>
      </c>
      <c r="B37" t="s" s="126">
        <f>VLOOKUP(A37,'The List'!B1:D665,3,FALSE)</f>
        <v>148</v>
      </c>
      <c r="C37" s="127">
        <f>IF('Settings'!$E$15="POINTS",RANK(E37,E3:E152),H37)</f>
        <v>20</v>
      </c>
      <c r="D37" t="s" s="86">
        <f>VLOOKUP(A37,'The List'!B1:F665,5,FALSE)</f>
        <v>910</v>
      </c>
      <c r="E37" s="77">
        <f>VLOOKUP(A37,'The List'!B1:I665,8,FALSE)</f>
        <v>331.526586077197</v>
      </c>
      <c r="F37" s="77">
        <f>IF('Settings'!$E$15="POINTS",E37-VLOOKUP(B$2,C1:E152,3,FALSE),J37)</f>
        <v>-0.193525689015</v>
      </c>
      <c r="G37" s="77"/>
      <c r="H37" s="223">
        <f>RANK(I37,I3:I152)</f>
        <v>40</v>
      </c>
      <c r="I37" s="77">
        <f>VLOOKUP(A37,'Standard Deviations'!A1:C666,3,FALSE)</f>
        <v>3.1888434956216</v>
      </c>
      <c r="J37" s="84">
        <f>I37-VLOOKUP(B$2,H1:J152,2,FALSE)</f>
        <v>-3.00648774183105</v>
      </c>
    </row>
    <row r="38" ht="21.25" customHeight="1">
      <c r="A38" t="s" s="10">
        <v>288</v>
      </c>
      <c r="B38" t="s" s="126">
        <f>VLOOKUP(A38,'The List'!B1:D665,3,FALSE)</f>
        <v>178</v>
      </c>
      <c r="C38" s="127">
        <f>IF('Settings'!$E$15="POINTS",RANK(E38,E3:E152),H38)</f>
        <v>28</v>
      </c>
      <c r="D38" t="s" s="86">
        <f>VLOOKUP(A38,'The List'!B1:F665,5,FALSE)</f>
        <v>899</v>
      </c>
      <c r="E38" s="77">
        <f>VLOOKUP(A38,'The List'!B1:I665,8,FALSE)</f>
        <v>311.009789530945</v>
      </c>
      <c r="F38" s="77">
        <f>IF('Settings'!$E$15="POINTS",E38-VLOOKUP(B$2,C1:E152,3,FALSE),J38)</f>
        <v>-20.710322235267</v>
      </c>
      <c r="G38" s="77"/>
      <c r="H38" s="223">
        <f>RANK(I38,I3:I152)</f>
        <v>26</v>
      </c>
      <c r="I38" s="77">
        <f>VLOOKUP(A38,'Standard Deviations'!A1:C666,3,FALSE)</f>
        <v>5.21366861768853</v>
      </c>
      <c r="J38" s="84">
        <f>I38-VLOOKUP(B$2,H1:J152,2,FALSE)</f>
        <v>-0.9816626197641199</v>
      </c>
    </row>
    <row r="39" ht="21.25" customHeight="1">
      <c r="A39" t="s" s="10">
        <v>251</v>
      </c>
      <c r="B39" t="s" s="126">
        <f>VLOOKUP(A39,'The List'!B1:D665,3,FALSE)</f>
        <v>178</v>
      </c>
      <c r="C39" s="127">
        <f>IF('Settings'!$E$15="POINTS",RANK(E39,E3:E152),H39)</f>
        <v>21</v>
      </c>
      <c r="D39" t="s" s="86">
        <f>VLOOKUP(A39,'The List'!B1:F665,5,FALSE)</f>
        <v>909</v>
      </c>
      <c r="E39" s="77">
        <f>VLOOKUP(A39,'The List'!B1:I665,8,FALSE)</f>
        <v>329.060709527179</v>
      </c>
      <c r="F39" s="77">
        <f>IF('Settings'!$E$15="POINTS",E39-VLOOKUP(B$2,C1:E152,3,FALSE),J39)</f>
        <v>-2.659402239033</v>
      </c>
      <c r="G39" s="77"/>
      <c r="H39" s="223">
        <f>RANK(I39,I3:I152)</f>
        <v>42</v>
      </c>
      <c r="I39" s="77">
        <f>VLOOKUP(A39,'Standard Deviations'!A1:C666,3,FALSE)</f>
        <v>2.83154181027599</v>
      </c>
      <c r="J39" s="84">
        <f>I39-VLOOKUP(B$2,H1:J152,2,FALSE)</f>
        <v>-3.36378942717666</v>
      </c>
    </row>
    <row r="40" ht="21.25" customHeight="1">
      <c r="A40" t="s" s="10">
        <v>273</v>
      </c>
      <c r="B40" t="s" s="126">
        <f>VLOOKUP(A40,'The List'!B1:D665,3,FALSE)</f>
        <v>148</v>
      </c>
      <c r="C40" s="127">
        <f>IF('Settings'!$E$15="POINTS",RANK(E40,E3:E152),H40)</f>
        <v>23</v>
      </c>
      <c r="D40" t="s" s="86">
        <f>VLOOKUP(A40,'The List'!B1:F665,5,FALSE)</f>
        <v>901</v>
      </c>
      <c r="E40" s="77">
        <f>VLOOKUP(A40,'The List'!B1:I665,8,FALSE)</f>
        <v>316.787179073946</v>
      </c>
      <c r="F40" s="77">
        <f>IF('Settings'!$E$15="POINTS",E40-VLOOKUP(B$2,C1:E152,3,FALSE),J40)</f>
        <v>-14.932932692266</v>
      </c>
      <c r="G40" s="77"/>
      <c r="H40" s="223">
        <f>RANK(I40,I3:I152)</f>
        <v>27</v>
      </c>
      <c r="I40" s="77">
        <f>VLOOKUP(A40,'Standard Deviations'!A1:C666,3,FALSE)</f>
        <v>4.92796906091226</v>
      </c>
      <c r="J40" s="84">
        <f>I40-VLOOKUP(B$2,H1:J152,2,FALSE)</f>
        <v>-1.26736217654039</v>
      </c>
    </row>
    <row r="41" ht="21.25" customHeight="1">
      <c r="A41" t="s" s="10">
        <v>280</v>
      </c>
      <c r="B41" t="s" s="126">
        <f>VLOOKUP(A41,'The List'!B1:D665,3,FALSE)</f>
        <v>136</v>
      </c>
      <c r="C41" s="127">
        <f>IF('Settings'!$E$15="POINTS",RANK(E41,E3:E152),H41)</f>
        <v>24</v>
      </c>
      <c r="D41" t="s" s="86">
        <f>VLOOKUP(A41,'The List'!B1:F665,5,FALSE)</f>
        <v>914</v>
      </c>
      <c r="E41" s="77">
        <f>VLOOKUP(A41,'The List'!B1:I665,8,FALSE)</f>
        <v>314.505784228817</v>
      </c>
      <c r="F41" s="77">
        <f>IF('Settings'!$E$15="POINTS",E41-VLOOKUP(B$2,C1:E152,3,FALSE),J41)</f>
        <v>-17.214327537395</v>
      </c>
      <c r="G41" s="77"/>
      <c r="H41" s="223">
        <f>RANK(I41,I3:I152)</f>
        <v>60</v>
      </c>
      <c r="I41" s="77">
        <f>VLOOKUP(A41,'Standard Deviations'!A1:C666,3,FALSE)</f>
        <v>0.958323956213622</v>
      </c>
      <c r="J41" s="84">
        <f>I41-VLOOKUP(B$2,H1:J152,2,FALSE)</f>
        <v>-5.23700728123903</v>
      </c>
    </row>
    <row r="42" ht="21.25" customHeight="1">
      <c r="A42" t="s" s="10">
        <v>368</v>
      </c>
      <c r="B42" t="s" s="126">
        <f>VLOOKUP(A42,'The List'!B1:D665,3,FALSE)</f>
        <v>136</v>
      </c>
      <c r="C42" s="127">
        <f>IF('Settings'!$E$15="POINTS",RANK(E42,E3:E152),H42)</f>
        <v>49</v>
      </c>
      <c r="D42" t="s" s="86">
        <f>VLOOKUP(A42,'The List'!B1:F665,5,FALSE)</f>
        <v>174</v>
      </c>
      <c r="E42" s="77">
        <f>VLOOKUP(A42,'The List'!B1:I665,8,FALSE)</f>
        <v>273.841798447359</v>
      </c>
      <c r="F42" s="77">
        <f>IF('Settings'!$E$15="POINTS",E42-VLOOKUP(B$2,C1:E152,3,FALSE),J42)</f>
        <v>-57.878313318853</v>
      </c>
      <c r="G42" s="77"/>
      <c r="H42" s="223">
        <f>RANK(I42,I3:I152)</f>
        <v>44</v>
      </c>
      <c r="I42" s="77">
        <f>VLOOKUP(A42,'Standard Deviations'!A1:C666,3,FALSE)</f>
        <v>2.67527244924765</v>
      </c>
      <c r="J42" s="84">
        <f>I42-VLOOKUP(B$2,H1:J152,2,FALSE)</f>
        <v>-3.520058788205</v>
      </c>
    </row>
    <row r="43" ht="21.25" customHeight="1">
      <c r="A43" t="s" s="10">
        <v>327</v>
      </c>
      <c r="B43" t="s" s="126">
        <f>VLOOKUP(A43,'The List'!B1:D665,3,FALSE)</f>
        <v>136</v>
      </c>
      <c r="C43" s="127">
        <f>IF('Settings'!$E$15="POINTS",RANK(E43,E3:E152),H43)</f>
        <v>40</v>
      </c>
      <c r="D43" t="s" s="86">
        <f>VLOOKUP(A43,'The List'!B1:F665,5,FALSE)</f>
        <v>192</v>
      </c>
      <c r="E43" s="77">
        <f>VLOOKUP(A43,'The List'!B1:I665,8,FALSE)</f>
        <v>288.904443173583</v>
      </c>
      <c r="F43" s="77">
        <f>IF('Settings'!$E$15="POINTS",E43-VLOOKUP(B$2,C1:E152,3,FALSE),J43)</f>
        <v>-42.815668592629</v>
      </c>
      <c r="G43" s="77"/>
      <c r="H43" s="223">
        <f>RANK(I43,I3:I152)</f>
        <v>36</v>
      </c>
      <c r="I43" s="77">
        <f>VLOOKUP(A43,'Standard Deviations'!A1:C666,3,FALSE)</f>
        <v>3.69364528788546</v>
      </c>
      <c r="J43" s="84">
        <f>I43-VLOOKUP(B$2,H1:J152,2,FALSE)</f>
        <v>-2.50168594956719</v>
      </c>
    </row>
    <row r="44" ht="21.25" customHeight="1">
      <c r="A44" t="s" s="10">
        <v>383</v>
      </c>
      <c r="B44" t="s" s="126">
        <f>VLOOKUP(A44,'The List'!B1:D665,3,FALSE)</f>
        <v>148</v>
      </c>
      <c r="C44" s="127">
        <f>IF('Settings'!$E$15="POINTS",RANK(E44,E3:E152),H44)</f>
        <v>53</v>
      </c>
      <c r="D44" t="s" s="86">
        <f>VLOOKUP(A44,'The List'!B1:F665,5,FALSE)</f>
        <v>913</v>
      </c>
      <c r="E44" s="77">
        <f>VLOOKUP(A44,'The List'!B1:I665,8,FALSE)</f>
        <v>266.708586778935</v>
      </c>
      <c r="F44" s="77">
        <f>IF('Settings'!$E$15="POINTS",E44-VLOOKUP(B$2,C1:E152,3,FALSE),J44)</f>
        <v>-65.011524987277</v>
      </c>
      <c r="G44" s="77"/>
      <c r="H44" s="223">
        <f>RANK(I44,I3:I152)</f>
        <v>38</v>
      </c>
      <c r="I44" s="77">
        <f>VLOOKUP(A44,'Standard Deviations'!A1:C666,3,FALSE)</f>
        <v>3.41999354821168</v>
      </c>
      <c r="J44" s="84">
        <f>I44-VLOOKUP(B$2,H1:J152,2,FALSE)</f>
        <v>-2.77533768924097</v>
      </c>
    </row>
    <row r="45" ht="21.25" customHeight="1">
      <c r="A45" t="s" s="10">
        <v>356</v>
      </c>
      <c r="B45" t="s" s="126">
        <f>VLOOKUP(A45,'The List'!B1:D665,3,FALSE)</f>
        <v>148</v>
      </c>
      <c r="C45" s="127">
        <f>IF('Settings'!$E$15="POINTS",RANK(E45,E3:E152),H45)</f>
        <v>47</v>
      </c>
      <c r="D45" t="s" s="86">
        <f>VLOOKUP(A45,'The List'!B1:F665,5,FALSE)</f>
        <v>904</v>
      </c>
      <c r="E45" s="77">
        <f>VLOOKUP(A45,'The List'!B1:I665,8,FALSE)</f>
        <v>277.184025795833</v>
      </c>
      <c r="F45" s="77">
        <f>IF('Settings'!$E$15="POINTS",E45-VLOOKUP(B$2,C1:E152,3,FALSE),J45)</f>
        <v>-54.536085970379</v>
      </c>
      <c r="G45" s="77"/>
      <c r="H45" s="223">
        <f>RANK(I45,I3:I152)</f>
        <v>48</v>
      </c>
      <c r="I45" s="77">
        <f>VLOOKUP(A45,'Standard Deviations'!A1:C666,3,FALSE)</f>
        <v>2.36746544763063</v>
      </c>
      <c r="J45" s="84">
        <f>I45-VLOOKUP(B$2,H1:J152,2,FALSE)</f>
        <v>-3.82786578982202</v>
      </c>
    </row>
    <row r="46" ht="21.25" customHeight="1">
      <c r="A46" t="s" s="10">
        <v>431</v>
      </c>
      <c r="B46" t="s" s="126">
        <f>VLOOKUP(A46,'The List'!B1:D665,3,FALSE)</f>
        <v>148</v>
      </c>
      <c r="C46" s="127">
        <f>IF('Settings'!$E$15="POINTS",RANK(E46,E3:E152),H46)</f>
        <v>59</v>
      </c>
      <c r="D46" t="s" s="86">
        <f>VLOOKUP(A46,'The List'!B1:F665,5,FALSE)</f>
        <v>905</v>
      </c>
      <c r="E46" s="77">
        <f>VLOOKUP(A46,'The List'!B1:I665,8,FALSE)</f>
        <v>246.829452360016</v>
      </c>
      <c r="F46" s="77">
        <f>IF('Settings'!$E$15="POINTS",E46-VLOOKUP(B$2,C1:E152,3,FALSE),J46)</f>
        <v>-84.89065940619599</v>
      </c>
      <c r="G46" s="77"/>
      <c r="H46" s="223">
        <f>RANK(I46,I3:I152)</f>
        <v>35</v>
      </c>
      <c r="I46" s="77">
        <f>VLOOKUP(A46,'Standard Deviations'!A1:C666,3,FALSE)</f>
        <v>4.08378093813798</v>
      </c>
      <c r="J46" s="84">
        <f>I46-VLOOKUP(B$2,H1:J152,2,FALSE)</f>
        <v>-2.11155029931467</v>
      </c>
    </row>
    <row r="47" ht="21.25" customHeight="1">
      <c r="A47" t="s" s="10">
        <v>338</v>
      </c>
      <c r="B47" t="s" s="126">
        <f>VLOOKUP(A47,'The List'!B1:D665,3,FALSE)</f>
        <v>148</v>
      </c>
      <c r="C47" s="127">
        <f>IF('Settings'!$E$15="POINTS",RANK(E47,E3:E152),H47)</f>
        <v>43</v>
      </c>
      <c r="D47" t="s" s="86">
        <f>VLOOKUP(A47,'The List'!B1:F665,5,FALSE)</f>
        <v>878</v>
      </c>
      <c r="E47" s="77">
        <f>VLOOKUP(A47,'The List'!B1:I665,8,FALSE)</f>
        <v>284.584532285043</v>
      </c>
      <c r="F47" s="77">
        <f>IF('Settings'!$E$15="POINTS",E47-VLOOKUP(B$2,C1:E152,3,FALSE),J47)</f>
        <v>-47.135579481169</v>
      </c>
      <c r="G47" s="77"/>
      <c r="H47" s="223">
        <f>RANK(I47,I3:I152)</f>
        <v>39</v>
      </c>
      <c r="I47" s="77">
        <f>VLOOKUP(A47,'Standard Deviations'!A1:C666,3,FALSE)</f>
        <v>3.23696397194368</v>
      </c>
      <c r="J47" s="84">
        <f>I47-VLOOKUP(B$2,H1:J152,2,FALSE)</f>
        <v>-2.95836726550897</v>
      </c>
    </row>
    <row r="48" ht="21.25" customHeight="1">
      <c r="A48" t="s" s="10">
        <v>412</v>
      </c>
      <c r="B48" t="s" s="126">
        <f>VLOOKUP(A48,'The List'!B1:D665,3,FALSE)</f>
        <v>178</v>
      </c>
      <c r="C48" s="127">
        <f>IF('Settings'!$E$15="POINTS",RANK(E48,E3:E152),H48)</f>
        <v>56</v>
      </c>
      <c r="D48" t="s" s="86">
        <f>VLOOKUP(A48,'The List'!B1:F665,5,FALSE)</f>
        <v>871</v>
      </c>
      <c r="E48" s="77">
        <f>VLOOKUP(A48,'The List'!B1:I665,8,FALSE)</f>
        <v>253.008506425512</v>
      </c>
      <c r="F48" s="77">
        <f>IF('Settings'!$E$15="POINTS",E48-VLOOKUP(B$2,C1:E152,3,FALSE),J48)</f>
        <v>-78.7116053407</v>
      </c>
      <c r="G48" s="77"/>
      <c r="H48" s="223">
        <f>RANK(I48,I3:I152)</f>
        <v>43</v>
      </c>
      <c r="I48" s="77">
        <f>VLOOKUP(A48,'Standard Deviations'!A1:C666,3,FALSE)</f>
        <v>2.80128135142334</v>
      </c>
      <c r="J48" s="84">
        <f>I48-VLOOKUP(B$2,H1:J152,2,FALSE)</f>
        <v>-3.39404988602931</v>
      </c>
    </row>
    <row r="49" ht="21.25" customHeight="1">
      <c r="A49" t="s" s="10">
        <v>387</v>
      </c>
      <c r="B49" t="s" s="126">
        <f>VLOOKUP(A49,'The List'!B1:D665,3,FALSE)</f>
        <v>178</v>
      </c>
      <c r="C49" s="127">
        <f>IF('Settings'!$E$15="POINTS",RANK(E49,E3:E152),H49)</f>
        <v>54</v>
      </c>
      <c r="D49" t="s" s="86">
        <f>VLOOKUP(A49,'The List'!B1:F665,5,FALSE)</f>
        <v>905</v>
      </c>
      <c r="E49" s="77">
        <f>VLOOKUP(A49,'The List'!B1:I665,8,FALSE)</f>
        <v>264.854741829322</v>
      </c>
      <c r="F49" s="77">
        <f>IF('Settings'!$E$15="POINTS",E49-VLOOKUP(B$2,C1:E152,3,FALSE),J49)</f>
        <v>-66.865369936890</v>
      </c>
      <c r="G49" s="77"/>
      <c r="H49" s="223">
        <f>RANK(I49,I3:I152)</f>
        <v>47</v>
      </c>
      <c r="I49" s="77">
        <f>VLOOKUP(A49,'Standard Deviations'!A1:C666,3,FALSE)</f>
        <v>2.43304199853305</v>
      </c>
      <c r="J49" s="84">
        <f>I49-VLOOKUP(B$2,H1:J152,2,FALSE)</f>
        <v>-3.7622892389196</v>
      </c>
    </row>
    <row r="50" ht="21.25" customHeight="1">
      <c r="A50" t="s" s="10">
        <v>305</v>
      </c>
      <c r="B50" t="s" s="126">
        <f>VLOOKUP(A50,'The List'!B1:D665,3,FALSE)</f>
        <v>178</v>
      </c>
      <c r="C50" s="127">
        <f>IF('Settings'!$E$15="POINTS",RANK(E50,E3:E152),H50)</f>
        <v>34</v>
      </c>
      <c r="D50" t="s" s="86">
        <f>VLOOKUP(A50,'The List'!B1:F665,5,FALSE)</f>
        <v>902</v>
      </c>
      <c r="E50" s="77">
        <f>VLOOKUP(A50,'The List'!B1:I665,8,FALSE)</f>
        <v>302.497231583934</v>
      </c>
      <c r="F50" s="77">
        <f>IF('Settings'!$E$15="POINTS",E50-VLOOKUP(B$2,C1:E152,3,FALSE),J50)</f>
        <v>-29.222880182278</v>
      </c>
      <c r="G50" s="77"/>
      <c r="H50" s="223">
        <f>RANK(I50,I3:I152)</f>
        <v>33</v>
      </c>
      <c r="I50" s="77">
        <f>VLOOKUP(A50,'Standard Deviations'!A1:C666,3,FALSE)</f>
        <v>4.30058704896177</v>
      </c>
      <c r="J50" s="84">
        <f>I50-VLOOKUP(B$2,H1:J152,2,FALSE)</f>
        <v>-1.89474418849088</v>
      </c>
    </row>
    <row r="51" ht="21.25" customHeight="1">
      <c r="A51" t="s" s="10">
        <v>301</v>
      </c>
      <c r="B51" t="s" s="126">
        <f>VLOOKUP(A51,'The List'!B1:D665,3,FALSE)</f>
        <v>136</v>
      </c>
      <c r="C51" s="127">
        <f>IF('Settings'!$E$15="POINTS",RANK(E51,E3:E152),H51)</f>
        <v>32</v>
      </c>
      <c r="D51" t="s" s="86">
        <f>VLOOKUP(A51,'The List'!B1:F665,5,FALSE)</f>
        <v>912</v>
      </c>
      <c r="E51" s="77">
        <f>VLOOKUP(A51,'The List'!B1:I665,8,FALSE)</f>
        <v>304.347272950626</v>
      </c>
      <c r="F51" s="77">
        <f>IF('Settings'!$E$15="POINTS",E51-VLOOKUP(B$2,C1:E152,3,FALSE),J51)</f>
        <v>-27.372838815586</v>
      </c>
      <c r="G51" s="77"/>
      <c r="H51" s="223">
        <f>RANK(I51,I3:I152)</f>
        <v>66</v>
      </c>
      <c r="I51" s="77">
        <f>VLOOKUP(A51,'Standard Deviations'!A1:C666,3,FALSE)</f>
        <v>0.525014549771521</v>
      </c>
      <c r="J51" s="84">
        <f>I51-VLOOKUP(B$2,H1:J152,2,FALSE)</f>
        <v>-5.67031668768113</v>
      </c>
    </row>
    <row r="52" ht="21.25" customHeight="1">
      <c r="A52" t="s" s="10">
        <v>568</v>
      </c>
      <c r="B52" t="s" s="126">
        <f>VLOOKUP(A52,'The List'!B1:D665,3,FALSE)</f>
        <v>178</v>
      </c>
      <c r="C52" s="127">
        <f>IF('Settings'!$E$15="POINTS",RANK(E52,E3:E152),H52)</f>
        <v>92</v>
      </c>
      <c r="D52" t="s" s="86">
        <f>VLOOKUP(A52,'The List'!B1:F665,5,FALSE)</f>
        <v>129</v>
      </c>
      <c r="E52" s="77">
        <f>VLOOKUP(A52,'The List'!B1:I665,8,FALSE)</f>
        <v>208.206445906116</v>
      </c>
      <c r="F52" s="77">
        <f>IF('Settings'!$E$15="POINTS",E52-VLOOKUP(B$2,C1:E152,3,FALSE),J52)</f>
        <v>-123.513665860096</v>
      </c>
      <c r="G52" s="77"/>
      <c r="H52" s="223">
        <f>RANK(I52,I3:I152)</f>
        <v>57</v>
      </c>
      <c r="I52" s="77">
        <f>VLOOKUP(A52,'Standard Deviations'!A1:C666,3,FALSE)</f>
        <v>1.16708748369192</v>
      </c>
      <c r="J52" s="84">
        <f>I52-VLOOKUP(B$2,H1:J152,2,FALSE)</f>
        <v>-5.02824375376073</v>
      </c>
    </row>
    <row r="53" ht="21.25" customHeight="1">
      <c r="A53" t="s" s="10">
        <v>328</v>
      </c>
      <c r="B53" t="s" s="126">
        <f>VLOOKUP(A53,'The List'!B1:D665,3,FALSE)</f>
        <v>148</v>
      </c>
      <c r="C53" s="127">
        <f>IF('Settings'!$E$15="POINTS",RANK(E53,E3:E152),H53)</f>
        <v>41</v>
      </c>
      <c r="D53" t="s" s="86">
        <f>VLOOKUP(A53,'The List'!B1:F665,5,FALSE)</f>
        <v>907</v>
      </c>
      <c r="E53" s="77">
        <f>VLOOKUP(A53,'The List'!B1:I665,8,FALSE)</f>
        <v>288.768652094550</v>
      </c>
      <c r="F53" s="77">
        <f>IF('Settings'!$E$15="POINTS",E53-VLOOKUP(B$2,C1:E152,3,FALSE),J53)</f>
        <v>-42.951459671662</v>
      </c>
      <c r="G53" s="77"/>
      <c r="H53" s="223">
        <f>RANK(I53,I3:I152)</f>
        <v>62</v>
      </c>
      <c r="I53" s="77">
        <f>VLOOKUP(A53,'Standard Deviations'!A1:C666,3,FALSE)</f>
        <v>0.88808862255828</v>
      </c>
      <c r="J53" s="84">
        <f>I53-VLOOKUP(B$2,H1:J152,2,FALSE)</f>
        <v>-5.30724261489437</v>
      </c>
    </row>
    <row r="54" ht="21.25" customHeight="1">
      <c r="A54" t="s" s="10">
        <v>585</v>
      </c>
      <c r="B54" t="s" s="126">
        <f>VLOOKUP(A54,'The List'!B1:D665,3,FALSE)</f>
        <v>178</v>
      </c>
      <c r="C54" s="127">
        <f>IF('Settings'!$E$15="POINTS",RANK(E54,E3:E152),H54)</f>
        <v>99</v>
      </c>
      <c r="D54" t="s" s="86">
        <f>VLOOKUP(A54,'The List'!B1:F665,5,FALSE)</f>
        <v>905</v>
      </c>
      <c r="E54" s="77">
        <f>VLOOKUP(A54,'The List'!B1:I665,8,FALSE)</f>
        <v>204.330252340538</v>
      </c>
      <c r="F54" s="77">
        <f>IF('Settings'!$E$15="POINTS",E54-VLOOKUP(B$2,C1:E152,3,FALSE),J54)</f>
        <v>-127.389859425674</v>
      </c>
      <c r="G54" s="77"/>
      <c r="H54" s="223">
        <f>RANK(I54,I3:I152)</f>
        <v>82</v>
      </c>
      <c r="I54" s="77">
        <f>VLOOKUP(A54,'Standard Deviations'!A1:C666,3,FALSE)</f>
        <v>-0.405682593774033</v>
      </c>
      <c r="J54" s="84">
        <f>I54-VLOOKUP(B$2,H1:J152,2,FALSE)</f>
        <v>-6.60101383122668</v>
      </c>
    </row>
    <row r="55" ht="21.25" customHeight="1">
      <c r="A55" t="s" s="10">
        <v>379</v>
      </c>
      <c r="B55" t="s" s="126">
        <f>VLOOKUP(A55,'The List'!B1:D665,3,FALSE)</f>
        <v>148</v>
      </c>
      <c r="C55" s="127">
        <f>IF('Settings'!$E$15="POINTS",RANK(E55,E3:E152),H55)</f>
        <v>52</v>
      </c>
      <c r="D55" t="s" s="86">
        <f>VLOOKUP(A55,'The List'!B1:F665,5,FALSE)</f>
        <v>267</v>
      </c>
      <c r="E55" s="77">
        <f>VLOOKUP(A55,'The List'!B1:I665,8,FALSE)</f>
        <v>268.054128376422</v>
      </c>
      <c r="F55" s="77">
        <f>IF('Settings'!$E$15="POINTS",E55-VLOOKUP(B$2,C1:E152,3,FALSE),J55)</f>
        <v>-63.665983389790</v>
      </c>
      <c r="G55" s="77"/>
      <c r="H55" s="223">
        <f>RANK(I55,I3:I152)</f>
        <v>46</v>
      </c>
      <c r="I55" s="77">
        <f>VLOOKUP(A55,'Standard Deviations'!A1:C666,3,FALSE)</f>
        <v>2.48761535392673</v>
      </c>
      <c r="J55" s="84">
        <f>I55-VLOOKUP(B$2,H1:J152,2,FALSE)</f>
        <v>-3.70771588352592</v>
      </c>
    </row>
    <row r="56" ht="21.25" customHeight="1">
      <c r="A56" t="s" s="10">
        <v>427</v>
      </c>
      <c r="B56" t="s" s="126">
        <f>VLOOKUP(A56,'The List'!B1:D665,3,FALSE)</f>
        <v>178</v>
      </c>
      <c r="C56" s="127">
        <f>IF('Settings'!$E$15="POINTS",RANK(E56,E3:E152),H56)</f>
        <v>58</v>
      </c>
      <c r="D56" t="s" s="86">
        <f>VLOOKUP(A56,'The List'!B1:F665,5,FALSE)</f>
        <v>259</v>
      </c>
      <c r="E56" s="77">
        <f>VLOOKUP(A56,'The List'!B1:I665,8,FALSE)</f>
        <v>247.018352061362</v>
      </c>
      <c r="F56" s="77">
        <f>IF('Settings'!$E$15="POINTS",E56-VLOOKUP(B$2,C1:E152,3,FALSE),J56)</f>
        <v>-84.70175970485001</v>
      </c>
      <c r="G56" s="77"/>
      <c r="H56" s="223">
        <f>RANK(I56,I3:I152)</f>
        <v>45</v>
      </c>
      <c r="I56" s="77">
        <f>VLOOKUP(A56,'Standard Deviations'!A1:C666,3,FALSE)</f>
        <v>2.62478476215622</v>
      </c>
      <c r="J56" s="84">
        <f>I56-VLOOKUP(B$2,H1:J152,2,FALSE)</f>
        <v>-3.57054647529643</v>
      </c>
    </row>
    <row r="57" ht="21.25" customHeight="1">
      <c r="A57" t="s" s="10">
        <v>531</v>
      </c>
      <c r="B57" t="s" s="126">
        <f>VLOOKUP(A57,'The List'!B1:D665,3,FALSE)</f>
        <v>178</v>
      </c>
      <c r="C57" s="127">
        <f>IF('Settings'!$E$15="POINTS",RANK(E57,E3:E152),H57)</f>
        <v>82</v>
      </c>
      <c r="D57" t="s" s="86">
        <f>VLOOKUP(A57,'The List'!B1:F665,5,FALSE)</f>
        <v>207</v>
      </c>
      <c r="E57" s="77">
        <f>VLOOKUP(A57,'The List'!B1:I665,8,FALSE)</f>
        <v>217.921303666204</v>
      </c>
      <c r="F57" s="77">
        <f>IF('Settings'!$E$15="POINTS",E57-VLOOKUP(B$2,C1:E152,3,FALSE),J57)</f>
        <v>-113.798808100008</v>
      </c>
      <c r="G57" s="77"/>
      <c r="H57" s="223">
        <f>RANK(I57,I3:I152)</f>
        <v>55</v>
      </c>
      <c r="I57" s="77">
        <f>VLOOKUP(A57,'Standard Deviations'!A1:C666,3,FALSE)</f>
        <v>1.18728802054717</v>
      </c>
      <c r="J57" s="84">
        <f>I57-VLOOKUP(B$2,H1:J152,2,FALSE)</f>
        <v>-5.00804321690548</v>
      </c>
    </row>
    <row r="58" ht="21.25" customHeight="1">
      <c r="A58" t="s" s="10">
        <v>808</v>
      </c>
      <c r="B58" t="s" s="126">
        <f>VLOOKUP(A58,'The List'!B1:D665,3,FALSE)</f>
        <v>178</v>
      </c>
      <c r="C58" s="127">
        <f>IF('Settings'!$E$15="POINTS",RANK(E58,E3:E152),H58)</f>
        <v>138</v>
      </c>
      <c r="D58" t="s" s="86">
        <f>VLOOKUP(A58,'The List'!B1:F665,5,FALSE)</f>
        <v>871</v>
      </c>
      <c r="E58" s="77">
        <f>VLOOKUP(A58,'The List'!B1:I665,8,FALSE)</f>
        <v>138.203698851716</v>
      </c>
      <c r="F58" s="77">
        <f>IF('Settings'!$E$15="POINTS",E58-VLOOKUP(B$2,C1:E152,3,FALSE),J58)</f>
        <v>-193.516412914496</v>
      </c>
      <c r="G58" s="77"/>
      <c r="H58" s="223">
        <f>RANK(I58,I3:I152)</f>
        <v>121</v>
      </c>
      <c r="I58" s="77">
        <f>VLOOKUP(A58,'Standard Deviations'!A1:C666,3,FALSE)</f>
        <v>-2.97787233210685</v>
      </c>
      <c r="J58" s="84">
        <f>I58-VLOOKUP(B$2,H1:J152,2,FALSE)</f>
        <v>-9.173203569559499</v>
      </c>
    </row>
    <row r="59" ht="21.25" customHeight="1">
      <c r="A59" t="s" s="10">
        <v>329</v>
      </c>
      <c r="B59" t="s" s="126">
        <f>VLOOKUP(A59,'The List'!B1:D665,3,FALSE)</f>
        <v>136</v>
      </c>
      <c r="C59" s="127">
        <f>IF('Settings'!$E$15="POINTS",RANK(E59,E3:E152),H59)</f>
        <v>42</v>
      </c>
      <c r="D59" t="s" s="86">
        <f>VLOOKUP(A59,'The List'!B1:F665,5,FALSE)</f>
        <v>907</v>
      </c>
      <c r="E59" s="77">
        <f>VLOOKUP(A59,'The List'!B1:I665,8,FALSE)</f>
        <v>288.638952942063</v>
      </c>
      <c r="F59" s="77">
        <f>IF('Settings'!$E$15="POINTS",E59-VLOOKUP(B$2,C1:E152,3,FALSE),J59)</f>
        <v>-43.081158824149</v>
      </c>
      <c r="G59" s="77"/>
      <c r="H59" s="223">
        <f>RANK(I59,I3:I152)</f>
        <v>69</v>
      </c>
      <c r="I59" s="77">
        <f>VLOOKUP(A59,'Standard Deviations'!A1:C666,3,FALSE)</f>
        <v>0.466865306476788</v>
      </c>
      <c r="J59" s="84">
        <f>I59-VLOOKUP(B$2,H1:J152,2,FALSE)</f>
        <v>-5.72846593097586</v>
      </c>
    </row>
    <row r="60" ht="21.25" customHeight="1">
      <c r="A60" t="s" s="10">
        <v>516</v>
      </c>
      <c r="B60" t="s" s="126">
        <f>VLOOKUP(A60,'The List'!B1:D665,3,FALSE)</f>
        <v>178</v>
      </c>
      <c r="C60" s="127">
        <f>IF('Settings'!$E$15="POINTS",RANK(E60,E3:E152),H60)</f>
        <v>77</v>
      </c>
      <c r="D60" t="s" s="86">
        <f>VLOOKUP(A60,'The List'!B1:F665,5,FALSE)</f>
        <v>129</v>
      </c>
      <c r="E60" s="77">
        <f>VLOOKUP(A60,'The List'!B1:I665,8,FALSE)</f>
        <v>222.087802660626</v>
      </c>
      <c r="F60" s="77">
        <f>IF('Settings'!$E$15="POINTS",E60-VLOOKUP(B$2,C1:E152,3,FALSE),J60)</f>
        <v>-109.632309105586</v>
      </c>
      <c r="G60" s="77"/>
      <c r="H60" s="223">
        <f>RANK(I60,I3:I152)</f>
        <v>56</v>
      </c>
      <c r="I60" s="77">
        <f>VLOOKUP(A60,'Standard Deviations'!A1:C666,3,FALSE)</f>
        <v>1.17291088746866</v>
      </c>
      <c r="J60" s="84">
        <f>I60-VLOOKUP(B$2,H1:J152,2,FALSE)</f>
        <v>-5.02242034998399</v>
      </c>
    </row>
    <row r="61" ht="21.25" customHeight="1">
      <c r="A61" t="s" s="10">
        <v>514</v>
      </c>
      <c r="B61" t="s" s="126">
        <f>VLOOKUP(A61,'The List'!B1:D665,3,FALSE)</f>
        <v>148</v>
      </c>
      <c r="C61" s="127">
        <f>IF('Settings'!$E$15="POINTS",RANK(E61,E3:E152),H61)</f>
        <v>76</v>
      </c>
      <c r="D61" t="s" s="86">
        <f>VLOOKUP(A61,'The List'!B1:F665,5,FALSE)</f>
        <v>174</v>
      </c>
      <c r="E61" s="77">
        <f>VLOOKUP(A61,'The List'!B1:I665,8,FALSE)</f>
        <v>222.330790224466</v>
      </c>
      <c r="F61" s="77">
        <f>IF('Settings'!$E$15="POINTS",E61-VLOOKUP(B$2,C1:E152,3,FALSE),J61)</f>
        <v>-109.389321541746</v>
      </c>
      <c r="G61" s="77"/>
      <c r="H61" s="223">
        <f>RANK(I61,I3:I152)</f>
        <v>49</v>
      </c>
      <c r="I61" s="77">
        <f>VLOOKUP(A61,'Standard Deviations'!A1:C666,3,FALSE)</f>
        <v>2.01861825315289</v>
      </c>
      <c r="J61" s="84">
        <f>I61-VLOOKUP(B$2,H1:J152,2,FALSE)</f>
        <v>-4.17671298429976</v>
      </c>
    </row>
    <row r="62" ht="21.25" customHeight="1">
      <c r="A62" t="s" s="10">
        <v>564</v>
      </c>
      <c r="B62" t="s" s="126">
        <f>VLOOKUP(A62,'The List'!B1:D665,3,FALSE)</f>
        <v>178</v>
      </c>
      <c r="C62" s="127">
        <f>IF('Settings'!$E$15="POINTS",RANK(E62,E3:E152),H62)</f>
        <v>90</v>
      </c>
      <c r="D62" t="s" s="86">
        <f>VLOOKUP(A62,'The List'!B1:F665,5,FALSE)</f>
        <v>871</v>
      </c>
      <c r="E62" s="77">
        <f>VLOOKUP(A62,'The List'!B1:I665,8,FALSE)</f>
        <v>210.498990517587</v>
      </c>
      <c r="F62" s="77">
        <f>IF('Settings'!$E$15="POINTS",E62-VLOOKUP(B$2,C1:E152,3,FALSE),J62)</f>
        <v>-121.221121248625</v>
      </c>
      <c r="G62" s="77"/>
      <c r="H62" s="223">
        <f>RANK(I62,I3:I152)</f>
        <v>59</v>
      </c>
      <c r="I62" s="77">
        <f>VLOOKUP(A62,'Standard Deviations'!A1:C666,3,FALSE)</f>
        <v>1.05813692743145</v>
      </c>
      <c r="J62" s="84">
        <f>I62-VLOOKUP(B$2,H1:J152,2,FALSE)</f>
        <v>-5.1371943100212</v>
      </c>
    </row>
    <row r="63" ht="21.25" customHeight="1">
      <c r="A63" t="s" s="10">
        <v>556</v>
      </c>
      <c r="B63" t="s" s="126">
        <f>VLOOKUP(A63,'The List'!B1:D665,3,FALSE)</f>
        <v>178</v>
      </c>
      <c r="C63" s="127">
        <f>IF('Settings'!$E$15="POINTS",RANK(E63,E3:E152),H63)</f>
        <v>89</v>
      </c>
      <c r="D63" t="s" s="86">
        <f>VLOOKUP(A63,'The List'!B1:F665,5,FALSE)</f>
        <v>908</v>
      </c>
      <c r="E63" s="77">
        <f>VLOOKUP(A63,'The List'!B1:I665,8,FALSE)</f>
        <v>211.936816323838</v>
      </c>
      <c r="F63" s="77">
        <f>IF('Settings'!$E$15="POINTS",E63-VLOOKUP(B$2,C1:E152,3,FALSE),J63)</f>
        <v>-119.783295442374</v>
      </c>
      <c r="G63" s="77"/>
      <c r="H63" s="223">
        <f>RANK(I63,I3:I152)</f>
        <v>53</v>
      </c>
      <c r="I63" s="77">
        <f>VLOOKUP(A63,'Standard Deviations'!A1:C666,3,FALSE)</f>
        <v>1.24881946298249</v>
      </c>
      <c r="J63" s="84">
        <f>I63-VLOOKUP(B$2,H1:J152,2,FALSE)</f>
        <v>-4.94651177447016</v>
      </c>
    </row>
    <row r="64" ht="21.25" customHeight="1">
      <c r="A64" t="s" s="10">
        <v>599</v>
      </c>
      <c r="B64" t="s" s="126">
        <f>VLOOKUP(A64,'The List'!B1:D665,3,FALSE)</f>
        <v>136</v>
      </c>
      <c r="C64" s="127">
        <f>IF('Settings'!$E$15="POINTS",RANK(E64,E3:E152),H64)</f>
        <v>104</v>
      </c>
      <c r="D64" t="s" s="86">
        <f>VLOOKUP(A64,'The List'!B1:F665,5,FALSE)</f>
        <v>906</v>
      </c>
      <c r="E64" s="77">
        <f>VLOOKUP(A64,'The List'!B1:I665,8,FALSE)</f>
        <v>200.811298848854</v>
      </c>
      <c r="F64" s="77">
        <f>IF('Settings'!$E$15="POINTS",E64-VLOOKUP(B$2,C1:E152,3,FALSE),J64)</f>
        <v>-130.908812917358</v>
      </c>
      <c r="G64" s="77"/>
      <c r="H64" s="223">
        <f>RANK(I64,I3:I152)</f>
        <v>54</v>
      </c>
      <c r="I64" s="77">
        <f>VLOOKUP(A64,'Standard Deviations'!A1:C666,3,FALSE)</f>
        <v>1.24645823002078</v>
      </c>
      <c r="J64" s="84">
        <f>I64-VLOOKUP(B$2,H1:J152,2,FALSE)</f>
        <v>-4.94887300743187</v>
      </c>
    </row>
    <row r="65" ht="21.25" customHeight="1">
      <c r="A65" t="s" s="10">
        <v>455</v>
      </c>
      <c r="B65" t="s" s="126">
        <f>VLOOKUP(A65,'The List'!B1:D665,3,FALSE)</f>
        <v>148</v>
      </c>
      <c r="C65" s="127">
        <f>IF('Settings'!$E$15="POINTS",RANK(E65,E3:E152),H65)</f>
        <v>63</v>
      </c>
      <c r="D65" t="s" s="86">
        <f>VLOOKUP(A65,'The List'!B1:F665,5,FALSE)</f>
        <v>156</v>
      </c>
      <c r="E65" s="77">
        <f>VLOOKUP(A65,'The List'!B1:I665,8,FALSE)</f>
        <v>238.017073986969</v>
      </c>
      <c r="F65" s="77">
        <f>IF('Settings'!$E$15="POINTS",E65-VLOOKUP(B$2,C1:E152,3,FALSE),J65)</f>
        <v>-93.703037779243</v>
      </c>
      <c r="G65" s="77"/>
      <c r="H65" s="223">
        <f>RANK(I65,I3:I152)</f>
        <v>63</v>
      </c>
      <c r="I65" s="77">
        <f>VLOOKUP(A65,'Standard Deviations'!A1:C666,3,FALSE)</f>
        <v>0.825261117851697</v>
      </c>
      <c r="J65" s="84">
        <f>I65-VLOOKUP(B$2,H1:J152,2,FALSE)</f>
        <v>-5.37007011960095</v>
      </c>
    </row>
    <row r="66" ht="21.25" customHeight="1">
      <c r="A66" t="s" s="10">
        <v>322</v>
      </c>
      <c r="B66" t="s" s="126">
        <f>VLOOKUP(A66,'The List'!B1:D665,3,FALSE)</f>
        <v>178</v>
      </c>
      <c r="C66" s="127">
        <f>IF('Settings'!$E$15="POINTS",RANK(E66,E3:E152),H66)</f>
        <v>39</v>
      </c>
      <c r="D66" t="s" s="86">
        <f>VLOOKUP(A66,'The List'!B1:F665,5,FALSE)</f>
        <v>132</v>
      </c>
      <c r="E66" s="77">
        <f>VLOOKUP(A66,'The List'!B1:I665,8,FALSE)</f>
        <v>293.672492023727</v>
      </c>
      <c r="F66" s="77">
        <f>IF('Settings'!$E$15="POINTS",E66-VLOOKUP(B$2,C1:E152,3,FALSE),J66)</f>
        <v>-38.047619742485</v>
      </c>
      <c r="G66" s="77"/>
      <c r="H66" s="223">
        <f>RANK(I66,I3:I152)</f>
        <v>50</v>
      </c>
      <c r="I66" s="77">
        <f>VLOOKUP(A66,'Standard Deviations'!A1:C666,3,FALSE)</f>
        <v>1.97862798627425</v>
      </c>
      <c r="J66" s="84">
        <f>I66-VLOOKUP(B$2,H1:J152,2,FALSE)</f>
        <v>-4.2167032511784</v>
      </c>
    </row>
    <row r="67" ht="21.25" customHeight="1">
      <c r="A67" t="s" s="10">
        <v>545</v>
      </c>
      <c r="B67" t="s" s="126">
        <f>VLOOKUP(A67,'The List'!B1:D665,3,FALSE)</f>
        <v>178</v>
      </c>
      <c r="C67" s="127">
        <f>IF('Settings'!$E$15="POINTS",RANK(E67,E3:E152),H67)</f>
        <v>86</v>
      </c>
      <c r="D67" t="s" s="86">
        <f>VLOOKUP(A67,'The List'!B1:F665,5,FALSE)</f>
        <v>165</v>
      </c>
      <c r="E67" s="77">
        <f>VLOOKUP(A67,'The List'!B1:I665,8,FALSE)</f>
        <v>213.097865386736</v>
      </c>
      <c r="F67" s="77">
        <f>IF('Settings'!$E$15="POINTS",E67-VLOOKUP(B$2,C1:E152,3,FALSE),J67)</f>
        <v>-118.622246379476</v>
      </c>
      <c r="G67" s="77"/>
      <c r="H67" s="223">
        <f>RANK(I67,I3:I152)</f>
        <v>61</v>
      </c>
      <c r="I67" s="77">
        <f>VLOOKUP(A67,'Standard Deviations'!A1:C666,3,FALSE)</f>
        <v>0.893679473377361</v>
      </c>
      <c r="J67" s="84">
        <f>I67-VLOOKUP(B$2,H1:J152,2,FALSE)</f>
        <v>-5.30165176407529</v>
      </c>
    </row>
    <row r="68" ht="21.25" customHeight="1">
      <c r="A68" t="s" s="10">
        <v>457</v>
      </c>
      <c r="B68" t="s" s="126">
        <f>VLOOKUP(A68,'The List'!B1:D665,3,FALSE)</f>
        <v>178</v>
      </c>
      <c r="C68" s="127">
        <f>IF('Settings'!$E$15="POINTS",RANK(E68,E3:E152),H68)</f>
        <v>64</v>
      </c>
      <c r="D68" t="s" s="86">
        <f>VLOOKUP(A68,'The List'!B1:F665,5,FALSE)</f>
        <v>902</v>
      </c>
      <c r="E68" s="77">
        <f>VLOOKUP(A68,'The List'!B1:I665,8,FALSE)</f>
        <v>236.865788871942</v>
      </c>
      <c r="F68" s="77">
        <f>IF('Settings'!$E$15="POINTS",E68-VLOOKUP(B$2,C1:E152,3,FALSE),J68)</f>
        <v>-94.854322894270</v>
      </c>
      <c r="G68" s="77"/>
      <c r="H68" s="223">
        <f>RANK(I68,I3:I152)</f>
        <v>51</v>
      </c>
      <c r="I68" s="77">
        <f>VLOOKUP(A68,'Standard Deviations'!A1:C666,3,FALSE)</f>
        <v>1.49688021460944</v>
      </c>
      <c r="J68" s="84">
        <f>I68-VLOOKUP(B$2,H1:J152,2,FALSE)</f>
        <v>-4.69845102284321</v>
      </c>
    </row>
    <row r="69" ht="21.25" customHeight="1">
      <c r="A69" t="s" s="10">
        <v>677</v>
      </c>
      <c r="B69" t="s" s="126">
        <f>VLOOKUP(A69,'The List'!B1:D665,3,FALSE)</f>
        <v>178</v>
      </c>
      <c r="C69" s="127">
        <f>IF('Settings'!$E$15="POINTS",RANK(E69,E3:E152),H69)</f>
        <v>117</v>
      </c>
      <c r="D69" t="s" s="86">
        <f>VLOOKUP(A69,'The List'!B1:F665,5,FALSE)</f>
        <v>903</v>
      </c>
      <c r="E69" s="77">
        <f>VLOOKUP(A69,'The List'!B1:I665,8,FALSE)</f>
        <v>177.624466954397</v>
      </c>
      <c r="F69" s="77">
        <f>IF('Settings'!$E$15="POINTS",E69-VLOOKUP(B$2,C1:E152,3,FALSE),J69)</f>
        <v>-154.095644811815</v>
      </c>
      <c r="G69" s="77"/>
      <c r="H69" s="223">
        <f>RANK(I69,I3:I152)</f>
        <v>85</v>
      </c>
      <c r="I69" s="77">
        <f>VLOOKUP(A69,'Standard Deviations'!A1:C666,3,FALSE)</f>
        <v>-0.558016710194123</v>
      </c>
      <c r="J69" s="84">
        <f>I69-VLOOKUP(B$2,H1:J152,2,FALSE)</f>
        <v>-6.75334794764677</v>
      </c>
    </row>
    <row r="70" ht="21.25" customHeight="1">
      <c r="A70" t="s" s="10">
        <v>502</v>
      </c>
      <c r="B70" t="s" s="126">
        <f>VLOOKUP(A70,'The List'!B1:D665,3,FALSE)</f>
        <v>136</v>
      </c>
      <c r="C70" s="127">
        <f>IF('Settings'!$E$15="POINTS",RANK(E70,E3:E152),H70)</f>
        <v>73</v>
      </c>
      <c r="D70" t="s" s="86">
        <f>VLOOKUP(A70,'The List'!B1:F665,5,FALSE)</f>
        <v>912</v>
      </c>
      <c r="E70" s="77">
        <f>VLOOKUP(A70,'The List'!B1:I665,8,FALSE)</f>
        <v>225.170453987233</v>
      </c>
      <c r="F70" s="77">
        <f>IF('Settings'!$E$15="POINTS",E70-VLOOKUP(B$2,C1:E152,3,FALSE),J70)</f>
        <v>-106.549657778979</v>
      </c>
      <c r="G70" s="77"/>
      <c r="H70" s="223">
        <f>RANK(I70,I3:I152)</f>
        <v>97</v>
      </c>
      <c r="I70" s="77">
        <f>VLOOKUP(A70,'Standard Deviations'!A1:C666,3,FALSE)</f>
        <v>-1.35974619677293</v>
      </c>
      <c r="J70" s="84">
        <f>I70-VLOOKUP(B$2,H1:J152,2,FALSE)</f>
        <v>-7.55507743422558</v>
      </c>
    </row>
    <row r="71" ht="21.25" customHeight="1">
      <c r="A71" t="s" s="10">
        <v>344</v>
      </c>
      <c r="B71" t="s" s="126">
        <f>VLOOKUP(A71,'The List'!B1:D665,3,FALSE)</f>
        <v>148</v>
      </c>
      <c r="C71" s="127">
        <f>IF('Settings'!$E$15="POINTS",RANK(E71,E3:E152),H71)</f>
        <v>45</v>
      </c>
      <c r="D71" t="s" s="86">
        <f>VLOOKUP(A71,'The List'!B1:F665,5,FALSE)</f>
        <v>911</v>
      </c>
      <c r="E71" s="77">
        <f>VLOOKUP(A71,'The List'!B1:I665,8,FALSE)</f>
        <v>280.787203106581</v>
      </c>
      <c r="F71" s="77">
        <f>IF('Settings'!$E$15="POINTS",E71-VLOOKUP(B$2,C1:E152,3,FALSE),J71)</f>
        <v>-50.932908659631</v>
      </c>
      <c r="G71" s="77"/>
      <c r="H71" s="223">
        <f>RANK(I71,I3:I152)</f>
        <v>72</v>
      </c>
      <c r="I71" s="77">
        <f>VLOOKUP(A71,'Standard Deviations'!A1:C666,3,FALSE)</f>
        <v>0.0812756138258017</v>
      </c>
      <c r="J71" s="84">
        <f>I71-VLOOKUP(B$2,H1:J152,2,FALSE)</f>
        <v>-6.11405562362685</v>
      </c>
    </row>
    <row r="72" ht="21.25" customHeight="1">
      <c r="A72" t="s" s="10">
        <v>618</v>
      </c>
      <c r="B72" t="s" s="126">
        <f>VLOOKUP(A72,'The List'!B1:D665,3,FALSE)</f>
        <v>148</v>
      </c>
      <c r="C72" s="127">
        <f>IF('Settings'!$E$15="POINTS",RANK(E72,E3:E152),H72)</f>
        <v>108</v>
      </c>
      <c r="D72" t="s" s="86">
        <f>VLOOKUP(A72,'The List'!B1:F665,5,FALSE)</f>
        <v>908</v>
      </c>
      <c r="E72" s="77">
        <f>VLOOKUP(A72,'The List'!B1:I665,8,FALSE)</f>
        <v>196.202314814113</v>
      </c>
      <c r="F72" s="77">
        <f>IF('Settings'!$E$15="POINTS",E72-VLOOKUP(B$2,C1:E152,3,FALSE),J72)</f>
        <v>-135.517796952099</v>
      </c>
      <c r="G72" s="77"/>
      <c r="H72" s="223">
        <f>RANK(I72,I3:I152)</f>
        <v>93</v>
      </c>
      <c r="I72" s="77">
        <f>VLOOKUP(A72,'Standard Deviations'!A1:C666,3,FALSE)</f>
        <v>-0.876540811286641</v>
      </c>
      <c r="J72" s="84">
        <f>I72-VLOOKUP(B$2,H1:J152,2,FALSE)</f>
        <v>-7.07187204873929</v>
      </c>
    </row>
    <row r="73" ht="21.25" customHeight="1">
      <c r="A73" t="s" s="10">
        <v>471</v>
      </c>
      <c r="B73" t="s" s="126">
        <f>VLOOKUP(A73,'The List'!B1:D665,3,FALSE)</f>
        <v>178</v>
      </c>
      <c r="C73" s="127">
        <f>IF('Settings'!$E$15="POINTS",RANK(E73,E3:E152),H73)</f>
        <v>69</v>
      </c>
      <c r="D73" t="s" s="86">
        <f>VLOOKUP(A73,'The List'!B1:F665,5,FALSE)</f>
        <v>192</v>
      </c>
      <c r="E73" s="77">
        <f>VLOOKUP(A73,'The List'!B1:I665,8,FALSE)</f>
        <v>234.790480017383</v>
      </c>
      <c r="F73" s="77">
        <f>IF('Settings'!$E$15="POINTS",E73-VLOOKUP(B$2,C1:E152,3,FALSE),J73)</f>
        <v>-96.929631748829</v>
      </c>
      <c r="G73" s="77"/>
      <c r="H73" s="223">
        <f>RANK(I73,I3:I152)</f>
        <v>74</v>
      </c>
      <c r="I73" s="77">
        <f>VLOOKUP(A73,'Standard Deviations'!A1:C666,3,FALSE)</f>
        <v>-0.141104778363635</v>
      </c>
      <c r="J73" s="84">
        <f>I73-VLOOKUP(B$2,H1:J152,2,FALSE)</f>
        <v>-6.33643601581629</v>
      </c>
    </row>
    <row r="74" ht="21.25" customHeight="1">
      <c r="A74" t="s" s="10">
        <v>525</v>
      </c>
      <c r="B74" t="s" s="126">
        <f>VLOOKUP(A74,'The List'!B1:D665,3,FALSE)</f>
        <v>148</v>
      </c>
      <c r="C74" s="127">
        <f>IF('Settings'!$E$15="POINTS",RANK(E74,E3:E152),H74)</f>
        <v>80</v>
      </c>
      <c r="D74" t="s" s="86">
        <f>VLOOKUP(A74,'The List'!B1:F665,5,FALSE)</f>
        <v>910</v>
      </c>
      <c r="E74" s="77">
        <f>VLOOKUP(A74,'The List'!B1:I665,8,FALSE)</f>
        <v>220.316196157354</v>
      </c>
      <c r="F74" s="77">
        <f>IF('Settings'!$E$15="POINTS",E74-VLOOKUP(B$2,C1:E152,3,FALSE),J74)</f>
        <v>-111.403915608858</v>
      </c>
      <c r="G74" s="77"/>
      <c r="H74" s="223">
        <f>RANK(I74,I3:I152)</f>
        <v>86</v>
      </c>
      <c r="I74" s="77">
        <f>VLOOKUP(A74,'Standard Deviations'!A1:C666,3,FALSE)</f>
        <v>-0.6327023150445</v>
      </c>
      <c r="J74" s="84">
        <f>I74-VLOOKUP(B$2,H1:J152,2,FALSE)</f>
        <v>-6.82803355249715</v>
      </c>
    </row>
    <row r="75" ht="21.25" customHeight="1">
      <c r="A75" t="s" s="10">
        <v>521</v>
      </c>
      <c r="B75" t="s" s="126">
        <f>VLOOKUP(A75,'The List'!B1:D665,3,FALSE)</f>
        <v>136</v>
      </c>
      <c r="C75" s="127">
        <f>IF('Settings'!$E$15="POINTS",RANK(E75,E3:E152),H75)</f>
        <v>79</v>
      </c>
      <c r="D75" t="s" s="86">
        <f>VLOOKUP(A75,'The List'!B1:F665,5,FALSE)</f>
        <v>174</v>
      </c>
      <c r="E75" s="77">
        <f>VLOOKUP(A75,'The List'!B1:I665,8,FALSE)</f>
        <v>221.567472567814</v>
      </c>
      <c r="F75" s="77">
        <f>IF('Settings'!$E$15="POINTS",E75-VLOOKUP(B$2,C1:E152,3,FALSE),J75)</f>
        <v>-110.152639198398</v>
      </c>
      <c r="G75" s="77"/>
      <c r="H75" s="223">
        <f>RANK(I75,I3:I152)</f>
        <v>80</v>
      </c>
      <c r="I75" s="77">
        <f>VLOOKUP(A75,'Standard Deviations'!A1:C666,3,FALSE)</f>
        <v>-0.312268507884213</v>
      </c>
      <c r="J75" s="84">
        <f>I75-VLOOKUP(B$2,H1:J152,2,FALSE)</f>
        <v>-6.50759974533686</v>
      </c>
    </row>
    <row r="76" ht="21.25" customHeight="1">
      <c r="A76" t="s" s="10">
        <v>528</v>
      </c>
      <c r="B76" t="s" s="126">
        <f>VLOOKUP(A76,'The List'!B1:D665,3,FALSE)</f>
        <v>148</v>
      </c>
      <c r="C76" s="127">
        <f>IF('Settings'!$E$15="POINTS",RANK(E76,E3:E152),H76)</f>
        <v>81</v>
      </c>
      <c r="D76" t="s" s="86">
        <f>VLOOKUP(A76,'The List'!B1:F665,5,FALSE)</f>
        <v>913</v>
      </c>
      <c r="E76" s="77">
        <f>VLOOKUP(A76,'The List'!B1:I665,8,FALSE)</f>
        <v>219.202922653151</v>
      </c>
      <c r="F76" s="77">
        <f>IF('Settings'!$E$15="POINTS",E76-VLOOKUP(B$2,C1:E152,3,FALSE),J76)</f>
        <v>-112.517189113061</v>
      </c>
      <c r="G76" s="77"/>
      <c r="H76" s="223">
        <f>RANK(I76,I3:I152)</f>
        <v>107</v>
      </c>
      <c r="I76" s="77">
        <f>VLOOKUP(A76,'Standard Deviations'!A1:C666,3,FALSE)</f>
        <v>-2.07776362784574</v>
      </c>
      <c r="J76" s="84">
        <f>I76-VLOOKUP(B$2,H1:J152,2,FALSE)</f>
        <v>-8.27309486529839</v>
      </c>
    </row>
    <row r="77" ht="21.25" customHeight="1">
      <c r="A77" t="s" s="10">
        <v>511</v>
      </c>
      <c r="B77" t="s" s="126">
        <f>VLOOKUP(A77,'The List'!B1:D665,3,FALSE)</f>
        <v>178</v>
      </c>
      <c r="C77" s="127">
        <f>IF('Settings'!$E$15="POINTS",RANK(E77,E3:E152),H77)</f>
        <v>75</v>
      </c>
      <c r="D77" t="s" s="86">
        <f>VLOOKUP(A77,'The List'!B1:F665,5,FALSE)</f>
        <v>907</v>
      </c>
      <c r="E77" s="77">
        <f>VLOOKUP(A77,'The List'!B1:I665,8,FALSE)</f>
        <v>222.430096246728</v>
      </c>
      <c r="F77" s="77">
        <f>IF('Settings'!$E$15="POINTS",E77-VLOOKUP(B$2,C1:E152,3,FALSE),J77)</f>
        <v>-109.290015519484</v>
      </c>
      <c r="G77" s="77"/>
      <c r="H77" s="223">
        <f>RANK(I77,I3:I152)</f>
        <v>68</v>
      </c>
      <c r="I77" s="77">
        <f>VLOOKUP(A77,'Standard Deviations'!A1:C666,3,FALSE)</f>
        <v>0.49166961904137</v>
      </c>
      <c r="J77" s="84">
        <f>I77-VLOOKUP(B$2,H1:J152,2,FALSE)</f>
        <v>-5.70366161841128</v>
      </c>
    </row>
    <row r="78" ht="21.25" customHeight="1">
      <c r="A78" t="s" s="10">
        <v>360</v>
      </c>
      <c r="B78" t="s" s="126">
        <f>VLOOKUP(A78,'The List'!B1:D665,3,FALSE)</f>
        <v>136</v>
      </c>
      <c r="C78" s="127">
        <f>IF('Settings'!$E$15="POINTS",RANK(E78,E3:E152),H78)</f>
        <v>48</v>
      </c>
      <c r="D78" t="s" s="86">
        <f>VLOOKUP(A78,'The List'!B1:F665,5,FALSE)</f>
        <v>903</v>
      </c>
      <c r="E78" s="77">
        <f>VLOOKUP(A78,'The List'!B1:I665,8,FALSE)</f>
        <v>276.088639020191</v>
      </c>
      <c r="F78" s="77">
        <f>IF('Settings'!$E$15="POINTS",E78-VLOOKUP(B$2,C1:E152,3,FALSE),J78)</f>
        <v>-55.631472746021</v>
      </c>
      <c r="G78" s="77"/>
      <c r="H78" s="223">
        <f>RANK(I78,I3:I152)</f>
        <v>67</v>
      </c>
      <c r="I78" s="77">
        <f>VLOOKUP(A78,'Standard Deviations'!A1:C666,3,FALSE)</f>
        <v>0.494191793279049</v>
      </c>
      <c r="J78" s="84">
        <f>I78-VLOOKUP(B$2,H1:J152,2,FALSE)</f>
        <v>-5.7011394441736</v>
      </c>
    </row>
    <row r="79" ht="21.25" customHeight="1">
      <c r="A79" t="s" s="10">
        <v>553</v>
      </c>
      <c r="B79" t="s" s="126">
        <f>VLOOKUP(A79,'The List'!B1:D665,3,FALSE)</f>
        <v>554</v>
      </c>
      <c r="C79" s="127">
        <f>IF('Settings'!$E$15="POINTS",RANK(E79,E3:E152),H79)</f>
        <v>88</v>
      </c>
      <c r="D79" t="s" s="86">
        <f>VLOOKUP(A79,'The List'!B1:F665,5,FALSE)</f>
        <v>156</v>
      </c>
      <c r="E79" s="77">
        <f>VLOOKUP(A79,'The List'!B1:I665,8,FALSE)</f>
        <v>212.040273084470</v>
      </c>
      <c r="F79" s="77">
        <f>IF('Settings'!$E$15="POINTS",E79-VLOOKUP(B$2,C1:E152,3,FALSE),J79)</f>
        <v>-119.679838681742</v>
      </c>
      <c r="G79" s="77"/>
      <c r="H79" s="223">
        <f>RANK(I79,I3:I152)</f>
        <v>89</v>
      </c>
      <c r="I79" s="77">
        <f>VLOOKUP(A79,'Standard Deviations'!A1:C666,3,FALSE)</f>
        <v>-0.712640770411608</v>
      </c>
      <c r="J79" s="84">
        <f>I79-VLOOKUP(B$2,H1:J152,2,FALSE)</f>
        <v>-6.90797200786426</v>
      </c>
    </row>
    <row r="80" ht="21.25" customHeight="1">
      <c r="A80" t="s" s="10">
        <v>377</v>
      </c>
      <c r="B80" t="s" s="126">
        <f>VLOOKUP(A80,'The List'!B1:D665,3,FALSE)</f>
        <v>148</v>
      </c>
      <c r="C80" s="127">
        <f>IF('Settings'!$E$15="POINTS",RANK(E80,E3:E152),H80)</f>
        <v>51</v>
      </c>
      <c r="D80" t="s" s="86">
        <f>VLOOKUP(A80,'The List'!B1:F665,5,FALSE)</f>
        <v>908</v>
      </c>
      <c r="E80" s="77">
        <f>VLOOKUP(A80,'The List'!B1:I665,8,FALSE)</f>
        <v>269.271871379416</v>
      </c>
      <c r="F80" s="77">
        <f>IF('Settings'!$E$15="POINTS",E80-VLOOKUP(B$2,C1:E152,3,FALSE),J80)</f>
        <v>-62.448240386796</v>
      </c>
      <c r="G80" s="77"/>
      <c r="H80" s="223">
        <f>RANK(I80,I3:I152)</f>
        <v>75</v>
      </c>
      <c r="I80" s="77">
        <f>VLOOKUP(A80,'Standard Deviations'!A1:C666,3,FALSE)</f>
        <v>-0.168805738106172</v>
      </c>
      <c r="J80" s="84">
        <f>I80-VLOOKUP(B$2,H1:J152,2,FALSE)</f>
        <v>-6.36413697555882</v>
      </c>
    </row>
    <row r="81" ht="21.25" customHeight="1">
      <c r="A81" t="s" s="10">
        <v>596</v>
      </c>
      <c r="B81" t="s" s="126">
        <f>VLOOKUP(A81,'The List'!B1:D665,3,FALSE)</f>
        <v>178</v>
      </c>
      <c r="C81" s="127">
        <f>IF('Settings'!$E$15="POINTS",RANK(E81,E3:E152),H81)</f>
        <v>103</v>
      </c>
      <c r="D81" t="s" s="86">
        <f>VLOOKUP(A81,'The List'!B1:F665,5,FALSE)</f>
        <v>912</v>
      </c>
      <c r="E81" s="77">
        <f>VLOOKUP(A81,'The List'!B1:I665,8,FALSE)</f>
        <v>201.673374562980</v>
      </c>
      <c r="F81" s="77">
        <f>IF('Settings'!$E$15="POINTS",E81-VLOOKUP(B$2,C1:E152,3,FALSE),J81)</f>
        <v>-130.046737203232</v>
      </c>
      <c r="G81" s="77"/>
      <c r="H81" s="223">
        <f>RANK(I81,I3:I152)</f>
        <v>109</v>
      </c>
      <c r="I81" s="77">
        <f>VLOOKUP(A81,'Standard Deviations'!A1:C666,3,FALSE)</f>
        <v>-2.22741777215797</v>
      </c>
      <c r="J81" s="84">
        <f>I81-VLOOKUP(B$2,H1:J152,2,FALSE)</f>
        <v>-8.422749009610619</v>
      </c>
    </row>
    <row r="82" ht="21.25" customHeight="1">
      <c r="A82" t="s" s="10">
        <v>575</v>
      </c>
      <c r="B82" t="s" s="126">
        <f>VLOOKUP(A82,'The List'!B1:D665,3,FALSE)</f>
        <v>136</v>
      </c>
      <c r="C82" s="127">
        <f>IF('Settings'!$E$15="POINTS",RANK(E82,E3:E152),H82)</f>
        <v>95</v>
      </c>
      <c r="D82" t="s" s="86">
        <f>VLOOKUP(A82,'The List'!B1:F665,5,FALSE)</f>
        <v>149</v>
      </c>
      <c r="E82" s="77">
        <f>VLOOKUP(A82,'The List'!B1:I665,8,FALSE)</f>
        <v>206.982312925074</v>
      </c>
      <c r="F82" s="77">
        <f>IF('Settings'!$E$15="POINTS",E82-VLOOKUP(B$2,C1:E152,3,FALSE),J82)</f>
        <v>-124.737798841138</v>
      </c>
      <c r="G82" s="77"/>
      <c r="H82" s="223">
        <f>RANK(I82,I3:I152)</f>
        <v>52</v>
      </c>
      <c r="I82" s="77">
        <f>VLOOKUP(A82,'Standard Deviations'!A1:C666,3,FALSE)</f>
        <v>1.28037295444817</v>
      </c>
      <c r="J82" s="84">
        <f>I82-VLOOKUP(B$2,H1:J152,2,FALSE)</f>
        <v>-4.91495828300448</v>
      </c>
    </row>
    <row r="83" ht="21.25" customHeight="1">
      <c r="A83" t="s" s="10">
        <v>519</v>
      </c>
      <c r="B83" t="s" s="126">
        <f>VLOOKUP(A83,'The List'!B1:D665,3,FALSE)</f>
        <v>148</v>
      </c>
      <c r="C83" s="127">
        <f>IF('Settings'!$E$15="POINTS",RANK(E83,E3:E152),H83)</f>
        <v>78</v>
      </c>
      <c r="D83" t="s" s="86">
        <f>VLOOKUP(A83,'The List'!B1:F665,5,FALSE)</f>
        <v>904</v>
      </c>
      <c r="E83" s="77">
        <f>VLOOKUP(A83,'The List'!B1:I665,8,FALSE)</f>
        <v>221.997427776980</v>
      </c>
      <c r="F83" s="77">
        <f>IF('Settings'!$E$15="POINTS",E83-VLOOKUP(B$2,C1:E152,3,FALSE),J83)</f>
        <v>-109.722683989232</v>
      </c>
      <c r="G83" s="77"/>
      <c r="H83" s="223">
        <f>RANK(I83,I3:I152)</f>
        <v>76</v>
      </c>
      <c r="I83" s="77">
        <f>VLOOKUP(A83,'Standard Deviations'!A1:C666,3,FALSE)</f>
        <v>-0.175953352216938</v>
      </c>
      <c r="J83" s="84">
        <f>I83-VLOOKUP(B$2,H1:J152,2,FALSE)</f>
        <v>-6.37128458966959</v>
      </c>
    </row>
    <row r="84" ht="21.25" customHeight="1">
      <c r="A84" t="s" s="10">
        <v>493</v>
      </c>
      <c r="B84" t="s" s="126">
        <f>VLOOKUP(A84,'The List'!B1:D665,3,FALSE)</f>
        <v>136</v>
      </c>
      <c r="C84" s="127">
        <f>IF('Settings'!$E$15="POINTS",RANK(E84,E3:E152),H84)</f>
        <v>72</v>
      </c>
      <c r="D84" t="s" s="86">
        <f>VLOOKUP(A84,'The List'!B1:F665,5,FALSE)</f>
        <v>129</v>
      </c>
      <c r="E84" s="77">
        <f>VLOOKUP(A84,'The List'!B1:I665,8,FALSE)</f>
        <v>228.035444042432</v>
      </c>
      <c r="F84" s="77">
        <f>IF('Settings'!$E$15="POINTS",E84-VLOOKUP(B$2,C1:E152,3,FALSE),J84)</f>
        <v>-103.684667723780</v>
      </c>
      <c r="G84" s="77"/>
      <c r="H84" s="223">
        <f>RANK(I84,I3:I152)</f>
        <v>79</v>
      </c>
      <c r="I84" s="77">
        <f>VLOOKUP(A84,'Standard Deviations'!A1:C666,3,FALSE)</f>
        <v>-0.274171546405</v>
      </c>
      <c r="J84" s="84">
        <f>I84-VLOOKUP(B$2,H1:J152,2,FALSE)</f>
        <v>-6.46950278385765</v>
      </c>
    </row>
    <row r="85" ht="21.25" customHeight="1">
      <c r="A85" t="s" s="10">
        <v>483</v>
      </c>
      <c r="B85" t="s" s="126">
        <f>VLOOKUP(A85,'The List'!B1:D665,3,FALSE)</f>
        <v>178</v>
      </c>
      <c r="C85" s="127">
        <f>IF('Settings'!$E$15="POINTS",RANK(E85,E3:E152),H85)</f>
        <v>71</v>
      </c>
      <c r="D85" t="s" s="86">
        <f>VLOOKUP(A85,'The List'!B1:F665,5,FALSE)</f>
        <v>132</v>
      </c>
      <c r="E85" s="77">
        <f>VLOOKUP(A85,'The List'!B1:I665,8,FALSE)</f>
        <v>231.185775424340</v>
      </c>
      <c r="F85" s="77">
        <f>IF('Settings'!$E$15="POINTS",E85-VLOOKUP(B$2,C1:E152,3,FALSE),J85)</f>
        <v>-100.534336341872</v>
      </c>
      <c r="G85" s="77"/>
      <c r="H85" s="223">
        <f>RANK(I85,I3:I152)</f>
        <v>78</v>
      </c>
      <c r="I85" s="77">
        <f>VLOOKUP(A85,'Standard Deviations'!A1:C666,3,FALSE)</f>
        <v>-0.264149396526303</v>
      </c>
      <c r="J85" s="84">
        <f>I85-VLOOKUP(B$2,H1:J152,2,FALSE)</f>
        <v>-6.45948063397895</v>
      </c>
    </row>
    <row r="86" ht="21.25" customHeight="1">
      <c r="A86" t="s" s="10">
        <v>626</v>
      </c>
      <c r="B86" t="s" s="126">
        <f>VLOOKUP(A86,'The List'!B1:D665,3,FALSE)</f>
        <v>178</v>
      </c>
      <c r="C86" s="127">
        <f>IF('Settings'!$E$15="POINTS",RANK(E86,E3:E152),H86)</f>
        <v>109</v>
      </c>
      <c r="D86" t="s" s="86">
        <f>VLOOKUP(A86,'The List'!B1:F665,5,FALSE)</f>
        <v>259</v>
      </c>
      <c r="E86" s="77">
        <f>VLOOKUP(A86,'The List'!B1:I665,8,FALSE)</f>
        <v>194.322700309115</v>
      </c>
      <c r="F86" s="77">
        <f>IF('Settings'!$E$15="POINTS",E86-VLOOKUP(B$2,C1:E152,3,FALSE),J86)</f>
        <v>-137.397411457097</v>
      </c>
      <c r="G86" s="77"/>
      <c r="H86" s="223">
        <f>RANK(I86,I3:I152)</f>
        <v>98</v>
      </c>
      <c r="I86" s="77">
        <f>VLOOKUP(A86,'Standard Deviations'!A1:C666,3,FALSE)</f>
        <v>-1.4795595547711</v>
      </c>
      <c r="J86" s="84">
        <f>I86-VLOOKUP(B$2,H1:J152,2,FALSE)</f>
        <v>-7.67489079222375</v>
      </c>
    </row>
    <row r="87" ht="21.25" customHeight="1">
      <c r="A87" t="s" s="10">
        <v>628</v>
      </c>
      <c r="B87" t="s" s="126">
        <f>VLOOKUP(A87,'The List'!B1:D665,3,FALSE)</f>
        <v>178</v>
      </c>
      <c r="C87" s="127">
        <f>IF('Settings'!$E$15="POINTS",RANK(E87,E3:E152),H87)</f>
        <v>110</v>
      </c>
      <c r="D87" t="s" s="86">
        <f>VLOOKUP(A87,'The List'!B1:F665,5,FALSE)</f>
        <v>154</v>
      </c>
      <c r="E87" s="77">
        <f>VLOOKUP(A87,'The List'!B1:I665,8,FALSE)</f>
        <v>194.053287014015</v>
      </c>
      <c r="F87" s="77">
        <f>IF('Settings'!$E$15="POINTS",E87-VLOOKUP(B$2,C1:E152,3,FALSE),J87)</f>
        <v>-137.666824752197</v>
      </c>
      <c r="G87" s="77"/>
      <c r="H87" s="223">
        <f>RANK(I87,I3:I152)</f>
        <v>94</v>
      </c>
      <c r="I87" s="77">
        <f>VLOOKUP(A87,'Standard Deviations'!A1:C666,3,FALSE)</f>
        <v>-0.926077053781044</v>
      </c>
      <c r="J87" s="84">
        <f>I87-VLOOKUP(B$2,H1:J152,2,FALSE)</f>
        <v>-7.12140829123369</v>
      </c>
    </row>
    <row r="88" ht="21.25" customHeight="1">
      <c r="A88" t="s" s="10">
        <v>590</v>
      </c>
      <c r="B88" t="s" s="126">
        <f>VLOOKUP(A88,'The List'!B1:D665,3,FALSE)</f>
        <v>178</v>
      </c>
      <c r="C88" s="127">
        <f>IF('Settings'!$E$15="POINTS",RANK(E88,E3:E152),H88)</f>
        <v>101</v>
      </c>
      <c r="D88" t="s" s="86">
        <f>VLOOKUP(A88,'The List'!B1:F665,5,FALSE)</f>
        <v>901</v>
      </c>
      <c r="E88" s="77">
        <f>VLOOKUP(A88,'The List'!B1:I665,8,FALSE)</f>
        <v>203.716579047016</v>
      </c>
      <c r="F88" s="77">
        <f>IF('Settings'!$E$15="POINTS",E88-VLOOKUP(B$2,C1:E152,3,FALSE),J88)</f>
        <v>-128.003532719196</v>
      </c>
      <c r="G88" s="77"/>
      <c r="H88" s="223">
        <f>RANK(I88,I3:I152)</f>
        <v>73</v>
      </c>
      <c r="I88" s="77">
        <f>VLOOKUP(A88,'Standard Deviations'!A1:C666,3,FALSE)</f>
        <v>0.0451562839712444</v>
      </c>
      <c r="J88" s="84">
        <f>I88-VLOOKUP(B$2,H1:J152,2,FALSE)</f>
        <v>-6.15017495348141</v>
      </c>
    </row>
    <row r="89" ht="21.25" customHeight="1">
      <c r="A89" t="s" s="10">
        <v>461</v>
      </c>
      <c r="B89" t="s" s="126">
        <f>VLOOKUP(A89,'The List'!B1:D665,3,FALSE)</f>
        <v>148</v>
      </c>
      <c r="C89" s="127">
        <f>IF('Settings'!$E$15="POINTS",RANK(E89,E3:E152),H89)</f>
        <v>65</v>
      </c>
      <c r="D89" t="s" s="86">
        <f>VLOOKUP(A89,'The List'!B1:F665,5,FALSE)</f>
        <v>906</v>
      </c>
      <c r="E89" s="77">
        <f>VLOOKUP(A89,'The List'!B1:I665,8,FALSE)</f>
        <v>236.373778403871</v>
      </c>
      <c r="F89" s="77">
        <f>IF('Settings'!$E$15="POINTS",E89-VLOOKUP(B$2,C1:E152,3,FALSE),J89)</f>
        <v>-95.346333362341</v>
      </c>
      <c r="G89" s="77"/>
      <c r="H89" s="223">
        <f>RANK(I89,I3:I152)</f>
        <v>64</v>
      </c>
      <c r="I89" s="77">
        <f>VLOOKUP(A89,'Standard Deviations'!A1:C666,3,FALSE)</f>
        <v>0.692142260954932</v>
      </c>
      <c r="J89" s="84">
        <f>I89-VLOOKUP(B$2,H1:J152,2,FALSE)</f>
        <v>-5.50318897649772</v>
      </c>
    </row>
    <row r="90" ht="21.25" customHeight="1">
      <c r="A90" t="s" s="10">
        <v>552</v>
      </c>
      <c r="B90" t="s" s="126">
        <f>VLOOKUP(A90,'The List'!B1:D665,3,FALSE)</f>
        <v>178</v>
      </c>
      <c r="C90" s="127">
        <f>IF('Settings'!$E$15="POINTS",RANK(E90,E3:E152),H90)</f>
        <v>87</v>
      </c>
      <c r="D90" t="s" s="86">
        <f>VLOOKUP(A90,'The List'!B1:F665,5,FALSE)</f>
        <v>914</v>
      </c>
      <c r="E90" s="77">
        <f>VLOOKUP(A90,'The List'!B1:I665,8,FALSE)</f>
        <v>212.190210641320</v>
      </c>
      <c r="F90" s="77">
        <f>IF('Settings'!$E$15="POINTS",E90-VLOOKUP(B$2,C1:E152,3,FALSE),J90)</f>
        <v>-119.529901124892</v>
      </c>
      <c r="G90" s="77"/>
      <c r="H90" s="223">
        <f>RANK(I90,I3:I152)</f>
        <v>101</v>
      </c>
      <c r="I90" s="77">
        <f>VLOOKUP(A90,'Standard Deviations'!A1:C666,3,FALSE)</f>
        <v>-1.7579425439188</v>
      </c>
      <c r="J90" s="84">
        <f>I90-VLOOKUP(B$2,H1:J152,2,FALSE)</f>
        <v>-7.95327378137145</v>
      </c>
    </row>
    <row r="91" ht="21.25" customHeight="1">
      <c r="A91" t="s" s="10">
        <v>663</v>
      </c>
      <c r="B91" t="s" s="126">
        <f>VLOOKUP(A91,'The List'!B1:D665,3,FALSE)</f>
        <v>178</v>
      </c>
      <c r="C91" s="127">
        <f>IF('Settings'!$E$15="POINTS",RANK(E91,E3:E152),H91)</f>
        <v>115</v>
      </c>
      <c r="D91" t="s" s="86">
        <f>VLOOKUP(A91,'The List'!B1:F665,5,FALSE)</f>
        <v>132</v>
      </c>
      <c r="E91" s="77">
        <f>VLOOKUP(A91,'The List'!B1:I665,8,FALSE)</f>
        <v>182.509036065290</v>
      </c>
      <c r="F91" s="77">
        <f>IF('Settings'!$E$15="POINTS",E91-VLOOKUP(B$2,C1:E152,3,FALSE),J91)</f>
        <v>-149.211075700922</v>
      </c>
      <c r="G91" s="77"/>
      <c r="H91" s="223">
        <f>RANK(I91,I3:I152)</f>
        <v>81</v>
      </c>
      <c r="I91" s="77">
        <f>VLOOKUP(A91,'Standard Deviations'!A1:C666,3,FALSE)</f>
        <v>-0.350701886855693</v>
      </c>
      <c r="J91" s="84">
        <f>I91-VLOOKUP(B$2,H1:J152,2,FALSE)</f>
        <v>-6.54603312430834</v>
      </c>
    </row>
    <row r="92" ht="21.25" customHeight="1">
      <c r="A92" t="s" s="10">
        <v>660</v>
      </c>
      <c r="B92" t="s" s="126">
        <f>VLOOKUP(A92,'The List'!B1:D665,3,FALSE)</f>
        <v>178</v>
      </c>
      <c r="C92" s="127">
        <f>IF('Settings'!$E$15="POINTS",RANK(E92,E3:E152),H92)</f>
        <v>114</v>
      </c>
      <c r="D92" t="s" s="86">
        <f>VLOOKUP(A92,'The List'!B1:F665,5,FALSE)</f>
        <v>907</v>
      </c>
      <c r="E92" s="77">
        <f>VLOOKUP(A92,'The List'!B1:I665,8,FALSE)</f>
        <v>183.094240997048</v>
      </c>
      <c r="F92" s="77">
        <f>IF('Settings'!$E$15="POINTS",E92-VLOOKUP(B$2,C1:E152,3,FALSE),J92)</f>
        <v>-148.625870769164</v>
      </c>
      <c r="G92" s="77"/>
      <c r="H92" s="223">
        <f>RANK(I92,I3:I152)</f>
        <v>100</v>
      </c>
      <c r="I92" s="77">
        <f>VLOOKUP(A92,'Standard Deviations'!A1:C666,3,FALSE)</f>
        <v>-1.65041997386226</v>
      </c>
      <c r="J92" s="84">
        <f>I92-VLOOKUP(B$2,H1:J152,2,FALSE)</f>
        <v>-7.84575121131491</v>
      </c>
    </row>
    <row r="93" ht="21.25" customHeight="1">
      <c r="A93" t="s" s="10">
        <v>741</v>
      </c>
      <c r="B93" t="s" s="126">
        <f>VLOOKUP(A93,'The List'!B1:D665,3,FALSE)</f>
        <v>178</v>
      </c>
      <c r="C93" s="127">
        <f>IF('Settings'!$E$15="POINTS",RANK(E93,E3:E152),H93)</f>
        <v>124</v>
      </c>
      <c r="D93" t="s" s="86">
        <f>VLOOKUP(A93,'The List'!B1:F665,5,FALSE)</f>
        <v>911</v>
      </c>
      <c r="E93" s="77">
        <f>VLOOKUP(A93,'The List'!B1:I665,8,FALSE)</f>
        <v>159.358744932452</v>
      </c>
      <c r="F93" s="77">
        <f>IF('Settings'!$E$15="POINTS",E93-VLOOKUP(B$2,C1:E152,3,FALSE),J93)</f>
        <v>-172.361366833760</v>
      </c>
      <c r="G93" s="77"/>
      <c r="H93" s="223">
        <f>RANK(I93,I3:I152)</f>
        <v>99</v>
      </c>
      <c r="I93" s="77">
        <f>VLOOKUP(A93,'Standard Deviations'!A1:C666,3,FALSE)</f>
        <v>-1.60878012642959</v>
      </c>
      <c r="J93" s="84">
        <f>I93-VLOOKUP(B$2,H1:J152,2,FALSE)</f>
        <v>-7.80411136388224</v>
      </c>
    </row>
    <row r="94" ht="21.25" customHeight="1">
      <c r="A94" t="s" s="10">
        <v>452</v>
      </c>
      <c r="B94" t="s" s="126">
        <f>VLOOKUP(A94,'The List'!B1:D665,3,FALSE)</f>
        <v>178</v>
      </c>
      <c r="C94" s="127">
        <f>IF('Settings'!$E$15="POINTS",RANK(E94,E3:E152),H94)</f>
        <v>62</v>
      </c>
      <c r="D94" t="s" s="86">
        <f>VLOOKUP(A94,'The List'!B1:F665,5,FALSE)</f>
        <v>129</v>
      </c>
      <c r="E94" s="77">
        <f>VLOOKUP(A94,'The List'!B1:I665,8,FALSE)</f>
        <v>239.773159021325</v>
      </c>
      <c r="F94" s="77">
        <f>IF('Settings'!$E$15="POINTS",E94-VLOOKUP(B$2,C1:E152,3,FALSE),J94)</f>
        <v>-91.946952744887</v>
      </c>
      <c r="G94" s="77"/>
      <c r="H94" s="223">
        <f>RANK(I94,I3:I152)</f>
        <v>83</v>
      </c>
      <c r="I94" s="77">
        <f>VLOOKUP(A94,'Standard Deviations'!A1:C666,3,FALSE)</f>
        <v>-0.450586998800004</v>
      </c>
      <c r="J94" s="84">
        <f>I94-VLOOKUP(B$2,H1:J152,2,FALSE)</f>
        <v>-6.64591823625265</v>
      </c>
    </row>
    <row r="95" ht="21.25" customHeight="1">
      <c r="A95" t="s" s="10">
        <v>442</v>
      </c>
      <c r="B95" t="s" s="126">
        <f>VLOOKUP(A95,'The List'!B1:D665,3,FALSE)</f>
        <v>178</v>
      </c>
      <c r="C95" s="127">
        <f>IF('Settings'!$E$15="POINTS",RANK(E95,E3:E152),H95)</f>
        <v>60</v>
      </c>
      <c r="D95" t="s" s="86">
        <f>VLOOKUP(A95,'The List'!B1:F665,5,FALSE)</f>
        <v>207</v>
      </c>
      <c r="E95" s="77">
        <f>VLOOKUP(A95,'The List'!B1:I665,8,FALSE)</f>
        <v>243.329892672432</v>
      </c>
      <c r="F95" s="77">
        <f>IF('Settings'!$E$15="POINTS",E95-VLOOKUP(B$2,C1:E152,3,FALSE),J95)</f>
        <v>-88.390219093780</v>
      </c>
      <c r="G95" s="77"/>
      <c r="H95" s="223">
        <f>RANK(I95,I3:I152)</f>
        <v>65</v>
      </c>
      <c r="I95" s="77">
        <f>VLOOKUP(A95,'Standard Deviations'!A1:C666,3,FALSE)</f>
        <v>0.6429549310086889</v>
      </c>
      <c r="J95" s="84">
        <f>I95-VLOOKUP(B$2,H1:J152,2,FALSE)</f>
        <v>-5.55237630644396</v>
      </c>
    </row>
    <row r="96" ht="21.25" customHeight="1">
      <c r="A96" t="s" s="10">
        <v>576</v>
      </c>
      <c r="B96" t="s" s="126">
        <f>VLOOKUP(A96,'The List'!B1:D665,3,FALSE)</f>
        <v>178</v>
      </c>
      <c r="C96" s="127">
        <f>IF('Settings'!$E$15="POINTS",RANK(E96,E3:E152),H96)</f>
        <v>96</v>
      </c>
      <c r="D96" t="s" s="86">
        <f>VLOOKUP(A96,'The List'!B1:F665,5,FALSE)</f>
        <v>900</v>
      </c>
      <c r="E96" s="77">
        <f>VLOOKUP(A96,'The List'!B1:I665,8,FALSE)</f>
        <v>206.763402619128</v>
      </c>
      <c r="F96" s="77">
        <f>IF('Settings'!$E$15="POINTS",E96-VLOOKUP(B$2,C1:E152,3,FALSE),J96)</f>
        <v>-124.956709147084</v>
      </c>
      <c r="G96" s="77"/>
      <c r="H96" s="223">
        <f>RANK(I96,I3:I152)</f>
        <v>77</v>
      </c>
      <c r="I96" s="77">
        <f>VLOOKUP(A96,'Standard Deviations'!A1:C666,3,FALSE)</f>
        <v>-0.241181232174002</v>
      </c>
      <c r="J96" s="84">
        <f>I96-VLOOKUP(B$2,H1:J152,2,FALSE)</f>
        <v>-6.43651246962665</v>
      </c>
    </row>
    <row r="97" ht="21.25" customHeight="1">
      <c r="A97" t="s" s="10">
        <v>570</v>
      </c>
      <c r="B97" t="s" s="126">
        <f>VLOOKUP(A97,'The List'!B1:D665,3,FALSE)</f>
        <v>178</v>
      </c>
      <c r="C97" s="127">
        <f>IF('Settings'!$E$15="POINTS",RANK(E97,E3:E152),H97)</f>
        <v>93</v>
      </c>
      <c r="D97" t="s" s="86">
        <f>VLOOKUP(A97,'The List'!B1:F665,5,FALSE)</f>
        <v>154</v>
      </c>
      <c r="E97" s="77">
        <f>VLOOKUP(A97,'The List'!B1:I665,8,FALSE)</f>
        <v>207.974219358415</v>
      </c>
      <c r="F97" s="77">
        <f>IF('Settings'!$E$15="POINTS",E97-VLOOKUP(B$2,C1:E152,3,FALSE),J97)</f>
        <v>-123.745892407797</v>
      </c>
      <c r="G97" s="77"/>
      <c r="H97" s="223">
        <f>RANK(I97,I3:I152)</f>
        <v>96</v>
      </c>
      <c r="I97" s="77">
        <f>VLOOKUP(A97,'Standard Deviations'!A1:C666,3,FALSE)</f>
        <v>-1.07934419233166</v>
      </c>
      <c r="J97" s="84">
        <f>I97-VLOOKUP(B$2,H1:J152,2,FALSE)</f>
        <v>-7.27467542978431</v>
      </c>
    </row>
    <row r="98" ht="21.25" customHeight="1">
      <c r="A98" t="s" s="10">
        <v>538</v>
      </c>
      <c r="B98" t="s" s="126">
        <f>VLOOKUP(A98,'The List'!B1:D665,3,FALSE)</f>
        <v>178</v>
      </c>
      <c r="C98" s="127">
        <f>IF('Settings'!$E$15="POINTS",RANK(E98,E3:E152),H98)</f>
        <v>84</v>
      </c>
      <c r="D98" t="s" s="86">
        <f>VLOOKUP(A98,'The List'!B1:F665,5,FALSE)</f>
        <v>901</v>
      </c>
      <c r="E98" s="77">
        <f>VLOOKUP(A98,'The List'!B1:I665,8,FALSE)</f>
        <v>215.477692887401</v>
      </c>
      <c r="F98" s="77">
        <f>IF('Settings'!$E$15="POINTS",E98-VLOOKUP(B$2,C1:E152,3,FALSE),J98)</f>
        <v>-116.242418878811</v>
      </c>
      <c r="G98" s="77"/>
      <c r="H98" s="223">
        <f>RANK(I98,I3:I152)</f>
        <v>88</v>
      </c>
      <c r="I98" s="77">
        <f>VLOOKUP(A98,'Standard Deviations'!A1:C666,3,FALSE)</f>
        <v>-0.709240997538689</v>
      </c>
      <c r="J98" s="84">
        <f>I98-VLOOKUP(B$2,H1:J152,2,FALSE)</f>
        <v>-6.90457223499134</v>
      </c>
    </row>
    <row r="99" ht="21.25" customHeight="1">
      <c r="A99" t="s" s="10">
        <v>572</v>
      </c>
      <c r="B99" t="s" s="126">
        <f>VLOOKUP(A99,'The List'!B1:D665,3,FALSE)</f>
        <v>148</v>
      </c>
      <c r="C99" s="127">
        <f>IF('Settings'!$E$15="POINTS",RANK(E99,E3:E152),H99)</f>
        <v>94</v>
      </c>
      <c r="D99" t="s" s="86">
        <f>VLOOKUP(A99,'The List'!B1:F665,5,FALSE)</f>
        <v>267</v>
      </c>
      <c r="E99" s="77">
        <f>VLOOKUP(A99,'The List'!B1:I665,8,FALSE)</f>
        <v>207.643482632290</v>
      </c>
      <c r="F99" s="77">
        <f>IF('Settings'!$E$15="POINTS",E99-VLOOKUP(B$2,C1:E152,3,FALSE),J99)</f>
        <v>-124.076629133922</v>
      </c>
      <c r="G99" s="77"/>
      <c r="H99" s="223">
        <f>RANK(I99,I3:I152)</f>
        <v>70</v>
      </c>
      <c r="I99" s="77">
        <f>VLOOKUP(A99,'Standard Deviations'!A1:C666,3,FALSE)</f>
        <v>0.353090057563605</v>
      </c>
      <c r="J99" s="84">
        <f>I99-VLOOKUP(B$2,H1:J152,2,FALSE)</f>
        <v>-5.84224117988905</v>
      </c>
    </row>
    <row r="100" ht="21.25" customHeight="1">
      <c r="A100" t="s" s="10">
        <v>592</v>
      </c>
      <c r="B100" t="s" s="126">
        <f>VLOOKUP(A100,'The List'!B1:D665,3,FALSE)</f>
        <v>148</v>
      </c>
      <c r="C100" s="127">
        <f>IF('Settings'!$E$15="POINTS",RANK(E100,E3:E152),H100)</f>
        <v>102</v>
      </c>
      <c r="D100" t="s" s="86">
        <f>VLOOKUP(A100,'The List'!B1:F665,5,FALSE)</f>
        <v>900</v>
      </c>
      <c r="E100" s="77">
        <f>VLOOKUP(A100,'The List'!B1:I665,8,FALSE)</f>
        <v>202.974280827381</v>
      </c>
      <c r="F100" s="77">
        <f>IF('Settings'!$E$15="POINTS",E100-VLOOKUP(B$2,C1:E152,3,FALSE),J100)</f>
        <v>-128.745830938831</v>
      </c>
      <c r="G100" s="77"/>
      <c r="H100" s="223">
        <f>RANK(I100,I3:I152)</f>
        <v>71</v>
      </c>
      <c r="I100" s="77">
        <f>VLOOKUP(A100,'Standard Deviations'!A1:C666,3,FALSE)</f>
        <v>0.141532455133007</v>
      </c>
      <c r="J100" s="84">
        <f>I100-VLOOKUP(B$2,H1:J152,2,FALSE)</f>
        <v>-6.05379878231964</v>
      </c>
    </row>
    <row r="101" ht="21.25" customHeight="1">
      <c r="A101" t="s" s="10">
        <v>532</v>
      </c>
      <c r="B101" t="s" s="126">
        <f>VLOOKUP(A101,'The List'!B1:D665,3,FALSE)</f>
        <v>136</v>
      </c>
      <c r="C101" s="127">
        <f>IF('Settings'!$E$15="POINTS",RANK(E101,E3:E152),H101)</f>
        <v>83</v>
      </c>
      <c r="D101" t="s" s="86">
        <f>VLOOKUP(A101,'The List'!B1:F665,5,FALSE)</f>
        <v>866</v>
      </c>
      <c r="E101" s="77">
        <f>VLOOKUP(A101,'The List'!B1:I665,8,FALSE)</f>
        <v>217.843309598424</v>
      </c>
      <c r="F101" s="77">
        <f>IF('Settings'!$E$15="POINTS",E101-VLOOKUP(B$2,C1:E152,3,FALSE),J101)</f>
        <v>-113.876802167788</v>
      </c>
      <c r="G101" s="77"/>
      <c r="H101" s="223">
        <f>RANK(I101,I3:I152)</f>
        <v>87</v>
      </c>
      <c r="I101" s="77">
        <f>VLOOKUP(A101,'Standard Deviations'!A1:C666,3,FALSE)</f>
        <v>-0.668636256169563</v>
      </c>
      <c r="J101" s="84">
        <f>I101-VLOOKUP(B$2,H1:J152,2,FALSE)</f>
        <v>-6.86396749362221</v>
      </c>
    </row>
    <row r="102" ht="21.25" customHeight="1">
      <c r="A102" t="s" s="10">
        <v>764</v>
      </c>
      <c r="B102" t="s" s="126">
        <f>VLOOKUP(A102,'The List'!B1:D665,3,FALSE)</f>
        <v>178</v>
      </c>
      <c r="C102" s="127">
        <f>IF('Settings'!$E$15="POINTS",RANK(E102,E3:E152),H102)</f>
        <v>130</v>
      </c>
      <c r="D102" t="s" s="86">
        <f>VLOOKUP(A102,'The List'!B1:F665,5,FALSE)</f>
        <v>342</v>
      </c>
      <c r="E102" s="77">
        <f>VLOOKUP(A102,'The List'!B1:I665,8,FALSE)</f>
        <v>152.569250249237</v>
      </c>
      <c r="F102" s="77">
        <f>IF('Settings'!$E$15="POINTS",E102-VLOOKUP(B$2,C1:E152,3,FALSE),J102)</f>
        <v>-179.150861516975</v>
      </c>
      <c r="G102" s="77"/>
      <c r="H102" s="223">
        <f>RANK(I102,I3:I152)</f>
        <v>105</v>
      </c>
      <c r="I102" s="77">
        <f>VLOOKUP(A102,'Standard Deviations'!A1:C666,3,FALSE)</f>
        <v>-1.89801863845451</v>
      </c>
      <c r="J102" s="84">
        <f>I102-VLOOKUP(B$2,H1:J152,2,FALSE)</f>
        <v>-8.09334987590716</v>
      </c>
    </row>
    <row r="103" ht="21.25" customHeight="1">
      <c r="A103" t="s" s="10">
        <v>731</v>
      </c>
      <c r="B103" t="s" s="126">
        <f>VLOOKUP(A103,'The List'!B1:D665,3,FALSE)</f>
        <v>178</v>
      </c>
      <c r="C103" s="127">
        <f>IF('Settings'!$E$15="POINTS",RANK(E103,E3:E152),H103)</f>
        <v>123</v>
      </c>
      <c r="D103" t="s" s="86">
        <f>VLOOKUP(A103,'The List'!B1:F665,5,FALSE)</f>
        <v>903</v>
      </c>
      <c r="E103" s="77">
        <f>VLOOKUP(A103,'The List'!B1:I665,8,FALSE)</f>
        <v>161.558575539296</v>
      </c>
      <c r="F103" s="77">
        <f>IF('Settings'!$E$15="POINTS",E103-VLOOKUP(B$2,C1:E152,3,FALSE),J103)</f>
        <v>-170.161536226916</v>
      </c>
      <c r="G103" s="77"/>
      <c r="H103" s="223">
        <f>RANK(I103,I3:I152)</f>
        <v>110</v>
      </c>
      <c r="I103" s="77">
        <f>VLOOKUP(A103,'Standard Deviations'!A1:C666,3,FALSE)</f>
        <v>-2.29342379601174</v>
      </c>
      <c r="J103" s="84">
        <f>I103-VLOOKUP(B$2,H1:J152,2,FALSE)</f>
        <v>-8.48875503346439</v>
      </c>
    </row>
    <row r="104" ht="21.25" customHeight="1">
      <c r="A104" t="s" s="10">
        <v>798</v>
      </c>
      <c r="B104" t="s" s="126">
        <f>VLOOKUP(A104,'The List'!B1:D665,3,FALSE)</f>
        <v>178</v>
      </c>
      <c r="C104" s="127">
        <f>IF('Settings'!$E$15="POINTS",RANK(E104,E3:E152),H104)</f>
        <v>136</v>
      </c>
      <c r="D104" t="s" s="86">
        <f>VLOOKUP(A104,'The List'!B1:F665,5,FALSE)</f>
        <v>156</v>
      </c>
      <c r="E104" s="77">
        <f>VLOOKUP(A104,'The List'!B1:I665,8,FALSE)</f>
        <v>140.888482831201</v>
      </c>
      <c r="F104" s="77">
        <f>IF('Settings'!$E$15="POINTS",E104-VLOOKUP(B$2,C1:E152,3,FALSE),J104)</f>
        <v>-190.831628935011</v>
      </c>
      <c r="G104" s="77"/>
      <c r="H104" s="223">
        <f>RANK(I104,I3:I152)</f>
        <v>122</v>
      </c>
      <c r="I104" s="77">
        <f>VLOOKUP(A104,'Standard Deviations'!A1:C666,3,FALSE)</f>
        <v>-2.99724654618254</v>
      </c>
      <c r="J104" s="84">
        <f>I104-VLOOKUP(B$2,H1:J152,2,FALSE)</f>
        <v>-9.192577783635191</v>
      </c>
    </row>
    <row r="105" ht="21.25" customHeight="1">
      <c r="A105" t="s" s="10">
        <v>468</v>
      </c>
      <c r="B105" t="s" s="126">
        <f>VLOOKUP(A105,'The List'!B1:D665,3,FALSE)</f>
        <v>136</v>
      </c>
      <c r="C105" s="127">
        <f>IF('Settings'!$E$15="POINTS",RANK(E105,E3:E152),H105)</f>
        <v>67</v>
      </c>
      <c r="D105" t="s" s="86">
        <f>VLOOKUP(A105,'The List'!B1:F665,5,FALSE)</f>
        <v>910</v>
      </c>
      <c r="E105" s="77">
        <f>VLOOKUP(A105,'The List'!B1:I665,8,FALSE)</f>
        <v>235.156306873962</v>
      </c>
      <c r="F105" s="77">
        <f>IF('Settings'!$E$15="POINTS",E105-VLOOKUP(B$2,C1:E152,3,FALSE),J105)</f>
        <v>-96.563804892250</v>
      </c>
      <c r="G105" s="77"/>
      <c r="H105" s="223">
        <f>RANK(I105,I3:I152)</f>
        <v>119</v>
      </c>
      <c r="I105" s="77">
        <f>VLOOKUP(A105,'Standard Deviations'!A1:C666,3,FALSE)</f>
        <v>-2.86163103423953</v>
      </c>
      <c r="J105" s="84">
        <f>I105-VLOOKUP(B$2,H1:J152,2,FALSE)</f>
        <v>-9.05696227169218</v>
      </c>
    </row>
    <row r="106" ht="21.25" customHeight="1">
      <c r="A106" t="s" s="10">
        <v>581</v>
      </c>
      <c r="B106" t="s" s="126">
        <f>VLOOKUP(A106,'The List'!B1:D665,3,FALSE)</f>
        <v>136</v>
      </c>
      <c r="C106" s="127">
        <f>IF('Settings'!$E$15="POINTS",RANK(E106,E3:E152),H106)</f>
        <v>97</v>
      </c>
      <c r="D106" t="s" s="86">
        <f>VLOOKUP(A106,'The List'!B1:F665,5,FALSE)</f>
        <v>900</v>
      </c>
      <c r="E106" s="77">
        <f>VLOOKUP(A106,'The List'!B1:I665,8,FALSE)</f>
        <v>205.405401194184</v>
      </c>
      <c r="F106" s="77">
        <f>IF('Settings'!$E$15="POINTS",E106-VLOOKUP(B$2,C1:E152,3,FALSE),J106)</f>
        <v>-126.314710572028</v>
      </c>
      <c r="G106" s="77"/>
      <c r="H106" s="223">
        <f>RANK(I106,I3:I152)</f>
        <v>84</v>
      </c>
      <c r="I106" s="77">
        <f>VLOOKUP(A106,'Standard Deviations'!A1:C666,3,FALSE)</f>
        <v>-0.469731966088611</v>
      </c>
      <c r="J106" s="84">
        <f>I106-VLOOKUP(B$2,H1:J152,2,FALSE)</f>
        <v>-6.66506320354126</v>
      </c>
    </row>
    <row r="107" ht="21.25" customHeight="1">
      <c r="A107" t="s" s="10">
        <v>674</v>
      </c>
      <c r="B107" t="s" s="126">
        <f>VLOOKUP(A107,'The List'!B1:D665,3,FALSE)</f>
        <v>136</v>
      </c>
      <c r="C107" s="127">
        <f>IF('Settings'!$E$15="POINTS",RANK(E107,E3:E152),H107)</f>
        <v>116</v>
      </c>
      <c r="D107" t="s" s="86">
        <f>VLOOKUP(A107,'The List'!B1:F665,5,FALSE)</f>
        <v>156</v>
      </c>
      <c r="E107" s="77">
        <f>VLOOKUP(A107,'The List'!B1:I665,8,FALSE)</f>
        <v>178.333883067631</v>
      </c>
      <c r="F107" s="77">
        <f>IF('Settings'!$E$15="POINTS",E107-VLOOKUP(B$2,C1:E152,3,FALSE),J107)</f>
        <v>-153.386228698581</v>
      </c>
      <c r="G107" s="77"/>
      <c r="H107" s="223">
        <f>RANK(I107,I3:I152)</f>
        <v>111</v>
      </c>
      <c r="I107" s="77">
        <f>VLOOKUP(A107,'Standard Deviations'!A1:C666,3,FALSE)</f>
        <v>-2.34508892905957</v>
      </c>
      <c r="J107" s="84">
        <f>I107-VLOOKUP(B$2,H1:J152,2,FALSE)</f>
        <v>-8.54042016651222</v>
      </c>
    </row>
    <row r="108" ht="21.25" customHeight="1">
      <c r="A108" t="s" s="10">
        <v>348</v>
      </c>
      <c r="B108" t="s" s="126">
        <f>VLOOKUP(A108,'The List'!B1:D665,3,FALSE)</f>
        <v>136</v>
      </c>
      <c r="C108" s="127">
        <f>IF('Settings'!$E$15="POINTS",RANK(E108,E3:E152),H108)</f>
        <v>46</v>
      </c>
      <c r="D108" t="s" s="86">
        <f>VLOOKUP(A108,'The List'!B1:F665,5,FALSE)</f>
        <v>901</v>
      </c>
      <c r="E108" s="77">
        <f>VLOOKUP(A108,'The List'!B1:I665,8,FALSE)</f>
        <v>279.413996929503</v>
      </c>
      <c r="F108" s="77">
        <f>IF('Settings'!$E$15="POINTS",E108-VLOOKUP(B$2,C1:E152,3,FALSE),J108)</f>
        <v>-52.306114836709</v>
      </c>
      <c r="G108" s="77"/>
      <c r="H108" s="223">
        <f>RANK(I108,I3:I152)</f>
        <v>95</v>
      </c>
      <c r="I108" s="77">
        <f>VLOOKUP(A108,'Standard Deviations'!A1:C666,3,FALSE)</f>
        <v>-0.980985163185326</v>
      </c>
      <c r="J108" s="84">
        <f>I108-VLOOKUP(B$2,H1:J152,2,FALSE)</f>
        <v>-7.17631640063798</v>
      </c>
    </row>
    <row r="109" ht="21.25" customHeight="1">
      <c r="A109" t="s" s="10">
        <v>641</v>
      </c>
      <c r="B109" t="s" s="126">
        <f>VLOOKUP(A109,'The List'!B1:D665,3,FALSE)</f>
        <v>178</v>
      </c>
      <c r="C109" s="127">
        <f>IF('Settings'!$E$15="POINTS",RANK(E109,E3:E152),H109)</f>
        <v>112</v>
      </c>
      <c r="D109" t="s" s="86">
        <f>VLOOKUP(A109,'The List'!B1:F665,5,FALSE)</f>
        <v>871</v>
      </c>
      <c r="E109" s="77">
        <f>VLOOKUP(A109,'The List'!B1:I665,8,FALSE)</f>
        <v>188.323915884174</v>
      </c>
      <c r="F109" s="77">
        <f>IF('Settings'!$E$15="POINTS",E109-VLOOKUP(B$2,C1:E152,3,FALSE),J109)</f>
        <v>-143.396195882038</v>
      </c>
      <c r="G109" s="77"/>
      <c r="H109" s="223">
        <f>RANK(I109,I3:I152)</f>
        <v>104</v>
      </c>
      <c r="I109" s="77">
        <f>VLOOKUP(A109,'Standard Deviations'!A1:C666,3,FALSE)</f>
        <v>-1.89029666612088</v>
      </c>
      <c r="J109" s="84">
        <f>I109-VLOOKUP(B$2,H1:J152,2,FALSE)</f>
        <v>-8.085627903573529</v>
      </c>
    </row>
    <row r="110" ht="21.25" customHeight="1">
      <c r="A110" t="s" s="10">
        <v>719</v>
      </c>
      <c r="B110" t="s" s="126">
        <f>VLOOKUP(A110,'The List'!B1:D665,3,FALSE)</f>
        <v>136</v>
      </c>
      <c r="C110" s="127">
        <f>IF('Settings'!$E$15="POINTS",RANK(E110,E3:E152),H110)</f>
        <v>120</v>
      </c>
      <c r="D110" t="s" s="86">
        <f>VLOOKUP(A110,'The List'!B1:F665,5,FALSE)</f>
        <v>912</v>
      </c>
      <c r="E110" s="77">
        <f>VLOOKUP(A110,'The List'!B1:I665,8,FALSE)</f>
        <v>164.972673914832</v>
      </c>
      <c r="F110" s="77">
        <f>IF('Settings'!$E$15="POINTS",E110-VLOOKUP(B$2,C1:E152,3,FALSE),J110)</f>
        <v>-166.747437851380</v>
      </c>
      <c r="G110" s="77"/>
      <c r="H110" s="223">
        <f>RANK(I110,I3:I152)</f>
        <v>128</v>
      </c>
      <c r="I110" s="77">
        <f>VLOOKUP(A110,'Standard Deviations'!A1:C666,3,FALSE)</f>
        <v>-3.47783994967856</v>
      </c>
      <c r="J110" s="84">
        <f>I110-VLOOKUP(B$2,H1:J152,2,FALSE)</f>
        <v>-9.67317118713121</v>
      </c>
    </row>
    <row r="111" ht="21.25" customHeight="1">
      <c r="A111" t="s" s="10">
        <v>702</v>
      </c>
      <c r="B111" t="s" s="126">
        <f>VLOOKUP(A111,'The List'!B1:D665,3,FALSE)</f>
        <v>554</v>
      </c>
      <c r="C111" s="127">
        <f>IF('Settings'!$E$15="POINTS",RANK(E111,E3:E152),H111)</f>
        <v>119</v>
      </c>
      <c r="D111" t="s" s="86">
        <f>VLOOKUP(A111,'The List'!B1:F665,5,FALSE)</f>
        <v>906</v>
      </c>
      <c r="E111" s="77">
        <f>VLOOKUP(A111,'The List'!B1:I665,8,FALSE)</f>
        <v>171.190782716769</v>
      </c>
      <c r="F111" s="77">
        <f>IF('Settings'!$E$15="POINTS",E111-VLOOKUP(B$2,C1:E152,3,FALSE),J111)</f>
        <v>-160.529329049443</v>
      </c>
      <c r="G111" s="77"/>
      <c r="H111" s="223">
        <f>RANK(I111,I3:I152)</f>
        <v>91</v>
      </c>
      <c r="I111" s="77">
        <f>VLOOKUP(A111,'Standard Deviations'!A1:C666,3,FALSE)</f>
        <v>-0.838127271578573</v>
      </c>
      <c r="J111" s="84">
        <f>I111-VLOOKUP(B$2,H1:J152,2,FALSE)</f>
        <v>-7.03345850903122</v>
      </c>
    </row>
    <row r="112" ht="21.25" customHeight="1">
      <c r="A112" t="s" s="10">
        <v>602</v>
      </c>
      <c r="B112" t="s" s="126">
        <f>VLOOKUP(A112,'The List'!B1:D665,3,FALSE)</f>
        <v>136</v>
      </c>
      <c r="C112" s="127">
        <f>IF('Settings'!$E$15="POINTS",RANK(E112,E3:E152),H112)</f>
        <v>106</v>
      </c>
      <c r="D112" t="s" s="86">
        <f>VLOOKUP(A112,'The List'!B1:F665,5,FALSE)</f>
        <v>906</v>
      </c>
      <c r="E112" s="77">
        <f>VLOOKUP(A112,'The List'!B1:I665,8,FALSE)</f>
        <v>199.789336074108</v>
      </c>
      <c r="F112" s="77">
        <f>IF('Settings'!$E$15="POINTS",E112-VLOOKUP(B$2,C1:E152,3,FALSE),J112)</f>
        <v>-131.930775692104</v>
      </c>
      <c r="G112" s="77"/>
      <c r="H112" s="223">
        <f>RANK(I112,I3:I152)</f>
        <v>90</v>
      </c>
      <c r="I112" s="77">
        <f>VLOOKUP(A112,'Standard Deviations'!A1:C666,3,FALSE)</f>
        <v>-0.787161711853107</v>
      </c>
      <c r="J112" s="84">
        <f>I112-VLOOKUP(B$2,H1:J152,2,FALSE)</f>
        <v>-6.98249294930576</v>
      </c>
    </row>
    <row r="113" ht="21.25" customHeight="1">
      <c r="A113" t="s" s="10">
        <v>480</v>
      </c>
      <c r="B113" t="s" s="126">
        <f>VLOOKUP(A113,'The List'!B1:D665,3,FALSE)</f>
        <v>178</v>
      </c>
      <c r="C113" s="127">
        <f>IF('Settings'!$E$15="POINTS",RANK(E113,E3:E152),H113)</f>
        <v>70</v>
      </c>
      <c r="D113" t="s" s="86">
        <f>VLOOKUP(A113,'The List'!B1:F665,5,FALSE)</f>
        <v>905</v>
      </c>
      <c r="E113" s="77">
        <f>VLOOKUP(A113,'The List'!B1:I665,8,FALSE)</f>
        <v>232.984498625169</v>
      </c>
      <c r="F113" s="77">
        <f>IF('Settings'!$E$15="POINTS",E113-VLOOKUP(B$2,C1:E152,3,FALSE),J113)</f>
        <v>-98.735613141043</v>
      </c>
      <c r="G113" s="77"/>
      <c r="H113" s="223">
        <f>RANK(I113,I3:I152)</f>
        <v>127</v>
      </c>
      <c r="I113" s="77">
        <f>VLOOKUP(A113,'Standard Deviations'!A1:C666,3,FALSE)</f>
        <v>-3.34453353769162</v>
      </c>
      <c r="J113" s="84">
        <f>I113-VLOOKUP(B$2,H1:J152,2,FALSE)</f>
        <v>-9.53986477514427</v>
      </c>
    </row>
    <row r="114" ht="21.25" customHeight="1">
      <c r="A114" t="s" s="10">
        <v>692</v>
      </c>
      <c r="B114" t="s" s="126">
        <f>VLOOKUP(A114,'The List'!B1:D665,3,FALSE)</f>
        <v>178</v>
      </c>
      <c r="C114" s="127">
        <f>IF('Settings'!$E$15="POINTS",RANK(E114,E3:E152),H114)</f>
        <v>118</v>
      </c>
      <c r="D114" t="s" s="86">
        <f>VLOOKUP(A114,'The List'!B1:F665,5,FALSE)</f>
        <v>342</v>
      </c>
      <c r="E114" s="77">
        <f>VLOOKUP(A114,'The List'!B1:I665,8,FALSE)</f>
        <v>173.689480031543</v>
      </c>
      <c r="F114" s="77">
        <f>IF('Settings'!$E$15="POINTS",E114-VLOOKUP(B$2,C1:E152,3,FALSE),J114)</f>
        <v>-158.030631734669</v>
      </c>
      <c r="G114" s="77"/>
      <c r="H114" s="223">
        <f>RANK(I114,I3:I152)</f>
        <v>92</v>
      </c>
      <c r="I114" s="77">
        <f>VLOOKUP(A114,'Standard Deviations'!A1:C666,3,FALSE)</f>
        <v>-0.8558510937291151</v>
      </c>
      <c r="J114" s="84">
        <f>I114-VLOOKUP(B$2,H1:J152,2,FALSE)</f>
        <v>-7.05118233118177</v>
      </c>
    </row>
    <row r="115" ht="21.25" customHeight="1">
      <c r="A115" t="s" s="10">
        <v>638</v>
      </c>
      <c r="B115" t="s" s="126">
        <f>VLOOKUP(A115,'The List'!B1:D665,3,FALSE)</f>
        <v>136</v>
      </c>
      <c r="C115" s="127">
        <f>IF('Settings'!$E$15="POINTS",RANK(E115,E3:E152),H115)</f>
        <v>111</v>
      </c>
      <c r="D115" t="s" s="86">
        <f>VLOOKUP(A115,'The List'!B1:F665,5,FALSE)</f>
        <v>908</v>
      </c>
      <c r="E115" s="77">
        <f>VLOOKUP(A115,'The List'!B1:I665,8,FALSE)</f>
        <v>189.336323222551</v>
      </c>
      <c r="F115" s="77">
        <f>IF('Settings'!$E$15="POINTS",E115-VLOOKUP(B$2,C1:E152,3,FALSE),J115)</f>
        <v>-142.383788543661</v>
      </c>
      <c r="G115" s="77"/>
      <c r="H115" s="223">
        <f>RANK(I115,I3:I152)</f>
        <v>102</v>
      </c>
      <c r="I115" s="77">
        <f>VLOOKUP(A115,'Standard Deviations'!A1:C666,3,FALSE)</f>
        <v>-1.76224604963092</v>
      </c>
      <c r="J115" s="84">
        <f>I115-VLOOKUP(B$2,H1:J152,2,FALSE)</f>
        <v>-7.95757728708357</v>
      </c>
    </row>
    <row r="116" ht="21.25" customHeight="1">
      <c r="A116" t="s" s="10">
        <v>600</v>
      </c>
      <c r="B116" t="s" s="126">
        <f>VLOOKUP(A116,'The List'!B1:D665,3,FALSE)</f>
        <v>178</v>
      </c>
      <c r="C116" s="127">
        <f>IF('Settings'!$E$15="POINTS",RANK(E116,E3:E152),H116)</f>
        <v>105</v>
      </c>
      <c r="D116" t="s" s="86">
        <f>VLOOKUP(A116,'The List'!B1:F665,5,FALSE)</f>
        <v>342</v>
      </c>
      <c r="E116" s="77">
        <f>VLOOKUP(A116,'The List'!B1:I665,8,FALSE)</f>
        <v>200.312589475842</v>
      </c>
      <c r="F116" s="77">
        <f>IF('Settings'!$E$15="POINTS",E116-VLOOKUP(B$2,C1:E152,3,FALSE),J116)</f>
        <v>-131.407522290370</v>
      </c>
      <c r="G116" s="77"/>
      <c r="H116" s="223">
        <f>RANK(I116,I3:I152)</f>
        <v>106</v>
      </c>
      <c r="I116" s="77">
        <f>VLOOKUP(A116,'Standard Deviations'!A1:C666,3,FALSE)</f>
        <v>-2.03497486402031</v>
      </c>
      <c r="J116" s="84">
        <f>I116-VLOOKUP(B$2,H1:J152,2,FALSE)</f>
        <v>-8.23030610147296</v>
      </c>
    </row>
    <row r="117" ht="21.25" customHeight="1">
      <c r="A117" t="s" s="10">
        <v>583</v>
      </c>
      <c r="B117" t="s" s="126">
        <f>VLOOKUP(A117,'The List'!B1:D665,3,FALSE)</f>
        <v>178</v>
      </c>
      <c r="C117" s="127">
        <f>IF('Settings'!$E$15="POINTS",RANK(E117,E3:E152),H117)</f>
        <v>98</v>
      </c>
      <c r="D117" t="s" s="86">
        <f>VLOOKUP(A117,'The List'!B1:F665,5,FALSE)</f>
        <v>154</v>
      </c>
      <c r="E117" s="77">
        <f>VLOOKUP(A117,'The List'!B1:I665,8,FALSE)</f>
        <v>204.979489073020</v>
      </c>
      <c r="F117" s="77">
        <f>IF('Settings'!$E$15="POINTS",E117-VLOOKUP(B$2,C1:E152,3,FALSE),J117)</f>
        <v>-126.740622693192</v>
      </c>
      <c r="G117" s="77"/>
      <c r="H117" s="223">
        <f>RANK(I117,I3:I152)</f>
        <v>112</v>
      </c>
      <c r="I117" s="77">
        <f>VLOOKUP(A117,'Standard Deviations'!A1:C666,3,FALSE)</f>
        <v>-2.52412538058527</v>
      </c>
      <c r="J117" s="84">
        <f>I117-VLOOKUP(B$2,H1:J152,2,FALSE)</f>
        <v>-8.71945661803792</v>
      </c>
    </row>
    <row r="118" ht="21.25" customHeight="1">
      <c r="A118" t="s" s="10">
        <v>766</v>
      </c>
      <c r="B118" t="s" s="126">
        <f>VLOOKUP(A118,'The List'!B1:D665,3,FALSE)</f>
        <v>178</v>
      </c>
      <c r="C118" s="127">
        <f>IF('Settings'!$E$15="POINTS",RANK(E118,E3:E152),H118)</f>
        <v>131</v>
      </c>
      <c r="D118" t="s" s="86">
        <f>VLOOKUP(A118,'The List'!B1:F665,5,FALSE)</f>
        <v>275</v>
      </c>
      <c r="E118" s="77">
        <f>VLOOKUP(A118,'The List'!B1:I665,8,FALSE)</f>
        <v>152.463585811313</v>
      </c>
      <c r="F118" s="77">
        <f>IF('Settings'!$E$15="POINTS",E118-VLOOKUP(B$2,C1:E152,3,FALSE),J118)</f>
        <v>-179.256525954899</v>
      </c>
      <c r="G118" s="77"/>
      <c r="H118" s="223">
        <f>RANK(I118,I3:I152)</f>
        <v>108</v>
      </c>
      <c r="I118" s="77">
        <f>VLOOKUP(A118,'Standard Deviations'!A1:C666,3,FALSE)</f>
        <v>-2.08370821719987</v>
      </c>
      <c r="J118" s="84">
        <f>I118-VLOOKUP(B$2,H1:J152,2,FALSE)</f>
        <v>-8.279039454652519</v>
      </c>
    </row>
    <row r="119" ht="21.25" customHeight="1">
      <c r="A119" t="s" s="10">
        <v>829</v>
      </c>
      <c r="B119" t="s" s="126">
        <f>VLOOKUP(A119,'The List'!B1:D665,3,FALSE)</f>
        <v>178</v>
      </c>
      <c r="C119" s="127">
        <f>IF('Settings'!$E$15="POINTS",RANK(E119,E3:E152),H119)</f>
        <v>146</v>
      </c>
      <c r="D119" t="s" s="86">
        <f>VLOOKUP(A119,'The List'!B1:F665,5,FALSE)</f>
        <v>905</v>
      </c>
      <c r="E119" s="77">
        <f>VLOOKUP(A119,'The List'!B1:I665,8,FALSE)</f>
        <v>127.552268964934</v>
      </c>
      <c r="F119" s="77">
        <f>IF('Settings'!$E$15="POINTS",E119-VLOOKUP(B$2,C1:E152,3,FALSE),J119)</f>
        <v>-204.167842801278</v>
      </c>
      <c r="G119" s="77"/>
      <c r="H119" s="223">
        <f>RANK(I119,I3:I152)</f>
        <v>143</v>
      </c>
      <c r="I119" s="77">
        <f>VLOOKUP(A119,'Standard Deviations'!A1:C666,3,FALSE)</f>
        <v>-4.87654211433855</v>
      </c>
      <c r="J119" s="84">
        <f>I119-VLOOKUP(B$2,H1:J152,2,FALSE)</f>
        <v>-11.0718733517912</v>
      </c>
    </row>
    <row r="120" ht="21.25" customHeight="1">
      <c r="A120" t="s" s="10">
        <v>804</v>
      </c>
      <c r="B120" t="s" s="126">
        <f>VLOOKUP(A120,'The List'!B1:D665,3,FALSE)</f>
        <v>178</v>
      </c>
      <c r="C120" s="127">
        <f>IF('Settings'!$E$15="POINTS",RANK(E120,E3:E152),H120)</f>
        <v>137</v>
      </c>
      <c r="D120" t="s" s="86">
        <f>VLOOKUP(A120,'The List'!B1:F665,5,FALSE)</f>
        <v>192</v>
      </c>
      <c r="E120" s="77">
        <f>VLOOKUP(A120,'The List'!B1:I665,8,FALSE)</f>
        <v>139.293191431134</v>
      </c>
      <c r="F120" s="77">
        <f>IF('Settings'!$E$15="POINTS",E120-VLOOKUP(B$2,C1:E152,3,FALSE),J120)</f>
        <v>-192.426920335078</v>
      </c>
      <c r="G120" s="77"/>
      <c r="H120" s="223">
        <f>RANK(I120,I3:I152)</f>
        <v>120</v>
      </c>
      <c r="I120" s="77">
        <f>VLOOKUP(A120,'Standard Deviations'!A1:C666,3,FALSE)</f>
        <v>-2.96186367198572</v>
      </c>
      <c r="J120" s="84">
        <f>I120-VLOOKUP(B$2,H1:J152,2,FALSE)</f>
        <v>-9.15719490943837</v>
      </c>
    </row>
    <row r="121" ht="21.25" customHeight="1">
      <c r="A121" t="s" s="10">
        <v>725</v>
      </c>
      <c r="B121" t="s" s="126">
        <f>VLOOKUP(A121,'The List'!B1:D665,3,FALSE)</f>
        <v>178</v>
      </c>
      <c r="C121" s="127">
        <f>IF('Settings'!$E$15="POINTS",RANK(E121,E3:E152),H121)</f>
        <v>122</v>
      </c>
      <c r="D121" t="s" s="86">
        <f>VLOOKUP(A121,'The List'!B1:F665,5,FALSE)</f>
        <v>910</v>
      </c>
      <c r="E121" s="77">
        <f>VLOOKUP(A121,'The List'!B1:I665,8,FALSE)</f>
        <v>162.592818160042</v>
      </c>
      <c r="F121" s="77">
        <f>IF('Settings'!$E$15="POINTS",E121-VLOOKUP(B$2,C1:E152,3,FALSE),J121)</f>
        <v>-169.127293606170</v>
      </c>
      <c r="G121" s="77"/>
      <c r="H121" s="223">
        <f>RANK(I121,I3:I152)</f>
        <v>125</v>
      </c>
      <c r="I121" s="77">
        <f>VLOOKUP(A121,'Standard Deviations'!A1:C666,3,FALSE)</f>
        <v>-3.18576785860535</v>
      </c>
      <c r="J121" s="84">
        <f>I121-VLOOKUP(B$2,H1:J152,2,FALSE)</f>
        <v>-9.381099096058</v>
      </c>
    </row>
    <row r="122" ht="21.25" customHeight="1">
      <c r="A122" t="s" s="10">
        <v>783</v>
      </c>
      <c r="B122" t="s" s="126">
        <f>VLOOKUP(A122,'The List'!B1:D665,3,FALSE)</f>
        <v>148</v>
      </c>
      <c r="C122" s="127">
        <f>IF('Settings'!$E$15="POINTS",RANK(E122,E3:E152),H122)</f>
        <v>135</v>
      </c>
      <c r="D122" t="s" s="86">
        <f>VLOOKUP(A122,'The List'!B1:F665,5,FALSE)</f>
        <v>907</v>
      </c>
      <c r="E122" s="77">
        <f>VLOOKUP(A122,'The List'!B1:I665,8,FALSE)</f>
        <v>147.664385742247</v>
      </c>
      <c r="F122" s="77">
        <f>IF('Settings'!$E$15="POINTS",E122-VLOOKUP(B$2,C1:E152,3,FALSE),J122)</f>
        <v>-184.055726023965</v>
      </c>
      <c r="G122" s="77"/>
      <c r="H122" s="223">
        <f>RANK(I122,I3:I152)</f>
        <v>144</v>
      </c>
      <c r="I122" s="77">
        <f>VLOOKUP(A122,'Standard Deviations'!A1:C666,3,FALSE)</f>
        <v>-4.89646962160313</v>
      </c>
      <c r="J122" s="84">
        <f>I122-VLOOKUP(B$2,H1:J152,2,FALSE)</f>
        <v>-11.0918008590558</v>
      </c>
    </row>
    <row r="123" ht="21.25" customHeight="1">
      <c r="A123" t="s" s="10">
        <v>763</v>
      </c>
      <c r="B123" t="s" s="126">
        <f>VLOOKUP(A123,'The List'!B1:D665,3,FALSE)</f>
        <v>178</v>
      </c>
      <c r="C123" s="127">
        <f>IF('Settings'!$E$15="POINTS",RANK(E123,E3:E152),H123)</f>
        <v>129</v>
      </c>
      <c r="D123" t="s" s="86">
        <f>VLOOKUP(A123,'The List'!B1:F665,5,FALSE)</f>
        <v>259</v>
      </c>
      <c r="E123" s="77">
        <f>VLOOKUP(A123,'The List'!B1:I665,8,FALSE)</f>
        <v>153.271184103058</v>
      </c>
      <c r="F123" s="77">
        <f>IF('Settings'!$E$15="POINTS",E123-VLOOKUP(B$2,C1:E152,3,FALSE),J123)</f>
        <v>-178.448927663154</v>
      </c>
      <c r="G123" s="77"/>
      <c r="H123" s="223">
        <f>RANK(I123,I3:I152)</f>
        <v>117</v>
      </c>
      <c r="I123" s="77">
        <f>VLOOKUP(A123,'Standard Deviations'!A1:C666,3,FALSE)</f>
        <v>-2.83311633762641</v>
      </c>
      <c r="J123" s="84">
        <f>I123-VLOOKUP(B$2,H1:J152,2,FALSE)</f>
        <v>-9.02844757507906</v>
      </c>
    </row>
    <row r="124" ht="21.25" customHeight="1">
      <c r="A124" t="s" s="10">
        <v>752</v>
      </c>
      <c r="B124" t="s" s="126">
        <f>VLOOKUP(A124,'The List'!B1:D665,3,FALSE)</f>
        <v>136</v>
      </c>
      <c r="C124" s="127">
        <f>IF('Settings'!$E$15="POINTS",RANK(E124,E3:E152),H124)</f>
        <v>126</v>
      </c>
      <c r="D124" t="s" s="86">
        <f>VLOOKUP(A124,'The List'!B1:F665,5,FALSE)</f>
        <v>912</v>
      </c>
      <c r="E124" s="77">
        <f>VLOOKUP(A124,'The List'!B1:I665,8,FALSE)</f>
        <v>156.635248898101</v>
      </c>
      <c r="F124" s="77">
        <f>IF('Settings'!$E$15="POINTS",E124-VLOOKUP(B$2,C1:E152,3,FALSE),J124)</f>
        <v>-175.084862868111</v>
      </c>
      <c r="G124" s="77"/>
      <c r="H124" s="223">
        <f>RANK(I124,I3:I152)</f>
        <v>131</v>
      </c>
      <c r="I124" s="77">
        <f>VLOOKUP(A124,'Standard Deviations'!A1:C666,3,FALSE)</f>
        <v>-3.67188723474243</v>
      </c>
      <c r="J124" s="84">
        <f>I124-VLOOKUP(B$2,H1:J152,2,FALSE)</f>
        <v>-9.867218472195081</v>
      </c>
    </row>
    <row r="125" ht="21.25" customHeight="1">
      <c r="A125" t="s" s="10">
        <v>815</v>
      </c>
      <c r="B125" t="s" s="126">
        <f>VLOOKUP(A125,'The List'!B1:D665,3,FALSE)</f>
        <v>178</v>
      </c>
      <c r="C125" s="127">
        <f>IF('Settings'!$E$15="POINTS",RANK(E125,E3:E152),H125)</f>
        <v>140</v>
      </c>
      <c r="D125" t="s" s="86">
        <f>VLOOKUP(A125,'The List'!B1:F665,5,FALSE)</f>
        <v>207</v>
      </c>
      <c r="E125" s="77">
        <f>VLOOKUP(A125,'The List'!B1:I665,8,FALSE)</f>
        <v>135.516821406142</v>
      </c>
      <c r="F125" s="77">
        <f>IF('Settings'!$E$15="POINTS",E125-VLOOKUP(B$2,C1:E152,3,FALSE),J125)</f>
        <v>-196.203290360070</v>
      </c>
      <c r="G125" s="77"/>
      <c r="H125" s="223">
        <f>RANK(I125,I3:I152)</f>
        <v>103</v>
      </c>
      <c r="I125" s="77">
        <f>VLOOKUP(A125,'Standard Deviations'!A1:C666,3,FALSE)</f>
        <v>-1.84914906908698</v>
      </c>
      <c r="J125" s="84">
        <f>I125-VLOOKUP(B$2,H1:J152,2,FALSE)</f>
        <v>-8.044480306539629</v>
      </c>
    </row>
    <row r="126" ht="21.25" customHeight="1">
      <c r="A126" t="s" s="10">
        <v>567</v>
      </c>
      <c r="B126" t="s" s="126">
        <f>VLOOKUP(A126,'The List'!B1:D665,3,FALSE)</f>
        <v>178</v>
      </c>
      <c r="C126" s="127">
        <f>IF('Settings'!$E$15="POINTS",RANK(E126,E3:E152),H126)</f>
        <v>91</v>
      </c>
      <c r="D126" t="s" s="86">
        <f>VLOOKUP(A126,'The List'!B1:F665,5,FALSE)</f>
        <v>911</v>
      </c>
      <c r="E126" s="77">
        <f>VLOOKUP(A126,'The List'!B1:I665,8,FALSE)</f>
        <v>208.376137071873</v>
      </c>
      <c r="F126" s="77">
        <f>IF('Settings'!$E$15="POINTS",E126-VLOOKUP(B$2,C1:E152,3,FALSE),J126)</f>
        <v>-123.343974694339</v>
      </c>
      <c r="G126" s="77"/>
      <c r="H126" s="223">
        <f>RANK(I126,I3:I152)</f>
        <v>126</v>
      </c>
      <c r="I126" s="77">
        <f>VLOOKUP(A126,'Standard Deviations'!A1:C666,3,FALSE)</f>
        <v>-3.30303087397951</v>
      </c>
      <c r="J126" s="84">
        <f>I126-VLOOKUP(B$2,H1:J152,2,FALSE)</f>
        <v>-9.49836211143216</v>
      </c>
    </row>
    <row r="127" ht="21.25" customHeight="1">
      <c r="A127" t="s" s="10">
        <v>400</v>
      </c>
      <c r="B127" t="s" s="126">
        <f>VLOOKUP(A127,'The List'!B1:D665,3,FALSE)</f>
        <v>178</v>
      </c>
      <c r="C127" s="127">
        <f>IF('Settings'!$E$15="POINTS",RANK(E127,E3:E152),H127)</f>
        <v>55</v>
      </c>
      <c r="D127" t="s" s="86">
        <f>VLOOKUP(A127,'The List'!B1:F665,5,FALSE)</f>
        <v>267</v>
      </c>
      <c r="E127" s="77">
        <f>VLOOKUP(A127,'The List'!B1:I665,8,FALSE)</f>
        <v>259.415880421793</v>
      </c>
      <c r="F127" s="77">
        <f>IF('Settings'!$E$15="POINTS",E127-VLOOKUP(B$2,C1:E152,3,FALSE),J127)</f>
        <v>-72.30423134441899</v>
      </c>
      <c r="G127" s="77"/>
      <c r="H127" s="223">
        <f>RANK(I127,I3:I152)</f>
        <v>115</v>
      </c>
      <c r="I127" s="77">
        <f>VLOOKUP(A127,'Standard Deviations'!A1:C666,3,FALSE)</f>
        <v>-2.71195142732132</v>
      </c>
      <c r="J127" s="84">
        <f>I127-VLOOKUP(B$2,H1:J152,2,FALSE)</f>
        <v>-8.90728266477397</v>
      </c>
    </row>
    <row r="128" ht="21.25" customHeight="1">
      <c r="A128" t="s" s="10">
        <v>777</v>
      </c>
      <c r="B128" t="s" s="126">
        <f>VLOOKUP(A128,'The List'!B1:D665,3,FALSE)</f>
        <v>178</v>
      </c>
      <c r="C128" s="127">
        <f>IF('Settings'!$E$15="POINTS",RANK(E128,E3:E152),H128)</f>
        <v>133</v>
      </c>
      <c r="D128" t="s" s="86">
        <f>VLOOKUP(A128,'The List'!B1:F665,5,FALSE)</f>
        <v>900</v>
      </c>
      <c r="E128" s="77">
        <f>VLOOKUP(A128,'The List'!B1:I665,8,FALSE)</f>
        <v>149.582717430447</v>
      </c>
      <c r="F128" s="77">
        <f>IF('Settings'!$E$15="POINTS",E128-VLOOKUP(B$2,C1:E152,3,FALSE),J128)</f>
        <v>-182.137394335765</v>
      </c>
      <c r="G128" s="77"/>
      <c r="H128" s="223">
        <f>RANK(I128,I3:I152)</f>
        <v>118</v>
      </c>
      <c r="I128" s="77">
        <f>VLOOKUP(A128,'Standard Deviations'!A1:C666,3,FALSE)</f>
        <v>-2.8480502731187</v>
      </c>
      <c r="J128" s="84">
        <f>I128-VLOOKUP(B$2,H1:J152,2,FALSE)</f>
        <v>-9.043381510571351</v>
      </c>
    </row>
    <row r="129" ht="21.25" customHeight="1">
      <c r="A129" t="s" s="10">
        <v>811</v>
      </c>
      <c r="B129" t="s" s="126">
        <f>VLOOKUP(A129,'The List'!B1:D665,3,FALSE)</f>
        <v>178</v>
      </c>
      <c r="C129" s="127">
        <f>IF('Settings'!$E$15="POINTS",RANK(E129,E3:E152),H129)</f>
        <v>139</v>
      </c>
      <c r="D129" t="s" s="86">
        <f>VLOOKUP(A129,'The List'!B1:F665,5,FALSE)</f>
        <v>192</v>
      </c>
      <c r="E129" s="77">
        <f>VLOOKUP(A129,'The List'!B1:I665,8,FALSE)</f>
        <v>136.952480326408</v>
      </c>
      <c r="F129" s="77">
        <f>IF('Settings'!$E$15="POINTS",E129-VLOOKUP(B$2,C1:E152,3,FALSE),J129)</f>
        <v>-194.767631439804</v>
      </c>
      <c r="G129" s="77"/>
      <c r="H129" s="223">
        <f>RANK(I129,I3:I152)</f>
        <v>141</v>
      </c>
      <c r="I129" s="77">
        <f>VLOOKUP(A129,'Standard Deviations'!A1:C666,3,FALSE)</f>
        <v>-4.6908368263175</v>
      </c>
      <c r="J129" s="84">
        <f>I129-VLOOKUP(B$2,H1:J152,2,FALSE)</f>
        <v>-10.8861680637702</v>
      </c>
    </row>
    <row r="130" ht="21.25" customHeight="1">
      <c r="A130" t="s" s="10">
        <v>462</v>
      </c>
      <c r="B130" t="s" s="126">
        <f>VLOOKUP(A130,'The List'!B1:D665,3,FALSE)</f>
        <v>178</v>
      </c>
      <c r="C130" s="127">
        <f>IF('Settings'!$E$15="POINTS",RANK(E130,E3:E152),H130)</f>
        <v>66</v>
      </c>
      <c r="D130" t="s" s="86">
        <f>VLOOKUP(A130,'The List'!B1:F665,5,FALSE)</f>
        <v>154</v>
      </c>
      <c r="E130" s="77">
        <f>VLOOKUP(A130,'The List'!B1:I665,8,FALSE)</f>
        <v>235.967285891279</v>
      </c>
      <c r="F130" s="77">
        <f>IF('Settings'!$E$15="POINTS",E130-VLOOKUP(B$2,C1:E152,3,FALSE),J130)</f>
        <v>-95.752825874933</v>
      </c>
      <c r="G130" s="77"/>
      <c r="H130" s="223">
        <f>RANK(I130,I3:I152)</f>
        <v>129</v>
      </c>
      <c r="I130" s="77">
        <f>VLOOKUP(A130,'Standard Deviations'!A1:C666,3,FALSE)</f>
        <v>-3.54517567586017</v>
      </c>
      <c r="J130" s="84">
        <f>I130-VLOOKUP(B$2,H1:J152,2,FALSE)</f>
        <v>-9.740506913312821</v>
      </c>
    </row>
    <row r="131" ht="21.25" customHeight="1">
      <c r="A131" t="s" s="10">
        <v>470</v>
      </c>
      <c r="B131" t="s" s="126">
        <f>VLOOKUP(A131,'The List'!B1:D665,3,FALSE)</f>
        <v>148</v>
      </c>
      <c r="C131" s="127">
        <f>IF('Settings'!$E$15="POINTS",RANK(E131,E3:E152),H131)</f>
        <v>68</v>
      </c>
      <c r="D131" t="s" s="86">
        <f>VLOOKUP(A131,'The List'!B1:F665,5,FALSE)</f>
        <v>275</v>
      </c>
      <c r="E131" s="77">
        <f>VLOOKUP(A131,'The List'!B1:I665,8,FALSE)</f>
        <v>234.960015154735</v>
      </c>
      <c r="F131" s="77">
        <f>IF('Settings'!$E$15="POINTS",E131-VLOOKUP(B$2,C1:E152,3,FALSE),J131)</f>
        <v>-96.760096611477</v>
      </c>
      <c r="G131" s="77"/>
      <c r="H131" s="223">
        <f>RANK(I131,I3:I152)</f>
        <v>124</v>
      </c>
      <c r="I131" s="77">
        <f>VLOOKUP(A131,'Standard Deviations'!A1:C666,3,FALSE)</f>
        <v>-3.15093803907991</v>
      </c>
      <c r="J131" s="84">
        <f>I131-VLOOKUP(B$2,H1:J152,2,FALSE)</f>
        <v>-9.34626927653256</v>
      </c>
    </row>
    <row r="132" ht="21.25" customHeight="1">
      <c r="A132" t="s" s="10">
        <v>828</v>
      </c>
      <c r="B132" t="s" s="126">
        <f>VLOOKUP(A132,'The List'!B1:D665,3,FALSE)</f>
        <v>178</v>
      </c>
      <c r="C132" s="127">
        <f>IF('Settings'!$E$15="POINTS",RANK(E132,E3:E152),H132)</f>
        <v>145</v>
      </c>
      <c r="D132" t="s" s="86">
        <f>VLOOKUP(A132,'The List'!B1:F665,5,FALSE)</f>
        <v>908</v>
      </c>
      <c r="E132" s="77">
        <f>VLOOKUP(A132,'The List'!B1:I665,8,FALSE)</f>
        <v>128.352774058725</v>
      </c>
      <c r="F132" s="77">
        <f>IF('Settings'!$E$15="POINTS",E132-VLOOKUP(B$2,C1:E152,3,FALSE),J132)</f>
        <v>-203.367337707487</v>
      </c>
      <c r="G132" s="77"/>
      <c r="H132" s="223">
        <f>RANK(I132,I3:I152)</f>
        <v>135</v>
      </c>
      <c r="I132" s="77">
        <f>VLOOKUP(A132,'Standard Deviations'!A1:C666,3,FALSE)</f>
        <v>-3.98555042292253</v>
      </c>
      <c r="J132" s="84">
        <f>I132-VLOOKUP(B$2,H1:J152,2,FALSE)</f>
        <v>-10.1808816603752</v>
      </c>
    </row>
    <row r="133" ht="21.25" customHeight="1">
      <c r="A133" t="s" s="10">
        <v>780</v>
      </c>
      <c r="B133" t="s" s="126">
        <f>VLOOKUP(A133,'The List'!B1:D665,3,FALSE)</f>
        <v>178</v>
      </c>
      <c r="C133" s="127">
        <f>IF('Settings'!$E$15="POINTS",RANK(E133,E3:E152),H133)</f>
        <v>134</v>
      </c>
      <c r="D133" t="s" s="86">
        <f>VLOOKUP(A133,'The List'!B1:F665,5,FALSE)</f>
        <v>909</v>
      </c>
      <c r="E133" s="77">
        <f>VLOOKUP(A133,'The List'!B1:I665,8,FALSE)</f>
        <v>148.290871068309</v>
      </c>
      <c r="F133" s="77">
        <f>IF('Settings'!$E$15="POINTS",E133-VLOOKUP(B$2,C1:E152,3,FALSE),J133)</f>
        <v>-183.429240697903</v>
      </c>
      <c r="G133" s="77"/>
      <c r="H133" s="223">
        <f>RANK(I133,I3:I152)</f>
        <v>137</v>
      </c>
      <c r="I133" s="77">
        <f>VLOOKUP(A133,'Standard Deviations'!A1:C666,3,FALSE)</f>
        <v>-4.55320123245052</v>
      </c>
      <c r="J133" s="84">
        <f>I133-VLOOKUP(B$2,H1:J152,2,FALSE)</f>
        <v>-10.7485324699032</v>
      </c>
    </row>
    <row r="134" ht="21.25" customHeight="1">
      <c r="A134" t="s" s="10">
        <v>615</v>
      </c>
      <c r="B134" t="s" s="126">
        <f>VLOOKUP(A134,'The List'!B1:D665,3,FALSE)</f>
        <v>136</v>
      </c>
      <c r="C134" s="127">
        <f>IF('Settings'!$E$15="POINTS",RANK(E134,E3:E152),H134)</f>
        <v>107</v>
      </c>
      <c r="D134" t="s" s="86">
        <f>VLOOKUP(A134,'The List'!B1:F665,5,FALSE)</f>
        <v>165</v>
      </c>
      <c r="E134" s="77">
        <f>VLOOKUP(A134,'The List'!B1:I665,8,FALSE)</f>
        <v>196.907094258462</v>
      </c>
      <c r="F134" s="77">
        <f>IF('Settings'!$E$15="POINTS",E134-VLOOKUP(B$2,C1:E152,3,FALSE),J134)</f>
        <v>-134.813017507750</v>
      </c>
      <c r="G134" s="77"/>
      <c r="H134" s="223">
        <f>RANK(I134,I3:I152)</f>
        <v>116</v>
      </c>
      <c r="I134" s="77">
        <f>VLOOKUP(A134,'Standard Deviations'!A1:C666,3,FALSE)</f>
        <v>-2.71550626164818</v>
      </c>
      <c r="J134" s="84">
        <f>I134-VLOOKUP(B$2,H1:J152,2,FALSE)</f>
        <v>-8.910837499100831</v>
      </c>
    </row>
    <row r="135" ht="21.25" customHeight="1">
      <c r="A135" t="s" s="10">
        <v>747</v>
      </c>
      <c r="B135" t="s" s="126">
        <f>VLOOKUP(A135,'The List'!B1:D665,3,FALSE)</f>
        <v>178</v>
      </c>
      <c r="C135" s="127">
        <f>IF('Settings'!$E$15="POINTS",RANK(E135,E3:E152),H135)</f>
        <v>125</v>
      </c>
      <c r="D135" t="s" s="86">
        <f>VLOOKUP(A135,'The List'!B1:F665,5,FALSE)</f>
        <v>878</v>
      </c>
      <c r="E135" s="77">
        <f>VLOOKUP(A135,'The List'!B1:I665,8,FALSE)</f>
        <v>157.357016166277</v>
      </c>
      <c r="F135" s="77">
        <f>IF('Settings'!$E$15="POINTS",E135-VLOOKUP(B$2,C1:E152,3,FALSE),J135)</f>
        <v>-174.363095599935</v>
      </c>
      <c r="G135" s="77"/>
      <c r="H135" s="223">
        <f>RANK(I135,I3:I152)</f>
        <v>114</v>
      </c>
      <c r="I135" s="77">
        <f>VLOOKUP(A135,'Standard Deviations'!A1:C666,3,FALSE)</f>
        <v>-2.70586830467016</v>
      </c>
      <c r="J135" s="84">
        <f>I135-VLOOKUP(B$2,H1:J152,2,FALSE)</f>
        <v>-8.901199542122811</v>
      </c>
    </row>
    <row r="136" ht="21.25" customHeight="1">
      <c r="A136" t="s" s="10">
        <v>822</v>
      </c>
      <c r="B136" t="s" s="126">
        <f>VLOOKUP(A136,'The List'!B1:D665,3,FALSE)</f>
        <v>178</v>
      </c>
      <c r="C136" s="127">
        <f>IF('Settings'!$E$15="POINTS",RANK(E136,E3:E152),H136)</f>
        <v>142</v>
      </c>
      <c r="D136" t="s" s="86">
        <f>VLOOKUP(A136,'The List'!B1:F665,5,FALSE)</f>
        <v>866</v>
      </c>
      <c r="E136" s="77">
        <f>VLOOKUP(A136,'The List'!B1:I665,8,FALSE)</f>
        <v>132.102358304502</v>
      </c>
      <c r="F136" s="77">
        <f>IF('Settings'!$E$15="POINTS",E136-VLOOKUP(B$2,C1:E152,3,FALSE),J136)</f>
        <v>-199.617753461710</v>
      </c>
      <c r="G136" s="77"/>
      <c r="H136" s="223">
        <f>RANK(I136,I3:I152)</f>
        <v>123</v>
      </c>
      <c r="I136" s="77">
        <f>VLOOKUP(A136,'Standard Deviations'!A1:C666,3,FALSE)</f>
        <v>-3.14538416954506</v>
      </c>
      <c r="J136" s="84">
        <f>I136-VLOOKUP(B$2,H1:J152,2,FALSE)</f>
        <v>-9.34071540699771</v>
      </c>
    </row>
    <row r="137" ht="21.25" customHeight="1">
      <c r="A137" t="s" s="10">
        <v>589</v>
      </c>
      <c r="B137" t="s" s="126">
        <f>VLOOKUP(A137,'The List'!B1:D665,3,FALSE)</f>
        <v>178</v>
      </c>
      <c r="C137" s="127">
        <f>IF('Settings'!$E$15="POINTS",RANK(E137,E3:E152),H137)</f>
        <v>100</v>
      </c>
      <c r="D137" t="s" s="86">
        <f>VLOOKUP(A137,'The List'!B1:F665,5,FALSE)</f>
        <v>911</v>
      </c>
      <c r="E137" s="77">
        <f>VLOOKUP(A137,'The List'!B1:I665,8,FALSE)</f>
        <v>203.743635861770</v>
      </c>
      <c r="F137" s="77">
        <f>IF('Settings'!$E$15="POINTS",E137-VLOOKUP(B$2,C1:E152,3,FALSE),J137)</f>
        <v>-127.976475904442</v>
      </c>
      <c r="G137" s="77"/>
      <c r="H137" s="223">
        <f>RANK(I137,I3:I152)</f>
        <v>133</v>
      </c>
      <c r="I137" s="77">
        <f>VLOOKUP(A137,'Standard Deviations'!A1:C666,3,FALSE)</f>
        <v>-3.89492510834503</v>
      </c>
      <c r="J137" s="84">
        <f>I137-VLOOKUP(B$2,H1:J152,2,FALSE)</f>
        <v>-10.0902563457977</v>
      </c>
    </row>
    <row r="138" ht="21.25" customHeight="1">
      <c r="A138" t="s" s="10">
        <v>509</v>
      </c>
      <c r="B138" t="s" s="126">
        <f>VLOOKUP(A138,'The List'!B1:D665,3,FALSE)</f>
        <v>178</v>
      </c>
      <c r="C138" s="127">
        <f>IF('Settings'!$E$15="POINTS",RANK(E138,E3:E152),H138)</f>
        <v>74</v>
      </c>
      <c r="D138" t="s" s="86">
        <f>VLOOKUP(A138,'The List'!B1:F665,5,FALSE)</f>
        <v>878</v>
      </c>
      <c r="E138" s="77">
        <f>VLOOKUP(A138,'The List'!B1:I665,8,FALSE)</f>
        <v>222.874388845522</v>
      </c>
      <c r="F138" s="77">
        <f>IF('Settings'!$E$15="POINTS",E138-VLOOKUP(B$2,C1:E152,3,FALSE),J138)</f>
        <v>-108.845722920690</v>
      </c>
      <c r="G138" s="77"/>
      <c r="H138" s="223">
        <f>RANK(I138,I3:I152)</f>
        <v>113</v>
      </c>
      <c r="I138" s="77">
        <f>VLOOKUP(A138,'Standard Deviations'!A1:C666,3,FALSE)</f>
        <v>-2.68396187610233</v>
      </c>
      <c r="J138" s="84">
        <f>I138-VLOOKUP(B$2,H1:J152,2,FALSE)</f>
        <v>-8.879293113554979</v>
      </c>
    </row>
    <row r="139" ht="21.25" customHeight="1">
      <c r="A139" t="s" s="10">
        <v>544</v>
      </c>
      <c r="B139" t="s" s="126">
        <f>VLOOKUP(A139,'The List'!B1:D665,3,FALSE)</f>
        <v>178</v>
      </c>
      <c r="C139" s="127">
        <f>IF('Settings'!$E$15="POINTS",RANK(E139,E3:E152),H139)</f>
        <v>85</v>
      </c>
      <c r="D139" t="s" s="86">
        <f>VLOOKUP(A139,'The List'!B1:F665,5,FALSE)</f>
        <v>165</v>
      </c>
      <c r="E139" s="77">
        <f>VLOOKUP(A139,'The List'!B1:I665,8,FALSE)</f>
        <v>213.127893082360</v>
      </c>
      <c r="F139" s="77">
        <f>IF('Settings'!$E$15="POINTS",E139-VLOOKUP(B$2,C1:E152,3,FALSE),J139)</f>
        <v>-118.592218683852</v>
      </c>
      <c r="G139" s="77"/>
      <c r="H139" s="223">
        <f>RANK(I139,I3:I152)</f>
        <v>130</v>
      </c>
      <c r="I139" s="77">
        <f>VLOOKUP(A139,'Standard Deviations'!A1:C666,3,FALSE)</f>
        <v>-3.59990957289193</v>
      </c>
      <c r="J139" s="84">
        <f>I139-VLOOKUP(B$2,H1:J152,2,FALSE)</f>
        <v>-9.79524081034458</v>
      </c>
    </row>
    <row r="140" ht="21.25" customHeight="1">
      <c r="A140" t="s" s="10">
        <v>721</v>
      </c>
      <c r="B140" t="s" s="126">
        <f>VLOOKUP(A140,'The List'!B1:D665,3,FALSE)</f>
        <v>178</v>
      </c>
      <c r="C140" s="127">
        <f>IF('Settings'!$E$15="POINTS",RANK(E140,E3:E152),H140)</f>
        <v>121</v>
      </c>
      <c r="D140" t="s" s="86">
        <f>VLOOKUP(A140,'The List'!B1:F665,5,FALSE)</f>
        <v>156</v>
      </c>
      <c r="E140" s="77">
        <f>VLOOKUP(A140,'The List'!B1:I665,8,FALSE)</f>
        <v>164.503208076347</v>
      </c>
      <c r="F140" s="77">
        <f>IF('Settings'!$E$15="POINTS",E140-VLOOKUP(B$2,C1:E152,3,FALSE),J140)</f>
        <v>-167.216903689865</v>
      </c>
      <c r="G140" s="77"/>
      <c r="H140" s="223">
        <f>RANK(I140,I3:I152)</f>
        <v>132</v>
      </c>
      <c r="I140" s="77">
        <f>VLOOKUP(A140,'Standard Deviations'!A1:C666,3,FALSE)</f>
        <v>-3.69802041584377</v>
      </c>
      <c r="J140" s="84">
        <f>I140-VLOOKUP(B$2,H1:J152,2,FALSE)</f>
        <v>-9.893351653296421</v>
      </c>
    </row>
    <row r="141" ht="21.25" customHeight="1">
      <c r="A141" t="s" s="10">
        <v>424</v>
      </c>
      <c r="B141" t="s" s="126">
        <f>VLOOKUP(A141,'The List'!B1:D665,3,FALSE)</f>
        <v>178</v>
      </c>
      <c r="C141" s="127">
        <f>IF('Settings'!$E$15="POINTS",RANK(E141,E3:E152),H141)</f>
        <v>57</v>
      </c>
      <c r="D141" t="s" s="86">
        <f>VLOOKUP(A141,'The List'!B1:F665,5,FALSE)</f>
        <v>909</v>
      </c>
      <c r="E141" s="77">
        <f>VLOOKUP(A141,'The List'!B1:I665,8,FALSE)</f>
        <v>247.613441342134</v>
      </c>
      <c r="F141" s="77">
        <f>IF('Settings'!$E$15="POINTS",E141-VLOOKUP(B$2,C1:E152,3,FALSE),J141)</f>
        <v>-84.106670424078</v>
      </c>
      <c r="G141" s="77"/>
      <c r="H141" s="223">
        <f>RANK(I141,I3:I152)</f>
        <v>145</v>
      </c>
      <c r="I141" s="77">
        <f>VLOOKUP(A141,'Standard Deviations'!A1:C666,3,FALSE)</f>
        <v>-5.06332324302699</v>
      </c>
      <c r="J141" s="84">
        <f>I141-VLOOKUP(B$2,H1:J152,2,FALSE)</f>
        <v>-11.2586544804796</v>
      </c>
    </row>
    <row r="142" ht="21.25" customHeight="1">
      <c r="A142" t="s" s="10">
        <v>649</v>
      </c>
      <c r="B142" t="s" s="126">
        <f>VLOOKUP(A142,'The List'!B1:D665,3,FALSE)</f>
        <v>178</v>
      </c>
      <c r="C142" s="127">
        <f>IF('Settings'!$E$15="POINTS",RANK(E142,E3:E152),H142)</f>
        <v>113</v>
      </c>
      <c r="D142" t="s" s="86">
        <f>VLOOKUP(A142,'The List'!B1:F665,5,FALSE)</f>
        <v>871</v>
      </c>
      <c r="E142" s="77">
        <f>VLOOKUP(A142,'The List'!B1:I665,8,FALSE)</f>
        <v>186.498150196889</v>
      </c>
      <c r="F142" s="77">
        <f>IF('Settings'!$E$15="POINTS",E142-VLOOKUP(B$2,C1:E152,3,FALSE),J142)</f>
        <v>-145.221961569323</v>
      </c>
      <c r="G142" s="77"/>
      <c r="H142" s="223">
        <f>RANK(I142,I3:I152)</f>
        <v>139</v>
      </c>
      <c r="I142" s="77">
        <f>VLOOKUP(A142,'Standard Deviations'!A1:C666,3,FALSE)</f>
        <v>-4.65161804775824</v>
      </c>
      <c r="J142" s="84">
        <f>I142-VLOOKUP(B$2,H1:J152,2,FALSE)</f>
        <v>-10.8469492852109</v>
      </c>
    </row>
    <row r="143" ht="21.25" customHeight="1">
      <c r="A143" t="s" s="10">
        <v>756</v>
      </c>
      <c r="B143" t="s" s="126">
        <f>VLOOKUP(A143,'The List'!B1:D665,3,FALSE)</f>
        <v>178</v>
      </c>
      <c r="C143" s="127">
        <f>IF('Settings'!$E$15="POINTS",RANK(E143,E3:E152),H143)</f>
        <v>127</v>
      </c>
      <c r="D143" t="s" s="86">
        <f>VLOOKUP(A143,'The List'!B1:F665,5,FALSE)</f>
        <v>866</v>
      </c>
      <c r="E143" s="77">
        <f>VLOOKUP(A143,'The List'!B1:I665,8,FALSE)</f>
        <v>154.841148018791</v>
      </c>
      <c r="F143" s="77">
        <f>IF('Settings'!$E$15="POINTS",E143-VLOOKUP(B$2,C1:E152,3,FALSE),J143)</f>
        <v>-176.878963747421</v>
      </c>
      <c r="G143" s="77"/>
      <c r="H143" s="223">
        <f>RANK(I143,I3:I152)</f>
        <v>136</v>
      </c>
      <c r="I143" s="77">
        <f>VLOOKUP(A143,'Standard Deviations'!A1:C666,3,FALSE)</f>
        <v>-4.48596701648678</v>
      </c>
      <c r="J143" s="84">
        <f>I143-VLOOKUP(B$2,H1:J152,2,FALSE)</f>
        <v>-10.6812982539394</v>
      </c>
    </row>
    <row r="144" ht="21.25" customHeight="1">
      <c r="A144" t="s" s="10">
        <v>825</v>
      </c>
      <c r="B144" t="s" s="126">
        <f>VLOOKUP(A144,'The List'!B1:D665,3,FALSE)</f>
        <v>178</v>
      </c>
      <c r="C144" s="127">
        <f>IF('Settings'!$E$15="POINTS",RANK(E144,E3:E152),H144)</f>
        <v>144</v>
      </c>
      <c r="D144" t="s" s="86">
        <f>VLOOKUP(A144,'The List'!B1:F665,5,FALSE)</f>
        <v>912</v>
      </c>
      <c r="E144" s="77">
        <f>VLOOKUP(A144,'The List'!B1:I665,8,FALSE)</f>
        <v>130.469585872309</v>
      </c>
      <c r="F144" s="77">
        <f>IF('Settings'!$E$15="POINTS",E144-VLOOKUP(B$2,C1:E152,3,FALSE),J144)</f>
        <v>-201.250525893903</v>
      </c>
      <c r="G144" s="77"/>
      <c r="H144" s="223">
        <f>RANK(I144,I3:I152)</f>
        <v>149</v>
      </c>
      <c r="I144" s="77">
        <f>VLOOKUP(A144,'Standard Deviations'!A1:C666,3,FALSE)</f>
        <v>-5.93386827376624</v>
      </c>
      <c r="J144" s="84">
        <f>I144-VLOOKUP(B$2,H1:J152,2,FALSE)</f>
        <v>-12.1291995112189</v>
      </c>
    </row>
    <row r="145" ht="21.25" customHeight="1">
      <c r="A145" t="s" s="10">
        <v>823</v>
      </c>
      <c r="B145" t="s" s="126">
        <f>VLOOKUP(A145,'The List'!B1:D665,3,FALSE)</f>
        <v>178</v>
      </c>
      <c r="C145" s="127">
        <f>IF('Settings'!$E$15="POINTS",RANK(E145,E3:E152),H145)</f>
        <v>143</v>
      </c>
      <c r="D145" t="s" s="86">
        <f>VLOOKUP(A145,'The List'!B1:F665,5,FALSE)</f>
        <v>899</v>
      </c>
      <c r="E145" s="77">
        <f>VLOOKUP(A145,'The List'!B1:I665,8,FALSE)</f>
        <v>131.614817606414</v>
      </c>
      <c r="F145" s="77">
        <f>IF('Settings'!$E$15="POINTS",E145-VLOOKUP(B$2,C1:E152,3,FALSE),J145)</f>
        <v>-200.105294159798</v>
      </c>
      <c r="G145" s="77"/>
      <c r="H145" s="223">
        <f>RANK(I145,I3:I152)</f>
        <v>150</v>
      </c>
      <c r="I145" s="77">
        <f>VLOOKUP(A145,'Standard Deviations'!A1:C666,3,FALSE)</f>
        <v>-6.13511109721973</v>
      </c>
      <c r="J145" s="84">
        <f>I145-VLOOKUP(B$2,H1:J152,2,FALSE)</f>
        <v>-12.3304423346724</v>
      </c>
    </row>
    <row r="146" ht="21.25" customHeight="1">
      <c r="A146" t="s" s="10">
        <v>774</v>
      </c>
      <c r="B146" t="s" s="126">
        <f>VLOOKUP(A146,'The List'!B1:D665,3,FALSE)</f>
        <v>178</v>
      </c>
      <c r="C146" s="127">
        <f>IF('Settings'!$E$15="POINTS",RANK(E146,E3:E152),H146)</f>
        <v>132</v>
      </c>
      <c r="D146" t="s" s="86">
        <f>VLOOKUP(A146,'The List'!B1:F665,5,FALSE)</f>
        <v>149</v>
      </c>
      <c r="E146" s="77">
        <f>VLOOKUP(A146,'The List'!B1:I665,8,FALSE)</f>
        <v>149.955677453038</v>
      </c>
      <c r="F146" s="77">
        <f>IF('Settings'!$E$15="POINTS",E146-VLOOKUP(B$2,C1:E152,3,FALSE),J146)</f>
        <v>-181.764434313174</v>
      </c>
      <c r="G146" s="77"/>
      <c r="H146" s="223">
        <f>RANK(I146,I3:I152)</f>
        <v>146</v>
      </c>
      <c r="I146" s="77">
        <f>VLOOKUP(A146,'Standard Deviations'!A1:C666,3,FALSE)</f>
        <v>-5.17482974204947</v>
      </c>
      <c r="J146" s="84">
        <f>I146-VLOOKUP(B$2,H1:J152,2,FALSE)</f>
        <v>-11.3701609795021</v>
      </c>
    </row>
    <row r="147" ht="21.25" customHeight="1">
      <c r="A147" t="s" s="10">
        <v>842</v>
      </c>
      <c r="B147" t="s" s="126">
        <f>VLOOKUP(A147,'The List'!B1:D665,3,FALSE)</f>
        <v>178</v>
      </c>
      <c r="C147" s="127">
        <f>IF('Settings'!$E$15="POINTS",RANK(E147,E3:E152),H147)</f>
        <v>150</v>
      </c>
      <c r="D147" t="s" s="86">
        <f>VLOOKUP(A147,'The List'!B1:F665,5,FALSE)</f>
        <v>149</v>
      </c>
      <c r="E147" s="77">
        <f>VLOOKUP(A147,'The List'!B1:I665,8,FALSE)</f>
        <v>121.941797678515</v>
      </c>
      <c r="F147" s="77">
        <f>IF('Settings'!$E$15="POINTS",E147-VLOOKUP(B$2,C1:E152,3,FALSE),J147)</f>
        <v>-209.778314087697</v>
      </c>
      <c r="G147" s="77"/>
      <c r="H147" s="223">
        <f>RANK(I147,I3:I152)</f>
        <v>138</v>
      </c>
      <c r="I147" s="77">
        <f>VLOOKUP(A147,'Standard Deviations'!A1:C666,3,FALSE)</f>
        <v>-4.55399736264745</v>
      </c>
      <c r="J147" s="84">
        <f>I147-VLOOKUP(B$2,H1:J152,2,FALSE)</f>
        <v>-10.7493286001001</v>
      </c>
    </row>
    <row r="148" ht="21.25" customHeight="1">
      <c r="A148" t="s" s="10">
        <v>836</v>
      </c>
      <c r="B148" t="s" s="126">
        <f>VLOOKUP(A148,'The List'!B1:D665,3,FALSE)</f>
        <v>136</v>
      </c>
      <c r="C148" s="127">
        <f>IF('Settings'!$E$15="POINTS",RANK(E148,E3:E152),H148)</f>
        <v>147</v>
      </c>
      <c r="D148" t="s" s="86">
        <f>VLOOKUP(A148,'The List'!B1:F665,5,FALSE)</f>
        <v>174</v>
      </c>
      <c r="E148" s="77">
        <f>VLOOKUP(A148,'The List'!B1:I665,8,FALSE)</f>
        <v>123.910965244142</v>
      </c>
      <c r="F148" s="77">
        <f>IF('Settings'!$E$15="POINTS",E148-VLOOKUP(B$2,C1:E152,3,FALSE),J148)</f>
        <v>-207.809146522070</v>
      </c>
      <c r="G148" s="77"/>
      <c r="H148" s="223">
        <f>RANK(I148,I3:I152)</f>
        <v>148</v>
      </c>
      <c r="I148" s="77">
        <f>VLOOKUP(A148,'Standard Deviations'!A1:C666,3,FALSE)</f>
        <v>-5.6626339880688</v>
      </c>
      <c r="J148" s="84">
        <f>I148-VLOOKUP(B$2,H1:J152,2,FALSE)</f>
        <v>-11.8579652255215</v>
      </c>
    </row>
    <row r="149" ht="21.25" customHeight="1">
      <c r="A149" t="s" s="10">
        <v>757</v>
      </c>
      <c r="B149" t="s" s="126">
        <f>VLOOKUP(A149,'The List'!B1:D665,3,FALSE)</f>
        <v>178</v>
      </c>
      <c r="C149" s="127">
        <f>IF('Settings'!$E$15="POINTS",RANK(E149,E3:E152),H149)</f>
        <v>128</v>
      </c>
      <c r="D149" t="s" s="86">
        <f>VLOOKUP(A149,'The List'!B1:F665,5,FALSE)</f>
        <v>174</v>
      </c>
      <c r="E149" s="77">
        <f>VLOOKUP(A149,'The List'!B1:I665,8,FALSE)</f>
        <v>154.537512567508</v>
      </c>
      <c r="F149" s="77">
        <f>IF('Settings'!$E$15="POINTS",E149-VLOOKUP(B$2,C1:E152,3,FALSE),J149)</f>
        <v>-177.182599198704</v>
      </c>
      <c r="G149" s="77"/>
      <c r="H149" s="223">
        <f>RANK(I149,I3:I152)</f>
        <v>134</v>
      </c>
      <c r="I149" s="77">
        <f>VLOOKUP(A149,'Standard Deviations'!A1:C666,3,FALSE)</f>
        <v>-3.89716077733282</v>
      </c>
      <c r="J149" s="84">
        <f>I149-VLOOKUP(B$2,H1:J152,2,FALSE)</f>
        <v>-10.0924920147855</v>
      </c>
    </row>
    <row r="150" ht="21.25" customHeight="1">
      <c r="A150" t="s" s="10">
        <v>841</v>
      </c>
      <c r="B150" t="s" s="126">
        <f>VLOOKUP(A150,'The List'!B1:D665,3,FALSE)</f>
        <v>178</v>
      </c>
      <c r="C150" s="127">
        <f>IF('Settings'!$E$15="POINTS",RANK(E150,E3:E152),H150)</f>
        <v>149</v>
      </c>
      <c r="D150" t="s" s="86">
        <f>VLOOKUP(A150,'The List'!B1:F665,5,FALSE)</f>
        <v>871</v>
      </c>
      <c r="E150" s="77">
        <f>VLOOKUP(A150,'The List'!B1:I665,8,FALSE)</f>
        <v>122.085195576665</v>
      </c>
      <c r="F150" s="77">
        <f>IF('Settings'!$E$15="POINTS",E150-VLOOKUP(B$2,C1:E152,3,FALSE),J150)</f>
        <v>-209.634916189547</v>
      </c>
      <c r="G150" s="77"/>
      <c r="H150" s="223">
        <f>RANK(I150,I3:I152)</f>
        <v>140</v>
      </c>
      <c r="I150" s="77">
        <f>VLOOKUP(A150,'Standard Deviations'!A1:C666,3,FALSE)</f>
        <v>-4.66419324563397</v>
      </c>
      <c r="J150" s="84">
        <f>I150-VLOOKUP(B$2,H1:J152,2,FALSE)</f>
        <v>-10.8595244830866</v>
      </c>
    </row>
    <row r="151" ht="21.25" customHeight="1">
      <c r="A151" t="s" s="10">
        <v>819</v>
      </c>
      <c r="B151" t="s" s="126">
        <f>VLOOKUP(A151,'The List'!B1:D665,3,FALSE)</f>
        <v>178</v>
      </c>
      <c r="C151" s="127">
        <f>IF('Settings'!$E$15="POINTS",RANK(E151,E3:E152),H151)</f>
        <v>141</v>
      </c>
      <c r="D151" t="s" s="86">
        <f>VLOOKUP(A151,'The List'!B1:F665,5,FALSE)</f>
        <v>905</v>
      </c>
      <c r="E151" s="77">
        <f>VLOOKUP(A151,'The List'!B1:I665,8,FALSE)</f>
        <v>133.298219645001</v>
      </c>
      <c r="F151" s="77">
        <f>IF('Settings'!$E$15="POINTS",E151-VLOOKUP(B$2,C1:E152,3,FALSE),J151)</f>
        <v>-198.421892121211</v>
      </c>
      <c r="G151" s="77"/>
      <c r="H151" s="223">
        <f>RANK(I151,I3:I152)</f>
        <v>147</v>
      </c>
      <c r="I151" s="77">
        <f>VLOOKUP(A151,'Standard Deviations'!A1:C666,3,FALSE)</f>
        <v>-5.23975023569871</v>
      </c>
      <c r="J151" s="84">
        <f>I151-VLOOKUP(B$2,H1:J152,2,FALSE)</f>
        <v>-11.4350814731514</v>
      </c>
    </row>
    <row r="152" ht="21.25" customHeight="1">
      <c r="A152" t="s" s="10">
        <v>839</v>
      </c>
      <c r="B152" t="s" s="126">
        <f>VLOOKUP(A152,'The List'!B1:D665,3,FALSE)</f>
        <v>178</v>
      </c>
      <c r="C152" s="127">
        <f>IF('Settings'!$E$15="POINTS",RANK(E152,E3:E152),H152)</f>
        <v>148</v>
      </c>
      <c r="D152" t="s" s="86">
        <f>VLOOKUP(A152,'The List'!B1:F665,5,FALSE)</f>
        <v>149</v>
      </c>
      <c r="E152" s="77">
        <f>VLOOKUP(A152,'The List'!B1:I665,8,FALSE)</f>
        <v>122.392651954841</v>
      </c>
      <c r="F152" s="77">
        <f>IF('Settings'!$E$15="POINTS",E152-VLOOKUP(B$2,C1:E152,3,FALSE),J152)</f>
        <v>-209.327459811371</v>
      </c>
      <c r="G152" s="77"/>
      <c r="H152" s="223">
        <f>RANK(I152,I3:I152)</f>
        <v>142</v>
      </c>
      <c r="I152" s="77">
        <f>VLOOKUP(A152,'Standard Deviations'!A1:C666,3,FALSE)</f>
        <v>-4.85674927805336</v>
      </c>
      <c r="J152" s="84">
        <f>I152-VLOOKUP(B$2,H1:J152,2,FALSE)</f>
        <v>-11.052080515506</v>
      </c>
    </row>
  </sheetData>
  <conditionalFormatting sqref="C3:C152 H3:H152">
    <cfRule type="containsText" dxfId="29" priority="1" stopIfTrue="1" text="/">
      <formula>NOT(ISERROR(FIND(UPPER("/"),UPPER(C3))))</formula>
      <formula>"/"</formula>
    </cfRule>
    <cfRule type="containsText" dxfId="30" priority="2" stopIfTrue="1" text="C">
      <formula>NOT(ISERROR(FIND(UPPER("C"),UPPER(C3))))</formula>
      <formula>"C"</formula>
    </cfRule>
    <cfRule type="containsText" dxfId="31" priority="3" stopIfTrue="1" text="D">
      <formula>NOT(ISERROR(FIND(UPPER("D"),UPPER(C3))))</formula>
      <formula>"D"</formula>
    </cfRule>
    <cfRule type="containsText" dxfId="32" priority="4" stopIfTrue="1" text="LW">
      <formula>NOT(ISERROR(FIND(UPPER("LW"),UPPER(C3))))</formula>
      <formula>"LW"</formula>
    </cfRule>
    <cfRule type="containsText" dxfId="33" priority="5" stopIfTrue="1" text="RW">
      <formula>NOT(ISERROR(FIND(UPPER("RW"),UPPER(C3))))</formula>
      <formula>"RW"</formula>
    </cfRule>
    <cfRule type="containsText" dxfId="34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6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30" customWidth="1"/>
    <col min="2" max="2" width="7.17188" style="230" customWidth="1"/>
    <col min="3" max="3" width="6" style="230" customWidth="1"/>
    <col min="4" max="6" width="8.35156" style="230" customWidth="1"/>
    <col min="7" max="10" width="1.35156" style="230" customWidth="1"/>
    <col min="11" max="16384" width="8" style="230" customWidth="1"/>
  </cols>
  <sheetData>
    <row r="1" ht="28.25" customHeight="1">
      <c r="A1" t="s" s="209">
        <v>895</v>
      </c>
      <c r="B1" t="s" s="210">
        <v>917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'Settings'!F4</f>
        <v>19</v>
      </c>
      <c r="C2" s="218"/>
      <c r="D2" s="219"/>
      <c r="E2" s="220"/>
      <c r="F2" s="220"/>
      <c r="G2" s="220"/>
      <c r="H2" s="225"/>
      <c r="I2" s="231"/>
      <c r="J2" s="226"/>
    </row>
    <row r="3" ht="21.25" customHeight="1">
      <c r="A3" t="s" s="10">
        <v>139</v>
      </c>
      <c r="B3" t="s" s="129">
        <f>VLOOKUP(A3,'The List'!B1:D665,3,FALSE)</f>
        <v>140</v>
      </c>
      <c r="C3" s="130">
        <f>IF('Settings'!$E$15="POINTS",RANK(E3,E3:E136),H3)</f>
        <v>1</v>
      </c>
      <c r="D3" t="s" s="86">
        <f>VLOOKUP(A3,'The List'!B1:F665,5,FALSE)</f>
        <v>866</v>
      </c>
      <c r="E3" s="77">
        <f>VLOOKUP(A3,'The List'!B1:I665,8,FALSE)</f>
        <v>443.587937119207</v>
      </c>
      <c r="F3" s="77">
        <f>IF('Settings'!$E$15="POINTS",E3-VLOOKUP(B$2,C1:E136,3,FALSE),J3)</f>
        <v>113.896043038029</v>
      </c>
      <c r="G3" s="77"/>
      <c r="H3" s="227">
        <f>RANK(I3,I3:I136)</f>
        <v>1</v>
      </c>
      <c r="I3" s="174">
        <f>VLOOKUP(A3,'Standard Deviations'!A1:C666,3,FALSE)</f>
        <v>13.2137748341471</v>
      </c>
      <c r="J3" s="228">
        <f>I3-VLOOKUP(B$2,H1:J136,2,FALSE)</f>
        <v>7.44771002559078</v>
      </c>
    </row>
    <row r="4" ht="21.25" customHeight="1">
      <c r="A4" t="s" s="10">
        <v>142</v>
      </c>
      <c r="B4" t="s" s="129">
        <f>VLOOKUP(A4,'The List'!B1:D665,3,FALSE)</f>
        <v>140</v>
      </c>
      <c r="C4" s="130">
        <f>IF('Settings'!$E$15="POINTS",RANK(E4,E3:E136),H4)</f>
        <v>2</v>
      </c>
      <c r="D4" t="s" s="86">
        <f>VLOOKUP(A4,'The List'!B1:F665,5,FALSE)</f>
        <v>899</v>
      </c>
      <c r="E4" s="77">
        <f>VLOOKUP(A4,'The List'!B1:I665,8,FALSE)</f>
        <v>441.322544136839</v>
      </c>
      <c r="F4" s="77">
        <f>IF('Settings'!$E$15="POINTS",E4-VLOOKUP(B$2,C1:E136,3,FALSE),J4)</f>
        <v>111.630650055661</v>
      </c>
      <c r="G4" s="77"/>
      <c r="H4" s="223">
        <f>RANK(I4,I3:I136)</f>
        <v>2</v>
      </c>
      <c r="I4" s="77">
        <f>VLOOKUP(A4,'Standard Deviations'!A1:C666,3,FALSE)</f>
        <v>12.7557164948618</v>
      </c>
      <c r="J4" s="84">
        <f>I4-VLOOKUP(B$2,H1:J136,2,FALSE)</f>
        <v>6.98965168630548</v>
      </c>
    </row>
    <row r="5" ht="21.25" customHeight="1">
      <c r="A5" t="s" s="10">
        <v>159</v>
      </c>
      <c r="B5" t="s" s="129">
        <f>VLOOKUP(A5,'The List'!B1:D665,3,FALSE)</f>
        <v>140</v>
      </c>
      <c r="C5" s="130">
        <f>IF('Settings'!$E$15="POINTS",RANK(E5,E3:E136),H5)</f>
        <v>5</v>
      </c>
      <c r="D5" t="s" s="86">
        <f>VLOOKUP(A5,'The List'!B1:F665,5,FALSE)</f>
        <v>871</v>
      </c>
      <c r="E5" s="77">
        <f>VLOOKUP(A5,'The List'!B1:I665,8,FALSE)</f>
        <v>419.247272115142</v>
      </c>
      <c r="F5" s="77">
        <f>IF('Settings'!$E$15="POINTS",E5-VLOOKUP(B$2,C1:E136,3,FALSE),J5)</f>
        <v>89.555378033964</v>
      </c>
      <c r="G5" s="77"/>
      <c r="H5" s="223">
        <f>RANK(I5,I3:I136)</f>
        <v>3</v>
      </c>
      <c r="I5" s="77">
        <f>VLOOKUP(A5,'Standard Deviations'!A1:C666,3,FALSE)</f>
        <v>11.9730522774097</v>
      </c>
      <c r="J5" s="84">
        <f>I5-VLOOKUP(B$2,H1:J136,2,FALSE)</f>
        <v>6.20698746885338</v>
      </c>
    </row>
    <row r="6" ht="21.25" customHeight="1">
      <c r="A6" t="s" s="10">
        <v>166</v>
      </c>
      <c r="B6" t="s" s="129">
        <f>VLOOKUP(A6,'The List'!B1:D665,3,FALSE)</f>
        <v>140</v>
      </c>
      <c r="C6" s="130">
        <f>IF('Settings'!$E$15="POINTS",RANK(E6,E3:E136),H6)</f>
        <v>6</v>
      </c>
      <c r="D6" t="s" s="86">
        <f>VLOOKUP(A6,'The List'!B1:F665,5,FALSE)</f>
        <v>132</v>
      </c>
      <c r="E6" s="77">
        <f>VLOOKUP(A6,'The List'!B1:I665,8,FALSE)</f>
        <v>411.658724468524</v>
      </c>
      <c r="F6" s="77">
        <f>IF('Settings'!$E$15="POINTS",E6-VLOOKUP(B$2,C1:E136,3,FALSE),J6)</f>
        <v>81.96683038734599</v>
      </c>
      <c r="G6" s="77"/>
      <c r="H6" s="223">
        <f>RANK(I6,I3:I136)</f>
        <v>5</v>
      </c>
      <c r="I6" s="77">
        <f>VLOOKUP(A6,'Standard Deviations'!A1:C666,3,FALSE)</f>
        <v>11.325545175332</v>
      </c>
      <c r="J6" s="84">
        <f>I6-VLOOKUP(B$2,H1:J136,2,FALSE)</f>
        <v>5.55948036677568</v>
      </c>
    </row>
    <row r="7" ht="21.25" customHeight="1">
      <c r="A7" t="s" s="10">
        <v>147</v>
      </c>
      <c r="B7" t="s" s="129">
        <f>VLOOKUP(A7,'The List'!B1:D665,3,FALSE)</f>
        <v>148</v>
      </c>
      <c r="C7" s="130">
        <f>IF('Settings'!$E$15="POINTS",RANK(E7,E3:E136),H7)</f>
        <v>4</v>
      </c>
      <c r="D7" t="s" s="86">
        <f>VLOOKUP(A7,'The List'!B1:F665,5,FALSE)</f>
        <v>149</v>
      </c>
      <c r="E7" s="77">
        <f>VLOOKUP(A7,'The List'!B1:I665,8,FALSE)</f>
        <v>434.348325800968</v>
      </c>
      <c r="F7" s="77">
        <f>IF('Settings'!$E$15="POINTS",E7-VLOOKUP(B$2,C1:E136,3,FALSE),J7)</f>
        <v>104.656431719790</v>
      </c>
      <c r="G7" s="77"/>
      <c r="H7" s="223">
        <f>RANK(I7,I3:I136)</f>
        <v>4</v>
      </c>
      <c r="I7" s="77">
        <f>VLOOKUP(A7,'Standard Deviations'!A1:C666,3,FALSE)</f>
        <v>11.9174081313296</v>
      </c>
      <c r="J7" s="84">
        <f>I7-VLOOKUP(B$2,H1:J136,2,FALSE)</f>
        <v>6.15134332277328</v>
      </c>
    </row>
    <row r="8" ht="21.25" customHeight="1">
      <c r="A8" t="s" s="10">
        <v>183</v>
      </c>
      <c r="B8" t="s" s="129">
        <f>VLOOKUP(A8,'The List'!B1:D665,3,FALSE)</f>
        <v>140</v>
      </c>
      <c r="C8" s="130">
        <f>IF('Settings'!$E$15="POINTS",RANK(E8,E3:E136),H8)</f>
        <v>7</v>
      </c>
      <c r="D8" t="s" s="86">
        <f>VLOOKUP(A8,'The List'!B1:F665,5,FALSE)</f>
        <v>132</v>
      </c>
      <c r="E8" s="77">
        <f>VLOOKUP(A8,'The List'!B1:I665,8,FALSE)</f>
        <v>386.466461804052</v>
      </c>
      <c r="F8" s="77">
        <f>IF('Settings'!$E$15="POINTS",E8-VLOOKUP(B$2,C1:E136,3,FALSE),J8)</f>
        <v>56.774567722874</v>
      </c>
      <c r="G8" s="77"/>
      <c r="H8" s="223">
        <f>RANK(I8,I3:I136)</f>
        <v>6</v>
      </c>
      <c r="I8" s="77">
        <f>VLOOKUP(A8,'Standard Deviations'!A1:C666,3,FALSE)</f>
        <v>11.1022446751777</v>
      </c>
      <c r="J8" s="84">
        <f>I8-VLOOKUP(B$2,H1:J136,2,FALSE)</f>
        <v>5.33617986662138</v>
      </c>
    </row>
    <row r="9" ht="21.25" customHeight="1">
      <c r="A9" t="s" s="10">
        <v>214</v>
      </c>
      <c r="B9" t="s" s="129">
        <f>VLOOKUP(A9,'The List'!B1:D665,3,FALSE)</f>
        <v>145</v>
      </c>
      <c r="C9" s="130">
        <f>IF('Settings'!$E$15="POINTS",RANK(E9,E3:E136),H9)</f>
        <v>10</v>
      </c>
      <c r="D9" t="s" s="86">
        <f>VLOOKUP(A9,'The List'!B1:F665,5,FALSE)</f>
        <v>154</v>
      </c>
      <c r="E9" s="77">
        <f>VLOOKUP(A9,'The List'!B1:I665,8,FALSE)</f>
        <v>354.148567502498</v>
      </c>
      <c r="F9" s="77">
        <f>IF('Settings'!$E$15="POINTS",E9-VLOOKUP(B$2,C1:E136,3,FALSE),J9)</f>
        <v>24.456673421320</v>
      </c>
      <c r="G9" s="77"/>
      <c r="H9" s="223">
        <f>RANK(I9,I3:I136)</f>
        <v>12</v>
      </c>
      <c r="I9" s="77">
        <f>VLOOKUP(A9,'Standard Deviations'!A1:C666,3,FALSE)</f>
        <v>7.50177593797388</v>
      </c>
      <c r="J9" s="84">
        <f>I9-VLOOKUP(B$2,H1:J136,2,FALSE)</f>
        <v>1.73571112941756</v>
      </c>
    </row>
    <row r="10" ht="21.25" customHeight="1">
      <c r="A10" t="s" s="10">
        <v>250</v>
      </c>
      <c r="B10" t="s" s="129">
        <f>VLOOKUP(A10,'The List'!B1:D665,3,FALSE)</f>
        <v>145</v>
      </c>
      <c r="C10" s="130">
        <f>IF('Settings'!$E$15="POINTS",RANK(E10,E3:E136),H10)</f>
        <v>19</v>
      </c>
      <c r="D10" t="s" s="86">
        <f>VLOOKUP(A10,'The List'!B1:F665,5,FALSE)</f>
        <v>207</v>
      </c>
      <c r="E10" s="77">
        <f>VLOOKUP(A10,'The List'!B1:I665,8,FALSE)</f>
        <v>329.691894081178</v>
      </c>
      <c r="F10" s="77">
        <f>IF('Settings'!$E$15="POINTS",E10-VLOOKUP(B$2,C1:E136,3,FALSE),J10)</f>
        <v>0</v>
      </c>
      <c r="G10" s="77"/>
      <c r="H10" s="223">
        <f>RANK(I10,I3:I136)</f>
        <v>13</v>
      </c>
      <c r="I10" s="77">
        <f>VLOOKUP(A10,'Standard Deviations'!A1:C666,3,FALSE)</f>
        <v>7.3080163776891</v>
      </c>
      <c r="J10" s="84">
        <f>I10-VLOOKUP(B$2,H1:J136,2,FALSE)</f>
        <v>1.54195156913278</v>
      </c>
    </row>
    <row r="11" ht="21.25" customHeight="1">
      <c r="A11" t="s" s="10">
        <v>195</v>
      </c>
      <c r="B11" t="s" s="129">
        <f>VLOOKUP(A11,'The List'!B1:D665,3,FALSE)</f>
        <v>148</v>
      </c>
      <c r="C11" s="130">
        <f>IF('Settings'!$E$15="POINTS",RANK(E11,E3:E136),H11)</f>
        <v>8</v>
      </c>
      <c r="D11" t="s" s="86">
        <f>VLOOKUP(A11,'The List'!B1:F665,5,FALSE)</f>
        <v>900</v>
      </c>
      <c r="E11" s="77">
        <f>VLOOKUP(A11,'The List'!B1:I665,8,FALSE)</f>
        <v>374.535841488805</v>
      </c>
      <c r="F11" s="77">
        <f>IF('Settings'!$E$15="POINTS",E11-VLOOKUP(B$2,C1:E136,3,FALSE),J11)</f>
        <v>44.843947407627</v>
      </c>
      <c r="G11" s="77"/>
      <c r="H11" s="223">
        <f>RANK(I11,I3:I136)</f>
        <v>10</v>
      </c>
      <c r="I11" s="77">
        <f>VLOOKUP(A11,'Standard Deviations'!A1:C666,3,FALSE)</f>
        <v>7.79040001645913</v>
      </c>
      <c r="J11" s="84">
        <f>I11-VLOOKUP(B$2,H1:J136,2,FALSE)</f>
        <v>2.02433520790281</v>
      </c>
    </row>
    <row r="12" ht="21.25" customHeight="1">
      <c r="A12" t="s" s="10">
        <v>144</v>
      </c>
      <c r="B12" t="s" s="129">
        <f>VLOOKUP(A12,'The List'!B1:D665,3,FALSE)</f>
        <v>145</v>
      </c>
      <c r="C12" s="130">
        <f>IF('Settings'!$E$15="POINTS",RANK(E12,E3:E136),H12)</f>
        <v>3</v>
      </c>
      <c r="D12" t="s" s="86">
        <f>VLOOKUP(A12,'The List'!B1:F665,5,FALSE)</f>
        <v>901</v>
      </c>
      <c r="E12" s="77">
        <f>VLOOKUP(A12,'The List'!B1:I665,8,FALSE)</f>
        <v>438.710474226457</v>
      </c>
      <c r="F12" s="77">
        <f>IF('Settings'!$E$15="POINTS",E12-VLOOKUP(B$2,C1:E136,3,FALSE),J12)</f>
        <v>109.018580145279</v>
      </c>
      <c r="G12" s="77"/>
      <c r="H12" s="223">
        <f>RANK(I12,I3:I136)</f>
        <v>8</v>
      </c>
      <c r="I12" s="77">
        <f>VLOOKUP(A12,'Standard Deviations'!A1:C666,3,FALSE)</f>
        <v>8.471995652896309</v>
      </c>
      <c r="J12" s="84">
        <f>I12-VLOOKUP(B$2,H1:J136,2,FALSE)</f>
        <v>2.70593084433999</v>
      </c>
    </row>
    <row r="13" ht="21.25" customHeight="1">
      <c r="A13" t="s" s="10">
        <v>196</v>
      </c>
      <c r="B13" t="s" s="129">
        <f>VLOOKUP(A13,'The List'!B1:D665,3,FALSE)</f>
        <v>145</v>
      </c>
      <c r="C13" s="130">
        <f>IF('Settings'!$E$15="POINTS",RANK(E13,E3:E136),H13)</f>
        <v>9</v>
      </c>
      <c r="D13" t="s" s="86">
        <f>VLOOKUP(A13,'The List'!B1:F665,5,FALSE)</f>
        <v>149</v>
      </c>
      <c r="E13" s="77">
        <f>VLOOKUP(A13,'The List'!B1:I665,8,FALSE)</f>
        <v>373.831208092319</v>
      </c>
      <c r="F13" s="77">
        <f>IF('Settings'!$E$15="POINTS",E13-VLOOKUP(B$2,C1:E136,3,FALSE),J13)</f>
        <v>44.139314011141</v>
      </c>
      <c r="G13" s="77"/>
      <c r="H13" s="223">
        <f>RANK(I13,I3:I136)</f>
        <v>11</v>
      </c>
      <c r="I13" s="77">
        <f>VLOOKUP(A13,'Standard Deviations'!A1:C666,3,FALSE)</f>
        <v>7.74008223059075</v>
      </c>
      <c r="J13" s="84">
        <f>I13-VLOOKUP(B$2,H1:J136,2,FALSE)</f>
        <v>1.97401742203443</v>
      </c>
    </row>
    <row r="14" ht="21.25" customHeight="1">
      <c r="A14" t="s" s="10">
        <v>308</v>
      </c>
      <c r="B14" t="s" s="129">
        <f>VLOOKUP(A14,'The List'!B1:D665,3,FALSE)</f>
        <v>148</v>
      </c>
      <c r="C14" s="130">
        <f>IF('Settings'!$E$15="POINTS",RANK(E14,E3:E136),H14)</f>
        <v>30</v>
      </c>
      <c r="D14" t="s" s="86">
        <f>VLOOKUP(A14,'The List'!B1:F665,5,FALSE)</f>
        <v>909</v>
      </c>
      <c r="E14" s="77">
        <f>VLOOKUP(A14,'The List'!B1:I665,8,FALSE)</f>
        <v>300.588533564741</v>
      </c>
      <c r="F14" s="77">
        <f>IF('Settings'!$E$15="POINTS",E14-VLOOKUP(B$2,C1:E136,3,FALSE),J14)</f>
        <v>-29.103360516437</v>
      </c>
      <c r="G14" s="77"/>
      <c r="H14" s="223">
        <f>RANK(I14,I3:I136)</f>
        <v>25</v>
      </c>
      <c r="I14" s="77">
        <f>VLOOKUP(A14,'Standard Deviations'!A1:C666,3,FALSE)</f>
        <v>4.90694078225459</v>
      </c>
      <c r="J14" s="84">
        <f>I14-VLOOKUP(B$2,H1:J136,2,FALSE)</f>
        <v>-0.85912402630173</v>
      </c>
    </row>
    <row r="15" ht="21.25" customHeight="1">
      <c r="A15" t="s" s="10">
        <v>247</v>
      </c>
      <c r="B15" t="s" s="129">
        <f>VLOOKUP(A15,'The List'!B1:D665,3,FALSE)</f>
        <v>148</v>
      </c>
      <c r="C15" s="130">
        <f>IF('Settings'!$E$15="POINTS",RANK(E15,E3:E136),H15)</f>
        <v>16</v>
      </c>
      <c r="D15" t="s" s="86">
        <f>VLOOKUP(A15,'The List'!B1:F665,5,FALSE)</f>
        <v>900</v>
      </c>
      <c r="E15" s="77">
        <f>VLOOKUP(A15,'The List'!B1:I665,8,FALSE)</f>
        <v>331.720111766212</v>
      </c>
      <c r="F15" s="77">
        <f>IF('Settings'!$E$15="POINTS",E15-VLOOKUP(B$2,C1:E136,3,FALSE),J15)</f>
        <v>2.028217685034</v>
      </c>
      <c r="G15" s="77"/>
      <c r="H15" s="223">
        <f>RANK(I15,I3:I136)</f>
        <v>9</v>
      </c>
      <c r="I15" s="77">
        <f>VLOOKUP(A15,'Standard Deviations'!A1:C666,3,FALSE)</f>
        <v>7.81499894368299</v>
      </c>
      <c r="J15" s="84">
        <f>I15-VLOOKUP(B$2,H1:J136,2,FALSE)</f>
        <v>2.04893413512667</v>
      </c>
    </row>
    <row r="16" ht="21.25" customHeight="1">
      <c r="A16" t="s" s="10">
        <v>219</v>
      </c>
      <c r="B16" t="s" s="129">
        <f>VLOOKUP(A16,'The List'!B1:D665,3,FALSE)</f>
        <v>148</v>
      </c>
      <c r="C16" s="130">
        <f>IF('Settings'!$E$15="POINTS",RANK(E16,E3:E136),H16)</f>
        <v>11</v>
      </c>
      <c r="D16" t="s" s="86">
        <f>VLOOKUP(A16,'The List'!B1:F665,5,FALSE)</f>
        <v>129</v>
      </c>
      <c r="E16" s="77">
        <f>VLOOKUP(A16,'The List'!B1:I665,8,FALSE)</f>
        <v>350.019136310129</v>
      </c>
      <c r="F16" s="77">
        <f>IF('Settings'!$E$15="POINTS",E16-VLOOKUP(B$2,C1:E136,3,FALSE),J16)</f>
        <v>20.327242228951</v>
      </c>
      <c r="G16" s="77"/>
      <c r="H16" s="223">
        <f>RANK(I16,I3:I136)</f>
        <v>7</v>
      </c>
      <c r="I16" s="77">
        <f>VLOOKUP(A16,'Standard Deviations'!A1:C666,3,FALSE)</f>
        <v>9.13526212915516</v>
      </c>
      <c r="J16" s="84">
        <f>I16-VLOOKUP(B$2,H1:J136,2,FALSE)</f>
        <v>3.36919732059884</v>
      </c>
    </row>
    <row r="17" ht="21.25" customHeight="1">
      <c r="A17" t="s" s="10">
        <v>293</v>
      </c>
      <c r="B17" t="s" s="129">
        <f>VLOOKUP(A17,'The List'!B1:D665,3,FALSE)</f>
        <v>148</v>
      </c>
      <c r="C17" s="130">
        <f>IF('Settings'!$E$15="POINTS",RANK(E17,E3:E136),H17)</f>
        <v>26</v>
      </c>
      <c r="D17" t="s" s="86">
        <f>VLOOKUP(A17,'The List'!B1:F665,5,FALSE)</f>
        <v>908</v>
      </c>
      <c r="E17" s="77">
        <f>VLOOKUP(A17,'The List'!B1:I665,8,FALSE)</f>
        <v>306.906004429591</v>
      </c>
      <c r="F17" s="77">
        <f>IF('Settings'!$E$15="POINTS",E17-VLOOKUP(B$2,C1:E136,3,FALSE),J17)</f>
        <v>-22.785889651587</v>
      </c>
      <c r="G17" s="77"/>
      <c r="H17" s="223">
        <f>RANK(I17,I3:I136)</f>
        <v>18</v>
      </c>
      <c r="I17" s="77">
        <f>VLOOKUP(A17,'Standard Deviations'!A1:C666,3,FALSE)</f>
        <v>5.78948174178898</v>
      </c>
      <c r="J17" s="84">
        <f>I17-VLOOKUP(B$2,H1:J136,2,FALSE)</f>
        <v>0.02341693323266</v>
      </c>
    </row>
    <row r="18" ht="21.25" customHeight="1">
      <c r="A18" t="s" s="10">
        <v>291</v>
      </c>
      <c r="B18" t="s" s="129">
        <f>VLOOKUP(A18,'The List'!B1:D665,3,FALSE)</f>
        <v>145</v>
      </c>
      <c r="C18" s="130">
        <f>IF('Settings'!$E$15="POINTS",RANK(E18,E3:E136),H18)</f>
        <v>25</v>
      </c>
      <c r="D18" t="s" s="86">
        <f>VLOOKUP(A18,'The List'!B1:F665,5,FALSE)</f>
        <v>907</v>
      </c>
      <c r="E18" s="77">
        <f>VLOOKUP(A18,'The List'!B1:I665,8,FALSE)</f>
        <v>308.127612095702</v>
      </c>
      <c r="F18" s="77">
        <f>IF('Settings'!$E$15="POINTS",E18-VLOOKUP(B$2,C1:E136,3,FALSE),J18)</f>
        <v>-21.564281985476</v>
      </c>
      <c r="G18" s="77"/>
      <c r="H18" s="223">
        <f>RANK(I18,I3:I136)</f>
        <v>20</v>
      </c>
      <c r="I18" s="77">
        <f>VLOOKUP(A18,'Standard Deviations'!A1:C666,3,FALSE)</f>
        <v>5.44903367425587</v>
      </c>
      <c r="J18" s="84">
        <f>I18-VLOOKUP(B$2,H1:J136,2,FALSE)</f>
        <v>-0.31703113430045</v>
      </c>
    </row>
    <row r="19" ht="21.25" customHeight="1">
      <c r="A19" t="s" s="10">
        <v>252</v>
      </c>
      <c r="B19" t="s" s="129">
        <f>VLOOKUP(A19,'The List'!B1:D665,3,FALSE)</f>
        <v>140</v>
      </c>
      <c r="C19" s="130">
        <f>IF('Settings'!$E$15="POINTS",RANK(E19,E3:E136),H19)</f>
        <v>20</v>
      </c>
      <c r="D19" t="s" s="86">
        <f>VLOOKUP(A19,'The List'!B1:F665,5,FALSE)</f>
        <v>154</v>
      </c>
      <c r="E19" s="77">
        <f>VLOOKUP(A19,'The List'!B1:I665,8,FALSE)</f>
        <v>328.948973168702</v>
      </c>
      <c r="F19" s="77">
        <f>IF('Settings'!$E$15="POINTS",E19-VLOOKUP(B$2,C1:E136,3,FALSE),J19)</f>
        <v>-0.742920912476</v>
      </c>
      <c r="G19" s="77"/>
      <c r="H19" s="223">
        <f>RANK(I19,I3:I136)</f>
        <v>22</v>
      </c>
      <c r="I19" s="77">
        <f>VLOOKUP(A19,'Standard Deviations'!A1:C666,3,FALSE)</f>
        <v>5.11741566362531</v>
      </c>
      <c r="J19" s="84">
        <f>I19-VLOOKUP(B$2,H1:J136,2,FALSE)</f>
        <v>-0.64864914493101</v>
      </c>
    </row>
    <row r="20" ht="21.25" customHeight="1">
      <c r="A20" t="s" s="10">
        <v>310</v>
      </c>
      <c r="B20" t="s" s="129">
        <f>VLOOKUP(A20,'The List'!B1:D665,3,FALSE)</f>
        <v>148</v>
      </c>
      <c r="C20" s="130">
        <f>IF('Settings'!$E$15="POINTS",RANK(E20,E3:E136),H20)</f>
        <v>31</v>
      </c>
      <c r="D20" t="s" s="86">
        <f>VLOOKUP(A20,'The List'!B1:F665,5,FALSE)</f>
        <v>275</v>
      </c>
      <c r="E20" s="77">
        <f>VLOOKUP(A20,'The List'!B1:I665,8,FALSE)</f>
        <v>298.307773346820</v>
      </c>
      <c r="F20" s="77">
        <f>IF('Settings'!$E$15="POINTS",E20-VLOOKUP(B$2,C1:E136,3,FALSE),J20)</f>
        <v>-31.384120734358</v>
      </c>
      <c r="G20" s="77"/>
      <c r="H20" s="223">
        <f>RANK(I20,I3:I136)</f>
        <v>16</v>
      </c>
      <c r="I20" s="77">
        <f>VLOOKUP(A20,'Standard Deviations'!A1:C666,3,FALSE)</f>
        <v>6.01506888006094</v>
      </c>
      <c r="J20" s="84">
        <f>I20-VLOOKUP(B$2,H1:J136,2,FALSE)</f>
        <v>0.24900407150462</v>
      </c>
    </row>
    <row r="21" ht="21.25" customHeight="1">
      <c r="A21" t="s" s="10">
        <v>249</v>
      </c>
      <c r="B21" t="s" s="129">
        <f>VLOOKUP(A21,'The List'!B1:D665,3,FALSE)</f>
        <v>145</v>
      </c>
      <c r="C21" s="130">
        <f>IF('Settings'!$E$15="POINTS",RANK(E21,E3:E136),H21)</f>
        <v>18</v>
      </c>
      <c r="D21" t="s" s="86">
        <f>VLOOKUP(A21,'The List'!B1:F665,5,FALSE)</f>
        <v>902</v>
      </c>
      <c r="E21" s="77">
        <f>VLOOKUP(A21,'The List'!B1:I665,8,FALSE)</f>
        <v>330.466334966661</v>
      </c>
      <c r="F21" s="77">
        <f>IF('Settings'!$E$15="POINTS",E21-VLOOKUP(B$2,C1:E136,3,FALSE),J21)</f>
        <v>0.7744408854830001</v>
      </c>
      <c r="G21" s="77"/>
      <c r="H21" s="223">
        <f>RANK(I21,I3:I136)</f>
        <v>14</v>
      </c>
      <c r="I21" s="77">
        <f>VLOOKUP(A21,'Standard Deviations'!A1:C666,3,FALSE)</f>
        <v>7.18070049133762</v>
      </c>
      <c r="J21" s="84">
        <f>I21-VLOOKUP(B$2,H1:J136,2,FALSE)</f>
        <v>1.4146356827813</v>
      </c>
    </row>
    <row r="22" ht="21.25" customHeight="1">
      <c r="A22" t="s" s="10">
        <v>241</v>
      </c>
      <c r="B22" t="s" s="129">
        <f>VLOOKUP(A22,'The List'!B1:D665,3,FALSE)</f>
        <v>148</v>
      </c>
      <c r="C22" s="130">
        <f>IF('Settings'!$E$15="POINTS",RANK(E22,E3:E136),H22)</f>
        <v>15</v>
      </c>
      <c r="D22" t="s" s="86">
        <f>VLOOKUP(A22,'The List'!B1:F665,5,FALSE)</f>
        <v>910</v>
      </c>
      <c r="E22" s="77">
        <f>VLOOKUP(A22,'The List'!B1:I665,8,FALSE)</f>
        <v>334.098127711234</v>
      </c>
      <c r="F22" s="77">
        <f>IF('Settings'!$E$15="POINTS",E22-VLOOKUP(B$2,C1:E136,3,FALSE),J22)</f>
        <v>4.406233630056</v>
      </c>
      <c r="G22" s="77"/>
      <c r="H22" s="223">
        <f>RANK(I22,I3:I136)</f>
        <v>31</v>
      </c>
      <c r="I22" s="77">
        <f>VLOOKUP(A22,'Standard Deviations'!A1:C666,3,FALSE)</f>
        <v>3.683394045759</v>
      </c>
      <c r="J22" s="84">
        <f>I22-VLOOKUP(B$2,H1:J136,2,FALSE)</f>
        <v>-2.08267076279732</v>
      </c>
    </row>
    <row r="23" ht="21.25" customHeight="1">
      <c r="A23" t="s" s="10">
        <v>228</v>
      </c>
      <c r="B23" t="s" s="129">
        <f>VLOOKUP(A23,'The List'!B1:D665,3,FALSE)</f>
        <v>148</v>
      </c>
      <c r="C23" s="130">
        <f>IF('Settings'!$E$15="POINTS",RANK(E23,E3:E136),H23)</f>
        <v>13</v>
      </c>
      <c r="D23" t="s" s="86">
        <f>VLOOKUP(A23,'The List'!B1:F665,5,FALSE)</f>
        <v>342</v>
      </c>
      <c r="E23" s="77">
        <f>VLOOKUP(A23,'The List'!B1:I665,8,FALSE)</f>
        <v>347.360344458535</v>
      </c>
      <c r="F23" s="77">
        <f>IF('Settings'!$E$15="POINTS",E23-VLOOKUP(B$2,C1:E136,3,FALSE),J23)</f>
        <v>17.668450377357</v>
      </c>
      <c r="G23" s="77"/>
      <c r="H23" s="223">
        <f>RANK(I23,I3:I136)</f>
        <v>17</v>
      </c>
      <c r="I23" s="77">
        <f>VLOOKUP(A23,'Standard Deviations'!A1:C666,3,FALSE)</f>
        <v>5.8995100982243</v>
      </c>
      <c r="J23" s="84">
        <f>I23-VLOOKUP(B$2,H1:J136,2,FALSE)</f>
        <v>0.13344528966798</v>
      </c>
    </row>
    <row r="24" ht="21.25" customHeight="1">
      <c r="A24" t="s" s="10">
        <v>224</v>
      </c>
      <c r="B24" t="s" s="129">
        <f>VLOOKUP(A24,'The List'!B1:D665,3,FALSE)</f>
        <v>145</v>
      </c>
      <c r="C24" s="130">
        <f>IF('Settings'!$E$15="POINTS",RANK(E24,E3:E136),H24)</f>
        <v>12</v>
      </c>
      <c r="D24" t="s" s="86">
        <f>VLOOKUP(A24,'The List'!B1:F665,5,FALSE)</f>
        <v>267</v>
      </c>
      <c r="E24" s="77">
        <f>VLOOKUP(A24,'The List'!B1:I665,8,FALSE)</f>
        <v>347.542979555274</v>
      </c>
      <c r="F24" s="77">
        <f>IF('Settings'!$E$15="POINTS",E24-VLOOKUP(B$2,C1:E136,3,FALSE),J24)</f>
        <v>17.851085474096</v>
      </c>
      <c r="G24" s="77"/>
      <c r="H24" s="223">
        <f>RANK(I24,I3:I136)</f>
        <v>19</v>
      </c>
      <c r="I24" s="77">
        <f>VLOOKUP(A24,'Standard Deviations'!A1:C666,3,FALSE)</f>
        <v>5.76606480855632</v>
      </c>
      <c r="J24" s="84">
        <f>I24-VLOOKUP(B$2,H1:J136,2,FALSE)</f>
        <v>0</v>
      </c>
    </row>
    <row r="25" ht="21.25" customHeight="1">
      <c r="A25" t="s" s="10">
        <v>298</v>
      </c>
      <c r="B25" t="s" s="129">
        <f>VLOOKUP(A25,'The List'!B1:D665,3,FALSE)</f>
        <v>140</v>
      </c>
      <c r="C25" s="130">
        <f>IF('Settings'!$E$15="POINTS",RANK(E25,E3:E136),H25)</f>
        <v>28</v>
      </c>
      <c r="D25" t="s" s="86">
        <f>VLOOKUP(A25,'The List'!B1:F665,5,FALSE)</f>
        <v>259</v>
      </c>
      <c r="E25" s="77">
        <f>VLOOKUP(A25,'The List'!B1:I665,8,FALSE)</f>
        <v>305.569612734609</v>
      </c>
      <c r="F25" s="77">
        <f>IF('Settings'!$E$15="POINTS",E25-VLOOKUP(B$2,C1:E136,3,FALSE),J25)</f>
        <v>-24.122281346569</v>
      </c>
      <c r="G25" s="77"/>
      <c r="H25" s="223">
        <f>RANK(I25,I3:I136)</f>
        <v>26</v>
      </c>
      <c r="I25" s="77">
        <f>VLOOKUP(A25,'Standard Deviations'!A1:C666,3,FALSE)</f>
        <v>4.89108982395752</v>
      </c>
      <c r="J25" s="84">
        <f>I25-VLOOKUP(B$2,H1:J136,2,FALSE)</f>
        <v>-0.8749749845988</v>
      </c>
    </row>
    <row r="26" ht="21.25" customHeight="1">
      <c r="A26" t="s" s="10">
        <v>262</v>
      </c>
      <c r="B26" t="s" s="129">
        <f>VLOOKUP(A26,'The List'!B1:D665,3,FALSE)</f>
        <v>148</v>
      </c>
      <c r="C26" s="130">
        <f>IF('Settings'!$E$15="POINTS",RANK(E26,E3:E136),H26)</f>
        <v>22</v>
      </c>
      <c r="D26" t="s" s="86">
        <f>VLOOKUP(A26,'The List'!B1:F665,5,FALSE)</f>
        <v>866</v>
      </c>
      <c r="E26" s="77">
        <f>VLOOKUP(A26,'The List'!B1:I665,8,FALSE)</f>
        <v>321.741508062660</v>
      </c>
      <c r="F26" s="77">
        <f>IF('Settings'!$E$15="POINTS",E26-VLOOKUP(B$2,C1:E136,3,FALSE),J26)</f>
        <v>-7.950386018518</v>
      </c>
      <c r="G26" s="77"/>
      <c r="H26" s="223">
        <f>RANK(I26,I3:I136)</f>
        <v>21</v>
      </c>
      <c r="I26" s="77">
        <f>VLOOKUP(A26,'Standard Deviations'!A1:C666,3,FALSE)</f>
        <v>5.35801486708004</v>
      </c>
      <c r="J26" s="84">
        <f>I26-VLOOKUP(B$2,H1:J136,2,FALSE)</f>
        <v>-0.40804994147628</v>
      </c>
    </row>
    <row r="27" ht="21.25" customHeight="1">
      <c r="A27" t="s" s="10">
        <v>286</v>
      </c>
      <c r="B27" t="s" s="129">
        <f>VLOOKUP(A27,'The List'!B1:D665,3,FALSE)</f>
        <v>148</v>
      </c>
      <c r="C27" s="130">
        <f>IF('Settings'!$E$15="POINTS",RANK(E27,E3:E136),H27)</f>
        <v>24</v>
      </c>
      <c r="D27" t="s" s="86">
        <f>VLOOKUP(A27,'The List'!B1:F665,5,FALSE)</f>
        <v>156</v>
      </c>
      <c r="E27" s="77">
        <f>VLOOKUP(A27,'The List'!B1:I665,8,FALSE)</f>
        <v>311.185759768805</v>
      </c>
      <c r="F27" s="77">
        <f>IF('Settings'!$E$15="POINTS",E27-VLOOKUP(B$2,C1:E136,3,FALSE),J27)</f>
        <v>-18.506134312373</v>
      </c>
      <c r="G27" s="77"/>
      <c r="H27" s="223">
        <f>RANK(I27,I3:I136)</f>
        <v>28</v>
      </c>
      <c r="I27" s="77">
        <f>VLOOKUP(A27,'Standard Deviations'!A1:C666,3,FALSE)</f>
        <v>4.52385699241967</v>
      </c>
      <c r="J27" s="84">
        <f>I27-VLOOKUP(B$2,H1:J136,2,FALSE)</f>
        <v>-1.24220781613665</v>
      </c>
    </row>
    <row r="28" ht="21.25" customHeight="1">
      <c r="A28" t="s" s="10">
        <v>236</v>
      </c>
      <c r="B28" t="s" s="129">
        <f>VLOOKUP(A28,'The List'!B1:D665,3,FALSE)</f>
        <v>145</v>
      </c>
      <c r="C28" s="130">
        <f>IF('Settings'!$E$15="POINTS",RANK(E28,E3:E136),H28)</f>
        <v>14</v>
      </c>
      <c r="D28" t="s" s="86">
        <f>VLOOKUP(A28,'The List'!B1:F665,5,FALSE)</f>
        <v>342</v>
      </c>
      <c r="E28" s="77">
        <f>VLOOKUP(A28,'The List'!B1:I665,8,FALSE)</f>
        <v>337.649822652502</v>
      </c>
      <c r="F28" s="77">
        <f>IF('Settings'!$E$15="POINTS",E28-VLOOKUP(B$2,C1:E136,3,FALSE),J28)</f>
        <v>7.957928571324</v>
      </c>
      <c r="G28" s="77"/>
      <c r="H28" s="223">
        <f>RANK(I28,I3:I136)</f>
        <v>15</v>
      </c>
      <c r="I28" s="77">
        <f>VLOOKUP(A28,'Standard Deviations'!A1:C666,3,FALSE)</f>
        <v>6.49877902735164</v>
      </c>
      <c r="J28" s="84">
        <f>I28-VLOOKUP(B$2,H1:J136,2,FALSE)</f>
        <v>0.7327142187953199</v>
      </c>
    </row>
    <row r="29" ht="21.25" customHeight="1">
      <c r="A29" t="s" s="10">
        <v>306</v>
      </c>
      <c r="B29" t="s" s="129">
        <f>VLOOKUP(A29,'The List'!B1:D665,3,FALSE)</f>
        <v>148</v>
      </c>
      <c r="C29" s="130">
        <f>IF('Settings'!$E$15="POINTS",RANK(E29,E3:E136),H29)</f>
        <v>29</v>
      </c>
      <c r="D29" t="s" s="86">
        <f>VLOOKUP(A29,'The List'!B1:F665,5,FALSE)</f>
        <v>156</v>
      </c>
      <c r="E29" s="77">
        <f>VLOOKUP(A29,'The List'!B1:I665,8,FALSE)</f>
        <v>302.120509318090</v>
      </c>
      <c r="F29" s="77">
        <f>IF('Settings'!$E$15="POINTS",E29-VLOOKUP(B$2,C1:E136,3,FALSE),J29)</f>
        <v>-27.571384763088</v>
      </c>
      <c r="G29" s="77"/>
      <c r="H29" s="223">
        <f>RANK(I29,I3:I136)</f>
        <v>37</v>
      </c>
      <c r="I29" s="77">
        <f>VLOOKUP(A29,'Standard Deviations'!A1:C666,3,FALSE)</f>
        <v>3.18788634863182</v>
      </c>
      <c r="J29" s="84">
        <f>I29-VLOOKUP(B$2,H1:J136,2,FALSE)</f>
        <v>-2.5781784599245</v>
      </c>
    </row>
    <row r="30" ht="21.25" customHeight="1">
      <c r="A30" t="s" s="10">
        <v>296</v>
      </c>
      <c r="B30" t="s" s="129">
        <f>VLOOKUP(A30,'The List'!B1:D665,3,FALSE)</f>
        <v>140</v>
      </c>
      <c r="C30" s="130">
        <f>IF('Settings'!$E$15="POINTS",RANK(E30,E3:E136),H30)</f>
        <v>27</v>
      </c>
      <c r="D30" t="s" s="86">
        <f>VLOOKUP(A30,'The List'!B1:F665,5,FALSE)</f>
        <v>165</v>
      </c>
      <c r="E30" s="77">
        <f>VLOOKUP(A30,'The List'!B1:I665,8,FALSE)</f>
        <v>306.478660755373</v>
      </c>
      <c r="F30" s="77">
        <f>IF('Settings'!$E$15="POINTS",E30-VLOOKUP(B$2,C1:E136,3,FALSE),J30)</f>
        <v>-23.213233325805</v>
      </c>
      <c r="G30" s="77"/>
      <c r="H30" s="223">
        <f>RANK(I30,I3:I136)</f>
        <v>29</v>
      </c>
      <c r="I30" s="77">
        <f>VLOOKUP(A30,'Standard Deviations'!A1:C666,3,FALSE)</f>
        <v>4.4848331879569</v>
      </c>
      <c r="J30" s="84">
        <f>I30-VLOOKUP(B$2,H1:J136,2,FALSE)</f>
        <v>-1.28123162059942</v>
      </c>
    </row>
    <row r="31" ht="21.25" customHeight="1">
      <c r="A31" t="s" s="10">
        <v>248</v>
      </c>
      <c r="B31" t="s" s="129">
        <f>VLOOKUP(A31,'The List'!B1:D665,3,FALSE)</f>
        <v>148</v>
      </c>
      <c r="C31" s="130">
        <f>IF('Settings'!$E$15="POINTS",RANK(E31,E3:E136),H31)</f>
        <v>17</v>
      </c>
      <c r="D31" t="s" s="86">
        <f>VLOOKUP(A31,'The List'!B1:F665,5,FALSE)</f>
        <v>910</v>
      </c>
      <c r="E31" s="77">
        <f>VLOOKUP(A31,'The List'!B1:I665,8,FALSE)</f>
        <v>331.526586077197</v>
      </c>
      <c r="F31" s="77">
        <f>IF('Settings'!$E$15="POINTS",E31-VLOOKUP(B$2,C1:E136,3,FALSE),J31)</f>
        <v>1.834691996019</v>
      </c>
      <c r="G31" s="77"/>
      <c r="H31" s="223">
        <f>RANK(I31,I3:I136)</f>
        <v>36</v>
      </c>
      <c r="I31" s="77">
        <f>VLOOKUP(A31,'Standard Deviations'!A1:C666,3,FALSE)</f>
        <v>3.1888434956216</v>
      </c>
      <c r="J31" s="84">
        <f>I31-VLOOKUP(B$2,H1:J136,2,FALSE)</f>
        <v>-2.57722131293472</v>
      </c>
    </row>
    <row r="32" ht="21.25" customHeight="1">
      <c r="A32" t="s" s="10">
        <v>273</v>
      </c>
      <c r="B32" t="s" s="129">
        <f>VLOOKUP(A32,'The List'!B1:D665,3,FALSE)</f>
        <v>148</v>
      </c>
      <c r="C32" s="130">
        <f>IF('Settings'!$E$15="POINTS",RANK(E32,E3:E136),H32)</f>
        <v>23</v>
      </c>
      <c r="D32" t="s" s="86">
        <f>VLOOKUP(A32,'The List'!B1:F665,5,FALSE)</f>
        <v>901</v>
      </c>
      <c r="E32" s="77">
        <f>VLOOKUP(A32,'The List'!B1:I665,8,FALSE)</f>
        <v>316.787179073946</v>
      </c>
      <c r="F32" s="77">
        <f>IF('Settings'!$E$15="POINTS",E32-VLOOKUP(B$2,C1:E136,3,FALSE),J32)</f>
        <v>-12.904715007232</v>
      </c>
      <c r="G32" s="77"/>
      <c r="H32" s="223">
        <f>RANK(I32,I3:I136)</f>
        <v>24</v>
      </c>
      <c r="I32" s="77">
        <f>VLOOKUP(A32,'Standard Deviations'!A1:C666,3,FALSE)</f>
        <v>4.92796906091226</v>
      </c>
      <c r="J32" s="84">
        <f>I32-VLOOKUP(B$2,H1:J136,2,FALSE)</f>
        <v>-0.83809574764406</v>
      </c>
    </row>
    <row r="33" ht="21.25" customHeight="1">
      <c r="A33" t="s" s="10">
        <v>446</v>
      </c>
      <c r="B33" t="s" s="129">
        <f>VLOOKUP(A33,'The List'!B1:D665,3,FALSE)</f>
        <v>140</v>
      </c>
      <c r="C33" s="130">
        <f>IF('Settings'!$E$15="POINTS",RANK(E33,E3:E136),H33)</f>
        <v>58</v>
      </c>
      <c r="D33" t="s" s="86">
        <f>VLOOKUP(A33,'The List'!B1:F665,5,FALSE)</f>
        <v>156</v>
      </c>
      <c r="E33" s="77">
        <f>VLOOKUP(A33,'The List'!B1:I665,8,FALSE)</f>
        <v>241.867105108624</v>
      </c>
      <c r="F33" s="77">
        <f>IF('Settings'!$E$15="POINTS",E33-VLOOKUP(B$2,C1:E136,3,FALSE),J33)</f>
        <v>-87.824788972554</v>
      </c>
      <c r="G33" s="77"/>
      <c r="H33" s="223">
        <f>RANK(I33,I3:I136)</f>
        <v>41</v>
      </c>
      <c r="I33" s="77">
        <f>VLOOKUP(A33,'Standard Deviations'!A1:C666,3,FALSE)</f>
        <v>2.6586913573416</v>
      </c>
      <c r="J33" s="84">
        <f>I33-VLOOKUP(B$2,H1:J136,2,FALSE)</f>
        <v>-3.10737345121472</v>
      </c>
    </row>
    <row r="34" ht="21.25" customHeight="1">
      <c r="A34" t="s" s="10">
        <v>410</v>
      </c>
      <c r="B34" t="s" s="129">
        <f>VLOOKUP(A34,'The List'!B1:D665,3,FALSE)</f>
        <v>140</v>
      </c>
      <c r="C34" s="130">
        <f>IF('Settings'!$E$15="POINTS",RANK(E34,E3:E136),H34)</f>
        <v>47</v>
      </c>
      <c r="D34" t="s" s="86">
        <f>VLOOKUP(A34,'The List'!B1:F665,5,FALSE)</f>
        <v>903</v>
      </c>
      <c r="E34" s="77">
        <f>VLOOKUP(A34,'The List'!B1:I665,8,FALSE)</f>
        <v>253.966436493610</v>
      </c>
      <c r="F34" s="77">
        <f>IF('Settings'!$E$15="POINTS",E34-VLOOKUP(B$2,C1:E136,3,FALSE),J34)</f>
        <v>-75.725457587568</v>
      </c>
      <c r="G34" s="77"/>
      <c r="H34" s="223">
        <f>RANK(I34,I3:I136)</f>
        <v>40</v>
      </c>
      <c r="I34" s="77">
        <f>VLOOKUP(A34,'Standard Deviations'!A1:C666,3,FALSE)</f>
        <v>2.72588080498184</v>
      </c>
      <c r="J34" s="84">
        <f>I34-VLOOKUP(B$2,H1:J136,2,FALSE)</f>
        <v>-3.04018400357448</v>
      </c>
    </row>
    <row r="35" ht="21.25" customHeight="1">
      <c r="A35" t="s" s="10">
        <v>404</v>
      </c>
      <c r="B35" t="s" s="129">
        <f>VLOOKUP(A35,'The List'!B1:D665,3,FALSE)</f>
        <v>145</v>
      </c>
      <c r="C35" s="130">
        <f>IF('Settings'!$E$15="POINTS",RANK(E35,E3:E136),H35)</f>
        <v>46</v>
      </c>
      <c r="D35" t="s" s="86">
        <f>VLOOKUP(A35,'The List'!B1:F665,5,FALSE)</f>
        <v>912</v>
      </c>
      <c r="E35" s="77">
        <f>VLOOKUP(A35,'The List'!B1:I665,8,FALSE)</f>
        <v>258.075093138858</v>
      </c>
      <c r="F35" s="77">
        <f>IF('Settings'!$E$15="POINTS",E35-VLOOKUP(B$2,C1:E136,3,FALSE),J35)</f>
        <v>-71.616800942320</v>
      </c>
      <c r="G35" s="77"/>
      <c r="H35" s="223">
        <f>RANK(I35,I3:I136)</f>
        <v>51</v>
      </c>
      <c r="I35" s="77">
        <f>VLOOKUP(A35,'Standard Deviations'!A1:C666,3,FALSE)</f>
        <v>1.93583717795528</v>
      </c>
      <c r="J35" s="84">
        <f>I35-VLOOKUP(B$2,H1:J136,2,FALSE)</f>
        <v>-3.83022763060104</v>
      </c>
    </row>
    <row r="36" ht="21.25" customHeight="1">
      <c r="A36" t="s" s="10">
        <v>607</v>
      </c>
      <c r="B36" t="s" s="129">
        <f>VLOOKUP(A36,'The List'!B1:D665,3,FALSE)</f>
        <v>140</v>
      </c>
      <c r="C36" s="130">
        <f>IF('Settings'!$E$15="POINTS",RANK(E36,E3:E136),H36)</f>
        <v>82</v>
      </c>
      <c r="D36" t="s" s="86">
        <f>VLOOKUP(A36,'The List'!B1:F665,5,FALSE)</f>
        <v>871</v>
      </c>
      <c r="E36" s="77">
        <f>VLOOKUP(A36,'The List'!B1:I665,8,FALSE)</f>
        <v>198.530842406313</v>
      </c>
      <c r="F36" s="77">
        <f>IF('Settings'!$E$15="POINTS",E36-VLOOKUP(B$2,C1:E136,3,FALSE),J36)</f>
        <v>-131.161051674865</v>
      </c>
      <c r="G36" s="77"/>
      <c r="H36" s="223">
        <f>RANK(I36,I3:I136)</f>
        <v>63</v>
      </c>
      <c r="I36" s="77">
        <f>VLOOKUP(A36,'Standard Deviations'!A1:C666,3,FALSE)</f>
        <v>0.456515136680573</v>
      </c>
      <c r="J36" s="84">
        <f>I36-VLOOKUP(B$2,H1:J136,2,FALSE)</f>
        <v>-5.30954967187575</v>
      </c>
    </row>
    <row r="37" ht="21.25" customHeight="1">
      <c r="A37" t="s" s="10">
        <v>358</v>
      </c>
      <c r="B37" t="s" s="129">
        <f>VLOOKUP(A37,'The List'!B1:D665,3,FALSE)</f>
        <v>140</v>
      </c>
      <c r="C37" s="130">
        <f>IF('Settings'!$E$15="POINTS",RANK(E37,E3:E136),H37)</f>
        <v>37</v>
      </c>
      <c r="D37" t="s" s="86">
        <f>VLOOKUP(A37,'The List'!B1:F665,5,FALSE)</f>
        <v>901</v>
      </c>
      <c r="E37" s="77">
        <f>VLOOKUP(A37,'The List'!B1:I665,8,FALSE)</f>
        <v>276.521261673615</v>
      </c>
      <c r="F37" s="77">
        <f>IF('Settings'!$E$15="POINTS",E37-VLOOKUP(B$2,C1:E136,3,FALSE),J37)</f>
        <v>-53.170632407563</v>
      </c>
      <c r="G37" s="77"/>
      <c r="H37" s="223">
        <f>RANK(I37,I3:I136)</f>
        <v>23</v>
      </c>
      <c r="I37" s="77">
        <f>VLOOKUP(A37,'Standard Deviations'!A1:C666,3,FALSE)</f>
        <v>4.95172624905608</v>
      </c>
      <c r="J37" s="84">
        <f>I37-VLOOKUP(B$2,H1:J136,2,FALSE)</f>
        <v>-0.81433855950024</v>
      </c>
    </row>
    <row r="38" ht="21.25" customHeight="1">
      <c r="A38" t="s" s="10">
        <v>343</v>
      </c>
      <c r="B38" t="s" s="129">
        <f>VLOOKUP(A38,'The List'!B1:D665,3,FALSE)</f>
        <v>145</v>
      </c>
      <c r="C38" s="130">
        <f>IF('Settings'!$E$15="POINTS",RANK(E38,E3:E136),H38)</f>
        <v>34</v>
      </c>
      <c r="D38" t="s" s="86">
        <f>VLOOKUP(A38,'The List'!B1:F665,5,FALSE)</f>
        <v>342</v>
      </c>
      <c r="E38" s="77">
        <f>VLOOKUP(A38,'The List'!B1:I665,8,FALSE)</f>
        <v>281.577108864490</v>
      </c>
      <c r="F38" s="77">
        <f>IF('Settings'!$E$15="POINTS",E38-VLOOKUP(B$2,C1:E136,3,FALSE),J38)</f>
        <v>-48.114785216688</v>
      </c>
      <c r="G38" s="77"/>
      <c r="H38" s="223">
        <f>RANK(I38,I3:I136)</f>
        <v>27</v>
      </c>
      <c r="I38" s="77">
        <f>VLOOKUP(A38,'Standard Deviations'!A1:C666,3,FALSE)</f>
        <v>4.63968199030756</v>
      </c>
      <c r="J38" s="84">
        <f>I38-VLOOKUP(B$2,H1:J136,2,FALSE)</f>
        <v>-1.12638281824876</v>
      </c>
    </row>
    <row r="39" ht="21.25" customHeight="1">
      <c r="A39" t="s" s="10">
        <v>403</v>
      </c>
      <c r="B39" t="s" s="129">
        <f>VLOOKUP(A39,'The List'!B1:D665,3,FALSE)</f>
        <v>140</v>
      </c>
      <c r="C39" s="130">
        <f>IF('Settings'!$E$15="POINTS",RANK(E39,E3:E136),H39)</f>
        <v>45</v>
      </c>
      <c r="D39" t="s" s="86">
        <f>VLOOKUP(A39,'The List'!B1:F665,5,FALSE)</f>
        <v>154</v>
      </c>
      <c r="E39" s="77">
        <f>VLOOKUP(A39,'The List'!B1:I665,8,FALSE)</f>
        <v>258.474524297259</v>
      </c>
      <c r="F39" s="77">
        <f>IF('Settings'!$E$15="POINTS",E39-VLOOKUP(B$2,C1:E136,3,FALSE),J39)</f>
        <v>-71.217369783919</v>
      </c>
      <c r="G39" s="77"/>
      <c r="H39" s="223">
        <f>RANK(I39,I3:I136)</f>
        <v>33</v>
      </c>
      <c r="I39" s="77">
        <f>VLOOKUP(A39,'Standard Deviations'!A1:C666,3,FALSE)</f>
        <v>3.3579003618021</v>
      </c>
      <c r="J39" s="84">
        <f>I39-VLOOKUP(B$2,H1:J136,2,FALSE)</f>
        <v>-2.40816444675422</v>
      </c>
    </row>
    <row r="40" ht="21.25" customHeight="1">
      <c r="A40" t="s" s="10">
        <v>375</v>
      </c>
      <c r="B40" t="s" s="129">
        <f>VLOOKUP(A40,'The List'!B1:D665,3,FALSE)</f>
        <v>145</v>
      </c>
      <c r="C40" s="130">
        <f>IF('Settings'!$E$15="POINTS",RANK(E40,E3:E136),H40)</f>
        <v>40</v>
      </c>
      <c r="D40" t="s" s="86">
        <f>VLOOKUP(A40,'The List'!B1:F665,5,FALSE)</f>
        <v>174</v>
      </c>
      <c r="E40" s="77">
        <f>VLOOKUP(A40,'The List'!B1:I665,8,FALSE)</f>
        <v>269.588445524555</v>
      </c>
      <c r="F40" s="77">
        <f>IF('Settings'!$E$15="POINTS",E40-VLOOKUP(B$2,C1:E136,3,FALSE),J40)</f>
        <v>-60.103448556623</v>
      </c>
      <c r="G40" s="77"/>
      <c r="H40" s="223">
        <f>RANK(I40,I3:I136)</f>
        <v>46</v>
      </c>
      <c r="I40" s="77">
        <f>VLOOKUP(A40,'Standard Deviations'!A1:C666,3,FALSE)</f>
        <v>2.2861546248777</v>
      </c>
      <c r="J40" s="84">
        <f>I40-VLOOKUP(B$2,H1:J136,2,FALSE)</f>
        <v>-3.47991018367862</v>
      </c>
    </row>
    <row r="41" ht="21.25" customHeight="1">
      <c r="A41" t="s" s="10">
        <v>432</v>
      </c>
      <c r="B41" t="s" s="129">
        <f>VLOOKUP(A41,'The List'!B1:D665,3,FALSE)</f>
        <v>145</v>
      </c>
      <c r="C41" s="130">
        <f>IF('Settings'!$E$15="POINTS",RANK(E41,E3:E136),H41)</f>
        <v>52</v>
      </c>
      <c r="D41" t="s" s="86">
        <f>VLOOKUP(A41,'The List'!B1:F665,5,FALSE)</f>
        <v>908</v>
      </c>
      <c r="E41" s="77">
        <f>VLOOKUP(A41,'The List'!B1:I665,8,FALSE)</f>
        <v>246.559075242969</v>
      </c>
      <c r="F41" s="77">
        <f>IF('Settings'!$E$15="POINTS",E41-VLOOKUP(B$2,C1:E136,3,FALSE),J41)</f>
        <v>-83.132818838209</v>
      </c>
      <c r="G41" s="77"/>
      <c r="H41" s="223">
        <f>RANK(I41,I3:I136)</f>
        <v>38</v>
      </c>
      <c r="I41" s="77">
        <f>VLOOKUP(A41,'Standard Deviations'!A1:C666,3,FALSE)</f>
        <v>2.93786437389904</v>
      </c>
      <c r="J41" s="84">
        <f>I41-VLOOKUP(B$2,H1:J136,2,FALSE)</f>
        <v>-2.82820043465728</v>
      </c>
    </row>
    <row r="42" ht="21.25" customHeight="1">
      <c r="A42" t="s" s="10">
        <v>383</v>
      </c>
      <c r="B42" t="s" s="129">
        <f>VLOOKUP(A42,'The List'!B1:D665,3,FALSE)</f>
        <v>148</v>
      </c>
      <c r="C42" s="130">
        <f>IF('Settings'!$E$15="POINTS",RANK(E42,E3:E136),H42)</f>
        <v>43</v>
      </c>
      <c r="D42" t="s" s="86">
        <f>VLOOKUP(A42,'The List'!B1:F665,5,FALSE)</f>
        <v>913</v>
      </c>
      <c r="E42" s="77">
        <f>VLOOKUP(A42,'The List'!B1:I665,8,FALSE)</f>
        <v>266.708586778935</v>
      </c>
      <c r="F42" s="77">
        <f>IF('Settings'!$E$15="POINTS",E42-VLOOKUP(B$2,C1:E136,3,FALSE),J42)</f>
        <v>-62.983307302243</v>
      </c>
      <c r="G42" s="77"/>
      <c r="H42" s="223">
        <f>RANK(I42,I3:I136)</f>
        <v>32</v>
      </c>
      <c r="I42" s="77">
        <f>VLOOKUP(A42,'Standard Deviations'!A1:C666,3,FALSE)</f>
        <v>3.41999354821168</v>
      </c>
      <c r="J42" s="84">
        <f>I42-VLOOKUP(B$2,H1:J136,2,FALSE)</f>
        <v>-2.34607126034464</v>
      </c>
    </row>
    <row r="43" ht="21.25" customHeight="1">
      <c r="A43" t="s" s="10">
        <v>356</v>
      </c>
      <c r="B43" t="s" s="129">
        <f>VLOOKUP(A43,'The List'!B1:D665,3,FALSE)</f>
        <v>148</v>
      </c>
      <c r="C43" s="130">
        <f>IF('Settings'!$E$15="POINTS",RANK(E43,E3:E136),H43)</f>
        <v>36</v>
      </c>
      <c r="D43" t="s" s="86">
        <f>VLOOKUP(A43,'The List'!B1:F665,5,FALSE)</f>
        <v>904</v>
      </c>
      <c r="E43" s="77">
        <f>VLOOKUP(A43,'The List'!B1:I665,8,FALSE)</f>
        <v>277.184025795833</v>
      </c>
      <c r="F43" s="77">
        <f>IF('Settings'!$E$15="POINTS",E43-VLOOKUP(B$2,C1:E136,3,FALSE),J43)</f>
        <v>-52.507868285345</v>
      </c>
      <c r="G43" s="77"/>
      <c r="H43" s="223">
        <f>RANK(I43,I3:I136)</f>
        <v>45</v>
      </c>
      <c r="I43" s="77">
        <f>VLOOKUP(A43,'Standard Deviations'!A1:C666,3,FALSE)</f>
        <v>2.36746544763063</v>
      </c>
      <c r="J43" s="84">
        <f>I43-VLOOKUP(B$2,H1:J136,2,FALSE)</f>
        <v>-3.39859936092569</v>
      </c>
    </row>
    <row r="44" ht="21.25" customHeight="1">
      <c r="A44" t="s" s="10">
        <v>520</v>
      </c>
      <c r="B44" t="s" s="129">
        <f>VLOOKUP(A44,'The List'!B1:D665,3,FALSE)</f>
        <v>145</v>
      </c>
      <c r="C44" s="130">
        <f>IF('Settings'!$E$15="POINTS",RANK(E44,E3:E136),H44)</f>
        <v>71</v>
      </c>
      <c r="D44" t="s" s="86">
        <f>VLOOKUP(A44,'The List'!B1:F665,5,FALSE)</f>
        <v>906</v>
      </c>
      <c r="E44" s="77">
        <f>VLOOKUP(A44,'The List'!B1:I665,8,FALSE)</f>
        <v>221.649652624321</v>
      </c>
      <c r="F44" s="77">
        <f>IF('Settings'!$E$15="POINTS",E44-VLOOKUP(B$2,C1:E136,3,FALSE),J44)</f>
        <v>-108.042241456857</v>
      </c>
      <c r="G44" s="77"/>
      <c r="H44" s="223">
        <f>RANK(I44,I3:I136)</f>
        <v>48</v>
      </c>
      <c r="I44" s="77">
        <f>VLOOKUP(A44,'Standard Deviations'!A1:C666,3,FALSE)</f>
        <v>2.16676629876964</v>
      </c>
      <c r="J44" s="84">
        <f>I44-VLOOKUP(B$2,H1:J136,2,FALSE)</f>
        <v>-3.59929850978668</v>
      </c>
    </row>
    <row r="45" ht="21.25" customHeight="1">
      <c r="A45" t="s" s="10">
        <v>431</v>
      </c>
      <c r="B45" t="s" s="129">
        <f>VLOOKUP(A45,'The List'!B1:D665,3,FALSE)</f>
        <v>148</v>
      </c>
      <c r="C45" s="130">
        <f>IF('Settings'!$E$15="POINTS",RANK(E45,E3:E136),H45)</f>
        <v>51</v>
      </c>
      <c r="D45" t="s" s="86">
        <f>VLOOKUP(A45,'The List'!B1:F665,5,FALSE)</f>
        <v>905</v>
      </c>
      <c r="E45" s="77">
        <f>VLOOKUP(A45,'The List'!B1:I665,8,FALSE)</f>
        <v>246.829452360016</v>
      </c>
      <c r="F45" s="77">
        <f>IF('Settings'!$E$15="POINTS",E45-VLOOKUP(B$2,C1:E136,3,FALSE),J45)</f>
        <v>-82.862441721162</v>
      </c>
      <c r="G45" s="77"/>
      <c r="H45" s="223">
        <f>RANK(I45,I3:I136)</f>
        <v>30</v>
      </c>
      <c r="I45" s="77">
        <f>VLOOKUP(A45,'Standard Deviations'!A1:C666,3,FALSE)</f>
        <v>4.08378093813798</v>
      </c>
      <c r="J45" s="84">
        <f>I45-VLOOKUP(B$2,H1:J136,2,FALSE)</f>
        <v>-1.68228387041834</v>
      </c>
    </row>
    <row r="46" ht="21.25" customHeight="1">
      <c r="A46" t="s" s="10">
        <v>369</v>
      </c>
      <c r="B46" t="s" s="129">
        <f>VLOOKUP(A46,'The List'!B1:D665,3,FALSE)</f>
        <v>140</v>
      </c>
      <c r="C46" s="130">
        <f>IF('Settings'!$E$15="POINTS",RANK(E46,E3:E136),H46)</f>
        <v>39</v>
      </c>
      <c r="D46" t="s" s="86">
        <f>VLOOKUP(A46,'The List'!B1:F665,5,FALSE)</f>
        <v>904</v>
      </c>
      <c r="E46" s="77">
        <f>VLOOKUP(A46,'The List'!B1:I665,8,FALSE)</f>
        <v>273.621830933101</v>
      </c>
      <c r="F46" s="77">
        <f>IF('Settings'!$E$15="POINTS",E46-VLOOKUP(B$2,C1:E136,3,FALSE),J46)</f>
        <v>-56.070063148077</v>
      </c>
      <c r="G46" s="77"/>
      <c r="H46" s="223">
        <f>RANK(I46,I3:I136)</f>
        <v>43</v>
      </c>
      <c r="I46" s="77">
        <f>VLOOKUP(A46,'Standard Deviations'!A1:C666,3,FALSE)</f>
        <v>2.55075723144756</v>
      </c>
      <c r="J46" s="84">
        <f>I46-VLOOKUP(B$2,H1:J136,2,FALSE)</f>
        <v>-3.21530757710876</v>
      </c>
    </row>
    <row r="47" ht="21.25" customHeight="1">
      <c r="A47" t="s" s="10">
        <v>338</v>
      </c>
      <c r="B47" t="s" s="129">
        <f>VLOOKUP(A47,'The List'!B1:D665,3,FALSE)</f>
        <v>148</v>
      </c>
      <c r="C47" s="130">
        <f>IF('Settings'!$E$15="POINTS",RANK(E47,E3:E136),H47)</f>
        <v>33</v>
      </c>
      <c r="D47" t="s" s="86">
        <f>VLOOKUP(A47,'The List'!B1:F665,5,FALSE)</f>
        <v>878</v>
      </c>
      <c r="E47" s="77">
        <f>VLOOKUP(A47,'The List'!B1:I665,8,FALSE)</f>
        <v>284.584532285043</v>
      </c>
      <c r="F47" s="77">
        <f>IF('Settings'!$E$15="POINTS",E47-VLOOKUP(B$2,C1:E136,3,FALSE),J47)</f>
        <v>-45.107361796135</v>
      </c>
      <c r="G47" s="77"/>
      <c r="H47" s="223">
        <f>RANK(I47,I3:I136)</f>
        <v>35</v>
      </c>
      <c r="I47" s="77">
        <f>VLOOKUP(A47,'Standard Deviations'!A1:C666,3,FALSE)</f>
        <v>3.23696397194368</v>
      </c>
      <c r="J47" s="84">
        <f>I47-VLOOKUP(B$2,H1:J136,2,FALSE)</f>
        <v>-2.52910083661264</v>
      </c>
    </row>
    <row r="48" ht="21.25" customHeight="1">
      <c r="A48" t="s" s="10">
        <v>482</v>
      </c>
      <c r="B48" t="s" s="129">
        <f>VLOOKUP(A48,'The List'!B1:D665,3,FALSE)</f>
        <v>140</v>
      </c>
      <c r="C48" s="130">
        <f>IF('Settings'!$E$15="POINTS",RANK(E48,E3:E136),H48)</f>
        <v>65</v>
      </c>
      <c r="D48" t="s" s="86">
        <f>VLOOKUP(A48,'The List'!B1:F665,5,FALSE)</f>
        <v>275</v>
      </c>
      <c r="E48" s="77">
        <f>VLOOKUP(A48,'The List'!B1:I665,8,FALSE)</f>
        <v>231.298947623602</v>
      </c>
      <c r="F48" s="77">
        <f>IF('Settings'!$E$15="POINTS",E48-VLOOKUP(B$2,C1:E136,3,FALSE),J48)</f>
        <v>-98.392946457576</v>
      </c>
      <c r="G48" s="77"/>
      <c r="H48" s="223">
        <f>RANK(I48,I3:I136)</f>
        <v>42</v>
      </c>
      <c r="I48" s="77">
        <f>VLOOKUP(A48,'Standard Deviations'!A1:C666,3,FALSE)</f>
        <v>2.65421783317857</v>
      </c>
      <c r="J48" s="84">
        <f>I48-VLOOKUP(B$2,H1:J136,2,FALSE)</f>
        <v>-3.11184697537775</v>
      </c>
    </row>
    <row r="49" ht="21.25" customHeight="1">
      <c r="A49" t="s" s="10">
        <v>328</v>
      </c>
      <c r="B49" t="s" s="129">
        <f>VLOOKUP(A49,'The List'!B1:D665,3,FALSE)</f>
        <v>148</v>
      </c>
      <c r="C49" s="130">
        <f>IF('Settings'!$E$15="POINTS",RANK(E49,E3:E136),H49)</f>
        <v>32</v>
      </c>
      <c r="D49" t="s" s="86">
        <f>VLOOKUP(A49,'The List'!B1:F665,5,FALSE)</f>
        <v>907</v>
      </c>
      <c r="E49" s="77">
        <f>VLOOKUP(A49,'The List'!B1:I665,8,FALSE)</f>
        <v>288.768652094550</v>
      </c>
      <c r="F49" s="77">
        <f>IF('Settings'!$E$15="POINTS",E49-VLOOKUP(B$2,C1:E136,3,FALSE),J49)</f>
        <v>-40.923241986628</v>
      </c>
      <c r="G49" s="77"/>
      <c r="H49" s="223">
        <f>RANK(I49,I3:I136)</f>
        <v>55</v>
      </c>
      <c r="I49" s="77">
        <f>VLOOKUP(A49,'Standard Deviations'!A1:C666,3,FALSE)</f>
        <v>0.88808862255828</v>
      </c>
      <c r="J49" s="84">
        <f>I49-VLOOKUP(B$2,H1:J136,2,FALSE)</f>
        <v>-4.87797618599804</v>
      </c>
    </row>
    <row r="50" ht="21.25" customHeight="1">
      <c r="A50" t="s" s="10">
        <v>379</v>
      </c>
      <c r="B50" t="s" s="129">
        <f>VLOOKUP(A50,'The List'!B1:D665,3,FALSE)</f>
        <v>148</v>
      </c>
      <c r="C50" s="130">
        <f>IF('Settings'!$E$15="POINTS",RANK(E50,E3:E136),H50)</f>
        <v>42</v>
      </c>
      <c r="D50" t="s" s="86">
        <f>VLOOKUP(A50,'The List'!B1:F665,5,FALSE)</f>
        <v>267</v>
      </c>
      <c r="E50" s="77">
        <f>VLOOKUP(A50,'The List'!B1:I665,8,FALSE)</f>
        <v>268.054128376422</v>
      </c>
      <c r="F50" s="77">
        <f>IF('Settings'!$E$15="POINTS",E50-VLOOKUP(B$2,C1:E136,3,FALSE),J50)</f>
        <v>-61.637765704756</v>
      </c>
      <c r="G50" s="77"/>
      <c r="H50" s="223">
        <f>RANK(I50,I3:I136)</f>
        <v>44</v>
      </c>
      <c r="I50" s="77">
        <f>VLOOKUP(A50,'Standard Deviations'!A1:C666,3,FALSE)</f>
        <v>2.48761535392673</v>
      </c>
      <c r="J50" s="84">
        <f>I50-VLOOKUP(B$2,H1:J136,2,FALSE)</f>
        <v>-3.27844945462959</v>
      </c>
    </row>
    <row r="51" ht="21.25" customHeight="1">
      <c r="A51" t="s" s="10">
        <v>447</v>
      </c>
      <c r="B51" t="s" s="129">
        <f>VLOOKUP(A51,'The List'!B1:D665,3,FALSE)</f>
        <v>145</v>
      </c>
      <c r="C51" s="130">
        <f>IF('Settings'!$E$15="POINTS",RANK(E51,E3:E136),H51)</f>
        <v>59</v>
      </c>
      <c r="D51" t="s" s="86">
        <f>VLOOKUP(A51,'The List'!B1:F665,5,FALSE)</f>
        <v>902</v>
      </c>
      <c r="E51" s="77">
        <f>VLOOKUP(A51,'The List'!B1:I665,8,FALSE)</f>
        <v>241.700695791079</v>
      </c>
      <c r="F51" s="77">
        <f>IF('Settings'!$E$15="POINTS",E51-VLOOKUP(B$2,C1:E136,3,FALSE),J51)</f>
        <v>-87.99119829009901</v>
      </c>
      <c r="G51" s="77"/>
      <c r="H51" s="223">
        <f>RANK(I51,I3:I136)</f>
        <v>34</v>
      </c>
      <c r="I51" s="77">
        <f>VLOOKUP(A51,'Standard Deviations'!A1:C666,3,FALSE)</f>
        <v>3.25842229780808</v>
      </c>
      <c r="J51" s="84">
        <f>I51-VLOOKUP(B$2,H1:J136,2,FALSE)</f>
        <v>-2.50764251074824</v>
      </c>
    </row>
    <row r="52" ht="21.25" customHeight="1">
      <c r="A52" t="s" s="10">
        <v>508</v>
      </c>
      <c r="B52" t="s" s="129">
        <f>VLOOKUP(A52,'The List'!B1:D665,3,FALSE)</f>
        <v>140</v>
      </c>
      <c r="C52" s="130">
        <f>IF('Settings'!$E$15="POINTS",RANK(E52,E3:E136),H52)</f>
        <v>68</v>
      </c>
      <c r="D52" t="s" s="86">
        <f>VLOOKUP(A52,'The List'!B1:F665,5,FALSE)</f>
        <v>154</v>
      </c>
      <c r="E52" s="77">
        <f>VLOOKUP(A52,'The List'!B1:I665,8,FALSE)</f>
        <v>222.924886004409</v>
      </c>
      <c r="F52" s="77">
        <f>IF('Settings'!$E$15="POINTS",E52-VLOOKUP(B$2,C1:E136,3,FALSE),J52)</f>
        <v>-106.767008076769</v>
      </c>
      <c r="G52" s="77"/>
      <c r="H52" s="223">
        <f>RANK(I52,I3:I136)</f>
        <v>65</v>
      </c>
      <c r="I52" s="77">
        <f>VLOOKUP(A52,'Standard Deviations'!A1:C666,3,FALSE)</f>
        <v>0.331288720149234</v>
      </c>
      <c r="J52" s="84">
        <f>I52-VLOOKUP(B$2,H1:J136,2,FALSE)</f>
        <v>-5.43477608840709</v>
      </c>
    </row>
    <row r="53" ht="21.25" customHeight="1">
      <c r="A53" t="s" s="10">
        <v>256</v>
      </c>
      <c r="B53" t="s" s="129">
        <f>VLOOKUP(A53,'The List'!B1:D665,3,FALSE)</f>
        <v>140</v>
      </c>
      <c r="C53" s="130">
        <f>IF('Settings'!$E$15="POINTS",RANK(E53,E3:E136),H53)</f>
        <v>21</v>
      </c>
      <c r="D53" t="s" s="86">
        <f>VLOOKUP(A53,'The List'!B1:F665,5,FALSE)</f>
        <v>192</v>
      </c>
      <c r="E53" s="77">
        <f>VLOOKUP(A53,'The List'!B1:I665,8,FALSE)</f>
        <v>325.348904988892</v>
      </c>
      <c r="F53" s="77">
        <f>IF('Settings'!$E$15="POINTS",E53-VLOOKUP(B$2,C1:E136,3,FALSE),J53)</f>
        <v>-4.342989092286</v>
      </c>
      <c r="G53" s="77"/>
      <c r="H53" s="223">
        <f>RANK(I53,I3:I136)</f>
        <v>60</v>
      </c>
      <c r="I53" s="77">
        <f>VLOOKUP(A53,'Standard Deviations'!A1:C666,3,FALSE)</f>
        <v>0.75904554732348</v>
      </c>
      <c r="J53" s="84">
        <f>I53-VLOOKUP(B$2,H1:J136,2,FALSE)</f>
        <v>-5.00701926123284</v>
      </c>
    </row>
    <row r="54" ht="21.25" customHeight="1">
      <c r="A54" t="s" s="10">
        <v>430</v>
      </c>
      <c r="B54" t="s" s="129">
        <f>VLOOKUP(A54,'The List'!B1:D665,3,FALSE)</f>
        <v>140</v>
      </c>
      <c r="C54" s="130">
        <f>IF('Settings'!$E$15="POINTS",RANK(E54,E3:E136),H54)</f>
        <v>50</v>
      </c>
      <c r="D54" t="s" s="86">
        <f>VLOOKUP(A54,'The List'!B1:F665,5,FALSE)</f>
        <v>910</v>
      </c>
      <c r="E54" s="77">
        <f>VLOOKUP(A54,'The List'!B1:I665,8,FALSE)</f>
        <v>246.883001644896</v>
      </c>
      <c r="F54" s="77">
        <f>IF('Settings'!$E$15="POINTS",E54-VLOOKUP(B$2,C1:E136,3,FALSE),J54)</f>
        <v>-82.80889243628199</v>
      </c>
      <c r="G54" s="77"/>
      <c r="H54" s="223">
        <f>RANK(I54,I3:I136)</f>
        <v>62</v>
      </c>
      <c r="I54" s="77">
        <f>VLOOKUP(A54,'Standard Deviations'!A1:C666,3,FALSE)</f>
        <v>0.656076262196864</v>
      </c>
      <c r="J54" s="84">
        <f>I54-VLOOKUP(B$2,H1:J136,2,FALSE)</f>
        <v>-5.10998854635946</v>
      </c>
    </row>
    <row r="55" ht="21.25" customHeight="1">
      <c r="A55" t="s" s="10">
        <v>514</v>
      </c>
      <c r="B55" t="s" s="129">
        <f>VLOOKUP(A55,'The List'!B1:D665,3,FALSE)</f>
        <v>148</v>
      </c>
      <c r="C55" s="130">
        <f>IF('Settings'!$E$15="POINTS",RANK(E55,E3:E136),H55)</f>
        <v>69</v>
      </c>
      <c r="D55" t="s" s="86">
        <f>VLOOKUP(A55,'The List'!B1:F665,5,FALSE)</f>
        <v>174</v>
      </c>
      <c r="E55" s="77">
        <f>VLOOKUP(A55,'The List'!B1:I665,8,FALSE)</f>
        <v>222.330790224466</v>
      </c>
      <c r="F55" s="77">
        <f>IF('Settings'!$E$15="POINTS",E55-VLOOKUP(B$2,C1:E136,3,FALSE),J55)</f>
        <v>-107.361103856712</v>
      </c>
      <c r="G55" s="77"/>
      <c r="H55" s="223">
        <f>RANK(I55,I3:I136)</f>
        <v>50</v>
      </c>
      <c r="I55" s="77">
        <f>VLOOKUP(A55,'Standard Deviations'!A1:C666,3,FALSE)</f>
        <v>2.01861825315289</v>
      </c>
      <c r="J55" s="84">
        <f>I55-VLOOKUP(B$2,H1:J136,2,FALSE)</f>
        <v>-3.74744655540343</v>
      </c>
    </row>
    <row r="56" ht="21.25" customHeight="1">
      <c r="A56" t="s" s="10">
        <v>419</v>
      </c>
      <c r="B56" t="s" s="129">
        <f>VLOOKUP(A56,'The List'!B1:D665,3,FALSE)</f>
        <v>145</v>
      </c>
      <c r="C56" s="130">
        <f>IF('Settings'!$E$15="POINTS",RANK(E56,E3:E136),H56)</f>
        <v>48</v>
      </c>
      <c r="D56" t="s" s="86">
        <f>VLOOKUP(A56,'The List'!B1:F665,5,FALSE)</f>
        <v>902</v>
      </c>
      <c r="E56" s="77">
        <f>VLOOKUP(A56,'The List'!B1:I665,8,FALSE)</f>
        <v>250.212489478524</v>
      </c>
      <c r="F56" s="77">
        <f>IF('Settings'!$E$15="POINTS",E56-VLOOKUP(B$2,C1:E136,3,FALSE),J56)</f>
        <v>-79.479404602654</v>
      </c>
      <c r="G56" s="77"/>
      <c r="H56" s="223">
        <f>RANK(I56,I3:I136)</f>
        <v>49</v>
      </c>
      <c r="I56" s="77">
        <f>VLOOKUP(A56,'Standard Deviations'!A1:C666,3,FALSE)</f>
        <v>2.14603922350914</v>
      </c>
      <c r="J56" s="84">
        <f>I56-VLOOKUP(B$2,H1:J136,2,FALSE)</f>
        <v>-3.62002558504718</v>
      </c>
    </row>
    <row r="57" ht="21.25" customHeight="1">
      <c r="A57" t="s" s="10">
        <v>445</v>
      </c>
      <c r="B57" t="s" s="129">
        <f>VLOOKUP(A57,'The List'!B1:D665,3,FALSE)</f>
        <v>140</v>
      </c>
      <c r="C57" s="130">
        <f>IF('Settings'!$E$15="POINTS",RANK(E57,E3:E136),H57)</f>
        <v>57</v>
      </c>
      <c r="D57" t="s" s="86">
        <f>VLOOKUP(A57,'The List'!B1:F665,5,FALSE)</f>
        <v>207</v>
      </c>
      <c r="E57" s="77">
        <f>VLOOKUP(A57,'The List'!B1:I665,8,FALSE)</f>
        <v>242.787611286096</v>
      </c>
      <c r="F57" s="77">
        <f>IF('Settings'!$E$15="POINTS",E57-VLOOKUP(B$2,C1:E136,3,FALSE),J57)</f>
        <v>-86.904282795082</v>
      </c>
      <c r="G57" s="77"/>
      <c r="H57" s="223">
        <f>RANK(I57,I3:I136)</f>
        <v>47</v>
      </c>
      <c r="I57" s="77">
        <f>VLOOKUP(A57,'Standard Deviations'!A1:C666,3,FALSE)</f>
        <v>2.18577389857836</v>
      </c>
      <c r="J57" s="84">
        <f>I57-VLOOKUP(B$2,H1:J136,2,FALSE)</f>
        <v>-3.58029090997796</v>
      </c>
    </row>
    <row r="58" ht="21.25" customHeight="1">
      <c r="A58" t="s" s="10">
        <v>500</v>
      </c>
      <c r="B58" t="s" s="129">
        <f>VLOOKUP(A58,'The List'!B1:D665,3,FALSE)</f>
        <v>140</v>
      </c>
      <c r="C58" s="130">
        <f>IF('Settings'!$E$15="POINTS",RANK(E58,E3:E136),H58)</f>
        <v>67</v>
      </c>
      <c r="D58" t="s" s="86">
        <f>VLOOKUP(A58,'The List'!B1:F665,5,FALSE)</f>
        <v>901</v>
      </c>
      <c r="E58" s="77">
        <f>VLOOKUP(A58,'The List'!B1:I665,8,FALSE)</f>
        <v>225.790548620039</v>
      </c>
      <c r="F58" s="77">
        <f>IF('Settings'!$E$15="POINTS",E58-VLOOKUP(B$2,C1:E136,3,FALSE),J58)</f>
        <v>-103.901345461139</v>
      </c>
      <c r="G58" s="77"/>
      <c r="H58" s="223">
        <f>RANK(I58,I3:I136)</f>
        <v>39</v>
      </c>
      <c r="I58" s="77">
        <f>VLOOKUP(A58,'Standard Deviations'!A1:C666,3,FALSE)</f>
        <v>2.79975463645535</v>
      </c>
      <c r="J58" s="84">
        <f>I58-VLOOKUP(B$2,H1:J136,2,FALSE)</f>
        <v>-2.96631017210097</v>
      </c>
    </row>
    <row r="59" ht="21.25" customHeight="1">
      <c r="A59" t="s" s="10">
        <v>455</v>
      </c>
      <c r="B59" t="s" s="129">
        <f>VLOOKUP(A59,'The List'!B1:D665,3,FALSE)</f>
        <v>148</v>
      </c>
      <c r="C59" s="130">
        <f>IF('Settings'!$E$15="POINTS",RANK(E59,E3:E136),H59)</f>
        <v>60</v>
      </c>
      <c r="D59" t="s" s="86">
        <f>VLOOKUP(A59,'The List'!B1:F665,5,FALSE)</f>
        <v>156</v>
      </c>
      <c r="E59" s="77">
        <f>VLOOKUP(A59,'The List'!B1:I665,8,FALSE)</f>
        <v>238.017073986969</v>
      </c>
      <c r="F59" s="77">
        <f>IF('Settings'!$E$15="POINTS",E59-VLOOKUP(B$2,C1:E136,3,FALSE),J59)</f>
        <v>-91.674820094209</v>
      </c>
      <c r="G59" s="77"/>
      <c r="H59" s="223">
        <f>RANK(I59,I3:I136)</f>
        <v>57</v>
      </c>
      <c r="I59" s="77">
        <f>VLOOKUP(A59,'Standard Deviations'!A1:C666,3,FALSE)</f>
        <v>0.825261117851697</v>
      </c>
      <c r="J59" s="84">
        <f>I59-VLOOKUP(B$2,H1:J136,2,FALSE)</f>
        <v>-4.94080369070462</v>
      </c>
    </row>
    <row r="60" ht="21.25" customHeight="1">
      <c r="A60" t="s" s="10">
        <v>539</v>
      </c>
      <c r="B60" t="s" s="129">
        <f>VLOOKUP(A60,'The List'!B1:D665,3,FALSE)</f>
        <v>140</v>
      </c>
      <c r="C60" s="130">
        <f>IF('Settings'!$E$15="POINTS",RANK(E60,E3:E136),H60)</f>
        <v>76</v>
      </c>
      <c r="D60" t="s" s="86">
        <f>VLOOKUP(A60,'The List'!B1:F665,5,FALSE)</f>
        <v>914</v>
      </c>
      <c r="E60" s="77">
        <f>VLOOKUP(A60,'The List'!B1:I665,8,FALSE)</f>
        <v>215.466234814480</v>
      </c>
      <c r="F60" s="77">
        <f>IF('Settings'!$E$15="POINTS",E60-VLOOKUP(B$2,C1:E136,3,FALSE),J60)</f>
        <v>-114.225659266698</v>
      </c>
      <c r="G60" s="77"/>
      <c r="H60" s="223">
        <f>RANK(I60,I3:I136)</f>
        <v>78</v>
      </c>
      <c r="I60" s="77">
        <f>VLOOKUP(A60,'Standard Deviations'!A1:C666,3,FALSE)</f>
        <v>-0.730467377380878</v>
      </c>
      <c r="J60" s="84">
        <f>I60-VLOOKUP(B$2,H1:J136,2,FALSE)</f>
        <v>-6.4965321859372</v>
      </c>
    </row>
    <row r="61" ht="21.25" customHeight="1">
      <c r="A61" t="s" s="10">
        <v>558</v>
      </c>
      <c r="B61" t="s" s="129">
        <f>VLOOKUP(A61,'The List'!B1:D665,3,FALSE)</f>
        <v>140</v>
      </c>
      <c r="C61" s="130">
        <f>IF('Settings'!$E$15="POINTS",RANK(E61,E3:E136),H61)</f>
        <v>78</v>
      </c>
      <c r="D61" t="s" s="86">
        <f>VLOOKUP(A61,'The List'!B1:F665,5,FALSE)</f>
        <v>911</v>
      </c>
      <c r="E61" s="77">
        <f>VLOOKUP(A61,'The List'!B1:I665,8,FALSE)</f>
        <v>211.579962735747</v>
      </c>
      <c r="F61" s="77">
        <f>IF('Settings'!$E$15="POINTS",E61-VLOOKUP(B$2,C1:E136,3,FALSE),J61)</f>
        <v>-118.111931345431</v>
      </c>
      <c r="G61" s="77"/>
      <c r="H61" s="223">
        <f>RANK(I61,I3:I136)</f>
        <v>53</v>
      </c>
      <c r="I61" s="77">
        <f>VLOOKUP(A61,'Standard Deviations'!A1:C666,3,FALSE)</f>
        <v>1.114946098586</v>
      </c>
      <c r="J61" s="84">
        <f>I61-VLOOKUP(B$2,H1:J136,2,FALSE)</f>
        <v>-4.65111870997032</v>
      </c>
    </row>
    <row r="62" ht="21.25" customHeight="1">
      <c r="A62" t="s" s="10">
        <v>366</v>
      </c>
      <c r="B62" t="s" s="129">
        <f>VLOOKUP(A62,'The List'!B1:D665,3,FALSE)</f>
        <v>145</v>
      </c>
      <c r="C62" s="130">
        <f>IF('Settings'!$E$15="POINTS",RANK(E62,E3:E136),H62)</f>
        <v>38</v>
      </c>
      <c r="D62" t="s" s="86">
        <f>VLOOKUP(A62,'The List'!B1:F665,5,FALSE)</f>
        <v>174</v>
      </c>
      <c r="E62" s="77">
        <f>VLOOKUP(A62,'The List'!B1:I665,8,FALSE)</f>
        <v>274.959767936726</v>
      </c>
      <c r="F62" s="77">
        <f>IF('Settings'!$E$15="POINTS",E62-VLOOKUP(B$2,C1:E136,3,FALSE),J62)</f>
        <v>-54.732126144452</v>
      </c>
      <c r="G62" s="77"/>
      <c r="H62" s="223">
        <f>RANK(I62,I3:I136)</f>
        <v>66</v>
      </c>
      <c r="I62" s="77">
        <f>VLOOKUP(A62,'Standard Deviations'!A1:C666,3,FALSE)</f>
        <v>0.275818135312742</v>
      </c>
      <c r="J62" s="84">
        <f>I62-VLOOKUP(B$2,H1:J136,2,FALSE)</f>
        <v>-5.49024667324358</v>
      </c>
    </row>
    <row r="63" ht="21.25" customHeight="1">
      <c r="A63" t="s" s="10">
        <v>479</v>
      </c>
      <c r="B63" t="s" s="129">
        <f>VLOOKUP(A63,'The List'!B1:D665,3,FALSE)</f>
        <v>145</v>
      </c>
      <c r="C63" s="130">
        <f>IF('Settings'!$E$15="POINTS",RANK(E63,E3:E136),H63)</f>
        <v>64</v>
      </c>
      <c r="D63" t="s" s="86">
        <f>VLOOKUP(A63,'The List'!B1:F665,5,FALSE)</f>
        <v>275</v>
      </c>
      <c r="E63" s="77">
        <f>VLOOKUP(A63,'The List'!B1:I665,8,FALSE)</f>
        <v>233.299422632730</v>
      </c>
      <c r="F63" s="77">
        <f>IF('Settings'!$E$15="POINTS",E63-VLOOKUP(B$2,C1:E136,3,FALSE),J63)</f>
        <v>-96.39247144844801</v>
      </c>
      <c r="G63" s="77"/>
      <c r="H63" s="223">
        <f>RANK(I63,I3:I136)</f>
        <v>58</v>
      </c>
      <c r="I63" s="77">
        <f>VLOOKUP(A63,'Standard Deviations'!A1:C666,3,FALSE)</f>
        <v>0.8196395980386481</v>
      </c>
      <c r="J63" s="84">
        <f>I63-VLOOKUP(B$2,H1:J136,2,FALSE)</f>
        <v>-4.94642521051767</v>
      </c>
    </row>
    <row r="64" ht="21.25" customHeight="1">
      <c r="A64" t="s" s="10">
        <v>495</v>
      </c>
      <c r="B64" t="s" s="129">
        <f>VLOOKUP(A64,'The List'!B1:D665,3,FALSE)</f>
        <v>140</v>
      </c>
      <c r="C64" s="130">
        <f>IF('Settings'!$E$15="POINTS",RANK(E64,E3:E136),H64)</f>
        <v>66</v>
      </c>
      <c r="D64" t="s" s="86">
        <f>VLOOKUP(A64,'The List'!B1:F665,5,FALSE)</f>
        <v>911</v>
      </c>
      <c r="E64" s="77">
        <f>VLOOKUP(A64,'The List'!B1:I665,8,FALSE)</f>
        <v>227.518859074250</v>
      </c>
      <c r="F64" s="77">
        <f>IF('Settings'!$E$15="POINTS",E64-VLOOKUP(B$2,C1:E136,3,FALSE),J64)</f>
        <v>-102.173035006928</v>
      </c>
      <c r="G64" s="77"/>
      <c r="H64" s="223">
        <f>RANK(I64,I3:I136)</f>
        <v>56</v>
      </c>
      <c r="I64" s="77">
        <f>VLOOKUP(A64,'Standard Deviations'!A1:C666,3,FALSE)</f>
        <v>0.88644650570712</v>
      </c>
      <c r="J64" s="84">
        <f>I64-VLOOKUP(B$2,H1:J136,2,FALSE)</f>
        <v>-4.8796183028492</v>
      </c>
    </row>
    <row r="65" ht="21.25" customHeight="1">
      <c r="A65" t="s" s="10">
        <v>537</v>
      </c>
      <c r="B65" t="s" s="129">
        <f>VLOOKUP(A65,'The List'!B1:D665,3,FALSE)</f>
        <v>145</v>
      </c>
      <c r="C65" s="130">
        <f>IF('Settings'!$E$15="POINTS",RANK(E65,E3:E136),H65)</f>
        <v>75</v>
      </c>
      <c r="D65" t="s" s="86">
        <f>VLOOKUP(A65,'The List'!B1:F665,5,FALSE)</f>
        <v>149</v>
      </c>
      <c r="E65" s="77">
        <f>VLOOKUP(A65,'The List'!B1:I665,8,FALSE)</f>
        <v>216.258554880830</v>
      </c>
      <c r="F65" s="77">
        <f>IF('Settings'!$E$15="POINTS",E65-VLOOKUP(B$2,C1:E136,3,FALSE),J65)</f>
        <v>-113.433339200348</v>
      </c>
      <c r="G65" s="77"/>
      <c r="H65" s="223">
        <f>RANK(I65,I3:I136)</f>
        <v>52</v>
      </c>
      <c r="I65" s="77">
        <f>VLOOKUP(A65,'Standard Deviations'!A1:C666,3,FALSE)</f>
        <v>1.45886683529718</v>
      </c>
      <c r="J65" s="84">
        <f>I65-VLOOKUP(B$2,H1:J136,2,FALSE)</f>
        <v>-4.30719797325914</v>
      </c>
    </row>
    <row r="66" ht="21.25" customHeight="1">
      <c r="A66" t="s" s="10">
        <v>439</v>
      </c>
      <c r="B66" t="s" s="129">
        <f>VLOOKUP(A66,'The List'!B1:D665,3,FALSE)</f>
        <v>145</v>
      </c>
      <c r="C66" s="130">
        <f>IF('Settings'!$E$15="POINTS",RANK(E66,E3:E136),H66)</f>
        <v>54</v>
      </c>
      <c r="D66" t="s" s="86">
        <f>VLOOKUP(A66,'The List'!B1:F665,5,FALSE)</f>
        <v>259</v>
      </c>
      <c r="E66" s="77">
        <f>VLOOKUP(A66,'The List'!B1:I665,8,FALSE)</f>
        <v>245.075610720755</v>
      </c>
      <c r="F66" s="77">
        <f>IF('Settings'!$E$15="POINTS",E66-VLOOKUP(B$2,C1:E136,3,FALSE),J66)</f>
        <v>-84.616283360423</v>
      </c>
      <c r="G66" s="77"/>
      <c r="H66" s="223">
        <f>RANK(I66,I3:I136)</f>
        <v>54</v>
      </c>
      <c r="I66" s="77">
        <f>VLOOKUP(A66,'Standard Deviations'!A1:C666,3,FALSE)</f>
        <v>0.957336520298755</v>
      </c>
      <c r="J66" s="84">
        <f>I66-VLOOKUP(B$2,H1:J136,2,FALSE)</f>
        <v>-4.80872828825757</v>
      </c>
    </row>
    <row r="67" ht="21.25" customHeight="1">
      <c r="A67" t="s" s="10">
        <v>523</v>
      </c>
      <c r="B67" t="s" s="129">
        <f>VLOOKUP(A67,'The List'!B1:D665,3,FALSE)</f>
        <v>145</v>
      </c>
      <c r="C67" s="130">
        <f>IF('Settings'!$E$15="POINTS",RANK(E67,E3:E136),H67)</f>
        <v>72</v>
      </c>
      <c r="D67" t="s" s="86">
        <f>VLOOKUP(A67,'The List'!B1:F665,5,FALSE)</f>
        <v>913</v>
      </c>
      <c r="E67" s="77">
        <f>VLOOKUP(A67,'The List'!B1:I665,8,FALSE)</f>
        <v>220.676404546592</v>
      </c>
      <c r="F67" s="77">
        <f>IF('Settings'!$E$15="POINTS",E67-VLOOKUP(B$2,C1:E136,3,FALSE),J67)</f>
        <v>-109.015489534586</v>
      </c>
      <c r="G67" s="77"/>
      <c r="H67" s="223">
        <f>RANK(I67,I3:I136)</f>
        <v>89</v>
      </c>
      <c r="I67" s="77">
        <f>VLOOKUP(A67,'Standard Deviations'!A1:C666,3,FALSE)</f>
        <v>-1.67106100741926</v>
      </c>
      <c r="J67" s="84">
        <f>I67-VLOOKUP(B$2,H1:J136,2,FALSE)</f>
        <v>-7.43712581597558</v>
      </c>
    </row>
    <row r="68" ht="21.25" customHeight="1">
      <c r="A68" t="s" s="10">
        <v>443</v>
      </c>
      <c r="B68" t="s" s="129">
        <f>VLOOKUP(A68,'The List'!B1:D665,3,FALSE)</f>
        <v>145</v>
      </c>
      <c r="C68" s="130">
        <f>IF('Settings'!$E$15="POINTS",RANK(E68,E3:E136),H68)</f>
        <v>56</v>
      </c>
      <c r="D68" t="s" s="86">
        <f>VLOOKUP(A68,'The List'!B1:F665,5,FALSE)</f>
        <v>910</v>
      </c>
      <c r="E68" s="77">
        <f>VLOOKUP(A68,'The List'!B1:I665,8,FALSE)</f>
        <v>243.218604292631</v>
      </c>
      <c r="F68" s="77">
        <f>IF('Settings'!$E$15="POINTS",E68-VLOOKUP(B$2,C1:E136,3,FALSE),J68)</f>
        <v>-86.47328978854701</v>
      </c>
      <c r="G68" s="77"/>
      <c r="H68" s="223">
        <f>RANK(I68,I3:I136)</f>
        <v>67</v>
      </c>
      <c r="I68" s="77">
        <f>VLOOKUP(A68,'Standard Deviations'!A1:C666,3,FALSE)</f>
        <v>0.231654203760825</v>
      </c>
      <c r="J68" s="84">
        <f>I68-VLOOKUP(B$2,H1:J136,2,FALSE)</f>
        <v>-5.5344106047955</v>
      </c>
    </row>
    <row r="69" ht="21.25" customHeight="1">
      <c r="A69" t="s" s="10">
        <v>344</v>
      </c>
      <c r="B69" t="s" s="129">
        <f>VLOOKUP(A69,'The List'!B1:D665,3,FALSE)</f>
        <v>148</v>
      </c>
      <c r="C69" s="130">
        <f>IF('Settings'!$E$15="POINTS",RANK(E69,E3:E136),H69)</f>
        <v>35</v>
      </c>
      <c r="D69" t="s" s="86">
        <f>VLOOKUP(A69,'The List'!B1:F665,5,FALSE)</f>
        <v>911</v>
      </c>
      <c r="E69" s="77">
        <f>VLOOKUP(A69,'The List'!B1:I665,8,FALSE)</f>
        <v>280.787203106581</v>
      </c>
      <c r="F69" s="77">
        <f>IF('Settings'!$E$15="POINTS",E69-VLOOKUP(B$2,C1:E136,3,FALSE),J69)</f>
        <v>-48.904690974597</v>
      </c>
      <c r="G69" s="77"/>
      <c r="H69" s="223">
        <f>RANK(I69,I3:I136)</f>
        <v>69</v>
      </c>
      <c r="I69" s="77">
        <f>VLOOKUP(A69,'Standard Deviations'!A1:C666,3,FALSE)</f>
        <v>0.0812756138258017</v>
      </c>
      <c r="J69" s="84">
        <f>I69-VLOOKUP(B$2,H1:J136,2,FALSE)</f>
        <v>-5.68478919473052</v>
      </c>
    </row>
    <row r="70" ht="21.25" customHeight="1">
      <c r="A70" t="s" s="10">
        <v>618</v>
      </c>
      <c r="B70" t="s" s="129">
        <f>VLOOKUP(A70,'The List'!B1:D665,3,FALSE)</f>
        <v>148</v>
      </c>
      <c r="C70" s="130">
        <f>IF('Settings'!$E$15="POINTS",RANK(E70,E3:E136),H70)</f>
        <v>87</v>
      </c>
      <c r="D70" t="s" s="86">
        <f>VLOOKUP(A70,'The List'!B1:F665,5,FALSE)</f>
        <v>908</v>
      </c>
      <c r="E70" s="77">
        <f>VLOOKUP(A70,'The List'!B1:I665,8,FALSE)</f>
        <v>196.202314814113</v>
      </c>
      <c r="F70" s="77">
        <f>IF('Settings'!$E$15="POINTS",E70-VLOOKUP(B$2,C1:E136,3,FALSE),J70)</f>
        <v>-133.489579267065</v>
      </c>
      <c r="G70" s="77"/>
      <c r="H70" s="223">
        <f>RANK(I70,I3:I136)</f>
        <v>81</v>
      </c>
      <c r="I70" s="77">
        <f>VLOOKUP(A70,'Standard Deviations'!A1:C666,3,FALSE)</f>
        <v>-0.876540811286641</v>
      </c>
      <c r="J70" s="84">
        <f>I70-VLOOKUP(B$2,H1:J136,2,FALSE)</f>
        <v>-6.64260561984296</v>
      </c>
    </row>
    <row r="71" ht="21.25" customHeight="1">
      <c r="A71" t="s" s="10">
        <v>440</v>
      </c>
      <c r="B71" t="s" s="129">
        <f>VLOOKUP(A71,'The List'!B1:D665,3,FALSE)</f>
        <v>145</v>
      </c>
      <c r="C71" s="130">
        <f>IF('Settings'!$E$15="POINTS",RANK(E71,E3:E136),H71)</f>
        <v>55</v>
      </c>
      <c r="D71" t="s" s="86">
        <f>VLOOKUP(A71,'The List'!B1:F665,5,FALSE)</f>
        <v>899</v>
      </c>
      <c r="E71" s="77">
        <f>VLOOKUP(A71,'The List'!B1:I665,8,FALSE)</f>
        <v>244.002992358096</v>
      </c>
      <c r="F71" s="77">
        <f>IF('Settings'!$E$15="POINTS",E71-VLOOKUP(B$2,C1:E136,3,FALSE),J71)</f>
        <v>-85.688901723082</v>
      </c>
      <c r="G71" s="77"/>
      <c r="H71" s="223">
        <f>RANK(I71,I3:I136)</f>
        <v>59</v>
      </c>
      <c r="I71" s="77">
        <f>VLOOKUP(A71,'Standard Deviations'!A1:C666,3,FALSE)</f>
        <v>0.762506540765718</v>
      </c>
      <c r="J71" s="84">
        <f>I71-VLOOKUP(B$2,H1:J136,2,FALSE)</f>
        <v>-5.0035582677906</v>
      </c>
    </row>
    <row r="72" ht="21.25" customHeight="1">
      <c r="A72" t="s" s="10">
        <v>525</v>
      </c>
      <c r="B72" t="s" s="129">
        <f>VLOOKUP(A72,'The List'!B1:D665,3,FALSE)</f>
        <v>148</v>
      </c>
      <c r="C72" s="130">
        <f>IF('Settings'!$E$15="POINTS",RANK(E72,E3:E136),H72)</f>
        <v>73</v>
      </c>
      <c r="D72" t="s" s="86">
        <f>VLOOKUP(A72,'The List'!B1:F665,5,FALSE)</f>
        <v>910</v>
      </c>
      <c r="E72" s="77">
        <f>VLOOKUP(A72,'The List'!B1:I665,8,FALSE)</f>
        <v>220.316196157354</v>
      </c>
      <c r="F72" s="77">
        <f>IF('Settings'!$E$15="POINTS",E72-VLOOKUP(B$2,C1:E136,3,FALSE),J72)</f>
        <v>-109.375697923824</v>
      </c>
      <c r="G72" s="77"/>
      <c r="H72" s="223">
        <f>RANK(I72,I3:I136)</f>
        <v>74</v>
      </c>
      <c r="I72" s="77">
        <f>VLOOKUP(A72,'Standard Deviations'!A1:C666,3,FALSE)</f>
        <v>-0.6327023150445</v>
      </c>
      <c r="J72" s="84">
        <f>I72-VLOOKUP(B$2,H1:J136,2,FALSE)</f>
        <v>-6.39876712360082</v>
      </c>
    </row>
    <row r="73" ht="21.25" customHeight="1">
      <c r="A73" t="s" s="10">
        <v>528</v>
      </c>
      <c r="B73" t="s" s="129">
        <f>VLOOKUP(A73,'The List'!B1:D665,3,FALSE)</f>
        <v>148</v>
      </c>
      <c r="C73" s="130">
        <f>IF('Settings'!$E$15="POINTS",RANK(E73,E3:E136),H73)</f>
        <v>74</v>
      </c>
      <c r="D73" t="s" s="86">
        <f>VLOOKUP(A73,'The List'!B1:F665,5,FALSE)</f>
        <v>913</v>
      </c>
      <c r="E73" s="77">
        <f>VLOOKUP(A73,'The List'!B1:I665,8,FALSE)</f>
        <v>219.202922653151</v>
      </c>
      <c r="F73" s="77">
        <f>IF('Settings'!$E$15="POINTS",E73-VLOOKUP(B$2,C1:E136,3,FALSE),J73)</f>
        <v>-110.488971428027</v>
      </c>
      <c r="G73" s="77"/>
      <c r="H73" s="223">
        <f>RANK(I73,I3:I136)</f>
        <v>94</v>
      </c>
      <c r="I73" s="77">
        <f>VLOOKUP(A73,'Standard Deviations'!A1:C666,3,FALSE)</f>
        <v>-2.07776362784574</v>
      </c>
      <c r="J73" s="84">
        <f>I73-VLOOKUP(B$2,H1:J136,2,FALSE)</f>
        <v>-7.84382843640206</v>
      </c>
    </row>
    <row r="74" ht="21.25" customHeight="1">
      <c r="A74" t="s" s="10">
        <v>577</v>
      </c>
      <c r="B74" t="s" s="129">
        <f>VLOOKUP(A74,'The List'!B1:D665,3,FALSE)</f>
        <v>140</v>
      </c>
      <c r="C74" s="130">
        <f>IF('Settings'!$E$15="POINTS",RANK(E74,E3:E136),H74)</f>
        <v>80</v>
      </c>
      <c r="D74" t="s" s="86">
        <f>VLOOKUP(A74,'The List'!B1:F665,5,FALSE)</f>
        <v>878</v>
      </c>
      <c r="E74" s="77">
        <f>VLOOKUP(A74,'The List'!B1:I665,8,FALSE)</f>
        <v>206.385533746930</v>
      </c>
      <c r="F74" s="77">
        <f>IF('Settings'!$E$15="POINTS",E74-VLOOKUP(B$2,C1:E136,3,FALSE),J74)</f>
        <v>-123.306360334248</v>
      </c>
      <c r="G74" s="77"/>
      <c r="H74" s="223">
        <f>RANK(I74,I3:I136)</f>
        <v>73</v>
      </c>
      <c r="I74" s="77">
        <f>VLOOKUP(A74,'Standard Deviations'!A1:C666,3,FALSE)</f>
        <v>-0.32676332374038</v>
      </c>
      <c r="J74" s="84">
        <f>I74-VLOOKUP(B$2,H1:J136,2,FALSE)</f>
        <v>-6.0928281322967</v>
      </c>
    </row>
    <row r="75" ht="21.25" customHeight="1">
      <c r="A75" t="s" s="10">
        <v>698</v>
      </c>
      <c r="B75" t="s" s="129">
        <f>VLOOKUP(A75,'The List'!B1:D665,3,FALSE)</f>
        <v>140</v>
      </c>
      <c r="C75" s="130">
        <f>IF('Settings'!$E$15="POINTS",RANK(E75,E3:E136),H75)</f>
        <v>102</v>
      </c>
      <c r="D75" t="s" s="86">
        <f>VLOOKUP(A75,'The List'!B1:F665,5,FALSE)</f>
        <v>165</v>
      </c>
      <c r="E75" s="77">
        <f>VLOOKUP(A75,'The List'!B1:I665,8,FALSE)</f>
        <v>171.644605779265</v>
      </c>
      <c r="F75" s="77">
        <f>IF('Settings'!$E$15="POINTS",E75-VLOOKUP(B$2,C1:E136,3,FALSE),J75)</f>
        <v>-158.047288301913</v>
      </c>
      <c r="G75" s="77"/>
      <c r="H75" s="223">
        <f>RANK(I75,I3:I136)</f>
        <v>72</v>
      </c>
      <c r="I75" s="77">
        <f>VLOOKUP(A75,'Standard Deviations'!A1:C666,3,FALSE)</f>
        <v>-0.232031930803252</v>
      </c>
      <c r="J75" s="84">
        <f>I75-VLOOKUP(B$2,H1:J136,2,FALSE)</f>
        <v>-5.99809673935957</v>
      </c>
    </row>
    <row r="76" ht="21.25" customHeight="1">
      <c r="A76" t="s" s="10">
        <v>553</v>
      </c>
      <c r="B76" t="s" s="129">
        <f>VLOOKUP(A76,'The List'!B1:D665,3,FALSE)</f>
        <v>554</v>
      </c>
      <c r="C76" s="130">
        <f>IF('Settings'!$E$15="POINTS",RANK(E76,E3:E136),H76)</f>
        <v>77</v>
      </c>
      <c r="D76" t="s" s="86">
        <f>VLOOKUP(A76,'The List'!B1:F665,5,FALSE)</f>
        <v>156</v>
      </c>
      <c r="E76" s="77">
        <f>VLOOKUP(A76,'The List'!B1:I665,8,FALSE)</f>
        <v>212.040273084470</v>
      </c>
      <c r="F76" s="77">
        <f>IF('Settings'!$E$15="POINTS",E76-VLOOKUP(B$2,C1:E136,3,FALSE),J76)</f>
        <v>-117.651620996708</v>
      </c>
      <c r="G76" s="77"/>
      <c r="H76" s="223">
        <f>RANK(I76,I3:I136)</f>
        <v>76</v>
      </c>
      <c r="I76" s="77">
        <f>VLOOKUP(A76,'Standard Deviations'!A1:C666,3,FALSE)</f>
        <v>-0.712640770411608</v>
      </c>
      <c r="J76" s="84">
        <f>I76-VLOOKUP(B$2,H1:J136,2,FALSE)</f>
        <v>-6.47870557896793</v>
      </c>
    </row>
    <row r="77" ht="21.25" customHeight="1">
      <c r="A77" t="s" s="10">
        <v>377</v>
      </c>
      <c r="B77" t="s" s="129">
        <f>VLOOKUP(A77,'The List'!B1:D665,3,FALSE)</f>
        <v>148</v>
      </c>
      <c r="C77" s="130">
        <f>IF('Settings'!$E$15="POINTS",RANK(E77,E3:E136),H77)</f>
        <v>41</v>
      </c>
      <c r="D77" t="s" s="86">
        <f>VLOOKUP(A77,'The List'!B1:F665,5,FALSE)</f>
        <v>908</v>
      </c>
      <c r="E77" s="77">
        <f>VLOOKUP(A77,'The List'!B1:I665,8,FALSE)</f>
        <v>269.271871379416</v>
      </c>
      <c r="F77" s="77">
        <f>IF('Settings'!$E$15="POINTS",E77-VLOOKUP(B$2,C1:E136,3,FALSE),J77)</f>
        <v>-60.420022701762</v>
      </c>
      <c r="G77" s="77"/>
      <c r="H77" s="223">
        <f>RANK(I77,I3:I136)</f>
        <v>70</v>
      </c>
      <c r="I77" s="77">
        <f>VLOOKUP(A77,'Standard Deviations'!A1:C666,3,FALSE)</f>
        <v>-0.168805738106172</v>
      </c>
      <c r="J77" s="84">
        <f>I77-VLOOKUP(B$2,H1:J136,2,FALSE)</f>
        <v>-5.93487054666249</v>
      </c>
    </row>
    <row r="78" ht="21.25" customHeight="1">
      <c r="A78" t="s" s="10">
        <v>652</v>
      </c>
      <c r="B78" t="s" s="129">
        <f>VLOOKUP(A78,'The List'!B1:D665,3,FALSE)</f>
        <v>140</v>
      </c>
      <c r="C78" s="130">
        <f>IF('Settings'!$E$15="POINTS",RANK(E78,E3:E136),H78)</f>
        <v>91</v>
      </c>
      <c r="D78" t="s" s="86">
        <f>VLOOKUP(A78,'The List'!B1:F665,5,FALSE)</f>
        <v>901</v>
      </c>
      <c r="E78" s="77">
        <f>VLOOKUP(A78,'The List'!B1:I665,8,FALSE)</f>
        <v>185.544934011670</v>
      </c>
      <c r="F78" s="77">
        <f>IF('Settings'!$E$15="POINTS",E78-VLOOKUP(B$2,C1:E136,3,FALSE),J78)</f>
        <v>-144.146960069508</v>
      </c>
      <c r="G78" s="77"/>
      <c r="H78" s="223">
        <f>RANK(I78,I3:I136)</f>
        <v>83</v>
      </c>
      <c r="I78" s="77">
        <f>VLOOKUP(A78,'Standard Deviations'!A1:C666,3,FALSE)</f>
        <v>-0.939246081893615</v>
      </c>
      <c r="J78" s="84">
        <f>I78-VLOOKUP(B$2,H1:J136,2,FALSE)</f>
        <v>-6.70531089044994</v>
      </c>
    </row>
    <row r="79" ht="21.25" customHeight="1">
      <c r="A79" t="s" s="10">
        <v>608</v>
      </c>
      <c r="B79" t="s" s="129">
        <f>VLOOKUP(A79,'The List'!B1:D665,3,FALSE)</f>
        <v>140</v>
      </c>
      <c r="C79" s="130">
        <f>IF('Settings'!$E$15="POINTS",RANK(E79,E3:E136),H79)</f>
        <v>83</v>
      </c>
      <c r="D79" t="s" s="86">
        <f>VLOOKUP(A79,'The List'!B1:F665,5,FALSE)</f>
        <v>903</v>
      </c>
      <c r="E79" s="77">
        <f>VLOOKUP(A79,'The List'!B1:I665,8,FALSE)</f>
        <v>198.471615269640</v>
      </c>
      <c r="F79" s="77">
        <f>IF('Settings'!$E$15="POINTS",E79-VLOOKUP(B$2,C1:E136,3,FALSE),J79)</f>
        <v>-131.220278811538</v>
      </c>
      <c r="G79" s="77"/>
      <c r="H79" s="223">
        <f>RANK(I79,I3:I136)</f>
        <v>75</v>
      </c>
      <c r="I79" s="77">
        <f>VLOOKUP(A79,'Standard Deviations'!A1:C666,3,FALSE)</f>
        <v>-0.671905389852661</v>
      </c>
      <c r="J79" s="84">
        <f>I79-VLOOKUP(B$2,H1:J136,2,FALSE)</f>
        <v>-6.43797019840898</v>
      </c>
    </row>
    <row r="80" ht="21.25" customHeight="1">
      <c r="A80" t="s" s="10">
        <v>519</v>
      </c>
      <c r="B80" t="s" s="129">
        <f>VLOOKUP(A80,'The List'!B1:D665,3,FALSE)</f>
        <v>148</v>
      </c>
      <c r="C80" s="130">
        <f>IF('Settings'!$E$15="POINTS",RANK(E80,E3:E136),H80)</f>
        <v>70</v>
      </c>
      <c r="D80" t="s" s="86">
        <f>VLOOKUP(A80,'The List'!B1:F665,5,FALSE)</f>
        <v>904</v>
      </c>
      <c r="E80" s="77">
        <f>VLOOKUP(A80,'The List'!B1:I665,8,FALSE)</f>
        <v>221.997427776980</v>
      </c>
      <c r="F80" s="77">
        <f>IF('Settings'!$E$15="POINTS",E80-VLOOKUP(B$2,C1:E136,3,FALSE),J80)</f>
        <v>-107.694466304198</v>
      </c>
      <c r="G80" s="77"/>
      <c r="H80" s="223">
        <f>RANK(I80,I3:I136)</f>
        <v>71</v>
      </c>
      <c r="I80" s="77">
        <f>VLOOKUP(A80,'Standard Deviations'!A1:C666,3,FALSE)</f>
        <v>-0.175953352216938</v>
      </c>
      <c r="J80" s="84">
        <f>I80-VLOOKUP(B$2,H1:J136,2,FALSE)</f>
        <v>-5.94201816077326</v>
      </c>
    </row>
    <row r="81" ht="21.25" customHeight="1">
      <c r="A81" t="s" s="10">
        <v>666</v>
      </c>
      <c r="B81" t="s" s="129">
        <f>VLOOKUP(A81,'The List'!B1:D665,3,FALSE)</f>
        <v>140</v>
      </c>
      <c r="C81" s="130">
        <f>IF('Settings'!$E$15="POINTS",RANK(E81,E3:E136),H81)</f>
        <v>96</v>
      </c>
      <c r="D81" t="s" s="86">
        <f>VLOOKUP(A81,'The List'!B1:F665,5,FALSE)</f>
        <v>914</v>
      </c>
      <c r="E81" s="77">
        <f>VLOOKUP(A81,'The List'!B1:I665,8,FALSE)</f>
        <v>181.285072804627</v>
      </c>
      <c r="F81" s="77">
        <f>IF('Settings'!$E$15="POINTS",E81-VLOOKUP(B$2,C1:E136,3,FALSE),J81)</f>
        <v>-148.406821276551</v>
      </c>
      <c r="G81" s="77"/>
      <c r="H81" s="223">
        <f>RANK(I81,I3:I136)</f>
        <v>109</v>
      </c>
      <c r="I81" s="77">
        <f>VLOOKUP(A81,'Standard Deviations'!A1:C666,3,FALSE)</f>
        <v>-3.25985753990604</v>
      </c>
      <c r="J81" s="84">
        <f>I81-VLOOKUP(B$2,H1:J136,2,FALSE)</f>
        <v>-9.025922348462361</v>
      </c>
    </row>
    <row r="82" ht="21.25" customHeight="1">
      <c r="A82" t="s" s="10">
        <v>654</v>
      </c>
      <c r="B82" t="s" s="129">
        <f>VLOOKUP(A82,'The List'!B1:D665,3,FALSE)</f>
        <v>145</v>
      </c>
      <c r="C82" s="130">
        <f>IF('Settings'!$E$15="POINTS",RANK(E82,E3:E136),H82)</f>
        <v>92</v>
      </c>
      <c r="D82" t="s" s="86">
        <f>VLOOKUP(A82,'The List'!B1:F665,5,FALSE)</f>
        <v>905</v>
      </c>
      <c r="E82" s="77">
        <f>VLOOKUP(A82,'The List'!B1:I665,8,FALSE)</f>
        <v>184.645887838037</v>
      </c>
      <c r="F82" s="77">
        <f>IF('Settings'!$E$15="POINTS",E82-VLOOKUP(B$2,C1:E136,3,FALSE),J82)</f>
        <v>-145.046006243141</v>
      </c>
      <c r="G82" s="77"/>
      <c r="H82" s="223">
        <f>RANK(I82,I3:I136)</f>
        <v>99</v>
      </c>
      <c r="I82" s="77">
        <f>VLOOKUP(A82,'Standard Deviations'!A1:C666,3,FALSE)</f>
        <v>-2.67657297097521</v>
      </c>
      <c r="J82" s="84">
        <f>I82-VLOOKUP(B$2,H1:J136,2,FALSE)</f>
        <v>-8.44263777953153</v>
      </c>
    </row>
    <row r="83" ht="21.25" customHeight="1">
      <c r="A83" t="s" s="10">
        <v>461</v>
      </c>
      <c r="B83" t="s" s="129">
        <f>VLOOKUP(A83,'The List'!B1:D665,3,FALSE)</f>
        <v>148</v>
      </c>
      <c r="C83" s="130">
        <f>IF('Settings'!$E$15="POINTS",RANK(E83,E3:E136),H83)</f>
        <v>62</v>
      </c>
      <c r="D83" t="s" s="86">
        <f>VLOOKUP(A83,'The List'!B1:F665,5,FALSE)</f>
        <v>906</v>
      </c>
      <c r="E83" s="77">
        <f>VLOOKUP(A83,'The List'!B1:I665,8,FALSE)</f>
        <v>236.373778403871</v>
      </c>
      <c r="F83" s="77">
        <f>IF('Settings'!$E$15="POINTS",E83-VLOOKUP(B$2,C1:E136,3,FALSE),J83)</f>
        <v>-93.31811567730701</v>
      </c>
      <c r="G83" s="77"/>
      <c r="H83" s="223">
        <f>RANK(I83,I3:I136)</f>
        <v>61</v>
      </c>
      <c r="I83" s="77">
        <f>VLOOKUP(A83,'Standard Deviations'!A1:C666,3,FALSE)</f>
        <v>0.692142260954932</v>
      </c>
      <c r="J83" s="84">
        <f>I83-VLOOKUP(B$2,H1:J136,2,FALSE)</f>
        <v>-5.07392254760139</v>
      </c>
    </row>
    <row r="84" ht="21.25" customHeight="1">
      <c r="A84" t="s" s="10">
        <v>662</v>
      </c>
      <c r="B84" t="s" s="129">
        <f>VLOOKUP(A84,'The List'!B1:D665,3,FALSE)</f>
        <v>140</v>
      </c>
      <c r="C84" s="130">
        <f>IF('Settings'!$E$15="POINTS",RANK(E84,E3:E136),H84)</f>
        <v>94</v>
      </c>
      <c r="D84" t="s" s="86">
        <f>VLOOKUP(A84,'The List'!B1:F665,5,FALSE)</f>
        <v>342</v>
      </c>
      <c r="E84" s="77">
        <f>VLOOKUP(A84,'The List'!B1:I665,8,FALSE)</f>
        <v>182.548445862807</v>
      </c>
      <c r="F84" s="77">
        <f>IF('Settings'!$E$15="POINTS",E84-VLOOKUP(B$2,C1:E136,3,FALSE),J84)</f>
        <v>-147.143448218371</v>
      </c>
      <c r="G84" s="77"/>
      <c r="H84" s="223">
        <f>RANK(I84,I3:I136)</f>
        <v>80</v>
      </c>
      <c r="I84" s="77">
        <f>VLOOKUP(A84,'Standard Deviations'!A1:C666,3,FALSE)</f>
        <v>-0.865102991076996</v>
      </c>
      <c r="J84" s="84">
        <f>I84-VLOOKUP(B$2,H1:J136,2,FALSE)</f>
        <v>-6.63116779963332</v>
      </c>
    </row>
    <row r="85" ht="21.25" customHeight="1">
      <c r="A85" t="s" s="10">
        <v>673</v>
      </c>
      <c r="B85" t="s" s="129">
        <f>VLOOKUP(A85,'The List'!B1:D665,3,FALSE)</f>
        <v>145</v>
      </c>
      <c r="C85" s="130">
        <f>IF('Settings'!$E$15="POINTS",RANK(E85,E3:E136),H85)</f>
        <v>99</v>
      </c>
      <c r="D85" t="s" s="86">
        <f>VLOOKUP(A85,'The List'!B1:F665,5,FALSE)</f>
        <v>174</v>
      </c>
      <c r="E85" s="77">
        <f>VLOOKUP(A85,'The List'!B1:I665,8,FALSE)</f>
        <v>178.425040179140</v>
      </c>
      <c r="F85" s="77">
        <f>IF('Settings'!$E$15="POINTS",E85-VLOOKUP(B$2,C1:E136,3,FALSE),J85)</f>
        <v>-151.266853902038</v>
      </c>
      <c r="G85" s="77"/>
      <c r="H85" s="223">
        <f>RANK(I85,I3:I136)</f>
        <v>87</v>
      </c>
      <c r="I85" s="77">
        <f>VLOOKUP(A85,'Standard Deviations'!A1:C666,3,FALSE)</f>
        <v>-1.36776484270839</v>
      </c>
      <c r="J85" s="84">
        <f>I85-VLOOKUP(B$2,H1:J136,2,FALSE)</f>
        <v>-7.13382965126471</v>
      </c>
    </row>
    <row r="86" ht="21.25" customHeight="1">
      <c r="A86" t="s" s="10">
        <v>617</v>
      </c>
      <c r="B86" t="s" s="129">
        <f>VLOOKUP(A86,'The List'!B1:D665,3,FALSE)</f>
        <v>140</v>
      </c>
      <c r="C86" s="130">
        <f>IF('Settings'!$E$15="POINTS",RANK(E86,E3:E136),H86)</f>
        <v>86</v>
      </c>
      <c r="D86" t="s" s="86">
        <f>VLOOKUP(A86,'The List'!B1:F665,5,FALSE)</f>
        <v>259</v>
      </c>
      <c r="E86" s="77">
        <f>VLOOKUP(A86,'The List'!B1:I665,8,FALSE)</f>
        <v>196.540840439380</v>
      </c>
      <c r="F86" s="77">
        <f>IF('Settings'!$E$15="POINTS",E86-VLOOKUP(B$2,C1:E136,3,FALSE),J86)</f>
        <v>-133.151053641798</v>
      </c>
      <c r="G86" s="77"/>
      <c r="H86" s="223">
        <f>RANK(I86,I3:I136)</f>
        <v>85</v>
      </c>
      <c r="I86" s="77">
        <f>VLOOKUP(A86,'Standard Deviations'!A1:C666,3,FALSE)</f>
        <v>-1.03499206683792</v>
      </c>
      <c r="J86" s="84">
        <f>I86-VLOOKUP(B$2,H1:J136,2,FALSE)</f>
        <v>-6.80105687539424</v>
      </c>
    </row>
    <row r="87" ht="21.25" customHeight="1">
      <c r="A87" t="s" s="10">
        <v>708</v>
      </c>
      <c r="B87" t="s" s="129">
        <f>VLOOKUP(A87,'The List'!B1:D665,3,FALSE)</f>
        <v>140</v>
      </c>
      <c r="C87" s="130">
        <f>IF('Settings'!$E$15="POINTS",RANK(E87,E3:E136),H87)</f>
        <v>105</v>
      </c>
      <c r="D87" t="s" s="86">
        <f>VLOOKUP(A87,'The List'!B1:F665,5,FALSE)</f>
        <v>899</v>
      </c>
      <c r="E87" s="77">
        <f>VLOOKUP(A87,'The List'!B1:I665,8,FALSE)</f>
        <v>167.869973553738</v>
      </c>
      <c r="F87" s="77">
        <f>IF('Settings'!$E$15="POINTS",E87-VLOOKUP(B$2,C1:E136,3,FALSE),J87)</f>
        <v>-161.821920527440</v>
      </c>
      <c r="G87" s="77"/>
      <c r="H87" s="223">
        <f>RANK(I87,I3:I136)</f>
        <v>96</v>
      </c>
      <c r="I87" s="77">
        <f>VLOOKUP(A87,'Standard Deviations'!A1:C666,3,FALSE)</f>
        <v>-2.3989784436741</v>
      </c>
      <c r="J87" s="84">
        <f>I87-VLOOKUP(B$2,H1:J136,2,FALSE)</f>
        <v>-8.16504325223042</v>
      </c>
    </row>
    <row r="88" ht="21.25" customHeight="1">
      <c r="A88" t="s" s="10">
        <v>572</v>
      </c>
      <c r="B88" t="s" s="129">
        <f>VLOOKUP(A88,'The List'!B1:D665,3,FALSE)</f>
        <v>148</v>
      </c>
      <c r="C88" s="130">
        <f>IF('Settings'!$E$15="POINTS",RANK(E88,E3:E136),H88)</f>
        <v>79</v>
      </c>
      <c r="D88" t="s" s="86">
        <f>VLOOKUP(A88,'The List'!B1:F665,5,FALSE)</f>
        <v>267</v>
      </c>
      <c r="E88" s="77">
        <f>VLOOKUP(A88,'The List'!B1:I665,8,FALSE)</f>
        <v>207.643482632290</v>
      </c>
      <c r="F88" s="77">
        <f>IF('Settings'!$E$15="POINTS",E88-VLOOKUP(B$2,C1:E136,3,FALSE),J88)</f>
        <v>-122.048411448888</v>
      </c>
      <c r="G88" s="77"/>
      <c r="H88" s="223">
        <f>RANK(I88,I3:I136)</f>
        <v>64</v>
      </c>
      <c r="I88" s="77">
        <f>VLOOKUP(A88,'Standard Deviations'!A1:C666,3,FALSE)</f>
        <v>0.353090057563605</v>
      </c>
      <c r="J88" s="84">
        <f>I88-VLOOKUP(B$2,H1:J136,2,FALSE)</f>
        <v>-5.41297475099272</v>
      </c>
    </row>
    <row r="89" ht="21.25" customHeight="1">
      <c r="A89" t="s" s="10">
        <v>592</v>
      </c>
      <c r="B89" t="s" s="129">
        <f>VLOOKUP(A89,'The List'!B1:D665,3,FALSE)</f>
        <v>148</v>
      </c>
      <c r="C89" s="130">
        <f>IF('Settings'!$E$15="POINTS",RANK(E89,E3:E136),H89)</f>
        <v>81</v>
      </c>
      <c r="D89" t="s" s="86">
        <f>VLOOKUP(A89,'The List'!B1:F665,5,FALSE)</f>
        <v>900</v>
      </c>
      <c r="E89" s="77">
        <f>VLOOKUP(A89,'The List'!B1:I665,8,FALSE)</f>
        <v>202.974280827381</v>
      </c>
      <c r="F89" s="77">
        <f>IF('Settings'!$E$15="POINTS",E89-VLOOKUP(B$2,C1:E136,3,FALSE),J89)</f>
        <v>-126.717613253797</v>
      </c>
      <c r="G89" s="77"/>
      <c r="H89" s="223">
        <f>RANK(I89,I3:I136)</f>
        <v>68</v>
      </c>
      <c r="I89" s="77">
        <f>VLOOKUP(A89,'Standard Deviations'!A1:C666,3,FALSE)</f>
        <v>0.141532455133007</v>
      </c>
      <c r="J89" s="84">
        <f>I89-VLOOKUP(B$2,H1:J136,2,FALSE)</f>
        <v>-5.62453235342331</v>
      </c>
    </row>
    <row r="90" ht="21.25" customHeight="1">
      <c r="A90" t="s" s="10">
        <v>672</v>
      </c>
      <c r="B90" t="s" s="129">
        <f>VLOOKUP(A90,'The List'!B1:D665,3,FALSE)</f>
        <v>140</v>
      </c>
      <c r="C90" s="130">
        <f>IF('Settings'!$E$15="POINTS",RANK(E90,E3:E136),H90)</f>
        <v>98</v>
      </c>
      <c r="D90" t="s" s="86">
        <f>VLOOKUP(A90,'The List'!B1:F665,5,FALSE)</f>
        <v>174</v>
      </c>
      <c r="E90" s="77">
        <f>VLOOKUP(A90,'The List'!B1:I665,8,FALSE)</f>
        <v>178.453457738741</v>
      </c>
      <c r="F90" s="77">
        <f>IF('Settings'!$E$15="POINTS",E90-VLOOKUP(B$2,C1:E136,3,FALSE),J90)</f>
        <v>-151.238436342437</v>
      </c>
      <c r="G90" s="77"/>
      <c r="H90" s="223">
        <f>RANK(I90,I3:I136)</f>
        <v>86</v>
      </c>
      <c r="I90" s="77">
        <f>VLOOKUP(A90,'Standard Deviations'!A1:C666,3,FALSE)</f>
        <v>-1.3619252919749</v>
      </c>
      <c r="J90" s="84">
        <f>I90-VLOOKUP(B$2,H1:J136,2,FALSE)</f>
        <v>-7.12799010053122</v>
      </c>
    </row>
    <row r="91" ht="21.25" customHeight="1">
      <c r="A91" t="s" s="10">
        <v>613</v>
      </c>
      <c r="B91" t="s" s="129">
        <f>VLOOKUP(A91,'The List'!B1:D665,3,FALSE)</f>
        <v>145</v>
      </c>
      <c r="C91" s="130">
        <f>IF('Settings'!$E$15="POINTS",RANK(E91,E3:E136),H91)</f>
        <v>84</v>
      </c>
      <c r="D91" t="s" s="86">
        <f>VLOOKUP(A91,'The List'!B1:F665,5,FALSE)</f>
        <v>903</v>
      </c>
      <c r="E91" s="77">
        <f>VLOOKUP(A91,'The List'!B1:I665,8,FALSE)</f>
        <v>197.310827194617</v>
      </c>
      <c r="F91" s="77">
        <f>IF('Settings'!$E$15="POINTS",E91-VLOOKUP(B$2,C1:E136,3,FALSE),J91)</f>
        <v>-132.381066886561</v>
      </c>
      <c r="G91" s="77"/>
      <c r="H91" s="223">
        <f>RANK(I91,I3:I136)</f>
        <v>82</v>
      </c>
      <c r="I91" s="77">
        <f>VLOOKUP(A91,'Standard Deviations'!A1:C666,3,FALSE)</f>
        <v>-0.913052162695858</v>
      </c>
      <c r="J91" s="84">
        <f>I91-VLOOKUP(B$2,H1:J136,2,FALSE)</f>
        <v>-6.67911697125218</v>
      </c>
    </row>
    <row r="92" ht="21.25" customHeight="1">
      <c r="A92" t="s" s="10">
        <v>437</v>
      </c>
      <c r="B92" t="s" s="129">
        <f>VLOOKUP(A92,'The List'!B1:D665,3,FALSE)</f>
        <v>145</v>
      </c>
      <c r="C92" s="130">
        <f>IF('Settings'!$E$15="POINTS",RANK(E92,E3:E136),H92)</f>
        <v>53</v>
      </c>
      <c r="D92" t="s" s="86">
        <f>VLOOKUP(A92,'The List'!B1:F665,5,FALSE)</f>
        <v>899</v>
      </c>
      <c r="E92" s="77">
        <f>VLOOKUP(A92,'The List'!B1:I665,8,FALSE)</f>
        <v>245.399218627563</v>
      </c>
      <c r="F92" s="77">
        <f>IF('Settings'!$E$15="POINTS",E92-VLOOKUP(B$2,C1:E136,3,FALSE),J92)</f>
        <v>-84.292675453615</v>
      </c>
      <c r="G92" s="77"/>
      <c r="H92" s="223">
        <f>RANK(I92,I3:I136)</f>
        <v>77</v>
      </c>
      <c r="I92" s="77">
        <f>VLOOKUP(A92,'Standard Deviations'!A1:C666,3,FALSE)</f>
        <v>-0.714883388483898</v>
      </c>
      <c r="J92" s="84">
        <f>I92-VLOOKUP(B$2,H1:J136,2,FALSE)</f>
        <v>-6.48094819704022</v>
      </c>
    </row>
    <row r="93" ht="21.25" customHeight="1">
      <c r="A93" t="s" s="10">
        <v>722</v>
      </c>
      <c r="B93" t="s" s="129">
        <f>VLOOKUP(A93,'The List'!B1:D665,3,FALSE)</f>
        <v>140</v>
      </c>
      <c r="C93" s="130">
        <f>IF('Settings'!$E$15="POINTS",RANK(E93,E3:E136),H93)</f>
        <v>109</v>
      </c>
      <c r="D93" t="s" s="86">
        <f>VLOOKUP(A93,'The List'!B1:F665,5,FALSE)</f>
        <v>878</v>
      </c>
      <c r="E93" s="77">
        <f>VLOOKUP(A93,'The List'!B1:I665,8,FALSE)</f>
        <v>163.491593926042</v>
      </c>
      <c r="F93" s="77">
        <f>IF('Settings'!$E$15="POINTS",E93-VLOOKUP(B$2,C1:E136,3,FALSE),J93)</f>
        <v>-166.200300155136</v>
      </c>
      <c r="G93" s="77"/>
      <c r="H93" s="223">
        <f>RANK(I93,I3:I136)</f>
        <v>84</v>
      </c>
      <c r="I93" s="77">
        <f>VLOOKUP(A93,'Standard Deviations'!A1:C666,3,FALSE)</f>
        <v>-1.00238459171656</v>
      </c>
      <c r="J93" s="84">
        <f>I93-VLOOKUP(B$2,H1:J136,2,FALSE)</f>
        <v>-6.76844940027288</v>
      </c>
    </row>
    <row r="94" ht="21.25" customHeight="1">
      <c r="A94" t="s" s="10">
        <v>776</v>
      </c>
      <c r="B94" t="s" s="129">
        <f>VLOOKUP(A94,'The List'!B1:D665,3,FALSE)</f>
        <v>140</v>
      </c>
      <c r="C94" s="130">
        <f>IF('Settings'!$E$15="POINTS",RANK(E94,E3:E136),H94)</f>
        <v>117</v>
      </c>
      <c r="D94" t="s" s="86">
        <f>VLOOKUP(A94,'The List'!B1:F665,5,FALSE)</f>
        <v>910</v>
      </c>
      <c r="E94" s="77">
        <f>VLOOKUP(A94,'The List'!B1:I665,8,FALSE)</f>
        <v>149.647400240377</v>
      </c>
      <c r="F94" s="77">
        <f>IF('Settings'!$E$15="POINTS",E94-VLOOKUP(B$2,C1:E136,3,FALSE),J94)</f>
        <v>-180.044493840801</v>
      </c>
      <c r="G94" s="77"/>
      <c r="H94" s="223">
        <f>RANK(I94,I3:I136)</f>
        <v>105</v>
      </c>
      <c r="I94" s="77">
        <f>VLOOKUP(A94,'Standard Deviations'!A1:C666,3,FALSE)</f>
        <v>-2.97811996507374</v>
      </c>
      <c r="J94" s="84">
        <f>I94-VLOOKUP(B$2,H1:J136,2,FALSE)</f>
        <v>-8.74418477363006</v>
      </c>
    </row>
    <row r="95" ht="21.25" customHeight="1">
      <c r="A95" t="s" s="10">
        <v>713</v>
      </c>
      <c r="B95" t="s" s="129">
        <f>VLOOKUP(A95,'The List'!B1:D665,3,FALSE)</f>
        <v>140</v>
      </c>
      <c r="C95" s="130">
        <f>IF('Settings'!$E$15="POINTS",RANK(E95,E3:E136),H95)</f>
        <v>107</v>
      </c>
      <c r="D95" t="s" s="86">
        <f>VLOOKUP(A95,'The List'!B1:F665,5,FALSE)</f>
        <v>259</v>
      </c>
      <c r="E95" s="77">
        <f>VLOOKUP(A95,'The List'!B1:I665,8,FALSE)</f>
        <v>166.236675014789</v>
      </c>
      <c r="F95" s="77">
        <f>IF('Settings'!$E$15="POINTS",E95-VLOOKUP(B$2,C1:E136,3,FALSE),J95)</f>
        <v>-163.455219066389</v>
      </c>
      <c r="G95" s="77"/>
      <c r="H95" s="223">
        <f>RANK(I95,I3:I136)</f>
        <v>93</v>
      </c>
      <c r="I95" s="77">
        <f>VLOOKUP(A95,'Standard Deviations'!A1:C666,3,FALSE)</f>
        <v>-2.06119397445176</v>
      </c>
      <c r="J95" s="84">
        <f>I95-VLOOKUP(B$2,H1:J136,2,FALSE)</f>
        <v>-7.82725878300808</v>
      </c>
    </row>
    <row r="96" ht="21.25" customHeight="1">
      <c r="A96" t="s" s="10">
        <v>744</v>
      </c>
      <c r="B96" t="s" s="129">
        <f>VLOOKUP(A96,'The List'!B1:D665,3,FALSE)</f>
        <v>140</v>
      </c>
      <c r="C96" s="130">
        <f>IF('Settings'!$E$15="POINTS",RANK(E96,E3:E136),H96)</f>
        <v>112</v>
      </c>
      <c r="D96" t="s" s="86">
        <f>VLOOKUP(A96,'The List'!B1:F665,5,FALSE)</f>
        <v>909</v>
      </c>
      <c r="E96" s="77">
        <f>VLOOKUP(A96,'The List'!B1:I665,8,FALSE)</f>
        <v>158.846560375064</v>
      </c>
      <c r="F96" s="77">
        <f>IF('Settings'!$E$15="POINTS",E96-VLOOKUP(B$2,C1:E136,3,FALSE),J96)</f>
        <v>-170.845333706114</v>
      </c>
      <c r="G96" s="77"/>
      <c r="H96" s="223">
        <f>RANK(I96,I3:I136)</f>
        <v>101</v>
      </c>
      <c r="I96" s="77">
        <f>VLOOKUP(A96,'Standard Deviations'!A1:C666,3,FALSE)</f>
        <v>-2.78319935857885</v>
      </c>
      <c r="J96" s="84">
        <f>I96-VLOOKUP(B$2,H1:J136,2,FALSE)</f>
        <v>-8.549264167135171</v>
      </c>
    </row>
    <row r="97" ht="21.25" customHeight="1">
      <c r="A97" t="s" s="10">
        <v>702</v>
      </c>
      <c r="B97" t="s" s="129">
        <f>VLOOKUP(A97,'The List'!B1:D665,3,FALSE)</f>
        <v>554</v>
      </c>
      <c r="C97" s="130">
        <f>IF('Settings'!$E$15="POINTS",RANK(E97,E3:E136),H97)</f>
        <v>103</v>
      </c>
      <c r="D97" t="s" s="86">
        <f>VLOOKUP(A97,'The List'!B1:F665,5,FALSE)</f>
        <v>906</v>
      </c>
      <c r="E97" s="77">
        <f>VLOOKUP(A97,'The List'!B1:I665,8,FALSE)</f>
        <v>171.190782716769</v>
      </c>
      <c r="F97" s="77">
        <f>IF('Settings'!$E$15="POINTS",E97-VLOOKUP(B$2,C1:E136,3,FALSE),J97)</f>
        <v>-158.501111364409</v>
      </c>
      <c r="G97" s="77"/>
      <c r="H97" s="223">
        <f>RANK(I97,I3:I136)</f>
        <v>79</v>
      </c>
      <c r="I97" s="77">
        <f>VLOOKUP(A97,'Standard Deviations'!A1:C666,3,FALSE)</f>
        <v>-0.838127271578573</v>
      </c>
      <c r="J97" s="84">
        <f>I97-VLOOKUP(B$2,H1:J136,2,FALSE)</f>
        <v>-6.60419208013489</v>
      </c>
    </row>
    <row r="98" ht="21.25" customHeight="1">
      <c r="A98" t="s" s="10">
        <v>614</v>
      </c>
      <c r="B98" t="s" s="129">
        <f>VLOOKUP(A98,'The List'!B1:D665,3,FALSE)</f>
        <v>140</v>
      </c>
      <c r="C98" s="130">
        <f>IF('Settings'!$E$15="POINTS",RANK(E98,E3:E136),H98)</f>
        <v>85</v>
      </c>
      <c r="D98" t="s" s="86">
        <f>VLOOKUP(A98,'The List'!B1:F665,5,FALSE)</f>
        <v>907</v>
      </c>
      <c r="E98" s="77">
        <f>VLOOKUP(A98,'The List'!B1:I665,8,FALSE)</f>
        <v>197.119833723382</v>
      </c>
      <c r="F98" s="77">
        <f>IF('Settings'!$E$15="POINTS",E98-VLOOKUP(B$2,C1:E136,3,FALSE),J98)</f>
        <v>-132.572060357796</v>
      </c>
      <c r="G98" s="77"/>
      <c r="H98" s="223">
        <f>RANK(I98,I3:I136)</f>
        <v>97</v>
      </c>
      <c r="I98" s="77">
        <f>VLOOKUP(A98,'Standard Deviations'!A1:C666,3,FALSE)</f>
        <v>-2.54343250531732</v>
      </c>
      <c r="J98" s="84">
        <f>I98-VLOOKUP(B$2,H1:J136,2,FALSE)</f>
        <v>-8.30949731387364</v>
      </c>
    </row>
    <row r="99" ht="21.25" customHeight="1">
      <c r="A99" t="s" s="10">
        <v>807</v>
      </c>
      <c r="B99" t="s" s="129">
        <f>VLOOKUP(A99,'The List'!B1:D665,3,FALSE)</f>
        <v>140</v>
      </c>
      <c r="C99" s="130">
        <f>IF('Settings'!$E$15="POINTS",RANK(E99,E3:E136),H99)</f>
        <v>127</v>
      </c>
      <c r="D99" t="s" s="86">
        <f>VLOOKUP(A99,'The List'!B1:F665,5,FALSE)</f>
        <v>909</v>
      </c>
      <c r="E99" s="77">
        <f>VLOOKUP(A99,'The List'!B1:I665,8,FALSE)</f>
        <v>138.780264303319</v>
      </c>
      <c r="F99" s="77">
        <f>IF('Settings'!$E$15="POINTS",E99-VLOOKUP(B$2,C1:E136,3,FALSE),J99)</f>
        <v>-190.911629777859</v>
      </c>
      <c r="G99" s="77"/>
      <c r="H99" s="223">
        <f>RANK(I99,I3:I136)</f>
        <v>120</v>
      </c>
      <c r="I99" s="77">
        <f>VLOOKUP(A99,'Standard Deviations'!A1:C666,3,FALSE)</f>
        <v>-3.86241249383208</v>
      </c>
      <c r="J99" s="84">
        <f>I99-VLOOKUP(B$2,H1:J136,2,FALSE)</f>
        <v>-9.628477302388401</v>
      </c>
    </row>
    <row r="100" ht="21.25" customHeight="1">
      <c r="A100" t="s" s="10">
        <v>619</v>
      </c>
      <c r="B100" t="s" s="129">
        <f>VLOOKUP(A100,'The List'!B1:D665,3,FALSE)</f>
        <v>140</v>
      </c>
      <c r="C100" s="130">
        <f>IF('Settings'!$E$15="POINTS",RANK(E100,E3:E136),H100)</f>
        <v>88</v>
      </c>
      <c r="D100" t="s" s="86">
        <f>VLOOKUP(A100,'The List'!B1:F665,5,FALSE)</f>
        <v>871</v>
      </c>
      <c r="E100" s="77">
        <f>VLOOKUP(A100,'The List'!B1:I665,8,FALSE)</f>
        <v>195.955560869640</v>
      </c>
      <c r="F100" s="77">
        <f>IF('Settings'!$E$15="POINTS",E100-VLOOKUP(B$2,C1:E136,3,FALSE),J100)</f>
        <v>-133.736333211538</v>
      </c>
      <c r="G100" s="77"/>
      <c r="H100" s="223">
        <f>RANK(I100,I3:I136)</f>
        <v>88</v>
      </c>
      <c r="I100" s="77">
        <f>VLOOKUP(A100,'Standard Deviations'!A1:C666,3,FALSE)</f>
        <v>-1.55241968204778</v>
      </c>
      <c r="J100" s="84">
        <f>I100-VLOOKUP(B$2,H1:J136,2,FALSE)</f>
        <v>-7.3184844906041</v>
      </c>
    </row>
    <row r="101" ht="21.25" customHeight="1">
      <c r="A101" t="s" s="10">
        <v>799</v>
      </c>
      <c r="B101" t="s" s="129">
        <f>VLOOKUP(A101,'The List'!B1:D665,3,FALSE)</f>
        <v>140</v>
      </c>
      <c r="C101" s="130">
        <f>IF('Settings'!$E$15="POINTS",RANK(E101,E3:E136),H101)</f>
        <v>124</v>
      </c>
      <c r="D101" t="s" s="86">
        <f>VLOOKUP(A101,'The List'!B1:F665,5,FALSE)</f>
        <v>207</v>
      </c>
      <c r="E101" s="77">
        <f>VLOOKUP(A101,'The List'!B1:I665,8,FALSE)</f>
        <v>140.488429883710</v>
      </c>
      <c r="F101" s="77">
        <f>IF('Settings'!$E$15="POINTS",E101-VLOOKUP(B$2,C1:E136,3,FALSE),J101)</f>
        <v>-189.203464197468</v>
      </c>
      <c r="G101" s="77"/>
      <c r="H101" s="223">
        <f>RANK(I101,I3:I136)</f>
        <v>103</v>
      </c>
      <c r="I101" s="77">
        <f>VLOOKUP(A101,'Standard Deviations'!A1:C666,3,FALSE)</f>
        <v>-2.87658697092645</v>
      </c>
      <c r="J101" s="84">
        <f>I101-VLOOKUP(B$2,H1:J136,2,FALSE)</f>
        <v>-8.642651779482771</v>
      </c>
    </row>
    <row r="102" ht="21.25" customHeight="1">
      <c r="A102" t="s" s="10">
        <v>760</v>
      </c>
      <c r="B102" t="s" s="129">
        <f>VLOOKUP(A102,'The List'!B1:D665,3,FALSE)</f>
        <v>140</v>
      </c>
      <c r="C102" s="130">
        <f>IF('Settings'!$E$15="POINTS",RANK(E102,E3:E136),H102)</f>
        <v>115</v>
      </c>
      <c r="D102" t="s" s="86">
        <f>VLOOKUP(A102,'The List'!B1:F665,5,FALSE)</f>
        <v>866</v>
      </c>
      <c r="E102" s="77">
        <f>VLOOKUP(A102,'The List'!B1:I665,8,FALSE)</f>
        <v>153.979090701230</v>
      </c>
      <c r="F102" s="77">
        <f>IF('Settings'!$E$15="POINTS",E102-VLOOKUP(B$2,C1:E136,3,FALSE),J102)</f>
        <v>-175.712803379948</v>
      </c>
      <c r="G102" s="77"/>
      <c r="H102" s="223">
        <f>RANK(I102,I3:I136)</f>
        <v>106</v>
      </c>
      <c r="I102" s="77">
        <f>VLOOKUP(A102,'Standard Deviations'!A1:C666,3,FALSE)</f>
        <v>-3.06334569693076</v>
      </c>
      <c r="J102" s="84">
        <f>I102-VLOOKUP(B$2,H1:J136,2,FALSE)</f>
        <v>-8.829410505487081</v>
      </c>
    </row>
    <row r="103" ht="21.25" customHeight="1">
      <c r="A103" t="s" s="10">
        <v>782</v>
      </c>
      <c r="B103" t="s" s="129">
        <f>VLOOKUP(A103,'The List'!B1:D665,3,FALSE)</f>
        <v>140</v>
      </c>
      <c r="C103" s="130">
        <f>IF('Settings'!$E$15="POINTS",RANK(E103,E3:E136),H103)</f>
        <v>118</v>
      </c>
      <c r="D103" t="s" s="86">
        <f>VLOOKUP(A103,'The List'!B1:F665,5,FALSE)</f>
        <v>267</v>
      </c>
      <c r="E103" s="77">
        <f>VLOOKUP(A103,'The List'!B1:I665,8,FALSE)</f>
        <v>147.897429177955</v>
      </c>
      <c r="F103" s="77">
        <f>IF('Settings'!$E$15="POINTS",E103-VLOOKUP(B$2,C1:E136,3,FALSE),J103)</f>
        <v>-181.794464903223</v>
      </c>
      <c r="G103" s="77"/>
      <c r="H103" s="223">
        <f>RANK(I103,I3:I136)</f>
        <v>91</v>
      </c>
      <c r="I103" s="77">
        <f>VLOOKUP(A103,'Standard Deviations'!A1:C666,3,FALSE)</f>
        <v>-1.8564238641172</v>
      </c>
      <c r="J103" s="84">
        <f>I103-VLOOKUP(B$2,H1:J136,2,FALSE)</f>
        <v>-7.62248867267352</v>
      </c>
    </row>
    <row r="104" ht="21.25" customHeight="1">
      <c r="A104" t="s" s="10">
        <v>426</v>
      </c>
      <c r="B104" t="s" s="129">
        <f>VLOOKUP(A104,'The List'!B1:D665,3,FALSE)</f>
        <v>145</v>
      </c>
      <c r="C104" s="130">
        <f>IF('Settings'!$E$15="POINTS",RANK(E104,E3:E136),H104)</f>
        <v>49</v>
      </c>
      <c r="D104" t="s" s="86">
        <f>VLOOKUP(A104,'The List'!B1:F665,5,FALSE)</f>
        <v>174</v>
      </c>
      <c r="E104" s="77">
        <f>VLOOKUP(A104,'The List'!B1:I665,8,FALSE)</f>
        <v>247.225567381071</v>
      </c>
      <c r="F104" s="77">
        <f>IF('Settings'!$E$15="POINTS",E104-VLOOKUP(B$2,C1:E136,3,FALSE),J104)</f>
        <v>-82.466326700107</v>
      </c>
      <c r="G104" s="77"/>
      <c r="H104" s="223">
        <f>RANK(I104,I3:I136)</f>
        <v>104</v>
      </c>
      <c r="I104" s="77">
        <f>VLOOKUP(A104,'Standard Deviations'!A1:C666,3,FALSE)</f>
        <v>-2.89260127133826</v>
      </c>
      <c r="J104" s="84">
        <f>I104-VLOOKUP(B$2,H1:J136,2,FALSE)</f>
        <v>-8.65866607989458</v>
      </c>
    </row>
    <row r="105" ht="21.25" customHeight="1">
      <c r="A105" t="s" s="10">
        <v>802</v>
      </c>
      <c r="B105" t="s" s="129">
        <f>VLOOKUP(A105,'The List'!B1:D665,3,FALSE)</f>
        <v>140</v>
      </c>
      <c r="C105" s="130">
        <f>IF('Settings'!$E$15="POINTS",RANK(E105,E3:E136),H105)</f>
        <v>125</v>
      </c>
      <c r="D105" t="s" s="86">
        <f>VLOOKUP(A105,'The List'!B1:F665,5,FALSE)</f>
        <v>905</v>
      </c>
      <c r="E105" s="77">
        <f>VLOOKUP(A105,'The List'!B1:I665,8,FALSE)</f>
        <v>140.161102295912</v>
      </c>
      <c r="F105" s="77">
        <f>IF('Settings'!$E$15="POINTS",E105-VLOOKUP(B$2,C1:E136,3,FALSE),J105)</f>
        <v>-189.530791785266</v>
      </c>
      <c r="G105" s="77"/>
      <c r="H105" s="223">
        <f>RANK(I105,I3:I136)</f>
        <v>90</v>
      </c>
      <c r="I105" s="77">
        <f>VLOOKUP(A105,'Standard Deviations'!A1:C666,3,FALSE)</f>
        <v>-1.76154893806626</v>
      </c>
      <c r="J105" s="84">
        <f>I105-VLOOKUP(B$2,H1:J136,2,FALSE)</f>
        <v>-7.52761374662258</v>
      </c>
    </row>
    <row r="106" ht="21.25" customHeight="1">
      <c r="A106" t="s" s="10">
        <v>704</v>
      </c>
      <c r="B106" t="s" s="129">
        <f>VLOOKUP(A106,'The List'!B1:D665,3,FALSE)</f>
        <v>145</v>
      </c>
      <c r="C106" s="130">
        <f>IF('Settings'!$E$15="POINTS",RANK(E106,E3:E136),H106)</f>
        <v>104</v>
      </c>
      <c r="D106" t="s" s="86">
        <f>VLOOKUP(A106,'The List'!B1:F665,5,FALSE)</f>
        <v>906</v>
      </c>
      <c r="E106" s="77">
        <f>VLOOKUP(A106,'The List'!B1:I665,8,FALSE)</f>
        <v>170.662108029993</v>
      </c>
      <c r="F106" s="77">
        <f>IF('Settings'!$E$15="POINTS",E106-VLOOKUP(B$2,C1:E136,3,FALSE),J106)</f>
        <v>-159.029786051185</v>
      </c>
      <c r="G106" s="77"/>
      <c r="H106" s="223">
        <f>RANK(I106,I3:I136)</f>
        <v>95</v>
      </c>
      <c r="I106" s="77">
        <f>VLOOKUP(A106,'Standard Deviations'!A1:C666,3,FALSE)</f>
        <v>-2.28769407721253</v>
      </c>
      <c r="J106" s="84">
        <f>I106-VLOOKUP(B$2,H1:J136,2,FALSE)</f>
        <v>-8.05375888576885</v>
      </c>
    </row>
    <row r="107" ht="21.25" customHeight="1">
      <c r="A107" t="s" s="10">
        <v>787</v>
      </c>
      <c r="B107" t="s" s="129">
        <f>VLOOKUP(A107,'The List'!B1:D665,3,FALSE)</f>
        <v>140</v>
      </c>
      <c r="C107" s="130">
        <f>IF('Settings'!$E$15="POINTS",RANK(E107,E3:E136),H107)</f>
        <v>121</v>
      </c>
      <c r="D107" t="s" s="86">
        <f>VLOOKUP(A107,'The List'!B1:F665,5,FALSE)</f>
        <v>902</v>
      </c>
      <c r="E107" s="77">
        <f>VLOOKUP(A107,'The List'!B1:I665,8,FALSE)</f>
        <v>146.949916852469</v>
      </c>
      <c r="F107" s="77">
        <f>IF('Settings'!$E$15="POINTS",E107-VLOOKUP(B$2,C1:E136,3,FALSE),J107)</f>
        <v>-182.741977228709</v>
      </c>
      <c r="G107" s="77"/>
      <c r="H107" s="223">
        <f>RANK(I107,I3:I136)</f>
        <v>92</v>
      </c>
      <c r="I107" s="77">
        <f>VLOOKUP(A107,'Standard Deviations'!A1:C666,3,FALSE)</f>
        <v>-1.92946573589469</v>
      </c>
      <c r="J107" s="84">
        <f>I107-VLOOKUP(B$2,H1:J136,2,FALSE)</f>
        <v>-7.69553054445101</v>
      </c>
    </row>
    <row r="108" ht="21.25" customHeight="1">
      <c r="A108" t="s" s="10">
        <v>783</v>
      </c>
      <c r="B108" t="s" s="129">
        <f>VLOOKUP(A108,'The List'!B1:D665,3,FALSE)</f>
        <v>148</v>
      </c>
      <c r="C108" s="130">
        <f>IF('Settings'!$E$15="POINTS",RANK(E108,E3:E136),H108)</f>
        <v>119</v>
      </c>
      <c r="D108" t="s" s="86">
        <f>VLOOKUP(A108,'The List'!B1:F665,5,FALSE)</f>
        <v>907</v>
      </c>
      <c r="E108" s="77">
        <f>VLOOKUP(A108,'The List'!B1:I665,8,FALSE)</f>
        <v>147.664385742247</v>
      </c>
      <c r="F108" s="77">
        <f>IF('Settings'!$E$15="POINTS",E108-VLOOKUP(B$2,C1:E136,3,FALSE),J108)</f>
        <v>-182.027508338931</v>
      </c>
      <c r="G108" s="77"/>
      <c r="H108" s="223">
        <f>RANK(I108,I3:I136)</f>
        <v>128</v>
      </c>
      <c r="I108" s="77">
        <f>VLOOKUP(A108,'Standard Deviations'!A1:C666,3,FALSE)</f>
        <v>-4.89646962160313</v>
      </c>
      <c r="J108" s="84">
        <f>I108-VLOOKUP(B$2,H1:J136,2,FALSE)</f>
        <v>-10.6625344301595</v>
      </c>
    </row>
    <row r="109" ht="21.25" customHeight="1">
      <c r="A109" t="s" s="10">
        <v>746</v>
      </c>
      <c r="B109" t="s" s="129">
        <f>VLOOKUP(A109,'The List'!B1:D665,3,FALSE)</f>
        <v>140</v>
      </c>
      <c r="C109" s="130">
        <f>IF('Settings'!$E$15="POINTS",RANK(E109,E3:E136),H109)</f>
        <v>113</v>
      </c>
      <c r="D109" t="s" s="86">
        <f>VLOOKUP(A109,'The List'!B1:F665,5,FALSE)</f>
        <v>914</v>
      </c>
      <c r="E109" s="77">
        <f>VLOOKUP(A109,'The List'!B1:I665,8,FALSE)</f>
        <v>157.562345448224</v>
      </c>
      <c r="F109" s="77">
        <f>IF('Settings'!$E$15="POINTS",E109-VLOOKUP(B$2,C1:E136,3,FALSE),J109)</f>
        <v>-172.129548632954</v>
      </c>
      <c r="G109" s="77"/>
      <c r="H109" s="223">
        <f>RANK(I109,I3:I136)</f>
        <v>129</v>
      </c>
      <c r="I109" s="77">
        <f>VLOOKUP(A109,'Standard Deviations'!A1:C666,3,FALSE)</f>
        <v>-4.94097743275787</v>
      </c>
      <c r="J109" s="84">
        <f>I109-VLOOKUP(B$2,H1:J136,2,FALSE)</f>
        <v>-10.7070422413142</v>
      </c>
    </row>
    <row r="110" ht="21.25" customHeight="1">
      <c r="A110" t="s" s="10">
        <v>693</v>
      </c>
      <c r="B110" t="s" s="129">
        <f>VLOOKUP(A110,'The List'!B1:D665,3,FALSE)</f>
        <v>140</v>
      </c>
      <c r="C110" s="130">
        <f>IF('Settings'!$E$15="POINTS",RANK(E110,E3:E136),H110)</f>
        <v>101</v>
      </c>
      <c r="D110" t="s" s="86">
        <f>VLOOKUP(A110,'The List'!B1:F665,5,FALSE)</f>
        <v>267</v>
      </c>
      <c r="E110" s="77">
        <f>VLOOKUP(A110,'The List'!B1:I665,8,FALSE)</f>
        <v>172.949966077644</v>
      </c>
      <c r="F110" s="77">
        <f>IF('Settings'!$E$15="POINTS",E110-VLOOKUP(B$2,C1:E136,3,FALSE),J110)</f>
        <v>-156.741928003534</v>
      </c>
      <c r="G110" s="77"/>
      <c r="H110" s="223">
        <f>RANK(I110,I3:I136)</f>
        <v>102</v>
      </c>
      <c r="I110" s="77">
        <f>VLOOKUP(A110,'Standard Deviations'!A1:C666,3,FALSE)</f>
        <v>-2.80056577327987</v>
      </c>
      <c r="J110" s="84">
        <f>I110-VLOOKUP(B$2,H1:J136,2,FALSE)</f>
        <v>-8.56663058183619</v>
      </c>
    </row>
    <row r="111" ht="21.25" customHeight="1">
      <c r="A111" t="s" s="10">
        <v>665</v>
      </c>
      <c r="B111" t="s" s="129">
        <f>VLOOKUP(A111,'The List'!B1:D665,3,FALSE)</f>
        <v>140</v>
      </c>
      <c r="C111" s="130">
        <f>IF('Settings'!$E$15="POINTS",RANK(E111,E3:E136),H111)</f>
        <v>95</v>
      </c>
      <c r="D111" t="s" s="86">
        <f>VLOOKUP(A111,'The List'!B1:F665,5,FALSE)</f>
        <v>909</v>
      </c>
      <c r="E111" s="77">
        <f>VLOOKUP(A111,'The List'!B1:I665,8,FALSE)</f>
        <v>181.828069219637</v>
      </c>
      <c r="F111" s="77">
        <f>IF('Settings'!$E$15="POINTS",E111-VLOOKUP(B$2,C1:E136,3,FALSE),J111)</f>
        <v>-147.863824861541</v>
      </c>
      <c r="G111" s="77"/>
      <c r="H111" s="223">
        <f>RANK(I111,I3:I136)</f>
        <v>122</v>
      </c>
      <c r="I111" s="77">
        <f>VLOOKUP(A111,'Standard Deviations'!A1:C666,3,FALSE)</f>
        <v>-4.22292052800677</v>
      </c>
      <c r="J111" s="84">
        <f>I111-VLOOKUP(B$2,H1:J136,2,FALSE)</f>
        <v>-9.98898533656309</v>
      </c>
    </row>
    <row r="112" ht="21.25" customHeight="1">
      <c r="A112" t="s" s="10">
        <v>470</v>
      </c>
      <c r="B112" t="s" s="129">
        <f>VLOOKUP(A112,'The List'!B1:D665,3,FALSE)</f>
        <v>148</v>
      </c>
      <c r="C112" s="130">
        <f>IF('Settings'!$E$15="POINTS",RANK(E112,E3:E136),H112)</f>
        <v>63</v>
      </c>
      <c r="D112" t="s" s="86">
        <f>VLOOKUP(A112,'The List'!B1:F665,5,FALSE)</f>
        <v>275</v>
      </c>
      <c r="E112" s="77">
        <f>VLOOKUP(A112,'The List'!B1:I665,8,FALSE)</f>
        <v>234.960015154735</v>
      </c>
      <c r="F112" s="77">
        <f>IF('Settings'!$E$15="POINTS",E112-VLOOKUP(B$2,C1:E136,3,FALSE),J112)</f>
        <v>-94.731878926443</v>
      </c>
      <c r="G112" s="77"/>
      <c r="H112" s="223">
        <f>RANK(I112,I3:I136)</f>
        <v>107</v>
      </c>
      <c r="I112" s="77">
        <f>VLOOKUP(A112,'Standard Deviations'!A1:C666,3,FALSE)</f>
        <v>-3.15093803907991</v>
      </c>
      <c r="J112" s="84">
        <f>I112-VLOOKUP(B$2,H1:J136,2,FALSE)</f>
        <v>-8.91700284763623</v>
      </c>
    </row>
    <row r="113" ht="21.25" customHeight="1">
      <c r="A113" t="s" s="10">
        <v>805</v>
      </c>
      <c r="B113" t="s" s="129">
        <f>VLOOKUP(A113,'The List'!B1:D665,3,FALSE)</f>
        <v>140</v>
      </c>
      <c r="C113" s="130">
        <f>IF('Settings'!$E$15="POINTS",RANK(E113,E3:E136),H113)</f>
        <v>126</v>
      </c>
      <c r="D113" t="s" s="86">
        <f>VLOOKUP(A113,'The List'!B1:F665,5,FALSE)</f>
        <v>909</v>
      </c>
      <c r="E113" s="77">
        <f>VLOOKUP(A113,'The List'!B1:I665,8,FALSE)</f>
        <v>138.898602365151</v>
      </c>
      <c r="F113" s="77">
        <f>IF('Settings'!$E$15="POINTS",E113-VLOOKUP(B$2,C1:E136,3,FALSE),J113)</f>
        <v>-190.793291716027</v>
      </c>
      <c r="G113" s="77"/>
      <c r="H113" s="223">
        <f>RANK(I113,I3:I136)</f>
        <v>124</v>
      </c>
      <c r="I113" s="77">
        <f>VLOOKUP(A113,'Standard Deviations'!A1:C666,3,FALSE)</f>
        <v>-4.3548838273651</v>
      </c>
      <c r="J113" s="84">
        <f>I113-VLOOKUP(B$2,H1:J136,2,FALSE)</f>
        <v>-10.1209486359214</v>
      </c>
    </row>
    <row r="114" ht="21.25" customHeight="1">
      <c r="A114" t="s" s="10">
        <v>657</v>
      </c>
      <c r="B114" t="s" s="129">
        <f>VLOOKUP(A114,'The List'!B1:D665,3,FALSE)</f>
        <v>140</v>
      </c>
      <c r="C114" s="130">
        <f>IF('Settings'!$E$15="POINTS",RANK(E114,E3:E136),H114)</f>
        <v>93</v>
      </c>
      <c r="D114" t="s" s="86">
        <f>VLOOKUP(A114,'The List'!B1:F665,5,FALSE)</f>
        <v>165</v>
      </c>
      <c r="E114" s="77">
        <f>VLOOKUP(A114,'The List'!B1:I665,8,FALSE)</f>
        <v>184.285017537324</v>
      </c>
      <c r="F114" s="77">
        <f>IF('Settings'!$E$15="POINTS",E114-VLOOKUP(B$2,C1:E136,3,FALSE),J114)</f>
        <v>-145.406876543854</v>
      </c>
      <c r="G114" s="77"/>
      <c r="H114" s="223">
        <f>RANK(I114,I3:I136)</f>
        <v>108</v>
      </c>
      <c r="I114" s="77">
        <f>VLOOKUP(A114,'Standard Deviations'!A1:C666,3,FALSE)</f>
        <v>-3.22224598696551</v>
      </c>
      <c r="J114" s="84">
        <f>I114-VLOOKUP(B$2,H1:J136,2,FALSE)</f>
        <v>-8.98831079552183</v>
      </c>
    </row>
    <row r="115" ht="21.25" customHeight="1">
      <c r="A115" t="s" s="10">
        <v>772</v>
      </c>
      <c r="B115" t="s" s="129">
        <f>VLOOKUP(A115,'The List'!B1:D665,3,FALSE)</f>
        <v>140</v>
      </c>
      <c r="C115" s="130">
        <f>IF('Settings'!$E$15="POINTS",RANK(E115,E3:E136),H115)</f>
        <v>116</v>
      </c>
      <c r="D115" t="s" s="86">
        <f>VLOOKUP(A115,'The List'!B1:F665,5,FALSE)</f>
        <v>912</v>
      </c>
      <c r="E115" s="77">
        <f>VLOOKUP(A115,'The List'!B1:I665,8,FALSE)</f>
        <v>150.945267156279</v>
      </c>
      <c r="F115" s="77">
        <f>IF('Settings'!$E$15="POINTS",E115-VLOOKUP(B$2,C1:E136,3,FALSE),J115)</f>
        <v>-178.746626924899</v>
      </c>
      <c r="G115" s="77"/>
      <c r="H115" s="223">
        <f>RANK(I115,I3:I136)</f>
        <v>133</v>
      </c>
      <c r="I115" s="77">
        <f>VLOOKUP(A115,'Standard Deviations'!A1:C666,3,FALSE)</f>
        <v>-5.21545753758702</v>
      </c>
      <c r="J115" s="84">
        <f>I115-VLOOKUP(B$2,H1:J136,2,FALSE)</f>
        <v>-10.9815223461433</v>
      </c>
    </row>
    <row r="116" ht="21.25" customHeight="1">
      <c r="A116" t="s" s="10">
        <v>671</v>
      </c>
      <c r="B116" t="s" s="129">
        <f>VLOOKUP(A116,'The List'!B1:D665,3,FALSE)</f>
        <v>140</v>
      </c>
      <c r="C116" s="130">
        <f>IF('Settings'!$E$15="POINTS",RANK(E116,E3:E136),H116)</f>
        <v>97</v>
      </c>
      <c r="D116" t="s" s="86">
        <f>VLOOKUP(A116,'The List'!B1:F665,5,FALSE)</f>
        <v>913</v>
      </c>
      <c r="E116" s="77">
        <f>VLOOKUP(A116,'The List'!B1:I665,8,FALSE)</f>
        <v>178.514349069410</v>
      </c>
      <c r="F116" s="77">
        <f>IF('Settings'!$E$15="POINTS",E116-VLOOKUP(B$2,C1:E136,3,FALSE),J116)</f>
        <v>-151.177545011768</v>
      </c>
      <c r="G116" s="77"/>
      <c r="H116" s="223">
        <f>RANK(I116,I3:I136)</f>
        <v>110</v>
      </c>
      <c r="I116" s="77">
        <f>VLOOKUP(A116,'Standard Deviations'!A1:C666,3,FALSE)</f>
        <v>-3.4166555835855</v>
      </c>
      <c r="J116" s="84">
        <f>I116-VLOOKUP(B$2,H1:J136,2,FALSE)</f>
        <v>-9.182720392141819</v>
      </c>
    </row>
    <row r="117" ht="21.25" customHeight="1">
      <c r="A117" t="s" s="10">
        <v>851</v>
      </c>
      <c r="B117" t="s" s="129">
        <f>VLOOKUP(A117,'The List'!B1:D665,3,FALSE)</f>
        <v>140</v>
      </c>
      <c r="C117" s="130">
        <f>IF('Settings'!$E$15="POINTS",RANK(E117,E3:E136),H117)</f>
        <v>133</v>
      </c>
      <c r="D117" t="s" s="86">
        <f>VLOOKUP(A117,'The List'!B1:F665,5,FALSE)</f>
        <v>174</v>
      </c>
      <c r="E117" s="77">
        <f>VLOOKUP(A117,'The List'!B1:I665,8,FALSE)</f>
        <v>103.815607065528</v>
      </c>
      <c r="F117" s="77">
        <f>IF('Settings'!$E$15="POINTS",E117-VLOOKUP(B$2,C1:E136,3,FALSE),J117)</f>
        <v>-225.876287015650</v>
      </c>
      <c r="G117" s="77"/>
      <c r="H117" s="223">
        <f>RANK(I117,I3:I136)</f>
        <v>130</v>
      </c>
      <c r="I117" s="77">
        <f>VLOOKUP(A117,'Standard Deviations'!A1:C666,3,FALSE)</f>
        <v>-4.94393977099579</v>
      </c>
      <c r="J117" s="84">
        <f>I117-VLOOKUP(B$2,H1:J136,2,FALSE)</f>
        <v>-10.7100045795521</v>
      </c>
    </row>
    <row r="118" ht="21.25" customHeight="1">
      <c r="A118" t="s" s="10">
        <v>635</v>
      </c>
      <c r="B118" t="s" s="129">
        <f>VLOOKUP(A118,'The List'!B1:D665,3,FALSE)</f>
        <v>140</v>
      </c>
      <c r="C118" s="130">
        <f>IF('Settings'!$E$15="POINTS",RANK(E118,E3:E136),H118)</f>
        <v>89</v>
      </c>
      <c r="D118" t="s" s="86">
        <f>VLOOKUP(A118,'The List'!B1:F665,5,FALSE)</f>
        <v>901</v>
      </c>
      <c r="E118" s="77">
        <f>VLOOKUP(A118,'The List'!B1:I665,8,FALSE)</f>
        <v>190.437929850680</v>
      </c>
      <c r="F118" s="77">
        <f>IF('Settings'!$E$15="POINTS",E118-VLOOKUP(B$2,C1:E136,3,FALSE),J118)</f>
        <v>-139.253964230498</v>
      </c>
      <c r="G118" s="77"/>
      <c r="H118" s="223">
        <f>RANK(I118,I3:I136)</f>
        <v>111</v>
      </c>
      <c r="I118" s="77">
        <f>VLOOKUP(A118,'Standard Deviations'!A1:C666,3,FALSE)</f>
        <v>-3.46716720636106</v>
      </c>
      <c r="J118" s="84">
        <f>I118-VLOOKUP(B$2,H1:J136,2,FALSE)</f>
        <v>-9.23323201491738</v>
      </c>
    </row>
    <row r="119" ht="21.25" customHeight="1">
      <c r="A119" t="s" s="10">
        <v>784</v>
      </c>
      <c r="B119" t="s" s="129">
        <f>VLOOKUP(A119,'The List'!B1:D665,3,FALSE)</f>
        <v>140</v>
      </c>
      <c r="C119" s="130">
        <f>IF('Settings'!$E$15="POINTS",RANK(E119,E3:E136),H119)</f>
        <v>120</v>
      </c>
      <c r="D119" t="s" s="86">
        <f>VLOOKUP(A119,'The List'!B1:F665,5,FALSE)</f>
        <v>907</v>
      </c>
      <c r="E119" s="77">
        <f>VLOOKUP(A119,'The List'!B1:I665,8,FALSE)</f>
        <v>147.542223528764</v>
      </c>
      <c r="F119" s="77">
        <f>IF('Settings'!$E$15="POINTS",E119-VLOOKUP(B$2,C1:E136,3,FALSE),J119)</f>
        <v>-182.149670552414</v>
      </c>
      <c r="G119" s="77"/>
      <c r="H119" s="223">
        <f>RANK(I119,I3:I136)</f>
        <v>125</v>
      </c>
      <c r="I119" s="77">
        <f>VLOOKUP(A119,'Standard Deviations'!A1:C666,3,FALSE)</f>
        <v>-4.53937977253476</v>
      </c>
      <c r="J119" s="84">
        <f>I119-VLOOKUP(B$2,H1:J136,2,FALSE)</f>
        <v>-10.3054445810911</v>
      </c>
    </row>
    <row r="120" ht="21.25" customHeight="1">
      <c r="A120" t="s" s="10">
        <v>814</v>
      </c>
      <c r="B120" t="s" s="129">
        <f>VLOOKUP(A120,'The List'!B1:D665,3,FALSE)</f>
        <v>140</v>
      </c>
      <c r="C120" s="130">
        <f>IF('Settings'!$E$15="POINTS",RANK(E120,E3:E136),H120)</f>
        <v>129</v>
      </c>
      <c r="D120" t="s" s="86">
        <f>VLOOKUP(A120,'The List'!B1:F665,5,FALSE)</f>
        <v>207</v>
      </c>
      <c r="E120" s="77">
        <f>VLOOKUP(A120,'The List'!B1:I665,8,FALSE)</f>
        <v>136.050522202952</v>
      </c>
      <c r="F120" s="77">
        <f>IF('Settings'!$E$15="POINTS",E120-VLOOKUP(B$2,C1:E136,3,FALSE),J120)</f>
        <v>-193.641371878226</v>
      </c>
      <c r="G120" s="77"/>
      <c r="H120" s="223">
        <f>RANK(I120,I3:I136)</f>
        <v>115</v>
      </c>
      <c r="I120" s="77">
        <f>VLOOKUP(A120,'Standard Deviations'!A1:C666,3,FALSE)</f>
        <v>-3.70240906360457</v>
      </c>
      <c r="J120" s="84">
        <f>I120-VLOOKUP(B$2,H1:J136,2,FALSE)</f>
        <v>-9.468473872160891</v>
      </c>
    </row>
    <row r="121" ht="21.25" customHeight="1">
      <c r="A121" t="s" s="10">
        <v>832</v>
      </c>
      <c r="B121" t="s" s="129">
        <f>VLOOKUP(A121,'The List'!B1:D665,3,FALSE)</f>
        <v>140</v>
      </c>
      <c r="C121" s="130">
        <f>IF('Settings'!$E$15="POINTS",RANK(E121,E3:E136),H121)</f>
        <v>131</v>
      </c>
      <c r="D121" t="s" s="86">
        <f>VLOOKUP(A121,'The List'!B1:F665,5,FALSE)</f>
        <v>905</v>
      </c>
      <c r="E121" s="77">
        <f>VLOOKUP(A121,'The List'!B1:I665,8,FALSE)</f>
        <v>126.682592428026</v>
      </c>
      <c r="F121" s="77">
        <f>IF('Settings'!$E$15="POINTS",E121-VLOOKUP(B$2,C1:E136,3,FALSE),J121)</f>
        <v>-203.009301653152</v>
      </c>
      <c r="G121" s="77"/>
      <c r="H121" s="223">
        <f>RANK(I121,I3:I136)</f>
        <v>132</v>
      </c>
      <c r="I121" s="77">
        <f>VLOOKUP(A121,'Standard Deviations'!A1:C666,3,FALSE)</f>
        <v>-5.11611409608714</v>
      </c>
      <c r="J121" s="84">
        <f>I121-VLOOKUP(B$2,H1:J136,2,FALSE)</f>
        <v>-10.8821789046435</v>
      </c>
    </row>
    <row r="122" ht="21.25" customHeight="1">
      <c r="A122" t="s" s="10">
        <v>758</v>
      </c>
      <c r="B122" t="s" s="129">
        <f>VLOOKUP(A122,'The List'!B1:D665,3,FALSE)</f>
        <v>140</v>
      </c>
      <c r="C122" s="130">
        <f>IF('Settings'!$E$15="POINTS",RANK(E122,E3:E136),H122)</f>
        <v>114</v>
      </c>
      <c r="D122" t="s" s="86">
        <f>VLOOKUP(A122,'The List'!B1:F665,5,FALSE)</f>
        <v>129</v>
      </c>
      <c r="E122" s="77">
        <f>VLOOKUP(A122,'The List'!B1:I665,8,FALSE)</f>
        <v>154.163682894545</v>
      </c>
      <c r="F122" s="77">
        <f>IF('Settings'!$E$15="POINTS",E122-VLOOKUP(B$2,C1:E136,3,FALSE),J122)</f>
        <v>-175.528211186633</v>
      </c>
      <c r="G122" s="77"/>
      <c r="H122" s="223">
        <f>RANK(I122,I3:I136)</f>
        <v>112</v>
      </c>
      <c r="I122" s="77">
        <f>VLOOKUP(A122,'Standard Deviations'!A1:C666,3,FALSE)</f>
        <v>-3.57618259100623</v>
      </c>
      <c r="J122" s="84">
        <f>I122-VLOOKUP(B$2,H1:J136,2,FALSE)</f>
        <v>-9.342247399562551</v>
      </c>
    </row>
    <row r="123" ht="21.25" customHeight="1">
      <c r="A123" t="s" s="10">
        <v>809</v>
      </c>
      <c r="B123" t="s" s="129">
        <f>VLOOKUP(A123,'The List'!B1:D665,3,FALSE)</f>
        <v>140</v>
      </c>
      <c r="C123" s="130">
        <f>IF('Settings'!$E$15="POINTS",RANK(E123,E3:E136),H123)</f>
        <v>128</v>
      </c>
      <c r="D123" t="s" s="86">
        <f>VLOOKUP(A123,'The List'!B1:F665,5,FALSE)</f>
        <v>132</v>
      </c>
      <c r="E123" s="77">
        <f>VLOOKUP(A123,'The List'!B1:I665,8,FALSE)</f>
        <v>137.564851531324</v>
      </c>
      <c r="F123" s="77">
        <f>IF('Settings'!$E$15="POINTS",E123-VLOOKUP(B$2,C1:E136,3,FALSE),J123)</f>
        <v>-192.127042549854</v>
      </c>
      <c r="G123" s="77"/>
      <c r="H123" s="223">
        <f>RANK(I123,I3:I136)</f>
        <v>100</v>
      </c>
      <c r="I123" s="77">
        <f>VLOOKUP(A123,'Standard Deviations'!A1:C666,3,FALSE)</f>
        <v>-2.73895855179168</v>
      </c>
      <c r="J123" s="84">
        <f>I123-VLOOKUP(B$2,H1:J136,2,FALSE)</f>
        <v>-8.505023360348</v>
      </c>
    </row>
    <row r="124" ht="21.25" customHeight="1">
      <c r="A124" t="s" s="10">
        <v>397</v>
      </c>
      <c r="B124" t="s" s="129">
        <f>VLOOKUP(A124,'The List'!B1:D665,3,FALSE)</f>
        <v>140</v>
      </c>
      <c r="C124" s="130">
        <f>IF('Settings'!$E$15="POINTS",RANK(E124,E3:E136),H124)</f>
        <v>44</v>
      </c>
      <c r="D124" t="s" s="86">
        <f>VLOOKUP(A124,'The List'!B1:F665,5,FALSE)</f>
        <v>910</v>
      </c>
      <c r="E124" s="77">
        <f>VLOOKUP(A124,'The List'!B1:I665,8,FALSE)</f>
        <v>260.146076896566</v>
      </c>
      <c r="F124" s="77">
        <f>IF('Settings'!$E$15="POINTS",E124-VLOOKUP(B$2,C1:E136,3,FALSE),J124)</f>
        <v>-69.54581718461201</v>
      </c>
      <c r="G124" s="77"/>
      <c r="H124" s="223">
        <f>RANK(I124,I3:I136)</f>
        <v>114</v>
      </c>
      <c r="I124" s="77">
        <f>VLOOKUP(A124,'Standard Deviations'!A1:C666,3,FALSE)</f>
        <v>-3.68109842830432</v>
      </c>
      <c r="J124" s="84">
        <f>I124-VLOOKUP(B$2,H1:J136,2,FALSE)</f>
        <v>-9.447163236860639</v>
      </c>
    </row>
    <row r="125" ht="21.25" customHeight="1">
      <c r="A125" t="s" s="10">
        <v>843</v>
      </c>
      <c r="B125" t="s" s="129">
        <f>VLOOKUP(A125,'The List'!B1:D665,3,FALSE)</f>
        <v>140</v>
      </c>
      <c r="C125" s="130">
        <f>IF('Settings'!$E$15="POINTS",RANK(E125,E3:E136),H125)</f>
        <v>132</v>
      </c>
      <c r="D125" t="s" s="86">
        <f>VLOOKUP(A125,'The List'!B1:F665,5,FALSE)</f>
        <v>207</v>
      </c>
      <c r="E125" s="77">
        <f>VLOOKUP(A125,'The List'!B1:I665,8,FALSE)</f>
        <v>119.087911699250</v>
      </c>
      <c r="F125" s="77">
        <f>IF('Settings'!$E$15="POINTS",E125-VLOOKUP(B$2,C1:E136,3,FALSE),J125)</f>
        <v>-210.603982381928</v>
      </c>
      <c r="G125" s="77"/>
      <c r="H125" s="223">
        <f>RANK(I125,I3:I136)</f>
        <v>121</v>
      </c>
      <c r="I125" s="77">
        <f>VLOOKUP(A125,'Standard Deviations'!A1:C666,3,FALSE)</f>
        <v>-4.00872852055571</v>
      </c>
      <c r="J125" s="84">
        <f>I125-VLOOKUP(B$2,H1:J136,2,FALSE)</f>
        <v>-9.774793329112031</v>
      </c>
    </row>
    <row r="126" ht="21.25" customHeight="1">
      <c r="A126" t="s" s="10">
        <v>827</v>
      </c>
      <c r="B126" t="s" s="129">
        <f>VLOOKUP(A126,'The List'!B1:D665,3,FALSE)</f>
        <v>140</v>
      </c>
      <c r="C126" s="130">
        <f>IF('Settings'!$E$15="POINTS",RANK(E126,E3:E136),H126)</f>
        <v>130</v>
      </c>
      <c r="D126" t="s" s="86">
        <f>VLOOKUP(A126,'The List'!B1:F665,5,FALSE)</f>
        <v>129</v>
      </c>
      <c r="E126" s="77">
        <f>VLOOKUP(A126,'The List'!B1:I665,8,FALSE)</f>
        <v>129.143835176477</v>
      </c>
      <c r="F126" s="77">
        <f>IF('Settings'!$E$15="POINTS",E126-VLOOKUP(B$2,C1:E136,3,FALSE),J126)</f>
        <v>-200.548058904701</v>
      </c>
      <c r="G126" s="77"/>
      <c r="H126" s="223">
        <f>RANK(I126,I3:I136)</f>
        <v>119</v>
      </c>
      <c r="I126" s="77">
        <f>VLOOKUP(A126,'Standard Deviations'!A1:C666,3,FALSE)</f>
        <v>-3.79998114822126</v>
      </c>
      <c r="J126" s="84">
        <f>I126-VLOOKUP(B$2,H1:J136,2,FALSE)</f>
        <v>-9.566045956777581</v>
      </c>
    </row>
    <row r="127" ht="21.25" customHeight="1">
      <c r="A127" t="s" s="10">
        <v>743</v>
      </c>
      <c r="B127" t="s" s="129">
        <f>VLOOKUP(A127,'The List'!B1:D665,3,FALSE)</f>
        <v>140</v>
      </c>
      <c r="C127" s="130">
        <f>IF('Settings'!$E$15="POINTS",RANK(E127,E3:E136),H127)</f>
        <v>111</v>
      </c>
      <c r="D127" t="s" s="86">
        <f>VLOOKUP(A127,'The List'!B1:F665,5,FALSE)</f>
        <v>156</v>
      </c>
      <c r="E127" s="77">
        <f>VLOOKUP(A127,'The List'!B1:I665,8,FALSE)</f>
        <v>159.070096184988</v>
      </c>
      <c r="F127" s="77">
        <f>IF('Settings'!$E$15="POINTS",E127-VLOOKUP(B$2,C1:E136,3,FALSE),J127)</f>
        <v>-170.621797896190</v>
      </c>
      <c r="G127" s="77"/>
      <c r="H127" s="223">
        <f>RANK(I127,I3:I136)</f>
        <v>126</v>
      </c>
      <c r="I127" s="77">
        <f>VLOOKUP(A127,'Standard Deviations'!A1:C666,3,FALSE)</f>
        <v>-4.64671285586875</v>
      </c>
      <c r="J127" s="84">
        <f>I127-VLOOKUP(B$2,H1:J136,2,FALSE)</f>
        <v>-10.4127776644251</v>
      </c>
    </row>
    <row r="128" ht="21.25" customHeight="1">
      <c r="A128" t="s" s="10">
        <v>687</v>
      </c>
      <c r="B128" t="s" s="129">
        <f>VLOOKUP(A128,'The List'!B1:D665,3,FALSE)</f>
        <v>140</v>
      </c>
      <c r="C128" s="130">
        <f>IF('Settings'!$E$15="POINTS",RANK(E128,E3:E136),H128)</f>
        <v>100</v>
      </c>
      <c r="D128" t="s" s="86">
        <f>VLOOKUP(A128,'The List'!B1:F665,5,FALSE)</f>
        <v>900</v>
      </c>
      <c r="E128" s="77">
        <f>VLOOKUP(A128,'The List'!B1:I665,8,FALSE)</f>
        <v>174.9607097228</v>
      </c>
      <c r="F128" s="77">
        <f>IF('Settings'!$E$15="POINTS",E128-VLOOKUP(B$2,C1:E136,3,FALSE),J128)</f>
        <v>-154.731184358378</v>
      </c>
      <c r="G128" s="77"/>
      <c r="H128" s="223">
        <f>RANK(I128,I3:I136)</f>
        <v>118</v>
      </c>
      <c r="I128" s="77">
        <f>VLOOKUP(A128,'Standard Deviations'!A1:C666,3,FALSE)</f>
        <v>-3.79098022945557</v>
      </c>
      <c r="J128" s="84">
        <f>I128-VLOOKUP(B$2,H1:J136,2,FALSE)</f>
        <v>-9.557045038011889</v>
      </c>
    </row>
    <row r="129" ht="21.25" customHeight="1">
      <c r="A129" t="s" s="10">
        <v>789</v>
      </c>
      <c r="B129" t="s" s="129">
        <f>VLOOKUP(A129,'The List'!B1:D665,3,FALSE)</f>
        <v>140</v>
      </c>
      <c r="C129" s="130">
        <f>IF('Settings'!$E$15="POINTS",RANK(E129,E3:E136),H129)</f>
        <v>122</v>
      </c>
      <c r="D129" t="s" s="86">
        <f>VLOOKUP(A129,'The List'!B1:F665,5,FALSE)</f>
        <v>342</v>
      </c>
      <c r="E129" s="77">
        <f>VLOOKUP(A129,'The List'!B1:I665,8,FALSE)</f>
        <v>145.771430783881</v>
      </c>
      <c r="F129" s="77">
        <f>IF('Settings'!$E$15="POINTS",E129-VLOOKUP(B$2,C1:E136,3,FALSE),J129)</f>
        <v>-183.920463297297</v>
      </c>
      <c r="G129" s="77"/>
      <c r="H129" s="223">
        <f>RANK(I129,I3:I136)</f>
        <v>98</v>
      </c>
      <c r="I129" s="77">
        <f>VLOOKUP(A129,'Standard Deviations'!A1:C666,3,FALSE)</f>
        <v>-2.600450349748</v>
      </c>
      <c r="J129" s="84">
        <f>I129-VLOOKUP(B$2,H1:J136,2,FALSE)</f>
        <v>-8.36651515830432</v>
      </c>
    </row>
    <row r="130" ht="21.25" customHeight="1">
      <c r="A130" t="s" s="10">
        <v>460</v>
      </c>
      <c r="B130" t="s" s="129">
        <f>VLOOKUP(A130,'The List'!B1:D665,3,FALSE)</f>
        <v>140</v>
      </c>
      <c r="C130" s="130">
        <f>IF('Settings'!$E$15="POINTS",RANK(E130,E3:E136),H130)</f>
        <v>61</v>
      </c>
      <c r="D130" t="s" s="86">
        <f>VLOOKUP(A130,'The List'!B1:F665,5,FALSE)</f>
        <v>903</v>
      </c>
      <c r="E130" s="77">
        <f>VLOOKUP(A130,'The List'!B1:I665,8,FALSE)</f>
        <v>236.385271256422</v>
      </c>
      <c r="F130" s="77">
        <f>IF('Settings'!$E$15="POINTS",E130-VLOOKUP(B$2,C1:E136,3,FALSE),J130)</f>
        <v>-93.306622824756</v>
      </c>
      <c r="G130" s="77"/>
      <c r="H130" s="223">
        <f>RANK(I130,I3:I136)</f>
        <v>117</v>
      </c>
      <c r="I130" s="77">
        <f>VLOOKUP(A130,'Standard Deviations'!A1:C666,3,FALSE)</f>
        <v>-3.76797961990791</v>
      </c>
      <c r="J130" s="84">
        <f>I130-VLOOKUP(B$2,H1:J136,2,FALSE)</f>
        <v>-9.534044428464229</v>
      </c>
    </row>
    <row r="131" ht="21.25" customHeight="1">
      <c r="A131" t="s" s="10">
        <v>854</v>
      </c>
      <c r="B131" t="s" s="129">
        <f>VLOOKUP(A131,'The List'!B1:D665,3,FALSE)</f>
        <v>140</v>
      </c>
      <c r="C131" s="130">
        <f>IF('Settings'!$E$15="POINTS",RANK(E131,E3:E136),H131)</f>
        <v>134</v>
      </c>
      <c r="D131" t="s" s="86">
        <f>VLOOKUP(A131,'The List'!B1:F665,5,FALSE)</f>
        <v>129</v>
      </c>
      <c r="E131" s="77">
        <f>VLOOKUP(A131,'The List'!B1:I665,8,FALSE)</f>
        <v>93.8423248896289</v>
      </c>
      <c r="F131" s="77">
        <f>IF('Settings'!$E$15="POINTS",E131-VLOOKUP(B$2,C1:E136,3,FALSE),J131)</f>
        <v>-235.849569191549</v>
      </c>
      <c r="G131" s="77"/>
      <c r="H131" s="223">
        <f>RANK(I131,I3:I136)</f>
        <v>116</v>
      </c>
      <c r="I131" s="77">
        <f>VLOOKUP(A131,'Standard Deviations'!A1:C666,3,FALSE)</f>
        <v>-3.76789721854043</v>
      </c>
      <c r="J131" s="84">
        <f>I131-VLOOKUP(B$2,H1:J136,2,FALSE)</f>
        <v>-9.53396202709675</v>
      </c>
    </row>
    <row r="132" ht="21.25" customHeight="1">
      <c r="A132" t="s" s="10">
        <v>643</v>
      </c>
      <c r="B132" t="s" s="129">
        <f>VLOOKUP(A132,'The List'!B1:D665,3,FALSE)</f>
        <v>140</v>
      </c>
      <c r="C132" s="130">
        <f>IF('Settings'!$E$15="POINTS",RANK(E132,E3:E136),H132)</f>
        <v>90</v>
      </c>
      <c r="D132" t="s" s="86">
        <f>VLOOKUP(A132,'The List'!B1:F665,5,FALSE)</f>
        <v>192</v>
      </c>
      <c r="E132" s="77">
        <f>VLOOKUP(A132,'The List'!B1:I665,8,FALSE)</f>
        <v>187.514960693934</v>
      </c>
      <c r="F132" s="77">
        <f>IF('Settings'!$E$15="POINTS",E132-VLOOKUP(B$2,C1:E136,3,FALSE),J132)</f>
        <v>-142.176933387244</v>
      </c>
      <c r="G132" s="77"/>
      <c r="H132" s="223">
        <f>RANK(I132,I3:I136)</f>
        <v>123</v>
      </c>
      <c r="I132" s="77">
        <f>VLOOKUP(A132,'Standard Deviations'!A1:C666,3,FALSE)</f>
        <v>-4.32373431911973</v>
      </c>
      <c r="J132" s="84">
        <f>I132-VLOOKUP(B$2,H1:J136,2,FALSE)</f>
        <v>-10.0897991276761</v>
      </c>
    </row>
    <row r="133" ht="21.25" customHeight="1">
      <c r="A133" t="s" s="10">
        <v>790</v>
      </c>
      <c r="B133" t="s" s="129">
        <f>VLOOKUP(A133,'The List'!B1:D665,3,FALSE)</f>
        <v>140</v>
      </c>
      <c r="C133" s="130">
        <f>IF('Settings'!$E$15="POINTS",RANK(E133,E3:E136),H133)</f>
        <v>123</v>
      </c>
      <c r="D133" t="s" s="86">
        <f>VLOOKUP(A133,'The List'!B1:F665,5,FALSE)</f>
        <v>866</v>
      </c>
      <c r="E133" s="77">
        <f>VLOOKUP(A133,'The List'!B1:I665,8,FALSE)</f>
        <v>145.313318743979</v>
      </c>
      <c r="F133" s="77">
        <f>IF('Settings'!$E$15="POINTS",E133-VLOOKUP(B$2,C1:E136,3,FALSE),J133)</f>
        <v>-184.378575337199</v>
      </c>
      <c r="G133" s="77"/>
      <c r="H133" s="223">
        <f>RANK(I133,I3:I136)</f>
        <v>127</v>
      </c>
      <c r="I133" s="77">
        <f>VLOOKUP(A133,'Standard Deviations'!A1:C666,3,FALSE)</f>
        <v>-4.78877023413871</v>
      </c>
      <c r="J133" s="84">
        <f>I133-VLOOKUP(B$2,H1:J136,2,FALSE)</f>
        <v>-10.554835042695</v>
      </c>
    </row>
    <row r="134" ht="21.25" customHeight="1">
      <c r="A134" t="s" s="10">
        <v>716</v>
      </c>
      <c r="B134" t="s" s="129">
        <f>VLOOKUP(A134,'The List'!B1:D665,3,FALSE)</f>
        <v>140</v>
      </c>
      <c r="C134" s="130">
        <f>IF('Settings'!$E$15="POINTS",RANK(E134,E3:E136),H134)</f>
        <v>108</v>
      </c>
      <c r="D134" t="s" s="86">
        <f>VLOOKUP(A134,'The List'!B1:F665,5,FALSE)</f>
        <v>914</v>
      </c>
      <c r="E134" s="77">
        <f>VLOOKUP(A134,'The List'!B1:I665,8,FALSE)</f>
        <v>165.994583039955</v>
      </c>
      <c r="F134" s="77">
        <f>IF('Settings'!$E$15="POINTS",E134-VLOOKUP(B$2,C1:E136,3,FALSE),J134)</f>
        <v>-163.697311041223</v>
      </c>
      <c r="G134" s="77"/>
      <c r="H134" s="223">
        <f>RANK(I134,I3:I136)</f>
        <v>134</v>
      </c>
      <c r="I134" s="77">
        <f>VLOOKUP(A134,'Standard Deviations'!A1:C666,3,FALSE)</f>
        <v>-6.17140739192647</v>
      </c>
      <c r="J134" s="84">
        <f>I134-VLOOKUP(B$2,H1:J136,2,FALSE)</f>
        <v>-11.9374722004828</v>
      </c>
    </row>
    <row r="135" ht="21.25" customHeight="1">
      <c r="A135" t="s" s="10">
        <v>711</v>
      </c>
      <c r="B135" t="s" s="129">
        <f>VLOOKUP(A135,'The List'!B1:D665,3,FALSE)</f>
        <v>145</v>
      </c>
      <c r="C135" s="130">
        <f>IF('Settings'!$E$15="POINTS",RANK(E135,E3:E136),H135)</f>
        <v>106</v>
      </c>
      <c r="D135" t="s" s="86">
        <f>VLOOKUP(A135,'The List'!B1:F665,5,FALSE)</f>
        <v>154</v>
      </c>
      <c r="E135" s="77">
        <f>VLOOKUP(A135,'The List'!B1:I665,8,FALSE)</f>
        <v>166.879933865670</v>
      </c>
      <c r="F135" s="77">
        <f>IF('Settings'!$E$15="POINTS",E135-VLOOKUP(B$2,C1:E136,3,FALSE),J135)</f>
        <v>-162.811960215508</v>
      </c>
      <c r="G135" s="77"/>
      <c r="H135" s="223">
        <f>RANK(I135,I3:I136)</f>
        <v>113</v>
      </c>
      <c r="I135" s="77">
        <f>VLOOKUP(A135,'Standard Deviations'!A1:C666,3,FALSE)</f>
        <v>-3.63925959274839</v>
      </c>
      <c r="J135" s="84">
        <f>I135-VLOOKUP(B$2,H1:J136,2,FALSE)</f>
        <v>-9.405324401304711</v>
      </c>
    </row>
    <row r="136" ht="21.25" customHeight="1">
      <c r="A136" t="s" s="10">
        <v>726</v>
      </c>
      <c r="B136" t="s" s="129">
        <f>VLOOKUP(A136,'The List'!B1:D665,3,FALSE)</f>
        <v>140</v>
      </c>
      <c r="C136" s="130">
        <f>IF('Settings'!$E$15="POINTS",RANK(E136,E3:E136),H136)</f>
        <v>110</v>
      </c>
      <c r="D136" t="s" s="86">
        <f>VLOOKUP(A136,'The List'!B1:F665,5,FALSE)</f>
        <v>154</v>
      </c>
      <c r="E136" s="77">
        <f>VLOOKUP(A136,'The List'!B1:I665,8,FALSE)</f>
        <v>162.511684631443</v>
      </c>
      <c r="F136" s="77">
        <f>IF('Settings'!$E$15="POINTS",E136-VLOOKUP(B$2,C1:E136,3,FALSE),J136)</f>
        <v>-167.180209449735</v>
      </c>
      <c r="G136" s="77"/>
      <c r="H136" s="223">
        <f>RANK(I136,I3:I136)</f>
        <v>131</v>
      </c>
      <c r="I136" s="77">
        <f>VLOOKUP(A136,'Standard Deviations'!A1:C666,3,FALSE)</f>
        <v>-4.94765746557233</v>
      </c>
      <c r="J136" s="84">
        <f>I136-VLOOKUP(B$2,H1:J136,2,FALSE)</f>
        <v>-10.7137222741287</v>
      </c>
    </row>
  </sheetData>
  <conditionalFormatting sqref="C3:C136 H3:H136">
    <cfRule type="containsText" dxfId="35" priority="1" stopIfTrue="1" text="/">
      <formula>NOT(ISERROR(FIND(UPPER("/"),UPPER(C3))))</formula>
      <formula>"/"</formula>
    </cfRule>
    <cfRule type="containsText" dxfId="36" priority="2" stopIfTrue="1" text="C">
      <formula>NOT(ISERROR(FIND(UPPER("C"),UPPER(C3))))</formula>
      <formula>"C"</formula>
    </cfRule>
    <cfRule type="containsText" dxfId="37" priority="3" stopIfTrue="1" text="D">
      <formula>NOT(ISERROR(FIND(UPPER("D"),UPPER(C3))))</formula>
      <formula>"D"</formula>
    </cfRule>
    <cfRule type="containsText" dxfId="38" priority="4" stopIfTrue="1" text="LW">
      <formula>NOT(ISERROR(FIND(UPPER("LW"),UPPER(C3))))</formula>
      <formula>"LW"</formula>
    </cfRule>
    <cfRule type="containsText" dxfId="39" priority="5" stopIfTrue="1" text="RW">
      <formula>NOT(ISERROR(FIND(UPPER("RW"),UPPER(C3))))</formula>
      <formula>"RW"</formula>
    </cfRule>
    <cfRule type="containsText" dxfId="40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213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32" customWidth="1"/>
    <col min="2" max="2" width="7.17188" style="232" customWidth="1"/>
    <col min="3" max="3" width="6" style="232" customWidth="1"/>
    <col min="4" max="6" width="8.35156" style="232" customWidth="1"/>
    <col min="7" max="10" width="1.35156" style="232" customWidth="1"/>
    <col min="11" max="16384" width="8" style="232" customWidth="1"/>
  </cols>
  <sheetData>
    <row r="1" ht="28.25" customHeight="1">
      <c r="A1" t="s" s="209">
        <v>895</v>
      </c>
      <c r="B1" t="s" s="210">
        <v>918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'Settings'!F5</f>
        <v>16</v>
      </c>
      <c r="C2" s="218"/>
      <c r="D2" s="219"/>
      <c r="E2" s="220"/>
      <c r="F2" s="220"/>
      <c r="G2" s="220"/>
      <c r="H2" s="225"/>
      <c r="I2" s="231"/>
      <c r="J2" s="226"/>
    </row>
    <row r="3" ht="21.25" customHeight="1">
      <c r="A3" t="s" s="10">
        <v>163</v>
      </c>
      <c r="B3" t="s" s="233">
        <f>VLOOKUP(A3,'The List'!B1:D665,3,FALSE)</f>
        <v>153</v>
      </c>
      <c r="C3" s="234">
        <f>IF('Settings'!$E$15="POINTS",RANK(E3,E3:E213),H3)</f>
        <v>3</v>
      </c>
      <c r="D3" t="s" s="86">
        <f>VLOOKUP(A3,'The List'!B1:F665,5,FALSE)</f>
        <v>871</v>
      </c>
      <c r="E3" s="77">
        <f>VLOOKUP(A3,'The List'!B1:I665,8,FALSE)</f>
        <v>421.530361173324</v>
      </c>
      <c r="F3" s="77">
        <f>IF('Settings'!$E$15="POINTS",E3-VLOOKUP(B$2,C1:E213,3,FALSE),J3)</f>
        <v>89.990153253242</v>
      </c>
      <c r="G3" s="77"/>
      <c r="H3" s="227">
        <f>RANK(I3,I3:I213)</f>
        <v>2</v>
      </c>
      <c r="I3" s="174">
        <f>VLOOKUP(A3,'Standard Deviations'!A1:C666,3,FALSE)</f>
        <v>11.2580411560368</v>
      </c>
      <c r="J3" s="228">
        <f>I3-VLOOKUP(B$2,H1:J213,2,FALSE)</f>
        <v>6.42858972971271</v>
      </c>
    </row>
    <row r="4" ht="21.25" customHeight="1">
      <c r="A4" t="s" s="10">
        <v>179</v>
      </c>
      <c r="B4" t="s" s="233">
        <f>VLOOKUP(A4,'The List'!B1:D665,3,FALSE)</f>
        <v>153</v>
      </c>
      <c r="C4" s="234">
        <f>IF('Settings'!$E$15="POINTS",RANK(E4,E3:E213),H4)</f>
        <v>5</v>
      </c>
      <c r="D4" t="s" s="86">
        <f>VLOOKUP(A4,'The List'!B1:F665,5,FALSE)</f>
        <v>165</v>
      </c>
      <c r="E4" s="77">
        <f>VLOOKUP(A4,'The List'!B1:I665,8,FALSE)</f>
        <v>400.334759816395</v>
      </c>
      <c r="F4" s="77">
        <f>IF('Settings'!$E$15="POINTS",E4-VLOOKUP(B$2,C1:E213,3,FALSE),J4)</f>
        <v>68.794551896313</v>
      </c>
      <c r="G4" s="77"/>
      <c r="H4" s="223">
        <f>RANK(I4,I3:I213)</f>
        <v>3</v>
      </c>
      <c r="I4" s="77">
        <f>VLOOKUP(A4,'Standard Deviations'!A1:C666,3,FALSE)</f>
        <v>10.5147446952339</v>
      </c>
      <c r="J4" s="84">
        <f>I4-VLOOKUP(B$2,H1:J213,2,FALSE)</f>
        <v>5.68529326890981</v>
      </c>
    </row>
    <row r="5" ht="21.25" customHeight="1">
      <c r="A5" t="s" s="10">
        <v>184</v>
      </c>
      <c r="B5" t="s" s="233">
        <f>VLOOKUP(A5,'The List'!B1:D665,3,FALSE)</f>
        <v>153</v>
      </c>
      <c r="C5" s="234">
        <f>IF('Settings'!$E$15="POINTS",RANK(E5,E3:E213),H5)</f>
        <v>6</v>
      </c>
      <c r="D5" t="s" s="86">
        <f>VLOOKUP(A5,'The List'!B1:F665,5,FALSE)</f>
        <v>129</v>
      </c>
      <c r="E5" s="77">
        <f>VLOOKUP(A5,'The List'!B1:I665,8,FALSE)</f>
        <v>389.520364438073</v>
      </c>
      <c r="F5" s="77">
        <f>IF('Settings'!$E$15="POINTS",E5-VLOOKUP(B$2,C1:E213,3,FALSE),J5)</f>
        <v>57.980156517991</v>
      </c>
      <c r="G5" s="77"/>
      <c r="H5" s="223">
        <f>RANK(I5,I3:I213)</f>
        <v>1</v>
      </c>
      <c r="I5" s="77">
        <f>VLOOKUP(A5,'Standard Deviations'!A1:C666,3,FALSE)</f>
        <v>11.380681054295</v>
      </c>
      <c r="J5" s="84">
        <f>I5-VLOOKUP(B$2,H1:J213,2,FALSE)</f>
        <v>6.55122962797091</v>
      </c>
    </row>
    <row r="6" ht="21.25" customHeight="1">
      <c r="A6" t="s" s="10">
        <v>152</v>
      </c>
      <c r="B6" t="s" s="233">
        <f>VLOOKUP(A6,'The List'!B1:D665,3,FALSE)</f>
        <v>153</v>
      </c>
      <c r="C6" s="234">
        <f>IF('Settings'!$E$15="POINTS",RANK(E6,E3:E213),H6)</f>
        <v>1</v>
      </c>
      <c r="D6" t="s" s="86">
        <f>VLOOKUP(A6,'The List'!B1:F665,5,FALSE)</f>
        <v>154</v>
      </c>
      <c r="E6" s="77">
        <f>VLOOKUP(A6,'The List'!B1:I665,8,FALSE)</f>
        <v>429.958730631205</v>
      </c>
      <c r="F6" s="77">
        <f>IF('Settings'!$E$15="POINTS",E6-VLOOKUP(B$2,C1:E213,3,FALSE),J6)</f>
        <v>98.418522711123</v>
      </c>
      <c r="G6" s="77"/>
      <c r="H6" s="223">
        <f>RANK(I6,I3:I213)</f>
        <v>8</v>
      </c>
      <c r="I6" s="77">
        <f>VLOOKUP(A6,'Standard Deviations'!A1:C666,3,FALSE)</f>
        <v>7.86044804314463</v>
      </c>
      <c r="J6" s="84">
        <f>I6-VLOOKUP(B$2,H1:J213,2,FALSE)</f>
        <v>3.03099661682054</v>
      </c>
    </row>
    <row r="7" ht="21.25" customHeight="1">
      <c r="A7" t="s" s="10">
        <v>253</v>
      </c>
      <c r="B7" t="s" s="233">
        <f>VLOOKUP(A7,'The List'!B1:D665,3,FALSE)</f>
        <v>153</v>
      </c>
      <c r="C7" s="234">
        <f>IF('Settings'!$E$15="POINTS",RANK(E7,E3:E213),H7)</f>
        <v>14</v>
      </c>
      <c r="D7" t="s" s="86">
        <f>VLOOKUP(A7,'The List'!B1:F665,5,FALSE)</f>
        <v>901</v>
      </c>
      <c r="E7" s="77">
        <f>VLOOKUP(A7,'The List'!B1:I665,8,FALSE)</f>
        <v>334.708584082584</v>
      </c>
      <c r="F7" s="77">
        <f>IF('Settings'!$E$15="POINTS",E7-VLOOKUP(B$2,C1:E213,3,FALSE),J7)</f>
        <v>3.168376162502</v>
      </c>
      <c r="G7" s="77"/>
      <c r="H7" s="223">
        <f>RANK(I7,I3:I213)</f>
        <v>4</v>
      </c>
      <c r="I7" s="77">
        <f>VLOOKUP(A7,'Standard Deviations'!A1:C666,3,FALSE)</f>
        <v>9.48768153023755</v>
      </c>
      <c r="J7" s="84">
        <f>I7-VLOOKUP(B$2,H1:J213,2,FALSE)</f>
        <v>4.65823010391346</v>
      </c>
    </row>
    <row r="8" ht="21.25" customHeight="1">
      <c r="A8" t="s" s="10">
        <v>189</v>
      </c>
      <c r="B8" t="s" s="233">
        <f>VLOOKUP(A8,'The List'!B1:D665,3,FALSE)</f>
        <v>153</v>
      </c>
      <c r="C8" s="234">
        <f>IF('Settings'!$E$15="POINTS",RANK(E8,E3:E213),H8)</f>
        <v>7</v>
      </c>
      <c r="D8" t="s" s="86">
        <f>VLOOKUP(A8,'The List'!B1:F665,5,FALSE)</f>
        <v>207</v>
      </c>
      <c r="E8" s="77">
        <f>VLOOKUP(A8,'The List'!B1:I665,8,FALSE)</f>
        <v>387.006113590260</v>
      </c>
      <c r="F8" s="77">
        <f>IF('Settings'!$E$15="POINTS",E8-VLOOKUP(B$2,C1:E213,3,FALSE),J8)</f>
        <v>55.465905670178</v>
      </c>
      <c r="G8" s="77"/>
      <c r="H8" s="223">
        <f>RANK(I8,I3:I213)</f>
        <v>7</v>
      </c>
      <c r="I8" s="77">
        <f>VLOOKUP(A8,'Standard Deviations'!A1:C666,3,FALSE)</f>
        <v>8.08494388526532</v>
      </c>
      <c r="J8" s="84">
        <f>I8-VLOOKUP(B$2,H1:J213,2,FALSE)</f>
        <v>3.25549245894123</v>
      </c>
    </row>
    <row r="9" ht="21.25" customHeight="1">
      <c r="A9" t="s" s="10">
        <v>223</v>
      </c>
      <c r="B9" t="s" s="233">
        <f>VLOOKUP(A9,'The List'!B1:D665,3,FALSE)</f>
        <v>153</v>
      </c>
      <c r="C9" s="234">
        <f>IF('Settings'!$E$15="POINTS",RANK(E9,E3:E213),H9)</f>
        <v>11</v>
      </c>
      <c r="D9" t="s" s="86">
        <f>VLOOKUP(A9,'The List'!B1:F665,5,FALSE)</f>
        <v>878</v>
      </c>
      <c r="E9" s="77">
        <f>VLOOKUP(A9,'The List'!B1:I665,8,FALSE)</f>
        <v>354.839886398384</v>
      </c>
      <c r="F9" s="77">
        <f>IF('Settings'!$E$15="POINTS",E9-VLOOKUP(B$2,C1:E213,3,FALSE),J9)</f>
        <v>23.299678478302</v>
      </c>
      <c r="G9" s="77"/>
      <c r="H9" s="223">
        <f>RANK(I9,I3:I213)</f>
        <v>5</v>
      </c>
      <c r="I9" s="77">
        <f>VLOOKUP(A9,'Standard Deviations'!A1:C666,3,FALSE)</f>
        <v>8.43025795708775</v>
      </c>
      <c r="J9" s="84">
        <f>I9-VLOOKUP(B$2,H1:J213,2,FALSE)</f>
        <v>3.60080653076366</v>
      </c>
    </row>
    <row r="10" ht="21.25" customHeight="1">
      <c r="A10" t="s" s="10">
        <v>221</v>
      </c>
      <c r="B10" t="s" s="233">
        <f>VLOOKUP(A10,'The List'!B1:D665,3,FALSE)</f>
        <v>153</v>
      </c>
      <c r="C10" s="234">
        <f>IF('Settings'!$E$15="POINTS",RANK(E10,E3:E213),H10)</f>
        <v>9</v>
      </c>
      <c r="D10" t="s" s="86">
        <f>VLOOKUP(A10,'The List'!B1:F665,5,FALSE)</f>
        <v>866</v>
      </c>
      <c r="E10" s="77">
        <f>VLOOKUP(A10,'The List'!B1:I665,8,FALSE)</f>
        <v>355.907927990648</v>
      </c>
      <c r="F10" s="77">
        <f>IF('Settings'!$E$15="POINTS",E10-VLOOKUP(B$2,C1:E213,3,FALSE),J10)</f>
        <v>24.367720070566</v>
      </c>
      <c r="G10" s="77"/>
      <c r="H10" s="223">
        <f>RANK(I10,I3:I213)</f>
        <v>9</v>
      </c>
      <c r="I10" s="77">
        <f>VLOOKUP(A10,'Standard Deviations'!A1:C666,3,FALSE)</f>
        <v>7.26903830810076</v>
      </c>
      <c r="J10" s="84">
        <f>I10-VLOOKUP(B$2,H1:J213,2,FALSE)</f>
        <v>2.43958688177667</v>
      </c>
    </row>
    <row r="11" ht="21.25" customHeight="1">
      <c r="A11" t="s" s="10">
        <v>257</v>
      </c>
      <c r="B11" t="s" s="233">
        <f>VLOOKUP(A11,'The List'!B1:D665,3,FALSE)</f>
        <v>153</v>
      </c>
      <c r="C11" s="234">
        <f>IF('Settings'!$E$15="POINTS",RANK(E11,E3:E213),H11)</f>
        <v>16</v>
      </c>
      <c r="D11" t="s" s="86">
        <f>VLOOKUP(A11,'The List'!B1:F665,5,FALSE)</f>
        <v>902</v>
      </c>
      <c r="E11" s="77">
        <f>VLOOKUP(A11,'The List'!B1:I665,8,FALSE)</f>
        <v>331.540207920082</v>
      </c>
      <c r="F11" s="77">
        <f>IF('Settings'!$E$15="POINTS",E11-VLOOKUP(B$2,C1:E213,3,FALSE),J11)</f>
        <v>0</v>
      </c>
      <c r="G11" s="77"/>
      <c r="H11" s="223">
        <f>RANK(I11,I3:I213)</f>
        <v>6</v>
      </c>
      <c r="I11" s="77">
        <f>VLOOKUP(A11,'Standard Deviations'!A1:C666,3,FALSE)</f>
        <v>8.103656101297711</v>
      </c>
      <c r="J11" s="84">
        <f>I11-VLOOKUP(B$2,H1:J213,2,FALSE)</f>
        <v>3.27420467497362</v>
      </c>
    </row>
    <row r="12" ht="21.25" customHeight="1">
      <c r="A12" t="s" s="10">
        <v>331</v>
      </c>
      <c r="B12" t="s" s="233">
        <f>VLOOKUP(A12,'The List'!B1:D665,3,FALSE)</f>
        <v>153</v>
      </c>
      <c r="C12" s="234">
        <f>IF('Settings'!$E$15="POINTS",RANK(E12,E3:E213),H12)</f>
        <v>34</v>
      </c>
      <c r="D12" t="s" s="86">
        <f>VLOOKUP(A12,'The List'!B1:F665,5,FALSE)</f>
        <v>914</v>
      </c>
      <c r="E12" s="77">
        <f>VLOOKUP(A12,'The List'!B1:I665,8,FALSE)</f>
        <v>293.432179052834</v>
      </c>
      <c r="F12" s="77">
        <f>IF('Settings'!$E$15="POINTS",E12-VLOOKUP(B$2,C1:E213,3,FALSE),J12)</f>
        <v>-38.108028867248</v>
      </c>
      <c r="G12" s="77"/>
      <c r="H12" s="223">
        <f>RANK(I12,I3:I213)</f>
        <v>36</v>
      </c>
      <c r="I12" s="77">
        <f>VLOOKUP(A12,'Standard Deviations'!A1:C666,3,FALSE)</f>
        <v>2.68585299193783</v>
      </c>
      <c r="J12" s="84">
        <f>I12-VLOOKUP(B$2,H1:J213,2,FALSE)</f>
        <v>-2.14359843438626</v>
      </c>
    </row>
    <row r="13" ht="21.25" customHeight="1">
      <c r="A13" t="s" s="10">
        <v>222</v>
      </c>
      <c r="B13" t="s" s="233">
        <f>VLOOKUP(A13,'The List'!B1:D665,3,FALSE)</f>
        <v>153</v>
      </c>
      <c r="C13" s="234">
        <f>IF('Settings'!$E$15="POINTS",RANK(E13,E3:E213),H13)</f>
        <v>10</v>
      </c>
      <c r="D13" t="s" s="86">
        <f>VLOOKUP(A13,'The List'!B1:F665,5,FALSE)</f>
        <v>132</v>
      </c>
      <c r="E13" s="77">
        <f>VLOOKUP(A13,'The List'!B1:I665,8,FALSE)</f>
        <v>355.213601878613</v>
      </c>
      <c r="F13" s="77">
        <f>IF('Settings'!$E$15="POINTS",E13-VLOOKUP(B$2,C1:E213,3,FALSE),J13)</f>
        <v>23.673393958531</v>
      </c>
      <c r="G13" s="77"/>
      <c r="H13" s="223">
        <f>RANK(I13,I3:I213)</f>
        <v>10</v>
      </c>
      <c r="I13" s="77">
        <f>VLOOKUP(A13,'Standard Deviations'!A1:C666,3,FALSE)</f>
        <v>7.00102672108413</v>
      </c>
      <c r="J13" s="84">
        <f>I13-VLOOKUP(B$2,H1:J213,2,FALSE)</f>
        <v>2.17157529476004</v>
      </c>
    </row>
    <row r="14" ht="21.25" customHeight="1">
      <c r="A14" t="s" s="10">
        <v>294</v>
      </c>
      <c r="B14" t="s" s="233">
        <f>VLOOKUP(A14,'The List'!B1:D665,3,FALSE)</f>
        <v>153</v>
      </c>
      <c r="C14" s="234">
        <f>IF('Settings'!$E$15="POINTS",RANK(E14,E3:E213),H14)</f>
        <v>22</v>
      </c>
      <c r="D14" t="s" s="86">
        <f>VLOOKUP(A14,'The List'!B1:F665,5,FALSE)</f>
        <v>259</v>
      </c>
      <c r="E14" s="77">
        <f>VLOOKUP(A14,'The List'!B1:I665,8,FALSE)</f>
        <v>313.625340914491</v>
      </c>
      <c r="F14" s="77">
        <f>IF('Settings'!$E$15="POINTS",E14-VLOOKUP(B$2,C1:E213,3,FALSE),J14)</f>
        <v>-17.914867005591</v>
      </c>
      <c r="G14" s="77"/>
      <c r="H14" s="223">
        <f>RANK(I14,I3:I213)</f>
        <v>13</v>
      </c>
      <c r="I14" s="77">
        <f>VLOOKUP(A14,'Standard Deviations'!A1:C666,3,FALSE)</f>
        <v>5.70346280348838</v>
      </c>
      <c r="J14" s="84">
        <f>I14-VLOOKUP(B$2,H1:J213,2,FALSE)</f>
        <v>0.87401137716429</v>
      </c>
    </row>
    <row r="15" ht="21.25" customHeight="1">
      <c r="A15" t="s" s="10">
        <v>232</v>
      </c>
      <c r="B15" t="s" s="233">
        <f>VLOOKUP(A15,'The List'!B1:D665,3,FALSE)</f>
        <v>153</v>
      </c>
      <c r="C15" s="234">
        <f>IF('Settings'!$E$15="POINTS",RANK(E15,E3:E213),H15)</f>
        <v>12</v>
      </c>
      <c r="D15" t="s" s="86">
        <f>VLOOKUP(A15,'The List'!B1:F665,5,FALSE)</f>
        <v>192</v>
      </c>
      <c r="E15" s="77">
        <f>VLOOKUP(A15,'The List'!B1:I665,8,FALSE)</f>
        <v>346.460425457656</v>
      </c>
      <c r="F15" s="77">
        <f>IF('Settings'!$E$15="POINTS",E15-VLOOKUP(B$2,C1:E213,3,FALSE),J15)</f>
        <v>14.920217537574</v>
      </c>
      <c r="G15" s="77"/>
      <c r="H15" s="223">
        <f>RANK(I15,I3:I213)</f>
        <v>16</v>
      </c>
      <c r="I15" s="77">
        <f>VLOOKUP(A15,'Standard Deviations'!A1:C666,3,FALSE)</f>
        <v>4.82945142632409</v>
      </c>
      <c r="J15" s="84">
        <f>I15-VLOOKUP(B$2,H1:J213,2,FALSE)</f>
        <v>0</v>
      </c>
    </row>
    <row r="16" ht="21.25" customHeight="1">
      <c r="A16" t="s" s="10">
        <v>357</v>
      </c>
      <c r="B16" t="s" s="233">
        <f>VLOOKUP(A16,'The List'!B1:D665,3,FALSE)</f>
        <v>153</v>
      </c>
      <c r="C16" s="234">
        <f>IF('Settings'!$E$15="POINTS",RANK(E16,E3:E213),H16)</f>
        <v>42</v>
      </c>
      <c r="D16" t="s" s="86">
        <f>VLOOKUP(A16,'The List'!B1:F665,5,FALSE)</f>
        <v>900</v>
      </c>
      <c r="E16" s="77">
        <f>VLOOKUP(A16,'The List'!B1:I665,8,FALSE)</f>
        <v>283.533674384472</v>
      </c>
      <c r="F16" s="77">
        <f>IF('Settings'!$E$15="POINTS",E16-VLOOKUP(B$2,C1:E213,3,FALSE),J16)</f>
        <v>-48.006533535610</v>
      </c>
      <c r="G16" s="77"/>
      <c r="H16" s="223">
        <f>RANK(I16,I3:I213)</f>
        <v>20</v>
      </c>
      <c r="I16" s="77">
        <f>VLOOKUP(A16,'Standard Deviations'!A1:C666,3,FALSE)</f>
        <v>4.41691330055115</v>
      </c>
      <c r="J16" s="84">
        <f>I16-VLOOKUP(B$2,H1:J213,2,FALSE)</f>
        <v>-0.41253812577294</v>
      </c>
    </row>
    <row r="17" ht="21.25" customHeight="1">
      <c r="A17" t="s" s="10">
        <v>260</v>
      </c>
      <c r="B17" t="s" s="233">
        <f>VLOOKUP(A17,'The List'!B1:D665,3,FALSE)</f>
        <v>153</v>
      </c>
      <c r="C17" s="234">
        <f>IF('Settings'!$E$15="POINTS",RANK(E17,E3:E213),H17)</f>
        <v>17</v>
      </c>
      <c r="D17" t="s" s="86">
        <f>VLOOKUP(A17,'The List'!B1:F665,5,FALSE)</f>
        <v>908</v>
      </c>
      <c r="E17" s="77">
        <f>VLOOKUP(A17,'The List'!B1:I665,8,FALSE)</f>
        <v>329.677094955164</v>
      </c>
      <c r="F17" s="77">
        <f>IF('Settings'!$E$15="POINTS",E17-VLOOKUP(B$2,C1:E213,3,FALSE),J17)</f>
        <v>-1.863112964918</v>
      </c>
      <c r="G17" s="77"/>
      <c r="H17" s="223">
        <f>RANK(I17,I3:I213)</f>
        <v>15</v>
      </c>
      <c r="I17" s="77">
        <f>VLOOKUP(A17,'Standard Deviations'!A1:C666,3,FALSE)</f>
        <v>4.91315782629939</v>
      </c>
      <c r="J17" s="84">
        <f>I17-VLOOKUP(B$2,H1:J213,2,FALSE)</f>
        <v>0.08370639997529999</v>
      </c>
    </row>
    <row r="18" ht="21.25" customHeight="1">
      <c r="A18" t="s" s="10">
        <v>372</v>
      </c>
      <c r="B18" t="s" s="233">
        <f>VLOOKUP(A18,'The List'!B1:D665,3,FALSE)</f>
        <v>153</v>
      </c>
      <c r="C18" s="234">
        <f>IF('Settings'!$E$15="POINTS",RANK(E18,E3:E213),H18)</f>
        <v>46</v>
      </c>
      <c r="D18" t="s" s="86">
        <f>VLOOKUP(A18,'The List'!B1:F665,5,FALSE)</f>
        <v>903</v>
      </c>
      <c r="E18" s="77">
        <f>VLOOKUP(A18,'The List'!B1:I665,8,FALSE)</f>
        <v>279.042968460215</v>
      </c>
      <c r="F18" s="77">
        <f>IF('Settings'!$E$15="POINTS",E18-VLOOKUP(B$2,C1:E213,3,FALSE),J18)</f>
        <v>-52.497239459867</v>
      </c>
      <c r="G18" s="77"/>
      <c r="H18" s="223">
        <f>RANK(I18,I3:I213)</f>
        <v>18</v>
      </c>
      <c r="I18" s="77">
        <f>VLOOKUP(A18,'Standard Deviations'!A1:C666,3,FALSE)</f>
        <v>4.70665875660105</v>
      </c>
      <c r="J18" s="84">
        <f>I18-VLOOKUP(B$2,H1:J213,2,FALSE)</f>
        <v>-0.12279266972304</v>
      </c>
    </row>
    <row r="19" ht="21.25" customHeight="1">
      <c r="A19" t="s" s="10">
        <v>202</v>
      </c>
      <c r="B19" t="s" s="233">
        <f>VLOOKUP(A19,'The List'!B1:D665,3,FALSE)</f>
        <v>153</v>
      </c>
      <c r="C19" s="234">
        <f>IF('Settings'!$E$15="POINTS",RANK(E19,E3:E213),H19)</f>
        <v>8</v>
      </c>
      <c r="D19" t="s" s="86">
        <f>VLOOKUP(A19,'The List'!B1:F665,5,FALSE)</f>
        <v>899</v>
      </c>
      <c r="E19" s="77">
        <f>VLOOKUP(A19,'The List'!B1:I665,8,FALSE)</f>
        <v>374.702337960698</v>
      </c>
      <c r="F19" s="77">
        <f>IF('Settings'!$E$15="POINTS",E19-VLOOKUP(B$2,C1:E213,3,FALSE),J19)</f>
        <v>43.162130040616</v>
      </c>
      <c r="G19" s="77"/>
      <c r="H19" s="223">
        <f>RANK(I19,I3:I213)</f>
        <v>12</v>
      </c>
      <c r="I19" s="77">
        <f>VLOOKUP(A19,'Standard Deviations'!A1:C666,3,FALSE)</f>
        <v>6.17475330237814</v>
      </c>
      <c r="J19" s="84">
        <f>I19-VLOOKUP(B$2,H1:J213,2,FALSE)</f>
        <v>1.34530187605405</v>
      </c>
    </row>
    <row r="20" ht="21.25" customHeight="1">
      <c r="A20" t="s" s="10">
        <v>246</v>
      </c>
      <c r="B20" t="s" s="233">
        <f>VLOOKUP(A20,'The List'!B1:D665,3,FALSE)</f>
        <v>153</v>
      </c>
      <c r="C20" s="234">
        <f>IF('Settings'!$E$15="POINTS",RANK(E20,E3:E213),H20)</f>
        <v>13</v>
      </c>
      <c r="D20" t="s" s="86">
        <f>VLOOKUP(A20,'The List'!B1:F665,5,FALSE)</f>
        <v>906</v>
      </c>
      <c r="E20" s="77">
        <f>VLOOKUP(A20,'The List'!B1:I665,8,FALSE)</f>
        <v>339.324252494952</v>
      </c>
      <c r="F20" s="77">
        <f>IF('Settings'!$E$15="POINTS",E20-VLOOKUP(B$2,C1:E213,3,FALSE),J20)</f>
        <v>7.784044574870</v>
      </c>
      <c r="G20" s="77"/>
      <c r="H20" s="223">
        <f>RANK(I20,I3:I213)</f>
        <v>11</v>
      </c>
      <c r="I20" s="77">
        <f>VLOOKUP(A20,'Standard Deviations'!A1:C666,3,FALSE)</f>
        <v>6.42137356457759</v>
      </c>
      <c r="J20" s="84">
        <f>I20-VLOOKUP(B$2,H1:J213,2,FALSE)</f>
        <v>1.5919221382535</v>
      </c>
    </row>
    <row r="21" ht="21.25" customHeight="1">
      <c r="A21" t="s" s="10">
        <v>155</v>
      </c>
      <c r="B21" t="s" s="233">
        <f>VLOOKUP(A21,'The List'!B1:D665,3,FALSE)</f>
        <v>153</v>
      </c>
      <c r="C21" s="234">
        <f>IF('Settings'!$E$15="POINTS",RANK(E21,E3:E213),H21)</f>
        <v>2</v>
      </c>
      <c r="D21" t="s" s="86">
        <f>VLOOKUP(A21,'The List'!B1:F665,5,FALSE)</f>
        <v>156</v>
      </c>
      <c r="E21" s="77">
        <f>VLOOKUP(A21,'The List'!B1:I665,8,FALSE)</f>
        <v>426.608532257733</v>
      </c>
      <c r="F21" s="77">
        <f>IF('Settings'!$E$15="POINTS",E21-VLOOKUP(B$2,C1:E213,3,FALSE),J21)</f>
        <v>95.06832433765101</v>
      </c>
      <c r="G21" s="77"/>
      <c r="H21" s="223">
        <f>RANK(I21,I3:I213)</f>
        <v>17</v>
      </c>
      <c r="I21" s="77">
        <f>VLOOKUP(A21,'Standard Deviations'!A1:C666,3,FALSE)</f>
        <v>4.75279409347665</v>
      </c>
      <c r="J21" s="84">
        <f>I21-VLOOKUP(B$2,H1:J213,2,FALSE)</f>
        <v>-0.07665733284744</v>
      </c>
    </row>
    <row r="22" ht="21.25" customHeight="1">
      <c r="A22" t="s" s="10">
        <v>173</v>
      </c>
      <c r="B22" t="s" s="233">
        <f>VLOOKUP(A22,'The List'!B1:D665,3,FALSE)</f>
        <v>153</v>
      </c>
      <c r="C22" s="234">
        <f>IF('Settings'!$E$15="POINTS",RANK(E22,E3:E213),H22)</f>
        <v>4</v>
      </c>
      <c r="D22" t="s" s="86">
        <f>VLOOKUP(A22,'The List'!B1:F665,5,FALSE)</f>
        <v>174</v>
      </c>
      <c r="E22" s="77">
        <f>VLOOKUP(A22,'The List'!B1:I665,8,FALSE)</f>
        <v>404.340825880660</v>
      </c>
      <c r="F22" s="77">
        <f>IF('Settings'!$E$15="POINTS",E22-VLOOKUP(B$2,C1:E213,3,FALSE),J22)</f>
        <v>72.80061796057799</v>
      </c>
      <c r="G22" s="77"/>
      <c r="H22" s="223">
        <f>RANK(I22,I3:I213)</f>
        <v>14</v>
      </c>
      <c r="I22" s="77">
        <f>VLOOKUP(A22,'Standard Deviations'!A1:C666,3,FALSE)</f>
        <v>5.0232485794818</v>
      </c>
      <c r="J22" s="84">
        <f>I22-VLOOKUP(B$2,H1:J213,2,FALSE)</f>
        <v>0.19379715315771</v>
      </c>
    </row>
    <row r="23" ht="21.25" customHeight="1">
      <c r="A23" t="s" s="10">
        <v>282</v>
      </c>
      <c r="B23" t="s" s="233">
        <f>VLOOKUP(A23,'The List'!B1:D665,3,FALSE)</f>
        <v>153</v>
      </c>
      <c r="C23" s="234">
        <f>IF('Settings'!$E$15="POINTS",RANK(E23,E3:E213),H23)</f>
        <v>21</v>
      </c>
      <c r="D23" t="s" s="86">
        <f>VLOOKUP(A23,'The List'!B1:F665,5,FALSE)</f>
        <v>909</v>
      </c>
      <c r="E23" s="77">
        <f>VLOOKUP(A23,'The List'!B1:I665,8,FALSE)</f>
        <v>321.147090343755</v>
      </c>
      <c r="F23" s="77">
        <f>IF('Settings'!$E$15="POINTS",E23-VLOOKUP(B$2,C1:E213,3,FALSE),J23)</f>
        <v>-10.393117576327</v>
      </c>
      <c r="G23" s="77"/>
      <c r="H23" s="223">
        <f>RANK(I23,I3:I213)</f>
        <v>30</v>
      </c>
      <c r="I23" s="77">
        <f>VLOOKUP(A23,'Standard Deviations'!A1:C666,3,FALSE)</f>
        <v>2.90916116803545</v>
      </c>
      <c r="J23" s="84">
        <f>I23-VLOOKUP(B$2,H1:J213,2,FALSE)</f>
        <v>-1.92029025828864</v>
      </c>
    </row>
    <row r="24" ht="21.25" customHeight="1">
      <c r="A24" t="s" s="10">
        <v>272</v>
      </c>
      <c r="B24" t="s" s="233">
        <f>VLOOKUP(A24,'The List'!B1:D665,3,FALSE)</f>
        <v>153</v>
      </c>
      <c r="C24" s="234">
        <f>IF('Settings'!$E$15="POINTS",RANK(E24,E3:E213),H24)</f>
        <v>19</v>
      </c>
      <c r="D24" t="s" s="86">
        <f>VLOOKUP(A24,'The List'!B1:F665,5,FALSE)</f>
        <v>905</v>
      </c>
      <c r="E24" s="77">
        <f>VLOOKUP(A24,'The List'!B1:I665,8,FALSE)</f>
        <v>323.701262409184</v>
      </c>
      <c r="F24" s="77">
        <f>IF('Settings'!$E$15="POINTS",E24-VLOOKUP(B$2,C1:E213,3,FALSE),J24)</f>
        <v>-7.838945510898</v>
      </c>
      <c r="G24" s="77"/>
      <c r="H24" s="223">
        <f>RANK(I24,I3:I213)</f>
        <v>39</v>
      </c>
      <c r="I24" s="77">
        <f>VLOOKUP(A24,'Standard Deviations'!A1:C666,3,FALSE)</f>
        <v>2.43113739463152</v>
      </c>
      <c r="J24" s="84">
        <f>I24-VLOOKUP(B$2,H1:J213,2,FALSE)</f>
        <v>-2.39831403169257</v>
      </c>
    </row>
    <row r="25" ht="21.25" customHeight="1">
      <c r="A25" t="s" s="10">
        <v>307</v>
      </c>
      <c r="B25" t="s" s="233">
        <f>VLOOKUP(A25,'The List'!B1:D665,3,FALSE)</f>
        <v>153</v>
      </c>
      <c r="C25" s="234">
        <f>IF('Settings'!$E$15="POINTS",RANK(E25,E3:E213),H25)</f>
        <v>25</v>
      </c>
      <c r="D25" t="s" s="86">
        <f>VLOOKUP(A25,'The List'!B1:F665,5,FALSE)</f>
        <v>907</v>
      </c>
      <c r="E25" s="77">
        <f>VLOOKUP(A25,'The List'!B1:I665,8,FALSE)</f>
        <v>309.008167662507</v>
      </c>
      <c r="F25" s="77">
        <f>IF('Settings'!$E$15="POINTS",E25-VLOOKUP(B$2,C1:E213,3,FALSE),J25)</f>
        <v>-22.532040257575</v>
      </c>
      <c r="G25" s="77"/>
      <c r="H25" s="223">
        <f>RANK(I25,I3:I213)</f>
        <v>42</v>
      </c>
      <c r="I25" s="77">
        <f>VLOOKUP(A25,'Standard Deviations'!A1:C666,3,FALSE)</f>
        <v>2.09426331036398</v>
      </c>
      <c r="J25" s="84">
        <f>I25-VLOOKUP(B$2,H1:J213,2,FALSE)</f>
        <v>-2.73518811596011</v>
      </c>
    </row>
    <row r="26" ht="21.25" customHeight="1">
      <c r="A26" t="s" s="10">
        <v>314</v>
      </c>
      <c r="B26" t="s" s="233">
        <f>VLOOKUP(A26,'The List'!B1:D665,3,FALSE)</f>
        <v>153</v>
      </c>
      <c r="C26" s="234">
        <f>IF('Settings'!$E$15="POINTS",RANK(E26,E3:E213),H26)</f>
        <v>28</v>
      </c>
      <c r="D26" t="s" s="86">
        <f>VLOOKUP(A26,'The List'!B1:F665,5,FALSE)</f>
        <v>275</v>
      </c>
      <c r="E26" s="77">
        <f>VLOOKUP(A26,'The List'!B1:I665,8,FALSE)</f>
        <v>303.188485559654</v>
      </c>
      <c r="F26" s="77">
        <f>IF('Settings'!$E$15="POINTS",E26-VLOOKUP(B$2,C1:E213,3,FALSE),J26)</f>
        <v>-28.351722360428</v>
      </c>
      <c r="G26" s="77"/>
      <c r="H26" s="223">
        <f>RANK(I26,I3:I213)</f>
        <v>23</v>
      </c>
      <c r="I26" s="77">
        <f>VLOOKUP(A26,'Standard Deviations'!A1:C666,3,FALSE)</f>
        <v>3.82399600792333</v>
      </c>
      <c r="J26" s="84">
        <f>I26-VLOOKUP(B$2,H1:J213,2,FALSE)</f>
        <v>-1.00545541840076</v>
      </c>
    </row>
    <row r="27" ht="21.25" customHeight="1">
      <c r="A27" t="s" s="10">
        <v>309</v>
      </c>
      <c r="B27" t="s" s="233">
        <f>VLOOKUP(A27,'The List'!B1:D665,3,FALSE)</f>
        <v>153</v>
      </c>
      <c r="C27" s="234">
        <f>IF('Settings'!$E$15="POINTS",RANK(E27,E3:E213),H27)</f>
        <v>26</v>
      </c>
      <c r="D27" t="s" s="86">
        <f>VLOOKUP(A27,'The List'!B1:F665,5,FALSE)</f>
        <v>903</v>
      </c>
      <c r="E27" s="77">
        <f>VLOOKUP(A27,'The List'!B1:I665,8,FALSE)</f>
        <v>306.441420857087</v>
      </c>
      <c r="F27" s="77">
        <f>IF('Settings'!$E$15="POINTS",E27-VLOOKUP(B$2,C1:E213,3,FALSE),J27)</f>
        <v>-25.098787062995</v>
      </c>
      <c r="G27" s="77"/>
      <c r="H27" s="223">
        <f>RANK(I27,I3:I213)</f>
        <v>25</v>
      </c>
      <c r="I27" s="77">
        <f>VLOOKUP(A27,'Standard Deviations'!A1:C666,3,FALSE)</f>
        <v>3.4957750622319</v>
      </c>
      <c r="J27" s="84">
        <f>I27-VLOOKUP(B$2,H1:J213,2,FALSE)</f>
        <v>-1.33367636409219</v>
      </c>
    </row>
    <row r="28" ht="21.25" customHeight="1">
      <c r="A28" t="s" s="10">
        <v>318</v>
      </c>
      <c r="B28" t="s" s="233">
        <f>VLOOKUP(A28,'The List'!B1:D665,3,FALSE)</f>
        <v>153</v>
      </c>
      <c r="C28" s="234">
        <f>IF('Settings'!$E$15="POINTS",RANK(E28,E3:E213),H28)</f>
        <v>29</v>
      </c>
      <c r="D28" t="s" s="86">
        <f>VLOOKUP(A28,'The List'!B1:F665,5,FALSE)</f>
        <v>267</v>
      </c>
      <c r="E28" s="77">
        <f>VLOOKUP(A28,'The List'!B1:I665,8,FALSE)</f>
        <v>302.297746938532</v>
      </c>
      <c r="F28" s="77">
        <f>IF('Settings'!$E$15="POINTS",E28-VLOOKUP(B$2,C1:E213,3,FALSE),J28)</f>
        <v>-29.242460981550</v>
      </c>
      <c r="G28" s="77"/>
      <c r="H28" s="223">
        <f>RANK(I28,I3:I213)</f>
        <v>21</v>
      </c>
      <c r="I28" s="77">
        <f>VLOOKUP(A28,'Standard Deviations'!A1:C666,3,FALSE)</f>
        <v>4.07979817703474</v>
      </c>
      <c r="J28" s="84">
        <f>I28-VLOOKUP(B$2,H1:J213,2,FALSE)</f>
        <v>-0.74965324928935</v>
      </c>
    </row>
    <row r="29" ht="21.25" customHeight="1">
      <c r="A29" t="s" s="10">
        <v>382</v>
      </c>
      <c r="B29" t="s" s="233">
        <f>VLOOKUP(A29,'The List'!B1:D665,3,FALSE)</f>
        <v>153</v>
      </c>
      <c r="C29" s="234">
        <f>IF('Settings'!$E$15="POINTS",RANK(E29,E3:E213),H29)</f>
        <v>50</v>
      </c>
      <c r="D29" t="s" s="86">
        <f>VLOOKUP(A29,'The List'!B1:F665,5,FALSE)</f>
        <v>911</v>
      </c>
      <c r="E29" s="77">
        <f>VLOOKUP(A29,'The List'!B1:I665,8,FALSE)</f>
        <v>273.770550637042</v>
      </c>
      <c r="F29" s="77">
        <f>IF('Settings'!$E$15="POINTS",E29-VLOOKUP(B$2,C1:E213,3,FALSE),J29)</f>
        <v>-57.769657283040</v>
      </c>
      <c r="G29" s="77"/>
      <c r="H29" s="223">
        <f>RANK(I29,I3:I213)</f>
        <v>33</v>
      </c>
      <c r="I29" s="77">
        <f>VLOOKUP(A29,'Standard Deviations'!A1:C666,3,FALSE)</f>
        <v>2.78833506830005</v>
      </c>
      <c r="J29" s="84">
        <f>I29-VLOOKUP(B$2,H1:J213,2,FALSE)</f>
        <v>-2.04111635802404</v>
      </c>
    </row>
    <row r="30" ht="21.25" customHeight="1">
      <c r="A30" t="s" s="10">
        <v>319</v>
      </c>
      <c r="B30" t="s" s="233">
        <f>VLOOKUP(A30,'The List'!B1:D665,3,FALSE)</f>
        <v>153</v>
      </c>
      <c r="C30" s="234">
        <f>IF('Settings'!$E$15="POINTS",RANK(E30,E3:E213),H30)</f>
        <v>30</v>
      </c>
      <c r="D30" t="s" s="86">
        <f>VLOOKUP(A30,'The List'!B1:F665,5,FALSE)</f>
        <v>174</v>
      </c>
      <c r="E30" s="77">
        <f>VLOOKUP(A30,'The List'!B1:I665,8,FALSE)</f>
        <v>302.288565844084</v>
      </c>
      <c r="F30" s="77">
        <f>IF('Settings'!$E$15="POINTS",E30-VLOOKUP(B$2,C1:E213,3,FALSE),J30)</f>
        <v>-29.251642075998</v>
      </c>
      <c r="G30" s="77"/>
      <c r="H30" s="223">
        <f>RANK(I30,I3:I213)</f>
        <v>38</v>
      </c>
      <c r="I30" s="77">
        <f>VLOOKUP(A30,'Standard Deviations'!A1:C666,3,FALSE)</f>
        <v>2.59790495472118</v>
      </c>
      <c r="J30" s="84">
        <f>I30-VLOOKUP(B$2,H1:J213,2,FALSE)</f>
        <v>-2.23154647160291</v>
      </c>
    </row>
    <row r="31" ht="21.25" customHeight="1">
      <c r="A31" t="s" s="10">
        <v>326</v>
      </c>
      <c r="B31" t="s" s="233">
        <f>VLOOKUP(A31,'The List'!B1:D665,3,FALSE)</f>
        <v>153</v>
      </c>
      <c r="C31" s="234">
        <f>IF('Settings'!$E$15="POINTS",RANK(E31,E3:E213),H31)</f>
        <v>32</v>
      </c>
      <c r="D31" t="s" s="86">
        <f>VLOOKUP(A31,'The List'!B1:F665,5,FALSE)</f>
        <v>903</v>
      </c>
      <c r="E31" s="77">
        <f>VLOOKUP(A31,'The List'!B1:I665,8,FALSE)</f>
        <v>296.363595020937</v>
      </c>
      <c r="F31" s="77">
        <f>IF('Settings'!$E$15="POINTS",E31-VLOOKUP(B$2,C1:E213,3,FALSE),J31)</f>
        <v>-35.176612899145</v>
      </c>
      <c r="G31" s="77"/>
      <c r="H31" s="223">
        <f>RANK(I31,I3:I213)</f>
        <v>26</v>
      </c>
      <c r="I31" s="77">
        <f>VLOOKUP(A31,'Standard Deviations'!A1:C666,3,FALSE)</f>
        <v>3.38750340695133</v>
      </c>
      <c r="J31" s="84">
        <f>I31-VLOOKUP(B$2,H1:J213,2,FALSE)</f>
        <v>-1.44194801937276</v>
      </c>
    </row>
    <row r="32" ht="21.25" customHeight="1">
      <c r="A32" t="s" s="10">
        <v>268</v>
      </c>
      <c r="B32" t="s" s="233">
        <f>VLOOKUP(A32,'The List'!B1:D665,3,FALSE)</f>
        <v>153</v>
      </c>
      <c r="C32" s="234">
        <f>IF('Settings'!$E$15="POINTS",RANK(E32,E3:E213),H32)</f>
        <v>18</v>
      </c>
      <c r="D32" t="s" s="86">
        <f>VLOOKUP(A32,'The List'!B1:F665,5,FALSE)</f>
        <v>259</v>
      </c>
      <c r="E32" s="77">
        <f>VLOOKUP(A32,'The List'!B1:I665,8,FALSE)</f>
        <v>326.557567760750</v>
      </c>
      <c r="F32" s="77">
        <f>IF('Settings'!$E$15="POINTS",E32-VLOOKUP(B$2,C1:E213,3,FALSE),J32)</f>
        <v>-4.982640159332</v>
      </c>
      <c r="G32" s="77"/>
      <c r="H32" s="223">
        <f>RANK(I32,I3:I213)</f>
        <v>37</v>
      </c>
      <c r="I32" s="77">
        <f>VLOOKUP(A32,'Standard Deviations'!A1:C666,3,FALSE)</f>
        <v>2.67792718676378</v>
      </c>
      <c r="J32" s="84">
        <f>I32-VLOOKUP(B$2,H1:J213,2,FALSE)</f>
        <v>-2.15152423956031</v>
      </c>
    </row>
    <row r="33" ht="21.25" customHeight="1">
      <c r="A33" t="s" s="10">
        <v>351</v>
      </c>
      <c r="B33" t="s" s="233">
        <f>VLOOKUP(A33,'The List'!B1:D665,3,FALSE)</f>
        <v>153</v>
      </c>
      <c r="C33" s="234">
        <f>IF('Settings'!$E$15="POINTS",RANK(E33,E3:E213),H33)</f>
        <v>39</v>
      </c>
      <c r="D33" t="s" s="86">
        <f>VLOOKUP(A33,'The List'!B1:F665,5,FALSE)</f>
        <v>911</v>
      </c>
      <c r="E33" s="77">
        <f>VLOOKUP(A33,'The List'!B1:I665,8,FALSE)</f>
        <v>286.202353279730</v>
      </c>
      <c r="F33" s="77">
        <f>IF('Settings'!$E$15="POINTS",E33-VLOOKUP(B$2,C1:E213,3,FALSE),J33)</f>
        <v>-45.337854640352</v>
      </c>
      <c r="G33" s="77"/>
      <c r="H33" s="223">
        <f>RANK(I33,I3:I213)</f>
        <v>35</v>
      </c>
      <c r="I33" s="77">
        <f>VLOOKUP(A33,'Standard Deviations'!A1:C666,3,FALSE)</f>
        <v>2.71224918829363</v>
      </c>
      <c r="J33" s="84">
        <f>I33-VLOOKUP(B$2,H1:J213,2,FALSE)</f>
        <v>-2.11720223803046</v>
      </c>
    </row>
    <row r="34" ht="21.25" customHeight="1">
      <c r="A34" t="s" s="10">
        <v>362</v>
      </c>
      <c r="B34" t="s" s="233">
        <f>VLOOKUP(A34,'The List'!B1:D665,3,FALSE)</f>
        <v>153</v>
      </c>
      <c r="C34" s="234">
        <f>IF('Settings'!$E$15="POINTS",RANK(E34,E3:E213),H34)</f>
        <v>44</v>
      </c>
      <c r="D34" t="s" s="86">
        <f>VLOOKUP(A34,'The List'!B1:F665,5,FALSE)</f>
        <v>904</v>
      </c>
      <c r="E34" s="77">
        <f>VLOOKUP(A34,'The List'!B1:I665,8,FALSE)</f>
        <v>282.650034619283</v>
      </c>
      <c r="F34" s="77">
        <f>IF('Settings'!$E$15="POINTS",E34-VLOOKUP(B$2,C1:E213,3,FALSE),J34)</f>
        <v>-48.890173300799</v>
      </c>
      <c r="G34" s="77"/>
      <c r="H34" s="223">
        <f>RANK(I34,I3:I213)</f>
        <v>27</v>
      </c>
      <c r="I34" s="77">
        <f>VLOOKUP(A34,'Standard Deviations'!A1:C666,3,FALSE)</f>
        <v>3.30373040623976</v>
      </c>
      <c r="J34" s="84">
        <f>I34-VLOOKUP(B$2,H1:J213,2,FALSE)</f>
        <v>-1.52572102008433</v>
      </c>
    </row>
    <row r="35" ht="21.25" customHeight="1">
      <c r="A35" t="s" s="10">
        <v>386</v>
      </c>
      <c r="B35" t="s" s="233">
        <f>VLOOKUP(A35,'The List'!B1:D665,3,FALSE)</f>
        <v>153</v>
      </c>
      <c r="C35" s="234">
        <f>IF('Settings'!$E$15="POINTS",RANK(E35,E3:E213),H35)</f>
        <v>52</v>
      </c>
      <c r="D35" t="s" s="86">
        <f>VLOOKUP(A35,'The List'!B1:F665,5,FALSE)</f>
        <v>913</v>
      </c>
      <c r="E35" s="77">
        <f>VLOOKUP(A35,'The List'!B1:I665,8,FALSE)</f>
        <v>272.618156566778</v>
      </c>
      <c r="F35" s="77">
        <f>IF('Settings'!$E$15="POINTS",E35-VLOOKUP(B$2,C1:E213,3,FALSE),J35)</f>
        <v>-58.922051353304</v>
      </c>
      <c r="G35" s="77"/>
      <c r="H35" s="223">
        <f>RANK(I35,I3:I213)</f>
        <v>46</v>
      </c>
      <c r="I35" s="77">
        <f>VLOOKUP(A35,'Standard Deviations'!A1:C666,3,FALSE)</f>
        <v>1.48771910244209</v>
      </c>
      <c r="J35" s="84">
        <f>I35-VLOOKUP(B$2,H1:J213,2,FALSE)</f>
        <v>-3.341732323882</v>
      </c>
    </row>
    <row r="36" ht="21.25" customHeight="1">
      <c r="A36" t="s" s="10">
        <v>361</v>
      </c>
      <c r="B36" t="s" s="233">
        <f>VLOOKUP(A36,'The List'!B1:D665,3,FALSE)</f>
        <v>153</v>
      </c>
      <c r="C36" s="234">
        <f>IF('Settings'!$E$15="POINTS",RANK(E36,E3:E213),H36)</f>
        <v>43</v>
      </c>
      <c r="D36" t="s" s="86">
        <f>VLOOKUP(A36,'The List'!B1:F665,5,FALSE)</f>
        <v>165</v>
      </c>
      <c r="E36" s="77">
        <f>VLOOKUP(A36,'The List'!B1:I665,8,FALSE)</f>
        <v>282.755366294277</v>
      </c>
      <c r="F36" s="77">
        <f>IF('Settings'!$E$15="POINTS",E36-VLOOKUP(B$2,C1:E213,3,FALSE),J36)</f>
        <v>-48.784841625805</v>
      </c>
      <c r="G36" s="77"/>
      <c r="H36" s="223">
        <f>RANK(I36,I3:I213)</f>
        <v>34</v>
      </c>
      <c r="I36" s="77">
        <f>VLOOKUP(A36,'Standard Deviations'!A1:C666,3,FALSE)</f>
        <v>2.7336969787845</v>
      </c>
      <c r="J36" s="84">
        <f>I36-VLOOKUP(B$2,H1:J213,2,FALSE)</f>
        <v>-2.09575444753959</v>
      </c>
    </row>
    <row r="37" ht="21.25" customHeight="1">
      <c r="A37" t="s" s="10">
        <v>389</v>
      </c>
      <c r="B37" t="s" s="233">
        <f>VLOOKUP(A37,'The List'!B1:D665,3,FALSE)</f>
        <v>153</v>
      </c>
      <c r="C37" s="234">
        <f>IF('Settings'!$E$15="POINTS",RANK(E37,E3:E213),H37)</f>
        <v>54</v>
      </c>
      <c r="D37" t="s" s="86">
        <f>VLOOKUP(A37,'The List'!B1:F665,5,FALSE)</f>
        <v>902</v>
      </c>
      <c r="E37" s="77">
        <f>VLOOKUP(A37,'The List'!B1:I665,8,FALSE)</f>
        <v>270.485688051404</v>
      </c>
      <c r="F37" s="77">
        <f>IF('Settings'!$E$15="POINTS",E37-VLOOKUP(B$2,C1:E213,3,FALSE),J37)</f>
        <v>-61.054519868678</v>
      </c>
      <c r="G37" s="77"/>
      <c r="H37" s="223">
        <f>RANK(I37,I3:I213)</f>
        <v>24</v>
      </c>
      <c r="I37" s="77">
        <f>VLOOKUP(A37,'Standard Deviations'!A1:C666,3,FALSE)</f>
        <v>3.62715456629848</v>
      </c>
      <c r="J37" s="84">
        <f>I37-VLOOKUP(B$2,H1:J213,2,FALSE)</f>
        <v>-1.20229686002561</v>
      </c>
    </row>
    <row r="38" ht="21.25" customHeight="1">
      <c r="A38" t="s" s="10">
        <v>417</v>
      </c>
      <c r="B38" t="s" s="233">
        <f>VLOOKUP(A38,'The List'!B1:D665,3,FALSE)</f>
        <v>153</v>
      </c>
      <c r="C38" s="234">
        <f>IF('Settings'!$E$15="POINTS",RANK(E38,E3:E213),H38)</f>
        <v>67</v>
      </c>
      <c r="D38" t="s" s="86">
        <f>VLOOKUP(A38,'The List'!B1:F665,5,FALSE)</f>
        <v>904</v>
      </c>
      <c r="E38" s="77">
        <f>VLOOKUP(A38,'The List'!B1:I665,8,FALSE)</f>
        <v>257.958788162704</v>
      </c>
      <c r="F38" s="77">
        <f>IF('Settings'!$E$15="POINTS",E38-VLOOKUP(B$2,C1:E213,3,FALSE),J38)</f>
        <v>-73.581419757378</v>
      </c>
      <c r="G38" s="77"/>
      <c r="H38" s="223">
        <f>RANK(I38,I3:I213)</f>
        <v>48</v>
      </c>
      <c r="I38" s="77">
        <f>VLOOKUP(A38,'Standard Deviations'!A1:C666,3,FALSE)</f>
        <v>1.44357923224083</v>
      </c>
      <c r="J38" s="84">
        <f>I38-VLOOKUP(B$2,H1:J213,2,FALSE)</f>
        <v>-3.38587219408326</v>
      </c>
    </row>
    <row r="39" ht="21.25" customHeight="1">
      <c r="A39" t="s" s="10">
        <v>388</v>
      </c>
      <c r="B39" t="s" s="233">
        <f>VLOOKUP(A39,'The List'!B1:D665,3,FALSE)</f>
        <v>153</v>
      </c>
      <c r="C39" s="234">
        <f>IF('Settings'!$E$15="POINTS",RANK(E39,E3:E213),H39)</f>
        <v>53</v>
      </c>
      <c r="D39" t="s" s="86">
        <f>VLOOKUP(A39,'The List'!B1:F665,5,FALSE)</f>
        <v>149</v>
      </c>
      <c r="E39" s="77">
        <f>VLOOKUP(A39,'The List'!B1:I665,8,FALSE)</f>
        <v>270.872451593439</v>
      </c>
      <c r="F39" s="77">
        <f>IF('Settings'!$E$15="POINTS",E39-VLOOKUP(B$2,C1:E213,3,FALSE),J39)</f>
        <v>-60.667756326643</v>
      </c>
      <c r="G39" s="77"/>
      <c r="H39" s="223">
        <f>RANK(I39,I3:I213)</f>
        <v>32</v>
      </c>
      <c r="I39" s="77">
        <f>VLOOKUP(A39,'Standard Deviations'!A1:C666,3,FALSE)</f>
        <v>2.86563027796073</v>
      </c>
      <c r="J39" s="84">
        <f>I39-VLOOKUP(B$2,H1:J213,2,FALSE)</f>
        <v>-1.96382114836336</v>
      </c>
    </row>
    <row r="40" ht="21.25" customHeight="1">
      <c r="A40" t="s" s="10">
        <v>411</v>
      </c>
      <c r="B40" t="s" s="233">
        <f>VLOOKUP(A40,'The List'!B1:D665,3,FALSE)</f>
        <v>153</v>
      </c>
      <c r="C40" s="234">
        <f>IF('Settings'!$E$15="POINTS",RANK(E40,E3:E213),H40)</f>
        <v>64</v>
      </c>
      <c r="D40" t="s" s="86">
        <f>VLOOKUP(A40,'The List'!B1:F665,5,FALSE)</f>
        <v>342</v>
      </c>
      <c r="E40" s="77">
        <f>VLOOKUP(A40,'The List'!B1:I665,8,FALSE)</f>
        <v>260.491227994495</v>
      </c>
      <c r="F40" s="77">
        <f>IF('Settings'!$E$15="POINTS",E40-VLOOKUP(B$2,C1:E213,3,FALSE),J40)</f>
        <v>-71.04897992558701</v>
      </c>
      <c r="G40" s="77"/>
      <c r="H40" s="223">
        <f>RANK(I40,I3:I213)</f>
        <v>19</v>
      </c>
      <c r="I40" s="77">
        <f>VLOOKUP(A40,'Standard Deviations'!A1:C666,3,FALSE)</f>
        <v>4.6359948762641</v>
      </c>
      <c r="J40" s="84">
        <f>I40-VLOOKUP(B$2,H1:J213,2,FALSE)</f>
        <v>-0.19345655005999</v>
      </c>
    </row>
    <row r="41" ht="21.25" customHeight="1">
      <c r="A41" t="s" s="10">
        <v>340</v>
      </c>
      <c r="B41" t="s" s="233">
        <f>VLOOKUP(A41,'The List'!B1:D665,3,FALSE)</f>
        <v>153</v>
      </c>
      <c r="C41" s="234">
        <f>IF('Settings'!$E$15="POINTS",RANK(E41,E3:E213),H41)</f>
        <v>35</v>
      </c>
      <c r="D41" t="s" s="86">
        <f>VLOOKUP(A41,'The List'!B1:F665,5,FALSE)</f>
        <v>149</v>
      </c>
      <c r="E41" s="77">
        <f>VLOOKUP(A41,'The List'!B1:I665,8,FALSE)</f>
        <v>291.166274780887</v>
      </c>
      <c r="F41" s="77">
        <f>IF('Settings'!$E$15="POINTS",E41-VLOOKUP(B$2,C1:E213,3,FALSE),J41)</f>
        <v>-40.373933139195</v>
      </c>
      <c r="G41" s="77"/>
      <c r="H41" s="223">
        <f>RANK(I41,I3:I213)</f>
        <v>22</v>
      </c>
      <c r="I41" s="77">
        <f>VLOOKUP(A41,'Standard Deviations'!A1:C666,3,FALSE)</f>
        <v>3.84732254761393</v>
      </c>
      <c r="J41" s="84">
        <f>I41-VLOOKUP(B$2,H1:J213,2,FALSE)</f>
        <v>-0.98212887871016</v>
      </c>
    </row>
    <row r="42" ht="21.25" customHeight="1">
      <c r="A42" t="s" s="10">
        <v>418</v>
      </c>
      <c r="B42" t="s" s="233">
        <f>VLOOKUP(A42,'The List'!B1:D665,3,FALSE)</f>
        <v>153</v>
      </c>
      <c r="C42" s="234">
        <f>IF('Settings'!$E$15="POINTS",RANK(E42,E3:E213),H42)</f>
        <v>68</v>
      </c>
      <c r="D42" t="s" s="86">
        <f>VLOOKUP(A42,'The List'!B1:F665,5,FALSE)</f>
        <v>192</v>
      </c>
      <c r="E42" s="77">
        <f>VLOOKUP(A42,'The List'!B1:I665,8,FALSE)</f>
        <v>257.509612777038</v>
      </c>
      <c r="F42" s="77">
        <f>IF('Settings'!$E$15="POINTS",E42-VLOOKUP(B$2,C1:E213,3,FALSE),J42)</f>
        <v>-74.030595143044</v>
      </c>
      <c r="G42" s="77"/>
      <c r="H42" s="223">
        <f>RANK(I42,I3:I213)</f>
        <v>50</v>
      </c>
      <c r="I42" s="77">
        <f>VLOOKUP(A42,'Standard Deviations'!A1:C666,3,FALSE)</f>
        <v>1.08613159343556</v>
      </c>
      <c r="J42" s="84">
        <f>I42-VLOOKUP(B$2,H1:J213,2,FALSE)</f>
        <v>-3.74331983288853</v>
      </c>
    </row>
    <row r="43" ht="21.25" customHeight="1">
      <c r="A43" t="s" s="10">
        <v>380</v>
      </c>
      <c r="B43" t="s" s="233">
        <f>VLOOKUP(A43,'The List'!B1:D665,3,FALSE)</f>
        <v>153</v>
      </c>
      <c r="C43" s="234">
        <f>IF('Settings'!$E$15="POINTS",RANK(E43,E3:E213),H43)</f>
        <v>49</v>
      </c>
      <c r="D43" t="s" s="86">
        <f>VLOOKUP(A43,'The List'!B1:F665,5,FALSE)</f>
        <v>871</v>
      </c>
      <c r="E43" s="77">
        <f>VLOOKUP(A43,'The List'!B1:I665,8,FALSE)</f>
        <v>274.885243527</v>
      </c>
      <c r="F43" s="77">
        <f>IF('Settings'!$E$15="POINTS",E43-VLOOKUP(B$2,C1:E213,3,FALSE),J43)</f>
        <v>-56.654964393082</v>
      </c>
      <c r="G43" s="77"/>
      <c r="H43" s="223">
        <f>RANK(I43,I3:I213)</f>
        <v>31</v>
      </c>
      <c r="I43" s="77">
        <f>VLOOKUP(A43,'Standard Deviations'!A1:C666,3,FALSE)</f>
        <v>2.88284911531604</v>
      </c>
      <c r="J43" s="84">
        <f>I43-VLOOKUP(B$2,H1:J213,2,FALSE)</f>
        <v>-1.94660231100805</v>
      </c>
    </row>
    <row r="44" ht="21.25" customHeight="1">
      <c r="A44" t="s" s="10">
        <v>302</v>
      </c>
      <c r="B44" t="s" s="233">
        <f>VLOOKUP(A44,'The List'!B1:D665,3,FALSE)</f>
        <v>153</v>
      </c>
      <c r="C44" s="234">
        <f>IF('Settings'!$E$15="POINTS",RANK(E44,E3:E213),H44)</f>
        <v>24</v>
      </c>
      <c r="D44" t="s" s="86">
        <f>VLOOKUP(A44,'The List'!B1:F665,5,FALSE)</f>
        <v>907</v>
      </c>
      <c r="E44" s="77">
        <f>VLOOKUP(A44,'The List'!B1:I665,8,FALSE)</f>
        <v>311.089526767606</v>
      </c>
      <c r="F44" s="77">
        <f>IF('Settings'!$E$15="POINTS",E44-VLOOKUP(B$2,C1:E213,3,FALSE),J44)</f>
        <v>-20.450681152476</v>
      </c>
      <c r="G44" s="77"/>
      <c r="H44" s="223">
        <f>RANK(I44,I3:I213)</f>
        <v>66</v>
      </c>
      <c r="I44" s="77">
        <f>VLOOKUP(A44,'Standard Deviations'!A1:C666,3,FALSE)</f>
        <v>0.272728920911182</v>
      </c>
      <c r="J44" s="84">
        <f>I44-VLOOKUP(B$2,H1:J213,2,FALSE)</f>
        <v>-4.55672250541291</v>
      </c>
    </row>
    <row r="45" ht="21.25" customHeight="1">
      <c r="A45" t="s" s="10">
        <v>300</v>
      </c>
      <c r="B45" t="s" s="233">
        <f>VLOOKUP(A45,'The List'!B1:D665,3,FALSE)</f>
        <v>153</v>
      </c>
      <c r="C45" s="234">
        <f>IF('Settings'!$E$15="POINTS",RANK(E45,E3:E213),H45)</f>
        <v>23</v>
      </c>
      <c r="D45" t="s" s="86">
        <f>VLOOKUP(A45,'The List'!B1:F665,5,FALSE)</f>
        <v>129</v>
      </c>
      <c r="E45" s="77">
        <f>VLOOKUP(A45,'The List'!B1:I665,8,FALSE)</f>
        <v>311.412676130686</v>
      </c>
      <c r="F45" s="77">
        <f>IF('Settings'!$E$15="POINTS",E45-VLOOKUP(B$2,C1:E213,3,FALSE),J45)</f>
        <v>-20.127531789396</v>
      </c>
      <c r="G45" s="77"/>
      <c r="H45" s="223">
        <f>RANK(I45,I3:I213)</f>
        <v>29</v>
      </c>
      <c r="I45" s="77">
        <f>VLOOKUP(A45,'Standard Deviations'!A1:C666,3,FALSE)</f>
        <v>2.96080604127694</v>
      </c>
      <c r="J45" s="84">
        <f>I45-VLOOKUP(B$2,H1:J213,2,FALSE)</f>
        <v>-1.86864538504715</v>
      </c>
    </row>
    <row r="46" ht="21.25" customHeight="1">
      <c r="A46" t="s" s="10">
        <v>346</v>
      </c>
      <c r="B46" t="s" s="233">
        <f>VLOOKUP(A46,'The List'!B1:D665,3,FALSE)</f>
        <v>153</v>
      </c>
      <c r="C46" s="234">
        <f>IF('Settings'!$E$15="POINTS",RANK(E46,E3:E213),H46)</f>
        <v>36</v>
      </c>
      <c r="D46" t="s" s="86">
        <f>VLOOKUP(A46,'The List'!B1:F665,5,FALSE)</f>
        <v>910</v>
      </c>
      <c r="E46" s="77">
        <f>VLOOKUP(A46,'The List'!B1:I665,8,FALSE)</f>
        <v>286.658347620718</v>
      </c>
      <c r="F46" s="77">
        <f>IF('Settings'!$E$15="POINTS",E46-VLOOKUP(B$2,C1:E213,3,FALSE),J46)</f>
        <v>-44.881860299364</v>
      </c>
      <c r="G46" s="77"/>
      <c r="H46" s="223">
        <f>RANK(I46,I3:I213)</f>
        <v>62</v>
      </c>
      <c r="I46" s="77">
        <f>VLOOKUP(A46,'Standard Deviations'!A1:C666,3,FALSE)</f>
        <v>0.395151057787407</v>
      </c>
      <c r="J46" s="84">
        <f>I46-VLOOKUP(B$2,H1:J213,2,FALSE)</f>
        <v>-4.43430036853668</v>
      </c>
    </row>
    <row r="47" ht="21.25" customHeight="1">
      <c r="A47" t="s" s="10">
        <v>499</v>
      </c>
      <c r="B47" t="s" s="233">
        <f>VLOOKUP(A47,'The List'!B1:D665,3,FALSE)</f>
        <v>153</v>
      </c>
      <c r="C47" s="234">
        <f>IF('Settings'!$E$15="POINTS",RANK(E47,E3:E213),H47)</f>
        <v>98</v>
      </c>
      <c r="D47" t="s" s="86">
        <f>VLOOKUP(A47,'The List'!B1:F665,5,FALSE)</f>
        <v>275</v>
      </c>
      <c r="E47" s="77">
        <f>VLOOKUP(A47,'The List'!B1:I665,8,FALSE)</f>
        <v>232.798642562155</v>
      </c>
      <c r="F47" s="77">
        <f>IF('Settings'!$E$15="POINTS",E47-VLOOKUP(B$2,C1:E213,3,FALSE),J47)</f>
        <v>-98.741565357927</v>
      </c>
      <c r="G47" s="77"/>
      <c r="H47" s="223">
        <f>RANK(I47,I3:I213)</f>
        <v>53</v>
      </c>
      <c r="I47" s="77">
        <f>VLOOKUP(A47,'Standard Deviations'!A1:C666,3,FALSE)</f>
        <v>0.837932274091797</v>
      </c>
      <c r="J47" s="84">
        <f>I47-VLOOKUP(B$2,H1:J213,2,FALSE)</f>
        <v>-3.99151915223229</v>
      </c>
    </row>
    <row r="48" ht="21.25" customHeight="1">
      <c r="A48" t="s" s="10">
        <v>425</v>
      </c>
      <c r="B48" t="s" s="233">
        <f>VLOOKUP(A48,'The List'!B1:D665,3,FALSE)</f>
        <v>153</v>
      </c>
      <c r="C48" s="234">
        <f>IF('Settings'!$E$15="POINTS",RANK(E48,E3:E213),H48)</f>
        <v>72</v>
      </c>
      <c r="D48" t="s" s="86">
        <f>VLOOKUP(A48,'The List'!B1:F665,5,FALSE)</f>
        <v>908</v>
      </c>
      <c r="E48" s="77">
        <f>VLOOKUP(A48,'The List'!B1:I665,8,FALSE)</f>
        <v>254.486402030753</v>
      </c>
      <c r="F48" s="77">
        <f>IF('Settings'!$E$15="POINTS",E48-VLOOKUP(B$2,C1:E213,3,FALSE),J48)</f>
        <v>-77.053805889329</v>
      </c>
      <c r="G48" s="77"/>
      <c r="H48" s="223">
        <f>RANK(I48,I3:I213)</f>
        <v>49</v>
      </c>
      <c r="I48" s="77">
        <f>VLOOKUP(A48,'Standard Deviations'!A1:C666,3,FALSE)</f>
        <v>1.37373631277347</v>
      </c>
      <c r="J48" s="84">
        <f>I48-VLOOKUP(B$2,H1:J213,2,FALSE)</f>
        <v>-3.45571511355062</v>
      </c>
    </row>
    <row r="49" ht="21.25" customHeight="1">
      <c r="A49" t="s" s="10">
        <v>350</v>
      </c>
      <c r="B49" t="s" s="233">
        <f>VLOOKUP(A49,'The List'!B1:D665,3,FALSE)</f>
        <v>153</v>
      </c>
      <c r="C49" s="234">
        <f>IF('Settings'!$E$15="POINTS",RANK(E49,E3:E213),H49)</f>
        <v>38</v>
      </c>
      <c r="D49" t="s" s="86">
        <f>VLOOKUP(A49,'The List'!B1:F665,5,FALSE)</f>
        <v>909</v>
      </c>
      <c r="E49" s="77">
        <f>VLOOKUP(A49,'The List'!B1:I665,8,FALSE)</f>
        <v>286.235392953383</v>
      </c>
      <c r="F49" s="77">
        <f>IF('Settings'!$E$15="POINTS",E49-VLOOKUP(B$2,C1:E213,3,FALSE),J49)</f>
        <v>-45.304814966699</v>
      </c>
      <c r="G49" s="77"/>
      <c r="H49" s="223">
        <f>RANK(I49,I3:I213)</f>
        <v>86</v>
      </c>
      <c r="I49" s="77">
        <f>VLOOKUP(A49,'Standard Deviations'!A1:C666,3,FALSE)</f>
        <v>-0.825217278889269</v>
      </c>
      <c r="J49" s="84">
        <f>I49-VLOOKUP(B$2,H1:J213,2,FALSE)</f>
        <v>-5.65466870521336</v>
      </c>
    </row>
    <row r="50" ht="21.25" customHeight="1">
      <c r="A50" t="s" s="10">
        <v>416</v>
      </c>
      <c r="B50" t="s" s="233">
        <f>VLOOKUP(A50,'The List'!B1:D665,3,FALSE)</f>
        <v>153</v>
      </c>
      <c r="C50" s="234">
        <f>IF('Settings'!$E$15="POINTS",RANK(E50,E3:E213),H50)</f>
        <v>66</v>
      </c>
      <c r="D50" t="s" s="86">
        <f>VLOOKUP(A50,'The List'!B1:F665,5,FALSE)</f>
        <v>901</v>
      </c>
      <c r="E50" s="77">
        <f>VLOOKUP(A50,'The List'!B1:I665,8,FALSE)</f>
        <v>258.050900796659</v>
      </c>
      <c r="F50" s="77">
        <f>IF('Settings'!$E$15="POINTS",E50-VLOOKUP(B$2,C1:E213,3,FALSE),J50)</f>
        <v>-73.489307123423</v>
      </c>
      <c r="G50" s="77"/>
      <c r="H50" s="223">
        <f>RANK(I50,I3:I213)</f>
        <v>40</v>
      </c>
      <c r="I50" s="77">
        <f>VLOOKUP(A50,'Standard Deviations'!A1:C666,3,FALSE)</f>
        <v>2.21356578421225</v>
      </c>
      <c r="J50" s="84">
        <f>I50-VLOOKUP(B$2,H1:J213,2,FALSE)</f>
        <v>-2.61588564211184</v>
      </c>
    </row>
    <row r="51" ht="21.25" customHeight="1">
      <c r="A51" t="s" s="10">
        <v>542</v>
      </c>
      <c r="B51" t="s" s="233">
        <f>VLOOKUP(A51,'The List'!B1:D665,3,FALSE)</f>
        <v>153</v>
      </c>
      <c r="C51" s="234">
        <f>IF('Settings'!$E$15="POINTS",RANK(E51,E3:E213),H51)</f>
        <v>110</v>
      </c>
      <c r="D51" t="s" s="86">
        <f>VLOOKUP(A51,'The List'!B1:F665,5,FALSE)</f>
        <v>900</v>
      </c>
      <c r="E51" s="77">
        <f>VLOOKUP(A51,'The List'!B1:I665,8,FALSE)</f>
        <v>220.673262745240</v>
      </c>
      <c r="F51" s="77">
        <f>IF('Settings'!$E$15="POINTS",E51-VLOOKUP(B$2,C1:E213,3,FALSE),J51)</f>
        <v>-110.866945174842</v>
      </c>
      <c r="G51" s="77"/>
      <c r="H51" s="223">
        <f>RANK(I51,I3:I213)</f>
        <v>43</v>
      </c>
      <c r="I51" s="77">
        <f>VLOOKUP(A51,'Standard Deviations'!A1:C666,3,FALSE)</f>
        <v>2.03986990062237</v>
      </c>
      <c r="J51" s="84">
        <f>I51-VLOOKUP(B$2,H1:J213,2,FALSE)</f>
        <v>-2.78958152570172</v>
      </c>
    </row>
    <row r="52" ht="21.25" customHeight="1">
      <c r="A52" t="s" s="10">
        <v>573</v>
      </c>
      <c r="B52" t="s" s="233">
        <f>VLOOKUP(A52,'The List'!B1:D665,3,FALSE)</f>
        <v>153</v>
      </c>
      <c r="C52" s="234">
        <f>IF('Settings'!$E$15="POINTS",RANK(E52,E3:E213),H52)</f>
        <v>123</v>
      </c>
      <c r="D52" t="s" s="86">
        <f>VLOOKUP(A52,'The List'!B1:F665,5,FALSE)</f>
        <v>912</v>
      </c>
      <c r="E52" s="77">
        <f>VLOOKUP(A52,'The List'!B1:I665,8,FALSE)</f>
        <v>213.969765018407</v>
      </c>
      <c r="F52" s="77">
        <f>IF('Settings'!$E$15="POINTS",E52-VLOOKUP(B$2,C1:E213,3,FALSE),J52)</f>
        <v>-117.570442901675</v>
      </c>
      <c r="G52" s="77"/>
      <c r="H52" s="223">
        <f>RANK(I52,I3:I213)</f>
        <v>112</v>
      </c>
      <c r="I52" s="77">
        <f>VLOOKUP(A52,'Standard Deviations'!A1:C666,3,FALSE)</f>
        <v>-1.63698707027005</v>
      </c>
      <c r="J52" s="84">
        <f>I52-VLOOKUP(B$2,H1:J213,2,FALSE)</f>
        <v>-6.46643849659414</v>
      </c>
    </row>
    <row r="53" ht="21.25" customHeight="1">
      <c r="A53" t="s" s="10">
        <v>254</v>
      </c>
      <c r="B53" t="s" s="233">
        <f>VLOOKUP(A53,'The List'!B1:D665,3,FALSE)</f>
        <v>153</v>
      </c>
      <c r="C53" s="234">
        <f>IF('Settings'!$E$15="POINTS",RANK(E53,E3:E213),H53)</f>
        <v>15</v>
      </c>
      <c r="D53" t="s" s="86">
        <f>VLOOKUP(A53,'The List'!B1:F665,5,FALSE)</f>
        <v>878</v>
      </c>
      <c r="E53" s="77">
        <f>VLOOKUP(A53,'The List'!B1:I665,8,FALSE)</f>
        <v>334.261635286498</v>
      </c>
      <c r="F53" s="77">
        <f>IF('Settings'!$E$15="POINTS",E53-VLOOKUP(B$2,C1:E213,3,FALSE),J53)</f>
        <v>2.721427366416</v>
      </c>
      <c r="G53" s="77"/>
      <c r="H53" s="223">
        <f>RANK(I53,I3:I213)</f>
        <v>45</v>
      </c>
      <c r="I53" s="77">
        <f>VLOOKUP(A53,'Standard Deviations'!A1:C666,3,FALSE)</f>
        <v>1.62005708548727</v>
      </c>
      <c r="J53" s="84">
        <f>I53-VLOOKUP(B$2,H1:J213,2,FALSE)</f>
        <v>-3.20939434083682</v>
      </c>
    </row>
    <row r="54" ht="21.25" customHeight="1">
      <c r="A54" t="s" s="10">
        <v>441</v>
      </c>
      <c r="B54" t="s" s="233">
        <f>VLOOKUP(A54,'The List'!B1:D665,3,FALSE)</f>
        <v>153</v>
      </c>
      <c r="C54" s="234">
        <f>IF('Settings'!$E$15="POINTS",RANK(E54,E3:E213),H54)</f>
        <v>75</v>
      </c>
      <c r="D54" t="s" s="86">
        <f>VLOOKUP(A54,'The List'!B1:F665,5,FALSE)</f>
        <v>910</v>
      </c>
      <c r="E54" s="77">
        <f>VLOOKUP(A54,'The List'!B1:I665,8,FALSE)</f>
        <v>250.269342428550</v>
      </c>
      <c r="F54" s="77">
        <f>IF('Settings'!$E$15="POINTS",E54-VLOOKUP(B$2,C1:E213,3,FALSE),J54)</f>
        <v>-81.27086549153201</v>
      </c>
      <c r="G54" s="77"/>
      <c r="H54" s="223">
        <f>RANK(I54,I3:I213)</f>
        <v>74</v>
      </c>
      <c r="I54" s="77">
        <f>VLOOKUP(A54,'Standard Deviations'!A1:C666,3,FALSE)</f>
        <v>-0.318042753838495</v>
      </c>
      <c r="J54" s="84">
        <f>I54-VLOOKUP(B$2,H1:J213,2,FALSE)</f>
        <v>-5.14749418016259</v>
      </c>
    </row>
    <row r="55" ht="21.25" customHeight="1">
      <c r="A55" t="s" s="10">
        <v>535</v>
      </c>
      <c r="B55" t="s" s="233">
        <f>VLOOKUP(A55,'The List'!B1:D665,3,FALSE)</f>
        <v>153</v>
      </c>
      <c r="C55" s="234">
        <f>IF('Settings'!$E$15="POINTS",RANK(E55,E3:E213),H55)</f>
        <v>108</v>
      </c>
      <c r="D55" t="s" s="86">
        <f>VLOOKUP(A55,'The List'!B1:F665,5,FALSE)</f>
        <v>267</v>
      </c>
      <c r="E55" s="77">
        <f>VLOOKUP(A55,'The List'!B1:I665,8,FALSE)</f>
        <v>223.471508178377</v>
      </c>
      <c r="F55" s="77">
        <f>IF('Settings'!$E$15="POINTS",E55-VLOOKUP(B$2,C1:E213,3,FALSE),J55)</f>
        <v>-108.068699741705</v>
      </c>
      <c r="G55" s="77"/>
      <c r="H55" s="223">
        <f>RANK(I55,I3:I213)</f>
        <v>63</v>
      </c>
      <c r="I55" s="77">
        <f>VLOOKUP(A55,'Standard Deviations'!A1:C666,3,FALSE)</f>
        <v>0.347531645086381</v>
      </c>
      <c r="J55" s="84">
        <f>I55-VLOOKUP(B$2,H1:J213,2,FALSE)</f>
        <v>-4.48191978123771</v>
      </c>
    </row>
    <row r="56" ht="21.25" customHeight="1">
      <c r="A56" t="s" s="10">
        <v>476</v>
      </c>
      <c r="B56" t="s" s="233">
        <f>VLOOKUP(A56,'The List'!B1:D665,3,FALSE)</f>
        <v>153</v>
      </c>
      <c r="C56" s="234">
        <f>IF('Settings'!$E$15="POINTS",RANK(E56,E3:E213),H56)</f>
        <v>87</v>
      </c>
      <c r="D56" t="s" s="86">
        <f>VLOOKUP(A56,'The List'!B1:F665,5,FALSE)</f>
        <v>899</v>
      </c>
      <c r="E56" s="77">
        <f>VLOOKUP(A56,'The List'!B1:I665,8,FALSE)</f>
        <v>240.749146512152</v>
      </c>
      <c r="F56" s="77">
        <f>IF('Settings'!$E$15="POINTS",E56-VLOOKUP(B$2,C1:E213,3,FALSE),J56)</f>
        <v>-90.791061407930</v>
      </c>
      <c r="G56" s="77"/>
      <c r="H56" s="223">
        <f>RANK(I56,I3:I213)</f>
        <v>44</v>
      </c>
      <c r="I56" s="77">
        <f>VLOOKUP(A56,'Standard Deviations'!A1:C666,3,FALSE)</f>
        <v>1.78946592001107</v>
      </c>
      <c r="J56" s="84">
        <f>I56-VLOOKUP(B$2,H1:J213,2,FALSE)</f>
        <v>-3.03998550631302</v>
      </c>
    </row>
    <row r="57" ht="21.25" customHeight="1">
      <c r="A57" t="s" s="10">
        <v>458</v>
      </c>
      <c r="B57" t="s" s="233">
        <f>VLOOKUP(A57,'The List'!B1:D665,3,FALSE)</f>
        <v>153</v>
      </c>
      <c r="C57" s="234">
        <f>IF('Settings'!$E$15="POINTS",RANK(E57,E3:E213),H57)</f>
        <v>78</v>
      </c>
      <c r="D57" t="s" s="86">
        <f>VLOOKUP(A57,'The List'!B1:F665,5,FALSE)</f>
        <v>912</v>
      </c>
      <c r="E57" s="77">
        <f>VLOOKUP(A57,'The List'!B1:I665,8,FALSE)</f>
        <v>243.519671845809</v>
      </c>
      <c r="F57" s="77">
        <f>IF('Settings'!$E$15="POINTS",E57-VLOOKUP(B$2,C1:E213,3,FALSE),J57)</f>
        <v>-88.020536074273</v>
      </c>
      <c r="G57" s="77"/>
      <c r="H57" s="223">
        <f>RANK(I57,I3:I213)</f>
        <v>109</v>
      </c>
      <c r="I57" s="77">
        <f>VLOOKUP(A57,'Standard Deviations'!A1:C666,3,FALSE)</f>
        <v>-1.5284415258973</v>
      </c>
      <c r="J57" s="84">
        <f>I57-VLOOKUP(B$2,H1:J213,2,FALSE)</f>
        <v>-6.35789295222139</v>
      </c>
    </row>
    <row r="58" ht="21.25" customHeight="1">
      <c r="A58" t="s" s="10">
        <v>530</v>
      </c>
      <c r="B58" t="s" s="233">
        <f>VLOOKUP(A58,'The List'!B1:D665,3,FALSE)</f>
        <v>153</v>
      </c>
      <c r="C58" s="234">
        <f>IF('Settings'!$E$15="POINTS",RANK(E58,E3:E213),H58)</f>
        <v>106</v>
      </c>
      <c r="D58" t="s" s="86">
        <f>VLOOKUP(A58,'The List'!B1:F665,5,FALSE)</f>
        <v>909</v>
      </c>
      <c r="E58" s="77">
        <f>VLOOKUP(A58,'The List'!B1:I665,8,FALSE)</f>
        <v>225.046951130387</v>
      </c>
      <c r="F58" s="77">
        <f>IF('Settings'!$E$15="POINTS",E58-VLOOKUP(B$2,C1:E213,3,FALSE),J58)</f>
        <v>-106.493256789695</v>
      </c>
      <c r="G58" s="77"/>
      <c r="H58" s="223">
        <f>RANK(I58,I3:I213)</f>
        <v>95</v>
      </c>
      <c r="I58" s="77">
        <f>VLOOKUP(A58,'Standard Deviations'!A1:C666,3,FALSE)</f>
        <v>-1.16264116586874</v>
      </c>
      <c r="J58" s="84">
        <f>I58-VLOOKUP(B$2,H1:J213,2,FALSE)</f>
        <v>-5.99209259219283</v>
      </c>
    </row>
    <row r="59" ht="21.25" customHeight="1">
      <c r="A59" t="s" s="10">
        <v>659</v>
      </c>
      <c r="B59" t="s" s="233">
        <f>VLOOKUP(A59,'The List'!B1:D665,3,FALSE)</f>
        <v>153</v>
      </c>
      <c r="C59" s="234">
        <f>IF('Settings'!$E$15="POINTS",RANK(E59,E3:E213),H59)</f>
        <v>152</v>
      </c>
      <c r="D59" t="s" s="86">
        <f>VLOOKUP(A59,'The List'!B1:F665,5,FALSE)</f>
        <v>910</v>
      </c>
      <c r="E59" s="77">
        <f>VLOOKUP(A59,'The List'!B1:I665,8,FALSE)</f>
        <v>190.402669899891</v>
      </c>
      <c r="F59" s="77">
        <f>IF('Settings'!$E$15="POINTS",E59-VLOOKUP(B$2,C1:E213,3,FALSE),J59)</f>
        <v>-141.137538020191</v>
      </c>
      <c r="G59" s="77"/>
      <c r="H59" s="223">
        <f>RANK(I59,I3:I213)</f>
        <v>104</v>
      </c>
      <c r="I59" s="77">
        <f>VLOOKUP(A59,'Standard Deviations'!A1:C666,3,FALSE)</f>
        <v>-1.39413725649047</v>
      </c>
      <c r="J59" s="84">
        <f>I59-VLOOKUP(B$2,H1:J213,2,FALSE)</f>
        <v>-6.22358868281456</v>
      </c>
    </row>
    <row r="60" ht="21.25" customHeight="1">
      <c r="A60" t="s" s="10">
        <v>392</v>
      </c>
      <c r="B60" t="s" s="233">
        <f>VLOOKUP(A60,'The List'!B1:D665,3,FALSE)</f>
        <v>153</v>
      </c>
      <c r="C60" s="234">
        <f>IF('Settings'!$E$15="POINTS",RANK(E60,E3:E213),H60)</f>
        <v>55</v>
      </c>
      <c r="D60" t="s" s="86">
        <f>VLOOKUP(A60,'The List'!B1:F665,5,FALSE)</f>
        <v>129</v>
      </c>
      <c r="E60" s="77">
        <f>VLOOKUP(A60,'The List'!B1:I665,8,FALSE)</f>
        <v>269.360130298382</v>
      </c>
      <c r="F60" s="77">
        <f>IF('Settings'!$E$15="POINTS",E60-VLOOKUP(B$2,C1:E213,3,FALSE),J60)</f>
        <v>-62.1800776217</v>
      </c>
      <c r="G60" s="77"/>
      <c r="H60" s="223">
        <f>RANK(I60,I3:I213)</f>
        <v>28</v>
      </c>
      <c r="I60" s="77">
        <f>VLOOKUP(A60,'Standard Deviations'!A1:C666,3,FALSE)</f>
        <v>3.03739411032328</v>
      </c>
      <c r="J60" s="84">
        <f>I60-VLOOKUP(B$2,H1:J213,2,FALSE)</f>
        <v>-1.79205731600081</v>
      </c>
    </row>
    <row r="61" ht="21.25" customHeight="1">
      <c r="A61" t="s" s="10">
        <v>506</v>
      </c>
      <c r="B61" t="s" s="233">
        <f>VLOOKUP(A61,'The List'!B1:D665,3,FALSE)</f>
        <v>153</v>
      </c>
      <c r="C61" s="234">
        <f>IF('Settings'!$E$15="POINTS",RANK(E61,E3:E213),H61)</f>
        <v>100</v>
      </c>
      <c r="D61" t="s" s="86">
        <f>VLOOKUP(A61,'The List'!B1:F665,5,FALSE)</f>
        <v>275</v>
      </c>
      <c r="E61" s="77">
        <f>VLOOKUP(A61,'The List'!B1:I665,8,FALSE)</f>
        <v>230.244481977233</v>
      </c>
      <c r="F61" s="77">
        <f>IF('Settings'!$E$15="POINTS",E61-VLOOKUP(B$2,C1:E213,3,FALSE),J61)</f>
        <v>-101.295725942849</v>
      </c>
      <c r="G61" s="77"/>
      <c r="H61" s="223">
        <f>RANK(I61,I3:I213)</f>
        <v>58</v>
      </c>
      <c r="I61" s="77">
        <f>VLOOKUP(A61,'Standard Deviations'!A1:C666,3,FALSE)</f>
        <v>0.648764686870827</v>
      </c>
      <c r="J61" s="84">
        <f>I61-VLOOKUP(B$2,H1:J213,2,FALSE)</f>
        <v>-4.18068673945326</v>
      </c>
    </row>
    <row r="62" ht="21.25" customHeight="1">
      <c r="A62" t="s" s="10">
        <v>478</v>
      </c>
      <c r="B62" t="s" s="233">
        <f>VLOOKUP(A62,'The List'!B1:D665,3,FALSE)</f>
        <v>153</v>
      </c>
      <c r="C62" s="234">
        <f>IF('Settings'!$E$15="POINTS",RANK(E62,E3:E213),H62)</f>
        <v>88</v>
      </c>
      <c r="D62" t="s" s="86">
        <f>VLOOKUP(A62,'The List'!B1:F665,5,FALSE)</f>
        <v>342</v>
      </c>
      <c r="E62" s="77">
        <f>VLOOKUP(A62,'The List'!B1:I665,8,FALSE)</f>
        <v>240.269528923372</v>
      </c>
      <c r="F62" s="77">
        <f>IF('Settings'!$E$15="POINTS",E62-VLOOKUP(B$2,C1:E213,3,FALSE),J62)</f>
        <v>-91.270678996710</v>
      </c>
      <c r="G62" s="77"/>
      <c r="H62" s="223">
        <f>RANK(I62,I3:I213)</f>
        <v>41</v>
      </c>
      <c r="I62" s="77">
        <f>VLOOKUP(A62,'Standard Deviations'!A1:C666,3,FALSE)</f>
        <v>2.19433931768313</v>
      </c>
      <c r="J62" s="84">
        <f>I62-VLOOKUP(B$2,H1:J213,2,FALSE)</f>
        <v>-2.63511210864096</v>
      </c>
    </row>
    <row r="63" ht="21.25" customHeight="1">
      <c r="A63" t="s" s="10">
        <v>496</v>
      </c>
      <c r="B63" t="s" s="233">
        <f>VLOOKUP(A63,'The List'!B1:D665,3,FALSE)</f>
        <v>153</v>
      </c>
      <c r="C63" s="234">
        <f>IF('Settings'!$E$15="POINTS",RANK(E63,E3:E213),H63)</f>
        <v>96</v>
      </c>
      <c r="D63" t="s" s="86">
        <f>VLOOKUP(A63,'The List'!B1:F665,5,FALSE)</f>
        <v>154</v>
      </c>
      <c r="E63" s="77">
        <f>VLOOKUP(A63,'The List'!B1:I665,8,FALSE)</f>
        <v>234.297847994649</v>
      </c>
      <c r="F63" s="77">
        <f>IF('Settings'!$E$15="POINTS",E63-VLOOKUP(B$2,C1:E213,3,FALSE),J63)</f>
        <v>-97.24235992543299</v>
      </c>
      <c r="G63" s="77"/>
      <c r="H63" s="223">
        <f>RANK(I63,I3:I213)</f>
        <v>61</v>
      </c>
      <c r="I63" s="77">
        <f>VLOOKUP(A63,'Standard Deviations'!A1:C666,3,FALSE)</f>
        <v>0.490068450003479</v>
      </c>
      <c r="J63" s="84">
        <f>I63-VLOOKUP(B$2,H1:J213,2,FALSE)</f>
        <v>-4.33938297632061</v>
      </c>
    </row>
    <row r="64" ht="21.25" customHeight="1">
      <c r="A64" t="s" s="10">
        <v>579</v>
      </c>
      <c r="B64" t="s" s="233">
        <f>VLOOKUP(A64,'The List'!B1:D665,3,FALSE)</f>
        <v>153</v>
      </c>
      <c r="C64" s="234">
        <f>IF('Settings'!$E$15="POINTS",RANK(E64,E3:E213),H64)</f>
        <v>124</v>
      </c>
      <c r="D64" t="s" s="86">
        <f>VLOOKUP(A64,'The List'!B1:F665,5,FALSE)</f>
        <v>342</v>
      </c>
      <c r="E64" s="77">
        <f>VLOOKUP(A64,'The List'!B1:I665,8,FALSE)</f>
        <v>212.678540199669</v>
      </c>
      <c r="F64" s="77">
        <f>IF('Settings'!$E$15="POINTS",E64-VLOOKUP(B$2,C1:E213,3,FALSE),J64)</f>
        <v>-118.861667720413</v>
      </c>
      <c r="G64" s="77"/>
      <c r="H64" s="223">
        <f>RANK(I64,I3:I213)</f>
        <v>57</v>
      </c>
      <c r="I64" s="77">
        <f>VLOOKUP(A64,'Standard Deviations'!A1:C666,3,FALSE)</f>
        <v>0.761320581299481</v>
      </c>
      <c r="J64" s="84">
        <f>I64-VLOOKUP(B$2,H1:J213,2,FALSE)</f>
        <v>-4.06813084502461</v>
      </c>
    </row>
    <row r="65" ht="21.25" customHeight="1">
      <c r="A65" t="s" s="10">
        <v>313</v>
      </c>
      <c r="B65" t="s" s="233">
        <f>VLOOKUP(A65,'The List'!B1:D665,3,FALSE)</f>
        <v>153</v>
      </c>
      <c r="C65" s="234">
        <f>IF('Settings'!$E$15="POINTS",RANK(E65,E3:E213),H65)</f>
        <v>27</v>
      </c>
      <c r="D65" t="s" s="86">
        <f>VLOOKUP(A65,'The List'!B1:F665,5,FALSE)</f>
        <v>906</v>
      </c>
      <c r="E65" s="77">
        <f>VLOOKUP(A65,'The List'!B1:I665,8,FALSE)</f>
        <v>303.794637895916</v>
      </c>
      <c r="F65" s="77">
        <f>IF('Settings'!$E$15="POINTS",E65-VLOOKUP(B$2,C1:E213,3,FALSE),J65)</f>
        <v>-27.745570024166</v>
      </c>
      <c r="G65" s="77"/>
      <c r="H65" s="223">
        <f>RANK(I65,I3:I213)</f>
        <v>54</v>
      </c>
      <c r="I65" s="77">
        <f>VLOOKUP(A65,'Standard Deviations'!A1:C666,3,FALSE)</f>
        <v>0.81304904332919</v>
      </c>
      <c r="J65" s="84">
        <f>I65-VLOOKUP(B$2,H1:J213,2,FALSE)</f>
        <v>-4.0164023829949</v>
      </c>
    </row>
    <row r="66" ht="21.25" customHeight="1">
      <c r="A66" t="s" s="10">
        <v>330</v>
      </c>
      <c r="B66" t="s" s="233">
        <f>VLOOKUP(A66,'The List'!B1:D665,3,FALSE)</f>
        <v>153</v>
      </c>
      <c r="C66" s="234">
        <f>IF('Settings'!$E$15="POINTS",RANK(E66,E3:E213),H66)</f>
        <v>33</v>
      </c>
      <c r="D66" t="s" s="86">
        <f>VLOOKUP(A66,'The List'!B1:F665,5,FALSE)</f>
        <v>192</v>
      </c>
      <c r="E66" s="77">
        <f>VLOOKUP(A66,'The List'!B1:I665,8,FALSE)</f>
        <v>294.187248654872</v>
      </c>
      <c r="F66" s="77">
        <f>IF('Settings'!$E$15="POINTS",E66-VLOOKUP(B$2,C1:E213,3,FALSE),J66)</f>
        <v>-37.352959265210</v>
      </c>
      <c r="G66" s="77"/>
      <c r="H66" s="223">
        <f>RANK(I66,I3:I213)</f>
        <v>52</v>
      </c>
      <c r="I66" s="77">
        <f>VLOOKUP(A66,'Standard Deviations'!A1:C666,3,FALSE)</f>
        <v>0.853984053439271</v>
      </c>
      <c r="J66" s="84">
        <f>I66-VLOOKUP(B$2,H1:J213,2,FALSE)</f>
        <v>-3.97546737288482</v>
      </c>
    </row>
    <row r="67" ht="21.25" customHeight="1">
      <c r="A67" t="s" s="10">
        <v>402</v>
      </c>
      <c r="B67" t="s" s="233">
        <f>VLOOKUP(A67,'The List'!B1:D665,3,FALSE)</f>
        <v>153</v>
      </c>
      <c r="C67" s="234">
        <f>IF('Settings'!$E$15="POINTS",RANK(E67,E3:E213),H67)</f>
        <v>59</v>
      </c>
      <c r="D67" t="s" s="86">
        <f>VLOOKUP(A67,'The List'!B1:F665,5,FALSE)</f>
        <v>207</v>
      </c>
      <c r="E67" s="77">
        <f>VLOOKUP(A67,'The List'!B1:I665,8,FALSE)</f>
        <v>265.996377241912</v>
      </c>
      <c r="F67" s="77">
        <f>IF('Settings'!$E$15="POINTS",E67-VLOOKUP(B$2,C1:E213,3,FALSE),J67)</f>
        <v>-65.543830678170</v>
      </c>
      <c r="G67" s="77"/>
      <c r="H67" s="223">
        <f>RANK(I67,I3:I213)</f>
        <v>55</v>
      </c>
      <c r="I67" s="77">
        <f>VLOOKUP(A67,'Standard Deviations'!A1:C666,3,FALSE)</f>
        <v>0.778832483001324</v>
      </c>
      <c r="J67" s="84">
        <f>I67-VLOOKUP(B$2,H1:J213,2,FALSE)</f>
        <v>-4.05061894332277</v>
      </c>
    </row>
    <row r="68" ht="21.25" customHeight="1">
      <c r="A68" t="s" s="10">
        <v>680</v>
      </c>
      <c r="B68" t="s" s="233">
        <f>VLOOKUP(A68,'The List'!B1:D665,3,FALSE)</f>
        <v>153</v>
      </c>
      <c r="C68" s="234">
        <f>IF('Settings'!$E$15="POINTS",RANK(E68,E3:E213),H68)</f>
        <v>160</v>
      </c>
      <c r="D68" t="s" s="86">
        <f>VLOOKUP(A68,'The List'!B1:F665,5,FALSE)</f>
        <v>149</v>
      </c>
      <c r="E68" s="77">
        <f>VLOOKUP(A68,'The List'!B1:I665,8,FALSE)</f>
        <v>182.648494294366</v>
      </c>
      <c r="F68" s="77">
        <f>IF('Settings'!$E$15="POINTS",E68-VLOOKUP(B$2,C1:E213,3,FALSE),J68)</f>
        <v>-148.891713625716</v>
      </c>
      <c r="G68" s="77"/>
      <c r="H68" s="223">
        <f>RANK(I68,I3:I213)</f>
        <v>139</v>
      </c>
      <c r="I68" s="77">
        <f>VLOOKUP(A68,'Standard Deviations'!A1:C666,3,FALSE)</f>
        <v>-2.31201329990293</v>
      </c>
      <c r="J68" s="84">
        <f>I68-VLOOKUP(B$2,H1:J213,2,FALSE)</f>
        <v>-7.14146472622702</v>
      </c>
    </row>
    <row r="69" ht="21.25" customHeight="1">
      <c r="A69" t="s" s="10">
        <v>414</v>
      </c>
      <c r="B69" t="s" s="233">
        <f>VLOOKUP(A69,'The List'!B1:D665,3,FALSE)</f>
        <v>153</v>
      </c>
      <c r="C69" s="234">
        <f>IF('Settings'!$E$15="POINTS",RANK(E69,E3:E213),H69)</f>
        <v>65</v>
      </c>
      <c r="D69" t="s" s="86">
        <f>VLOOKUP(A69,'The List'!B1:F665,5,FALSE)</f>
        <v>914</v>
      </c>
      <c r="E69" s="77">
        <f>VLOOKUP(A69,'The List'!B1:I665,8,FALSE)</f>
        <v>258.362586373980</v>
      </c>
      <c r="F69" s="77">
        <f>IF('Settings'!$E$15="POINTS",E69-VLOOKUP(B$2,C1:E213,3,FALSE),J69)</f>
        <v>-73.177621546102</v>
      </c>
      <c r="G69" s="77"/>
      <c r="H69" s="223">
        <f>RANK(I69,I3:I213)</f>
        <v>99</v>
      </c>
      <c r="I69" s="77">
        <f>VLOOKUP(A69,'Standard Deviations'!A1:C666,3,FALSE)</f>
        <v>-1.29299910494035</v>
      </c>
      <c r="J69" s="84">
        <f>I69-VLOOKUP(B$2,H1:J213,2,FALSE)</f>
        <v>-6.12245053126444</v>
      </c>
    </row>
    <row r="70" ht="21.25" customHeight="1">
      <c r="A70" t="s" s="10">
        <v>355</v>
      </c>
      <c r="B70" t="s" s="233">
        <f>VLOOKUP(A70,'The List'!B1:D665,3,FALSE)</f>
        <v>153</v>
      </c>
      <c r="C70" s="234">
        <f>IF('Settings'!$E$15="POINTS",RANK(E70,E3:E213),H70)</f>
        <v>41</v>
      </c>
      <c r="D70" t="s" s="86">
        <f>VLOOKUP(A70,'The List'!B1:F665,5,FALSE)</f>
        <v>878</v>
      </c>
      <c r="E70" s="77">
        <f>VLOOKUP(A70,'The List'!B1:I665,8,FALSE)</f>
        <v>284.204462476173</v>
      </c>
      <c r="F70" s="77">
        <f>IF('Settings'!$E$15="POINTS",E70-VLOOKUP(B$2,C1:E213,3,FALSE),J70)</f>
        <v>-47.335745443909</v>
      </c>
      <c r="G70" s="77"/>
      <c r="H70" s="223">
        <f>RANK(I70,I3:I213)</f>
        <v>60</v>
      </c>
      <c r="I70" s="77">
        <f>VLOOKUP(A70,'Standard Deviations'!A1:C666,3,FALSE)</f>
        <v>0.578682222321209</v>
      </c>
      <c r="J70" s="84">
        <f>I70-VLOOKUP(B$2,H1:J213,2,FALSE)</f>
        <v>-4.25076920400288</v>
      </c>
    </row>
    <row r="71" ht="21.25" customHeight="1">
      <c r="A71" t="s" s="10">
        <v>407</v>
      </c>
      <c r="B71" t="s" s="233">
        <f>VLOOKUP(A71,'The List'!B1:D665,3,FALSE)</f>
        <v>153</v>
      </c>
      <c r="C71" s="234">
        <f>IF('Settings'!$E$15="POINTS",RANK(E71,E3:E213),H71)</f>
        <v>62</v>
      </c>
      <c r="D71" t="s" s="86">
        <f>VLOOKUP(A71,'The List'!B1:F665,5,FALSE)</f>
        <v>902</v>
      </c>
      <c r="E71" s="77">
        <f>VLOOKUP(A71,'The List'!B1:I665,8,FALSE)</f>
        <v>263.905750722884</v>
      </c>
      <c r="F71" s="77">
        <f>IF('Settings'!$E$15="POINTS",E71-VLOOKUP(B$2,C1:E213,3,FALSE),J71)</f>
        <v>-67.634457197198</v>
      </c>
      <c r="G71" s="77"/>
      <c r="H71" s="223">
        <f>RANK(I71,I3:I213)</f>
        <v>47</v>
      </c>
      <c r="I71" s="77">
        <f>VLOOKUP(A71,'Standard Deviations'!A1:C666,3,FALSE)</f>
        <v>1.45236530151563</v>
      </c>
      <c r="J71" s="84">
        <f>I71-VLOOKUP(B$2,H1:J213,2,FALSE)</f>
        <v>-3.37708612480846</v>
      </c>
    </row>
    <row r="72" ht="21.25" customHeight="1">
      <c r="A72" t="s" s="10">
        <v>550</v>
      </c>
      <c r="B72" t="s" s="233">
        <f>VLOOKUP(A72,'The List'!B1:D665,3,FALSE)</f>
        <v>153</v>
      </c>
      <c r="C72" s="234">
        <f>IF('Settings'!$E$15="POINTS",RANK(E72,E3:E213),H72)</f>
        <v>114</v>
      </c>
      <c r="D72" t="s" s="86">
        <f>VLOOKUP(A72,'The List'!B1:F665,5,FALSE)</f>
        <v>154</v>
      </c>
      <c r="E72" s="77">
        <f>VLOOKUP(A72,'The List'!B1:I665,8,FALSE)</f>
        <v>219.160442173206</v>
      </c>
      <c r="F72" s="77">
        <f>IF('Settings'!$E$15="POINTS",E72-VLOOKUP(B$2,C1:E213,3,FALSE),J72)</f>
        <v>-112.379765746876</v>
      </c>
      <c r="G72" s="77"/>
      <c r="H72" s="223">
        <f>RANK(I72,I3:I213)</f>
        <v>97</v>
      </c>
      <c r="I72" s="77">
        <f>VLOOKUP(A72,'Standard Deviations'!A1:C666,3,FALSE)</f>
        <v>-1.2457054715591</v>
      </c>
      <c r="J72" s="84">
        <f>I72-VLOOKUP(B$2,H1:J213,2,FALSE)</f>
        <v>-6.07515689788319</v>
      </c>
    </row>
    <row r="73" ht="21.25" customHeight="1">
      <c r="A73" t="s" s="10">
        <v>406</v>
      </c>
      <c r="B73" t="s" s="233">
        <f>VLOOKUP(A73,'The List'!B1:D665,3,FALSE)</f>
        <v>153</v>
      </c>
      <c r="C73" s="234">
        <f>IF('Settings'!$E$15="POINTS",RANK(E73,E3:E213),H73)</f>
        <v>61</v>
      </c>
      <c r="D73" t="s" s="86">
        <f>VLOOKUP(A73,'The List'!B1:F665,5,FALSE)</f>
        <v>259</v>
      </c>
      <c r="E73" s="77">
        <f>VLOOKUP(A73,'The List'!B1:I665,8,FALSE)</f>
        <v>264.080324835893</v>
      </c>
      <c r="F73" s="77">
        <f>IF('Settings'!$E$15="POINTS",E73-VLOOKUP(B$2,C1:E213,3,FALSE),J73)</f>
        <v>-67.459883084189</v>
      </c>
      <c r="G73" s="77"/>
      <c r="H73" s="223">
        <f>RANK(I73,I3:I213)</f>
        <v>67</v>
      </c>
      <c r="I73" s="77">
        <f>VLOOKUP(A73,'Standard Deviations'!A1:C666,3,FALSE)</f>
        <v>0.237597057275456</v>
      </c>
      <c r="J73" s="84">
        <f>I73-VLOOKUP(B$2,H1:J213,2,FALSE)</f>
        <v>-4.59185436904863</v>
      </c>
    </row>
    <row r="74" ht="21.25" customHeight="1">
      <c r="A74" t="s" s="10">
        <v>691</v>
      </c>
      <c r="B74" t="s" s="233">
        <f>VLOOKUP(A74,'The List'!B1:D665,3,FALSE)</f>
        <v>153</v>
      </c>
      <c r="C74" s="234">
        <f>IF('Settings'!$E$15="POINTS",RANK(E74,E3:E213),H74)</f>
        <v>167</v>
      </c>
      <c r="D74" t="s" s="86">
        <f>VLOOKUP(A74,'The List'!B1:F665,5,FALSE)</f>
        <v>913</v>
      </c>
      <c r="E74" s="77">
        <f>VLOOKUP(A74,'The List'!B1:I665,8,FALSE)</f>
        <v>181.017392940484</v>
      </c>
      <c r="F74" s="77">
        <f>IF('Settings'!$E$15="POINTS",E74-VLOOKUP(B$2,C1:E213,3,FALSE),J74)</f>
        <v>-150.522814979598</v>
      </c>
      <c r="G74" s="77"/>
      <c r="H74" s="223">
        <f>RANK(I74,I3:I213)</f>
        <v>163</v>
      </c>
      <c r="I74" s="77">
        <f>VLOOKUP(A74,'Standard Deviations'!A1:C666,3,FALSE)</f>
        <v>-2.93008515172454</v>
      </c>
      <c r="J74" s="84">
        <f>I74-VLOOKUP(B$2,H1:J213,2,FALSE)</f>
        <v>-7.75953657804863</v>
      </c>
    </row>
    <row r="75" ht="21.25" customHeight="1">
      <c r="A75" t="s" s="10">
        <v>546</v>
      </c>
      <c r="B75" t="s" s="233">
        <f>VLOOKUP(A75,'The List'!B1:D665,3,FALSE)</f>
        <v>153</v>
      </c>
      <c r="C75" s="234">
        <f>IF('Settings'!$E$15="POINTS",RANK(E75,E3:E213),H75)</f>
        <v>111</v>
      </c>
      <c r="D75" t="s" s="86">
        <f>VLOOKUP(A75,'The List'!B1:F665,5,FALSE)</f>
        <v>914</v>
      </c>
      <c r="E75" s="77">
        <f>VLOOKUP(A75,'The List'!B1:I665,8,FALSE)</f>
        <v>219.821876690601</v>
      </c>
      <c r="F75" s="77">
        <f>IF('Settings'!$E$15="POINTS",E75-VLOOKUP(B$2,C1:E213,3,FALSE),J75)</f>
        <v>-111.718331229481</v>
      </c>
      <c r="G75" s="77"/>
      <c r="H75" s="223">
        <f>RANK(I75,I3:I213)</f>
        <v>127</v>
      </c>
      <c r="I75" s="77">
        <f>VLOOKUP(A75,'Standard Deviations'!A1:C666,3,FALSE)</f>
        <v>-2.11050611415904</v>
      </c>
      <c r="J75" s="84">
        <f>I75-VLOOKUP(B$2,H1:J213,2,FALSE)</f>
        <v>-6.93995754048313</v>
      </c>
    </row>
    <row r="76" ht="21.25" customHeight="1">
      <c r="A76" t="s" s="10">
        <v>569</v>
      </c>
      <c r="B76" t="s" s="233">
        <f>VLOOKUP(A76,'The List'!B1:D665,3,FALSE)</f>
        <v>153</v>
      </c>
      <c r="C76" s="234">
        <f>IF('Settings'!$E$15="POINTS",RANK(E76,E3:E213),H76)</f>
        <v>122</v>
      </c>
      <c r="D76" t="s" s="86">
        <f>VLOOKUP(A76,'The List'!B1:F665,5,FALSE)</f>
        <v>912</v>
      </c>
      <c r="E76" s="77">
        <f>VLOOKUP(A76,'The List'!B1:I665,8,FALSE)</f>
        <v>214.933504459539</v>
      </c>
      <c r="F76" s="77">
        <f>IF('Settings'!$E$15="POINTS",E76-VLOOKUP(B$2,C1:E213,3,FALSE),J76)</f>
        <v>-116.606703460543</v>
      </c>
      <c r="G76" s="77"/>
      <c r="H76" s="223">
        <f>RANK(I76,I3:I213)</f>
        <v>130</v>
      </c>
      <c r="I76" s="77">
        <f>VLOOKUP(A76,'Standard Deviations'!A1:C666,3,FALSE)</f>
        <v>-2.20781948035525</v>
      </c>
      <c r="J76" s="84">
        <f>I76-VLOOKUP(B$2,H1:J213,2,FALSE)</f>
        <v>-7.03727090667934</v>
      </c>
    </row>
    <row r="77" ht="21.25" customHeight="1">
      <c r="A77" t="s" s="10">
        <v>620</v>
      </c>
      <c r="B77" t="s" s="233">
        <f>VLOOKUP(A77,'The List'!B1:D665,3,FALSE)</f>
        <v>153</v>
      </c>
      <c r="C77" s="234">
        <f>IF('Settings'!$E$15="POINTS",RANK(E77,E3:E213),H77)</f>
        <v>139</v>
      </c>
      <c r="D77" t="s" s="86">
        <f>VLOOKUP(A77,'The List'!B1:F665,5,FALSE)</f>
        <v>156</v>
      </c>
      <c r="E77" s="77">
        <f>VLOOKUP(A77,'The List'!B1:I665,8,FALSE)</f>
        <v>202.813355839277</v>
      </c>
      <c r="F77" s="77">
        <f>IF('Settings'!$E$15="POINTS",E77-VLOOKUP(B$2,C1:E213,3,FALSE),J77)</f>
        <v>-128.726852080805</v>
      </c>
      <c r="G77" s="77"/>
      <c r="H77" s="223">
        <f>RANK(I77,I3:I213)</f>
        <v>72</v>
      </c>
      <c r="I77" s="77">
        <f>VLOOKUP(A77,'Standard Deviations'!A1:C666,3,FALSE)</f>
        <v>-0.285841373332715</v>
      </c>
      <c r="J77" s="84">
        <f>I77-VLOOKUP(B$2,H1:J213,2,FALSE)</f>
        <v>-5.11529279965681</v>
      </c>
    </row>
    <row r="78" ht="21.25" customHeight="1">
      <c r="A78" t="s" s="10">
        <v>465</v>
      </c>
      <c r="B78" t="s" s="233">
        <f>VLOOKUP(A78,'The List'!B1:D665,3,FALSE)</f>
        <v>153</v>
      </c>
      <c r="C78" s="234">
        <f>IF('Settings'!$E$15="POINTS",RANK(E78,E3:E213),H78)</f>
        <v>81</v>
      </c>
      <c r="D78" t="s" s="86">
        <f>VLOOKUP(A78,'The List'!B1:F665,5,FALSE)</f>
        <v>342</v>
      </c>
      <c r="E78" s="77">
        <f>VLOOKUP(A78,'The List'!B1:I665,8,FALSE)</f>
        <v>242.185616704812</v>
      </c>
      <c r="F78" s="77">
        <f>IF('Settings'!$E$15="POINTS",E78-VLOOKUP(B$2,C1:E213,3,FALSE),J78)</f>
        <v>-89.35459121527001</v>
      </c>
      <c r="G78" s="77"/>
      <c r="H78" s="223">
        <f>RANK(I78,I3:I213)</f>
        <v>76</v>
      </c>
      <c r="I78" s="77">
        <f>VLOOKUP(A78,'Standard Deviations'!A1:C666,3,FALSE)</f>
        <v>-0.507691460010901</v>
      </c>
      <c r="J78" s="84">
        <f>I78-VLOOKUP(B$2,H1:J213,2,FALSE)</f>
        <v>-5.33714288633499</v>
      </c>
    </row>
    <row r="79" ht="21.25" customHeight="1">
      <c r="A79" t="s" s="10">
        <v>401</v>
      </c>
      <c r="B79" t="s" s="233">
        <f>VLOOKUP(A79,'The List'!B1:D665,3,FALSE)</f>
        <v>153</v>
      </c>
      <c r="C79" s="234">
        <f>IF('Settings'!$E$15="POINTS",RANK(E79,E3:E213),H79)</f>
        <v>58</v>
      </c>
      <c r="D79" t="s" s="86">
        <f>VLOOKUP(A79,'The List'!B1:F665,5,FALSE)</f>
        <v>913</v>
      </c>
      <c r="E79" s="77">
        <f>VLOOKUP(A79,'The List'!B1:I665,8,FALSE)</f>
        <v>266.117752556740</v>
      </c>
      <c r="F79" s="77">
        <f>IF('Settings'!$E$15="POINTS",E79-VLOOKUP(B$2,C1:E213,3,FALSE),J79)</f>
        <v>-65.422455363342</v>
      </c>
      <c r="G79" s="77"/>
      <c r="H79" s="223">
        <f>RANK(I79,I3:I213)</f>
        <v>166</v>
      </c>
      <c r="I79" s="77">
        <f>VLOOKUP(A79,'Standard Deviations'!A1:C666,3,FALSE)</f>
        <v>-3.02080981346413</v>
      </c>
      <c r="J79" s="84">
        <f>I79-VLOOKUP(B$2,H1:J213,2,FALSE)</f>
        <v>-7.85026123978822</v>
      </c>
    </row>
    <row r="80" ht="21.25" customHeight="1">
      <c r="A80" t="s" s="10">
        <v>494</v>
      </c>
      <c r="B80" t="s" s="233">
        <f>VLOOKUP(A80,'The List'!B1:D665,3,FALSE)</f>
        <v>153</v>
      </c>
      <c r="C80" s="234">
        <f>IF('Settings'!$E$15="POINTS",RANK(E80,E3:E213),H80)</f>
        <v>95</v>
      </c>
      <c r="D80" t="s" s="86">
        <f>VLOOKUP(A80,'The List'!B1:F665,5,FALSE)</f>
        <v>132</v>
      </c>
      <c r="E80" s="77">
        <f>VLOOKUP(A80,'The List'!B1:I665,8,FALSE)</f>
        <v>234.536337889197</v>
      </c>
      <c r="F80" s="77">
        <f>IF('Settings'!$E$15="POINTS",E80-VLOOKUP(B$2,C1:E213,3,FALSE),J80)</f>
        <v>-97.003870030885</v>
      </c>
      <c r="G80" s="77"/>
      <c r="H80" s="223">
        <f>RANK(I80,I3:I213)</f>
        <v>51</v>
      </c>
      <c r="I80" s="77">
        <f>VLOOKUP(A80,'Standard Deviations'!A1:C666,3,FALSE)</f>
        <v>0.8993664764110511</v>
      </c>
      <c r="J80" s="84">
        <f>I80-VLOOKUP(B$2,H1:J213,2,FALSE)</f>
        <v>-3.93008494991304</v>
      </c>
    </row>
    <row r="81" ht="21.25" customHeight="1">
      <c r="A81" t="s" s="10">
        <v>454</v>
      </c>
      <c r="B81" t="s" s="233">
        <f>VLOOKUP(A81,'The List'!B1:D665,3,FALSE)</f>
        <v>153</v>
      </c>
      <c r="C81" s="234">
        <f>IF('Settings'!$E$15="POINTS",RANK(E81,E3:E213),H81)</f>
        <v>77</v>
      </c>
      <c r="D81" t="s" s="86">
        <f>VLOOKUP(A81,'The List'!B1:F665,5,FALSE)</f>
        <v>132</v>
      </c>
      <c r="E81" s="77">
        <f>VLOOKUP(A81,'The List'!B1:I665,8,FALSE)</f>
        <v>245.442115053443</v>
      </c>
      <c r="F81" s="77">
        <f>IF('Settings'!$E$15="POINTS",E81-VLOOKUP(B$2,C1:E213,3,FALSE),J81)</f>
        <v>-86.09809286663901</v>
      </c>
      <c r="G81" s="77"/>
      <c r="H81" s="223">
        <f>RANK(I81,I3:I213)</f>
        <v>68</v>
      </c>
      <c r="I81" s="77">
        <f>VLOOKUP(A81,'Standard Deviations'!A1:C666,3,FALSE)</f>
        <v>0.165235807671745</v>
      </c>
      <c r="J81" s="84">
        <f>I81-VLOOKUP(B$2,H1:J213,2,FALSE)</f>
        <v>-4.66421561865235</v>
      </c>
    </row>
    <row r="82" ht="21.25" customHeight="1">
      <c r="A82" t="s" s="10">
        <v>484</v>
      </c>
      <c r="B82" t="s" s="233">
        <f>VLOOKUP(A82,'The List'!B1:D665,3,FALSE)</f>
        <v>153</v>
      </c>
      <c r="C82" s="234">
        <f>IF('Settings'!$E$15="POINTS",RANK(E82,E3:E213),H82)</f>
        <v>90</v>
      </c>
      <c r="D82" t="s" s="86">
        <f>VLOOKUP(A82,'The List'!B1:F665,5,FALSE)</f>
        <v>342</v>
      </c>
      <c r="E82" s="77">
        <f>VLOOKUP(A82,'The List'!B1:I665,8,FALSE)</f>
        <v>237.932990105457</v>
      </c>
      <c r="F82" s="77">
        <f>IF('Settings'!$E$15="POINTS",E82-VLOOKUP(B$2,C1:E213,3,FALSE),J82)</f>
        <v>-93.607217814625</v>
      </c>
      <c r="G82" s="77"/>
      <c r="H82" s="223">
        <f>RANK(I82,I3:I213)</f>
        <v>59</v>
      </c>
      <c r="I82" s="77">
        <f>VLOOKUP(A82,'Standard Deviations'!A1:C666,3,FALSE)</f>
        <v>0.621841982396047</v>
      </c>
      <c r="J82" s="84">
        <f>I82-VLOOKUP(B$2,H1:J213,2,FALSE)</f>
        <v>-4.20760944392804</v>
      </c>
    </row>
    <row r="83" ht="21.25" customHeight="1">
      <c r="A83" t="s" s="10">
        <v>606</v>
      </c>
      <c r="B83" t="s" s="233">
        <f>VLOOKUP(A83,'The List'!B1:D665,3,FALSE)</f>
        <v>153</v>
      </c>
      <c r="C83" s="234">
        <f>IF('Settings'!$E$15="POINTS",RANK(E83,E3:E213),H83)</f>
        <v>134</v>
      </c>
      <c r="D83" t="s" s="86">
        <f>VLOOKUP(A83,'The List'!B1:F665,5,FALSE)</f>
        <v>907</v>
      </c>
      <c r="E83" s="77">
        <f>VLOOKUP(A83,'The List'!B1:I665,8,FALSE)</f>
        <v>205.851491341154</v>
      </c>
      <c r="F83" s="77">
        <f>IF('Settings'!$E$15="POINTS",E83-VLOOKUP(B$2,C1:E213,3,FALSE),J83)</f>
        <v>-125.688716578928</v>
      </c>
      <c r="G83" s="77"/>
      <c r="H83" s="223">
        <f>RANK(I83,I3:I213)</f>
        <v>65</v>
      </c>
      <c r="I83" s="77">
        <f>VLOOKUP(A83,'Standard Deviations'!A1:C666,3,FALSE)</f>
        <v>0.283117444570744</v>
      </c>
      <c r="J83" s="84">
        <f>I83-VLOOKUP(B$2,H1:J213,2,FALSE)</f>
        <v>-4.54633398175335</v>
      </c>
    </row>
    <row r="84" ht="21.25" customHeight="1">
      <c r="A84" t="s" s="10">
        <v>363</v>
      </c>
      <c r="B84" t="s" s="233">
        <f>VLOOKUP(A84,'The List'!B1:D665,3,FALSE)</f>
        <v>153</v>
      </c>
      <c r="C84" s="234">
        <f>IF('Settings'!$E$15="POINTS",RANK(E84,E3:E213),H84)</f>
        <v>45</v>
      </c>
      <c r="D84" t="s" s="86">
        <f>VLOOKUP(A84,'The List'!B1:F665,5,FALSE)</f>
        <v>910</v>
      </c>
      <c r="E84" s="77">
        <f>VLOOKUP(A84,'The List'!B1:I665,8,FALSE)</f>
        <v>282.464884405529</v>
      </c>
      <c r="F84" s="77">
        <f>IF('Settings'!$E$15="POINTS",E84-VLOOKUP(B$2,C1:E213,3,FALSE),J84)</f>
        <v>-49.075323514553</v>
      </c>
      <c r="G84" s="77"/>
      <c r="H84" s="223">
        <f>RANK(I84,I3:I213)</f>
        <v>83</v>
      </c>
      <c r="I84" s="77">
        <f>VLOOKUP(A84,'Standard Deviations'!A1:C666,3,FALSE)</f>
        <v>-0.714624617743567</v>
      </c>
      <c r="J84" s="84">
        <f>I84-VLOOKUP(B$2,H1:J213,2,FALSE)</f>
        <v>-5.54407604406766</v>
      </c>
    </row>
    <row r="85" ht="21.25" customHeight="1">
      <c r="A85" t="s" s="10">
        <v>609</v>
      </c>
      <c r="B85" t="s" s="233">
        <f>VLOOKUP(A85,'The List'!B1:D665,3,FALSE)</f>
        <v>153</v>
      </c>
      <c r="C85" s="234">
        <f>IF('Settings'!$E$15="POINTS",RANK(E85,E3:E213),H85)</f>
        <v>135</v>
      </c>
      <c r="D85" t="s" s="86">
        <f>VLOOKUP(A85,'The List'!B1:F665,5,FALSE)</f>
        <v>900</v>
      </c>
      <c r="E85" s="77">
        <f>VLOOKUP(A85,'The List'!B1:I665,8,FALSE)</f>
        <v>205.304958568775</v>
      </c>
      <c r="F85" s="77">
        <f>IF('Settings'!$E$15="POINTS",E85-VLOOKUP(B$2,C1:E213,3,FALSE),J85)</f>
        <v>-126.235249351307</v>
      </c>
      <c r="G85" s="77"/>
      <c r="H85" s="223">
        <f>RANK(I85,I3:I213)</f>
        <v>81</v>
      </c>
      <c r="I85" s="77">
        <f>VLOOKUP(A85,'Standard Deviations'!A1:C666,3,FALSE)</f>
        <v>-0.6172997086598629</v>
      </c>
      <c r="J85" s="84">
        <f>I85-VLOOKUP(B$2,H1:J213,2,FALSE)</f>
        <v>-5.44675113498395</v>
      </c>
    </row>
    <row r="86" ht="21.25" customHeight="1">
      <c r="A86" t="s" s="10">
        <v>522</v>
      </c>
      <c r="B86" t="s" s="233">
        <f>VLOOKUP(A86,'The List'!B1:D665,3,FALSE)</f>
        <v>153</v>
      </c>
      <c r="C86" s="234">
        <f>IF('Settings'!$E$15="POINTS",RANK(E86,E3:E213),H86)</f>
        <v>104</v>
      </c>
      <c r="D86" t="s" s="86">
        <f>VLOOKUP(A86,'The List'!B1:F665,5,FALSE)</f>
        <v>165</v>
      </c>
      <c r="E86" s="77">
        <f>VLOOKUP(A86,'The List'!B1:I665,8,FALSE)</f>
        <v>228.242650497652</v>
      </c>
      <c r="F86" s="77">
        <f>IF('Settings'!$E$15="POINTS",E86-VLOOKUP(B$2,C1:E213,3,FALSE),J86)</f>
        <v>-103.297557422430</v>
      </c>
      <c r="G86" s="77"/>
      <c r="H86" s="223">
        <f>RANK(I86,I3:I213)</f>
        <v>89</v>
      </c>
      <c r="I86" s="77">
        <f>VLOOKUP(A86,'Standard Deviations'!A1:C666,3,FALSE)</f>
        <v>-0.928146820210431</v>
      </c>
      <c r="J86" s="84">
        <f>I86-VLOOKUP(B$2,H1:J213,2,FALSE)</f>
        <v>-5.75759824653452</v>
      </c>
    </row>
    <row r="87" ht="21.25" customHeight="1">
      <c r="A87" t="s" s="10">
        <v>540</v>
      </c>
      <c r="B87" t="s" s="233">
        <f>VLOOKUP(A87,'The List'!B1:D665,3,FALSE)</f>
        <v>153</v>
      </c>
      <c r="C87" s="234">
        <f>IF('Settings'!$E$15="POINTS",RANK(E87,E3:E213),H87)</f>
        <v>109</v>
      </c>
      <c r="D87" t="s" s="86">
        <f>VLOOKUP(A87,'The List'!B1:F665,5,FALSE)</f>
        <v>866</v>
      </c>
      <c r="E87" s="77">
        <f>VLOOKUP(A87,'The List'!B1:I665,8,FALSE)</f>
        <v>221.539240740707</v>
      </c>
      <c r="F87" s="77">
        <f>IF('Settings'!$E$15="POINTS",E87-VLOOKUP(B$2,C1:E213,3,FALSE),J87)</f>
        <v>-110.000967179375</v>
      </c>
      <c r="G87" s="77"/>
      <c r="H87" s="223">
        <f>RANK(I87,I3:I213)</f>
        <v>64</v>
      </c>
      <c r="I87" s="77">
        <f>VLOOKUP(A87,'Standard Deviations'!A1:C666,3,FALSE)</f>
        <v>0.292377153688984</v>
      </c>
      <c r="J87" s="84">
        <f>I87-VLOOKUP(B$2,H1:J213,2,FALSE)</f>
        <v>-4.53707427263511</v>
      </c>
    </row>
    <row r="88" ht="21.25" customHeight="1">
      <c r="A88" t="s" s="10">
        <v>584</v>
      </c>
      <c r="B88" t="s" s="233">
        <f>VLOOKUP(A88,'The List'!B1:D665,3,FALSE)</f>
        <v>153</v>
      </c>
      <c r="C88" s="234">
        <f>IF('Settings'!$E$15="POINTS",RANK(E88,E3:E213),H88)</f>
        <v>126</v>
      </c>
      <c r="D88" t="s" s="86">
        <f>VLOOKUP(A88,'The List'!B1:F665,5,FALSE)</f>
        <v>907</v>
      </c>
      <c r="E88" s="77">
        <f>VLOOKUP(A88,'The List'!B1:I665,8,FALSE)</f>
        <v>211.659685653361</v>
      </c>
      <c r="F88" s="77">
        <f>IF('Settings'!$E$15="POINTS",E88-VLOOKUP(B$2,C1:E213,3,FALSE),J88)</f>
        <v>-119.880522266721</v>
      </c>
      <c r="G88" s="77"/>
      <c r="H88" s="223">
        <f>RANK(I88,I3:I213)</f>
        <v>142</v>
      </c>
      <c r="I88" s="77">
        <f>VLOOKUP(A88,'Standard Deviations'!A1:C666,3,FALSE)</f>
        <v>-2.44558530799743</v>
      </c>
      <c r="J88" s="84">
        <f>I88-VLOOKUP(B$2,H1:J213,2,FALSE)</f>
        <v>-7.27503673432152</v>
      </c>
    </row>
    <row r="89" ht="21.25" customHeight="1">
      <c r="A89" t="s" s="10">
        <v>373</v>
      </c>
      <c r="B89" t="s" s="233">
        <f>VLOOKUP(A89,'The List'!B1:D665,3,FALSE)</f>
        <v>153</v>
      </c>
      <c r="C89" s="234">
        <f>IF('Settings'!$E$15="POINTS",RANK(E89,E3:E213),H89)</f>
        <v>47</v>
      </c>
      <c r="D89" t="s" s="86">
        <f>VLOOKUP(A89,'The List'!B1:F665,5,FALSE)</f>
        <v>911</v>
      </c>
      <c r="E89" s="77">
        <f>VLOOKUP(A89,'The List'!B1:I665,8,FALSE)</f>
        <v>278.304010959885</v>
      </c>
      <c r="F89" s="77">
        <f>IF('Settings'!$E$15="POINTS",E89-VLOOKUP(B$2,C1:E213,3,FALSE),J89)</f>
        <v>-53.236196960197</v>
      </c>
      <c r="G89" s="77"/>
      <c r="H89" s="223">
        <f>RANK(I89,I3:I213)</f>
        <v>78</v>
      </c>
      <c r="I89" s="77">
        <f>VLOOKUP(A89,'Standard Deviations'!A1:C666,3,FALSE)</f>
        <v>-0.531419776688537</v>
      </c>
      <c r="J89" s="84">
        <f>I89-VLOOKUP(B$2,H1:J213,2,FALSE)</f>
        <v>-5.36087120301263</v>
      </c>
    </row>
    <row r="90" ht="21.25" customHeight="1">
      <c r="A90" t="s" s="10">
        <v>475</v>
      </c>
      <c r="B90" t="s" s="233">
        <f>VLOOKUP(A90,'The List'!B1:D665,3,FALSE)</f>
        <v>153</v>
      </c>
      <c r="C90" s="234">
        <f>IF('Settings'!$E$15="POINTS",RANK(E90,E3:E213),H90)</f>
        <v>86</v>
      </c>
      <c r="D90" t="s" s="86">
        <f>VLOOKUP(A90,'The List'!B1:F665,5,FALSE)</f>
        <v>909</v>
      </c>
      <c r="E90" s="77">
        <f>VLOOKUP(A90,'The List'!B1:I665,8,FALSE)</f>
        <v>240.8228053402</v>
      </c>
      <c r="F90" s="77">
        <f>IF('Settings'!$E$15="POINTS",E90-VLOOKUP(B$2,C1:E213,3,FALSE),J90)</f>
        <v>-90.71740257988201</v>
      </c>
      <c r="G90" s="77"/>
      <c r="H90" s="223">
        <f>RANK(I90,I3:I213)</f>
        <v>128</v>
      </c>
      <c r="I90" s="77">
        <f>VLOOKUP(A90,'Standard Deviations'!A1:C666,3,FALSE)</f>
        <v>-2.15711604005963</v>
      </c>
      <c r="J90" s="84">
        <f>I90-VLOOKUP(B$2,H1:J213,2,FALSE)</f>
        <v>-6.98656746638372</v>
      </c>
    </row>
    <row r="91" ht="21.25" customHeight="1">
      <c r="A91" t="s" s="10">
        <v>526</v>
      </c>
      <c r="B91" t="s" s="233">
        <f>VLOOKUP(A91,'The List'!B1:D665,3,FALSE)</f>
        <v>153</v>
      </c>
      <c r="C91" s="234">
        <f>IF('Settings'!$E$15="POINTS",RANK(E91,E3:E213),H91)</f>
        <v>105</v>
      </c>
      <c r="D91" t="s" s="86">
        <f>VLOOKUP(A91,'The List'!B1:F665,5,FALSE)</f>
        <v>207</v>
      </c>
      <c r="E91" s="77">
        <f>VLOOKUP(A91,'The List'!B1:I665,8,FALSE)</f>
        <v>226.918142812568</v>
      </c>
      <c r="F91" s="77">
        <f>IF('Settings'!$E$15="POINTS",E91-VLOOKUP(B$2,C1:E213,3,FALSE),J91)</f>
        <v>-104.622065107514</v>
      </c>
      <c r="G91" s="77"/>
      <c r="H91" s="223">
        <f>RANK(I91,I3:I213)</f>
        <v>82</v>
      </c>
      <c r="I91" s="77">
        <f>VLOOKUP(A91,'Standard Deviations'!A1:C666,3,FALSE)</f>
        <v>-0.706750823394389</v>
      </c>
      <c r="J91" s="84">
        <f>I91-VLOOKUP(B$2,H1:J213,2,FALSE)</f>
        <v>-5.53620224971848</v>
      </c>
    </row>
    <row r="92" ht="21.25" customHeight="1">
      <c r="A92" t="s" s="10">
        <v>325</v>
      </c>
      <c r="B92" t="s" s="233">
        <f>VLOOKUP(A92,'The List'!B1:D665,3,FALSE)</f>
        <v>153</v>
      </c>
      <c r="C92" s="234">
        <f>IF('Settings'!$E$15="POINTS",RANK(E92,E3:E213),H92)</f>
        <v>31</v>
      </c>
      <c r="D92" t="s" s="86">
        <f>VLOOKUP(A92,'The List'!B1:F665,5,FALSE)</f>
        <v>132</v>
      </c>
      <c r="E92" s="77">
        <f>VLOOKUP(A92,'The List'!B1:I665,8,FALSE)</f>
        <v>296.511656304598</v>
      </c>
      <c r="F92" s="77">
        <f>IF('Settings'!$E$15="POINTS",E92-VLOOKUP(B$2,C1:E213,3,FALSE),J92)</f>
        <v>-35.028551615484</v>
      </c>
      <c r="G92" s="77"/>
      <c r="H92" s="223">
        <f>RANK(I92,I3:I213)</f>
        <v>56</v>
      </c>
      <c r="I92" s="77">
        <f>VLOOKUP(A92,'Standard Deviations'!A1:C666,3,FALSE)</f>
        <v>0.776975079993959</v>
      </c>
      <c r="J92" s="84">
        <f>I92-VLOOKUP(B$2,H1:J213,2,FALSE)</f>
        <v>-4.05247634633013</v>
      </c>
    </row>
    <row r="93" ht="21.25" customHeight="1">
      <c r="A93" t="s" s="10">
        <v>384</v>
      </c>
      <c r="B93" t="s" s="233">
        <f>VLOOKUP(A93,'The List'!B1:D665,3,FALSE)</f>
        <v>153</v>
      </c>
      <c r="C93" s="234">
        <f>IF('Settings'!$E$15="POINTS",RANK(E93,E3:E213),H93)</f>
        <v>51</v>
      </c>
      <c r="D93" t="s" s="86">
        <f>VLOOKUP(A93,'The List'!B1:F665,5,FALSE)</f>
        <v>878</v>
      </c>
      <c r="E93" s="77">
        <f>VLOOKUP(A93,'The List'!B1:I665,8,FALSE)</f>
        <v>273.129512706523</v>
      </c>
      <c r="F93" s="77">
        <f>IF('Settings'!$E$15="POINTS",E93-VLOOKUP(B$2,C1:E213,3,FALSE),J93)</f>
        <v>-58.410695213559</v>
      </c>
      <c r="G93" s="77"/>
      <c r="H93" s="223">
        <f>RANK(I93,I3:I213)</f>
        <v>73</v>
      </c>
      <c r="I93" s="77">
        <f>VLOOKUP(A93,'Standard Deviations'!A1:C666,3,FALSE)</f>
        <v>-0.315882798150648</v>
      </c>
      <c r="J93" s="84">
        <f>I93-VLOOKUP(B$2,H1:J213,2,FALSE)</f>
        <v>-5.14533422447474</v>
      </c>
    </row>
    <row r="94" ht="21.25" customHeight="1">
      <c r="A94" t="s" s="10">
        <v>395</v>
      </c>
      <c r="B94" t="s" s="233">
        <f>VLOOKUP(A94,'The List'!B1:D665,3,FALSE)</f>
        <v>153</v>
      </c>
      <c r="C94" s="234">
        <f>IF('Settings'!$E$15="POINTS",RANK(E94,E3:E213),H94)</f>
        <v>57</v>
      </c>
      <c r="D94" t="s" s="86">
        <f>VLOOKUP(A94,'The List'!B1:F665,5,FALSE)</f>
        <v>906</v>
      </c>
      <c r="E94" s="77">
        <f>VLOOKUP(A94,'The List'!B1:I665,8,FALSE)</f>
        <v>267.600570940053</v>
      </c>
      <c r="F94" s="77">
        <f>IF('Settings'!$E$15="POINTS",E94-VLOOKUP(B$2,C1:E213,3,FALSE),J94)</f>
        <v>-63.939636980029</v>
      </c>
      <c r="G94" s="77"/>
      <c r="H94" s="223">
        <f>RANK(I94,I3:I213)</f>
        <v>75</v>
      </c>
      <c r="I94" s="77">
        <f>VLOOKUP(A94,'Standard Deviations'!A1:C666,3,FALSE)</f>
        <v>-0.39178137308599</v>
      </c>
      <c r="J94" s="84">
        <f>I94-VLOOKUP(B$2,H1:J213,2,FALSE)</f>
        <v>-5.22123279941008</v>
      </c>
    </row>
    <row r="95" ht="21.25" customHeight="1">
      <c r="A95" t="s" s="10">
        <v>378</v>
      </c>
      <c r="B95" t="s" s="233">
        <f>VLOOKUP(A95,'The List'!B1:D665,3,FALSE)</f>
        <v>153</v>
      </c>
      <c r="C95" s="234">
        <f>IF('Settings'!$E$15="POINTS",RANK(E95,E3:E213),H95)</f>
        <v>48</v>
      </c>
      <c r="D95" t="s" s="86">
        <f>VLOOKUP(A95,'The List'!B1:F665,5,FALSE)</f>
        <v>207</v>
      </c>
      <c r="E95" s="77">
        <f>VLOOKUP(A95,'The List'!B1:I665,8,FALSE)</f>
        <v>275.512002622509</v>
      </c>
      <c r="F95" s="77">
        <f>IF('Settings'!$E$15="POINTS",E95-VLOOKUP(B$2,C1:E213,3,FALSE),J95)</f>
        <v>-56.028205297573</v>
      </c>
      <c r="G95" s="77"/>
      <c r="H95" s="223">
        <f>RANK(I95,I3:I213)</f>
        <v>70</v>
      </c>
      <c r="I95" s="77">
        <f>VLOOKUP(A95,'Standard Deviations'!A1:C666,3,FALSE)</f>
        <v>0.081567329937521</v>
      </c>
      <c r="J95" s="84">
        <f>I95-VLOOKUP(B$2,H1:J213,2,FALSE)</f>
        <v>-4.74788409638657</v>
      </c>
    </row>
    <row r="96" ht="21.25" customHeight="1">
      <c r="A96" t="s" s="10">
        <v>560</v>
      </c>
      <c r="B96" t="s" s="233">
        <f>VLOOKUP(A96,'The List'!B1:D665,3,FALSE)</f>
        <v>153</v>
      </c>
      <c r="C96" s="234">
        <f>IF('Settings'!$E$15="POINTS",RANK(E96,E3:E213),H96)</f>
        <v>119</v>
      </c>
      <c r="D96" t="s" s="86">
        <f>VLOOKUP(A96,'The List'!B1:F665,5,FALSE)</f>
        <v>129</v>
      </c>
      <c r="E96" s="77">
        <f>VLOOKUP(A96,'The List'!B1:I665,8,FALSE)</f>
        <v>218.135904381226</v>
      </c>
      <c r="F96" s="77">
        <f>IF('Settings'!$E$15="POINTS",E96-VLOOKUP(B$2,C1:E213,3,FALSE),J96)</f>
        <v>-113.404303538856</v>
      </c>
      <c r="G96" s="77"/>
      <c r="H96" s="223">
        <f>RANK(I96,I3:I213)</f>
        <v>190</v>
      </c>
      <c r="I96" s="77">
        <f>VLOOKUP(A96,'Standard Deviations'!A1:C666,3,FALSE)</f>
        <v>-3.86329015685455</v>
      </c>
      <c r="J96" s="84">
        <f>I96-VLOOKUP(B$2,H1:J213,2,FALSE)</f>
        <v>-8.692741583178639</v>
      </c>
    </row>
    <row r="97" ht="21.25" customHeight="1">
      <c r="A97" t="s" s="10">
        <v>551</v>
      </c>
      <c r="B97" t="s" s="233">
        <f>VLOOKUP(A97,'The List'!B1:D665,3,FALSE)</f>
        <v>153</v>
      </c>
      <c r="C97" s="234">
        <f>IF('Settings'!$E$15="POINTS",RANK(E97,E3:E213),H97)</f>
        <v>115</v>
      </c>
      <c r="D97" t="s" s="86">
        <f>VLOOKUP(A97,'The List'!B1:F665,5,FALSE)</f>
        <v>871</v>
      </c>
      <c r="E97" s="77">
        <f>VLOOKUP(A97,'The List'!B1:I665,8,FALSE)</f>
        <v>219.109457625301</v>
      </c>
      <c r="F97" s="77">
        <f>IF('Settings'!$E$15="POINTS",E97-VLOOKUP(B$2,C1:E213,3,FALSE),J97)</f>
        <v>-112.430750294781</v>
      </c>
      <c r="G97" s="77"/>
      <c r="H97" s="223">
        <f>RANK(I97,I3:I213)</f>
        <v>85</v>
      </c>
      <c r="I97" s="77">
        <f>VLOOKUP(A97,'Standard Deviations'!A1:C666,3,FALSE)</f>
        <v>-0.770970805228042</v>
      </c>
      <c r="J97" s="84">
        <f>I97-VLOOKUP(B$2,H1:J213,2,FALSE)</f>
        <v>-5.60042223155213</v>
      </c>
    </row>
    <row r="98" ht="21.25" customHeight="1">
      <c r="A98" t="s" s="10">
        <v>806</v>
      </c>
      <c r="B98" t="s" s="233">
        <f>VLOOKUP(A98,'The List'!B1:D665,3,FALSE)</f>
        <v>153</v>
      </c>
      <c r="C98" s="234">
        <f>IF('Settings'!$E$15="POINTS",RANK(E98,E3:E213),H98)</f>
        <v>197</v>
      </c>
      <c r="D98" t="s" s="86">
        <f>VLOOKUP(A98,'The List'!B1:F665,5,FALSE)</f>
        <v>174</v>
      </c>
      <c r="E98" s="77">
        <f>VLOOKUP(A98,'The List'!B1:I665,8,FALSE)</f>
        <v>145.734060583935</v>
      </c>
      <c r="F98" s="77">
        <f>IF('Settings'!$E$15="POINTS",E98-VLOOKUP(B$2,C1:E213,3,FALSE),J98)</f>
        <v>-185.806147336147</v>
      </c>
      <c r="G98" s="77"/>
      <c r="H98" s="223">
        <f>RANK(I98,I3:I213)</f>
        <v>152</v>
      </c>
      <c r="I98" s="77">
        <f>VLOOKUP(A98,'Standard Deviations'!A1:C666,3,FALSE)</f>
        <v>-2.66664928107851</v>
      </c>
      <c r="J98" s="84">
        <f>I98-VLOOKUP(B$2,H1:J213,2,FALSE)</f>
        <v>-7.4961007074026</v>
      </c>
    </row>
    <row r="99" ht="21.25" customHeight="1">
      <c r="A99" t="s" s="10">
        <v>354</v>
      </c>
      <c r="B99" t="s" s="233">
        <f>VLOOKUP(A99,'The List'!B1:D665,3,FALSE)</f>
        <v>153</v>
      </c>
      <c r="C99" s="234">
        <f>IF('Settings'!$E$15="POINTS",RANK(E99,E3:E213),H99)</f>
        <v>40</v>
      </c>
      <c r="D99" t="s" s="86">
        <f>VLOOKUP(A99,'The List'!B1:F665,5,FALSE)</f>
        <v>903</v>
      </c>
      <c r="E99" s="77">
        <f>VLOOKUP(A99,'The List'!B1:I665,8,FALSE)</f>
        <v>284.963610622933</v>
      </c>
      <c r="F99" s="77">
        <f>IF('Settings'!$E$15="POINTS",E99-VLOOKUP(B$2,C1:E213,3,FALSE),J99)</f>
        <v>-46.576597297149</v>
      </c>
      <c r="G99" s="77"/>
      <c r="H99" s="223">
        <f>RANK(I99,I3:I213)</f>
        <v>69</v>
      </c>
      <c r="I99" s="77">
        <f>VLOOKUP(A99,'Standard Deviations'!A1:C666,3,FALSE)</f>
        <v>0.145904506796935</v>
      </c>
      <c r="J99" s="84">
        <f>I99-VLOOKUP(B$2,H1:J213,2,FALSE)</f>
        <v>-4.68354691952716</v>
      </c>
    </row>
    <row r="100" ht="21.25" customHeight="1">
      <c r="A100" t="s" s="10">
        <v>422</v>
      </c>
      <c r="B100" t="s" s="233">
        <f>VLOOKUP(A100,'The List'!B1:D665,3,FALSE)</f>
        <v>153</v>
      </c>
      <c r="C100" s="234">
        <f>IF('Settings'!$E$15="POINTS",RANK(E100,E3:E213),H100)</f>
        <v>70</v>
      </c>
      <c r="D100" t="s" s="86">
        <f>VLOOKUP(A100,'The List'!B1:F665,5,FALSE)</f>
        <v>871</v>
      </c>
      <c r="E100" s="77">
        <f>VLOOKUP(A100,'The List'!B1:I665,8,FALSE)</f>
        <v>255.490023804129</v>
      </c>
      <c r="F100" s="77">
        <f>IF('Settings'!$E$15="POINTS",E100-VLOOKUP(B$2,C1:E213,3,FALSE),J100)</f>
        <v>-76.050184115953</v>
      </c>
      <c r="G100" s="77"/>
      <c r="H100" s="223">
        <f>RANK(I100,I3:I213)</f>
        <v>90</v>
      </c>
      <c r="I100" s="77">
        <f>VLOOKUP(A100,'Standard Deviations'!A1:C666,3,FALSE)</f>
        <v>-0.967126237671453</v>
      </c>
      <c r="J100" s="84">
        <f>I100-VLOOKUP(B$2,H1:J213,2,FALSE)</f>
        <v>-5.79657766399554</v>
      </c>
    </row>
    <row r="101" ht="21.25" customHeight="1">
      <c r="A101" t="s" s="10">
        <v>591</v>
      </c>
      <c r="B101" t="s" s="233">
        <f>VLOOKUP(A101,'The List'!B1:D665,3,FALSE)</f>
        <v>153</v>
      </c>
      <c r="C101" s="234">
        <f>IF('Settings'!$E$15="POINTS",RANK(E101,E3:E213),H101)</f>
        <v>129</v>
      </c>
      <c r="D101" t="s" s="86">
        <f>VLOOKUP(A101,'The List'!B1:F665,5,FALSE)</f>
        <v>905</v>
      </c>
      <c r="E101" s="77">
        <f>VLOOKUP(A101,'The List'!B1:I665,8,FALSE)</f>
        <v>210.241658670445</v>
      </c>
      <c r="F101" s="77">
        <f>IF('Settings'!$E$15="POINTS",E101-VLOOKUP(B$2,C1:E213,3,FALSE),J101)</f>
        <v>-121.298549249637</v>
      </c>
      <c r="G101" s="77"/>
      <c r="H101" s="223">
        <f>RANK(I101,I3:I213)</f>
        <v>131</v>
      </c>
      <c r="I101" s="77">
        <f>VLOOKUP(A101,'Standard Deviations'!A1:C666,3,FALSE)</f>
        <v>-2.21031653606861</v>
      </c>
      <c r="J101" s="84">
        <f>I101-VLOOKUP(B$2,H1:J213,2,FALSE)</f>
        <v>-7.0397679623927</v>
      </c>
    </row>
    <row r="102" ht="21.25" customHeight="1">
      <c r="A102" t="s" s="10">
        <v>565</v>
      </c>
      <c r="B102" t="s" s="233">
        <f>VLOOKUP(A102,'The List'!B1:D665,3,FALSE)</f>
        <v>153</v>
      </c>
      <c r="C102" s="234">
        <f>IF('Settings'!$E$15="POINTS",RANK(E102,E3:E213),H102)</f>
        <v>121</v>
      </c>
      <c r="D102" t="s" s="86">
        <f>VLOOKUP(A102,'The List'!B1:F665,5,FALSE)</f>
        <v>267</v>
      </c>
      <c r="E102" s="77">
        <f>VLOOKUP(A102,'The List'!B1:I665,8,FALSE)</f>
        <v>217.209861248263</v>
      </c>
      <c r="F102" s="77">
        <f>IF('Settings'!$E$15="POINTS",E102-VLOOKUP(B$2,C1:E213,3,FALSE),J102)</f>
        <v>-114.330346671819</v>
      </c>
      <c r="G102" s="77"/>
      <c r="H102" s="223">
        <f>RANK(I102,I3:I213)</f>
        <v>80</v>
      </c>
      <c r="I102" s="77">
        <f>VLOOKUP(A102,'Standard Deviations'!A1:C666,3,FALSE)</f>
        <v>-0.597317995937277</v>
      </c>
      <c r="J102" s="84">
        <f>I102-VLOOKUP(B$2,H1:J213,2,FALSE)</f>
        <v>-5.42676942226137</v>
      </c>
    </row>
    <row r="103" ht="21.25" customHeight="1">
      <c r="A103" t="s" s="10">
        <v>278</v>
      </c>
      <c r="B103" t="s" s="233">
        <f>VLOOKUP(A103,'The List'!B1:D665,3,FALSE)</f>
        <v>153</v>
      </c>
      <c r="C103" s="234">
        <f>IF('Settings'!$E$15="POINTS",RANK(E103,E3:E213),H103)</f>
        <v>20</v>
      </c>
      <c r="D103" t="s" s="86">
        <f>VLOOKUP(A103,'The List'!B1:F665,5,FALSE)</f>
        <v>912</v>
      </c>
      <c r="E103" s="77">
        <f>VLOOKUP(A103,'The List'!B1:I665,8,FALSE)</f>
        <v>321.917431182773</v>
      </c>
      <c r="F103" s="77">
        <f>IF('Settings'!$E$15="POINTS",E103-VLOOKUP(B$2,C1:E213,3,FALSE),J103)</f>
        <v>-9.622776737309</v>
      </c>
      <c r="G103" s="77"/>
      <c r="H103" s="223">
        <f>RANK(I103,I3:I213)</f>
        <v>118</v>
      </c>
      <c r="I103" s="77">
        <f>VLOOKUP(A103,'Standard Deviations'!A1:C666,3,FALSE)</f>
        <v>-1.84666180277975</v>
      </c>
      <c r="J103" s="84">
        <f>I103-VLOOKUP(B$2,H1:J213,2,FALSE)</f>
        <v>-6.67611322910384</v>
      </c>
    </row>
    <row r="104" ht="21.25" customHeight="1">
      <c r="A104" t="s" s="10">
        <v>513</v>
      </c>
      <c r="B104" t="s" s="233">
        <f>VLOOKUP(A104,'The List'!B1:D665,3,FALSE)</f>
        <v>153</v>
      </c>
      <c r="C104" s="234">
        <f>IF('Settings'!$E$15="POINTS",RANK(E104,E3:E213),H104)</f>
        <v>102</v>
      </c>
      <c r="D104" t="s" s="86">
        <f>VLOOKUP(A104,'The List'!B1:F665,5,FALSE)</f>
        <v>259</v>
      </c>
      <c r="E104" s="77">
        <f>VLOOKUP(A104,'The List'!B1:I665,8,FALSE)</f>
        <v>229.336276543998</v>
      </c>
      <c r="F104" s="77">
        <f>IF('Settings'!$E$15="POINTS",E104-VLOOKUP(B$2,C1:E213,3,FALSE),J104)</f>
        <v>-102.203931376084</v>
      </c>
      <c r="G104" s="77"/>
      <c r="H104" s="223">
        <f>RANK(I104,I3:I213)</f>
        <v>87</v>
      </c>
      <c r="I104" s="77">
        <f>VLOOKUP(A104,'Standard Deviations'!A1:C666,3,FALSE)</f>
        <v>-0.851648282278616</v>
      </c>
      <c r="J104" s="84">
        <f>I104-VLOOKUP(B$2,H1:J213,2,FALSE)</f>
        <v>-5.68109970860271</v>
      </c>
    </row>
    <row r="105" ht="21.25" customHeight="1">
      <c r="A105" t="s" s="10">
        <v>669</v>
      </c>
      <c r="B105" t="s" s="233">
        <f>VLOOKUP(A105,'The List'!B1:D665,3,FALSE)</f>
        <v>153</v>
      </c>
      <c r="C105" s="234">
        <f>IF('Settings'!$E$15="POINTS",RANK(E105,E3:E213),H105)</f>
        <v>156</v>
      </c>
      <c r="D105" t="s" s="86">
        <f>VLOOKUP(A105,'The List'!B1:F665,5,FALSE)</f>
        <v>267</v>
      </c>
      <c r="E105" s="77">
        <f>VLOOKUP(A105,'The List'!B1:I665,8,FALSE)</f>
        <v>186.485614182956</v>
      </c>
      <c r="F105" s="77">
        <f>IF('Settings'!$E$15="POINTS",E105-VLOOKUP(B$2,C1:E213,3,FALSE),J105)</f>
        <v>-145.054593737126</v>
      </c>
      <c r="G105" s="77"/>
      <c r="H105" s="223">
        <f>RANK(I105,I3:I213)</f>
        <v>105</v>
      </c>
      <c r="I105" s="77">
        <f>VLOOKUP(A105,'Standard Deviations'!A1:C666,3,FALSE)</f>
        <v>-1.4187981887667</v>
      </c>
      <c r="J105" s="84">
        <f>I105-VLOOKUP(B$2,H1:J213,2,FALSE)</f>
        <v>-6.24824961509079</v>
      </c>
    </row>
    <row r="106" ht="21.25" customHeight="1">
      <c r="A106" t="s" s="10">
        <v>405</v>
      </c>
      <c r="B106" t="s" s="233">
        <f>VLOOKUP(A106,'The List'!B1:D665,3,FALSE)</f>
        <v>153</v>
      </c>
      <c r="C106" s="234">
        <f>IF('Settings'!$E$15="POINTS",RANK(E106,E3:E213),H106)</f>
        <v>60</v>
      </c>
      <c r="D106" t="s" s="86">
        <f>VLOOKUP(A106,'The List'!B1:F665,5,FALSE)</f>
        <v>899</v>
      </c>
      <c r="E106" s="77">
        <f>VLOOKUP(A106,'The List'!B1:I665,8,FALSE)</f>
        <v>264.431369856233</v>
      </c>
      <c r="F106" s="77">
        <f>IF('Settings'!$E$15="POINTS",E106-VLOOKUP(B$2,C1:E213,3,FALSE),J106)</f>
        <v>-67.10883806384901</v>
      </c>
      <c r="G106" s="77"/>
      <c r="H106" s="223">
        <f>RANK(I106,I3:I213)</f>
        <v>101</v>
      </c>
      <c r="I106" s="77">
        <f>VLOOKUP(A106,'Standard Deviations'!A1:C666,3,FALSE)</f>
        <v>-1.35154166194315</v>
      </c>
      <c r="J106" s="84">
        <f>I106-VLOOKUP(B$2,H1:J213,2,FALSE)</f>
        <v>-6.18099308826724</v>
      </c>
    </row>
    <row r="107" ht="21.25" customHeight="1">
      <c r="A107" t="s" s="10">
        <v>434</v>
      </c>
      <c r="B107" t="s" s="233">
        <f>VLOOKUP(A107,'The List'!B1:D665,3,FALSE)</f>
        <v>153</v>
      </c>
      <c r="C107" s="234">
        <f>IF('Settings'!$E$15="POINTS",RANK(E107,E3:E213),H107)</f>
        <v>74</v>
      </c>
      <c r="D107" t="s" s="86">
        <f>VLOOKUP(A107,'The List'!B1:F665,5,FALSE)</f>
        <v>156</v>
      </c>
      <c r="E107" s="77">
        <f>VLOOKUP(A107,'The List'!B1:I665,8,FALSE)</f>
        <v>252.634033215574</v>
      </c>
      <c r="F107" s="77">
        <f>IF('Settings'!$E$15="POINTS",E107-VLOOKUP(B$2,C1:E213,3,FALSE),J107)</f>
        <v>-78.906174704508</v>
      </c>
      <c r="G107" s="77"/>
      <c r="H107" s="223">
        <f>RANK(I107,I3:I213)</f>
        <v>123</v>
      </c>
      <c r="I107" s="77">
        <f>VLOOKUP(A107,'Standard Deviations'!A1:C666,3,FALSE)</f>
        <v>-1.96090786980317</v>
      </c>
      <c r="J107" s="84">
        <f>I107-VLOOKUP(B$2,H1:J213,2,FALSE)</f>
        <v>-6.79035929612726</v>
      </c>
    </row>
    <row r="108" ht="21.25" customHeight="1">
      <c r="A108" t="s" s="10">
        <v>408</v>
      </c>
      <c r="B108" t="s" s="233">
        <f>VLOOKUP(A108,'The List'!B1:D665,3,FALSE)</f>
        <v>153</v>
      </c>
      <c r="C108" s="234">
        <f>IF('Settings'!$E$15="POINTS",RANK(E108,E3:E213),H108)</f>
        <v>63</v>
      </c>
      <c r="D108" t="s" s="86">
        <f>VLOOKUP(A108,'The List'!B1:F665,5,FALSE)</f>
        <v>156</v>
      </c>
      <c r="E108" s="77">
        <f>VLOOKUP(A108,'The List'!B1:I665,8,FALSE)</f>
        <v>263.320699949848</v>
      </c>
      <c r="F108" s="77">
        <f>IF('Settings'!$E$15="POINTS",E108-VLOOKUP(B$2,C1:E213,3,FALSE),J108)</f>
        <v>-68.21950797023401</v>
      </c>
      <c r="G108" s="77"/>
      <c r="H108" s="223">
        <f>RANK(I108,I3:I213)</f>
        <v>126</v>
      </c>
      <c r="I108" s="77">
        <f>VLOOKUP(A108,'Standard Deviations'!A1:C666,3,FALSE)</f>
        <v>-2.10808651269936</v>
      </c>
      <c r="J108" s="84">
        <f>I108-VLOOKUP(B$2,H1:J213,2,FALSE)</f>
        <v>-6.93753793902345</v>
      </c>
    </row>
    <row r="109" ht="21.25" customHeight="1">
      <c r="A109" t="s" s="10">
        <v>548</v>
      </c>
      <c r="B109" t="s" s="233">
        <f>VLOOKUP(A109,'The List'!B1:D665,3,FALSE)</f>
        <v>153</v>
      </c>
      <c r="C109" s="234">
        <f>IF('Settings'!$E$15="POINTS",RANK(E109,E3:E213),H109)</f>
        <v>112</v>
      </c>
      <c r="D109" t="s" s="86">
        <f>VLOOKUP(A109,'The List'!B1:F665,5,FALSE)</f>
        <v>156</v>
      </c>
      <c r="E109" s="77">
        <f>VLOOKUP(A109,'The List'!B1:I665,8,FALSE)</f>
        <v>219.518649511036</v>
      </c>
      <c r="F109" s="77">
        <f>IF('Settings'!$E$15="POINTS",E109-VLOOKUP(B$2,C1:E213,3,FALSE),J109)</f>
        <v>-112.021558409046</v>
      </c>
      <c r="G109" s="77"/>
      <c r="H109" s="223">
        <f>RANK(I109,I3:I213)</f>
        <v>125</v>
      </c>
      <c r="I109" s="77">
        <f>VLOOKUP(A109,'Standard Deviations'!A1:C666,3,FALSE)</f>
        <v>-2.10583079209156</v>
      </c>
      <c r="J109" s="84">
        <f>I109-VLOOKUP(B$2,H1:J213,2,FALSE)</f>
        <v>-6.93528221841565</v>
      </c>
    </row>
    <row r="110" ht="21.25" customHeight="1">
      <c r="A110" t="s" s="10">
        <v>604</v>
      </c>
      <c r="B110" t="s" s="233">
        <f>VLOOKUP(A110,'The List'!B1:D665,3,FALSE)</f>
        <v>153</v>
      </c>
      <c r="C110" s="234">
        <f>IF('Settings'!$E$15="POINTS",RANK(E110,E3:E213),H110)</f>
        <v>132</v>
      </c>
      <c r="D110" t="s" s="86">
        <f>VLOOKUP(A110,'The List'!B1:F665,5,FALSE)</f>
        <v>906</v>
      </c>
      <c r="E110" s="77">
        <f>VLOOKUP(A110,'The List'!B1:I665,8,FALSE)</f>
        <v>206.598131073905</v>
      </c>
      <c r="F110" s="77">
        <f>IF('Settings'!$E$15="POINTS",E110-VLOOKUP(B$2,C1:E213,3,FALSE),J110)</f>
        <v>-124.942076846177</v>
      </c>
      <c r="G110" s="77"/>
      <c r="H110" s="223">
        <f>RANK(I110,I3:I213)</f>
        <v>92</v>
      </c>
      <c r="I110" s="77">
        <f>VLOOKUP(A110,'Standard Deviations'!A1:C666,3,FALSE)</f>
        <v>-1.01499619426119</v>
      </c>
      <c r="J110" s="84">
        <f>I110-VLOOKUP(B$2,H1:J213,2,FALSE)</f>
        <v>-5.84444762058528</v>
      </c>
    </row>
    <row r="111" ht="21.25" customHeight="1">
      <c r="A111" t="s" s="10">
        <v>444</v>
      </c>
      <c r="B111" t="s" s="233">
        <f>VLOOKUP(A111,'The List'!B1:D665,3,FALSE)</f>
        <v>153</v>
      </c>
      <c r="C111" s="234">
        <f>IF('Settings'!$E$15="POINTS",RANK(E111,E3:E213),H111)</f>
        <v>76</v>
      </c>
      <c r="D111" t="s" s="86">
        <f>VLOOKUP(A111,'The List'!B1:F665,5,FALSE)</f>
        <v>911</v>
      </c>
      <c r="E111" s="77">
        <f>VLOOKUP(A111,'The List'!B1:I665,8,FALSE)</f>
        <v>249.874524933005</v>
      </c>
      <c r="F111" s="77">
        <f>IF('Settings'!$E$15="POINTS",E111-VLOOKUP(B$2,C1:E213,3,FALSE),J111)</f>
        <v>-81.66568298707701</v>
      </c>
      <c r="G111" s="77"/>
      <c r="H111" s="223">
        <f>RANK(I111,I3:I213)</f>
        <v>98</v>
      </c>
      <c r="I111" s="77">
        <f>VLOOKUP(A111,'Standard Deviations'!A1:C666,3,FALSE)</f>
        <v>-1.26885918366088</v>
      </c>
      <c r="J111" s="84">
        <f>I111-VLOOKUP(B$2,H1:J213,2,FALSE)</f>
        <v>-6.09831060998497</v>
      </c>
    </row>
    <row r="112" ht="21.25" customHeight="1">
      <c r="A112" t="s" s="10">
        <v>642</v>
      </c>
      <c r="B112" t="s" s="233">
        <f>VLOOKUP(A112,'The List'!B1:D665,3,FALSE)</f>
        <v>153</v>
      </c>
      <c r="C112" s="234">
        <f>IF('Settings'!$E$15="POINTS",RANK(E112,E3:E213),H112)</f>
        <v>145</v>
      </c>
      <c r="D112" t="s" s="86">
        <f>VLOOKUP(A112,'The List'!B1:F665,5,FALSE)</f>
        <v>900</v>
      </c>
      <c r="E112" s="77">
        <f>VLOOKUP(A112,'The List'!B1:I665,8,FALSE)</f>
        <v>194.634775392457</v>
      </c>
      <c r="F112" s="77">
        <f>IF('Settings'!$E$15="POINTS",E112-VLOOKUP(B$2,C1:E213,3,FALSE),J112)</f>
        <v>-136.905432527625</v>
      </c>
      <c r="G112" s="77"/>
      <c r="H112" s="223">
        <f>RANK(I112,I3:I213)</f>
        <v>84</v>
      </c>
      <c r="I112" s="77">
        <f>VLOOKUP(A112,'Standard Deviations'!A1:C666,3,FALSE)</f>
        <v>-0.768436392351207</v>
      </c>
      <c r="J112" s="84">
        <f>I112-VLOOKUP(B$2,H1:J213,2,FALSE)</f>
        <v>-5.5978878186753</v>
      </c>
    </row>
    <row r="113" ht="21.25" customHeight="1">
      <c r="A113" t="s" s="10">
        <v>598</v>
      </c>
      <c r="B113" t="s" s="233">
        <f>VLOOKUP(A113,'The List'!B1:D665,3,FALSE)</f>
        <v>153</v>
      </c>
      <c r="C113" s="234">
        <f>IF('Settings'!$E$15="POINTS",RANK(E113,E3:E213),H113)</f>
        <v>131</v>
      </c>
      <c r="D113" t="s" s="86">
        <f>VLOOKUP(A113,'The List'!B1:F665,5,FALSE)</f>
        <v>165</v>
      </c>
      <c r="E113" s="77">
        <f>VLOOKUP(A113,'The List'!B1:I665,8,FALSE)</f>
        <v>207.900104111124</v>
      </c>
      <c r="F113" s="77">
        <f>IF('Settings'!$E$15="POINTS",E113-VLOOKUP(B$2,C1:E213,3,FALSE),J113)</f>
        <v>-123.640103808958</v>
      </c>
      <c r="G113" s="77"/>
      <c r="H113" s="223">
        <f>RANK(I113,I3:I213)</f>
        <v>94</v>
      </c>
      <c r="I113" s="77">
        <f>VLOOKUP(A113,'Standard Deviations'!A1:C666,3,FALSE)</f>
        <v>-1.07226405589479</v>
      </c>
      <c r="J113" s="84">
        <f>I113-VLOOKUP(B$2,H1:J213,2,FALSE)</f>
        <v>-5.90171548221888</v>
      </c>
    </row>
    <row r="114" ht="21.25" customHeight="1">
      <c r="A114" t="s" s="10">
        <v>627</v>
      </c>
      <c r="B114" t="s" s="233">
        <f>VLOOKUP(A114,'The List'!B1:D665,3,FALSE)</f>
        <v>153</v>
      </c>
      <c r="C114" s="234">
        <f>IF('Settings'!$E$15="POINTS",RANK(E114,E3:E213),H114)</f>
        <v>140</v>
      </c>
      <c r="D114" t="s" s="86">
        <f>VLOOKUP(A114,'The List'!B1:F665,5,FALSE)</f>
        <v>905</v>
      </c>
      <c r="E114" s="77">
        <f>VLOOKUP(A114,'The List'!B1:I665,8,FALSE)</f>
        <v>201.165291392595</v>
      </c>
      <c r="F114" s="77">
        <f>IF('Settings'!$E$15="POINTS",E114-VLOOKUP(B$2,C1:E213,3,FALSE),J114)</f>
        <v>-130.374916527487</v>
      </c>
      <c r="G114" s="77"/>
      <c r="H114" s="223">
        <f>RANK(I114,I3:I213)</f>
        <v>108</v>
      </c>
      <c r="I114" s="77">
        <f>VLOOKUP(A114,'Standard Deviations'!A1:C666,3,FALSE)</f>
        <v>-1.49002492079708</v>
      </c>
      <c r="J114" s="84">
        <f>I114-VLOOKUP(B$2,H1:J213,2,FALSE)</f>
        <v>-6.31947634712117</v>
      </c>
    </row>
    <row r="115" ht="21.25" customHeight="1">
      <c r="A115" t="s" s="10">
        <v>467</v>
      </c>
      <c r="B115" t="s" s="233">
        <f>VLOOKUP(A115,'The List'!B1:D665,3,FALSE)</f>
        <v>153</v>
      </c>
      <c r="C115" s="234">
        <f>IF('Settings'!$E$15="POINTS",RANK(E115,E3:E213),H115)</f>
        <v>83</v>
      </c>
      <c r="D115" t="s" s="86">
        <f>VLOOKUP(A115,'The List'!B1:F665,5,FALSE)</f>
        <v>904</v>
      </c>
      <c r="E115" s="77">
        <f>VLOOKUP(A115,'The List'!B1:I665,8,FALSE)</f>
        <v>242.161880214513</v>
      </c>
      <c r="F115" s="77">
        <f>IF('Settings'!$E$15="POINTS",E115-VLOOKUP(B$2,C1:E213,3,FALSE),J115)</f>
        <v>-89.37832770556901</v>
      </c>
      <c r="G115" s="77"/>
      <c r="H115" s="223">
        <f>RANK(I115,I3:I213)</f>
        <v>113</v>
      </c>
      <c r="I115" s="77">
        <f>VLOOKUP(A115,'Standard Deviations'!A1:C666,3,FALSE)</f>
        <v>-1.66456267136238</v>
      </c>
      <c r="J115" s="84">
        <f>I115-VLOOKUP(B$2,H1:J213,2,FALSE)</f>
        <v>-6.49401409768647</v>
      </c>
    </row>
    <row r="116" ht="21.25" customHeight="1">
      <c r="A116" t="s" s="10">
        <v>651</v>
      </c>
      <c r="B116" t="s" s="233">
        <f>VLOOKUP(A116,'The List'!B1:D665,3,FALSE)</f>
        <v>153</v>
      </c>
      <c r="C116" s="234">
        <f>IF('Settings'!$E$15="POINTS",RANK(E116,E3:E213),H116)</f>
        <v>149</v>
      </c>
      <c r="D116" t="s" s="86">
        <f>VLOOKUP(A116,'The List'!B1:F665,5,FALSE)</f>
        <v>132</v>
      </c>
      <c r="E116" s="77">
        <f>VLOOKUP(A116,'The List'!B1:I665,8,FALSE)</f>
        <v>192.597620579442</v>
      </c>
      <c r="F116" s="77">
        <f>IF('Settings'!$E$15="POINTS",E116-VLOOKUP(B$2,C1:E213,3,FALSE),J116)</f>
        <v>-138.942587340640</v>
      </c>
      <c r="G116" s="77"/>
      <c r="H116" s="223">
        <f>RANK(I116,I3:I213)</f>
        <v>111</v>
      </c>
      <c r="I116" s="77">
        <f>VLOOKUP(A116,'Standard Deviations'!A1:C666,3,FALSE)</f>
        <v>-1.5608254147011</v>
      </c>
      <c r="J116" s="84">
        <f>I116-VLOOKUP(B$2,H1:J213,2,FALSE)</f>
        <v>-6.39027684102519</v>
      </c>
    </row>
    <row r="117" ht="21.25" customHeight="1">
      <c r="A117" t="s" s="10">
        <v>504</v>
      </c>
      <c r="B117" t="s" s="233">
        <f>VLOOKUP(A117,'The List'!B1:D665,3,FALSE)</f>
        <v>153</v>
      </c>
      <c r="C117" s="234">
        <f>IF('Settings'!$E$15="POINTS",RANK(E117,E3:E213),H117)</f>
        <v>99</v>
      </c>
      <c r="D117" t="s" s="86">
        <f>VLOOKUP(A117,'The List'!B1:F665,5,FALSE)</f>
        <v>913</v>
      </c>
      <c r="E117" s="77">
        <f>VLOOKUP(A117,'The List'!B1:I665,8,FALSE)</f>
        <v>230.822996862992</v>
      </c>
      <c r="F117" s="77">
        <f>IF('Settings'!$E$15="POINTS",E117-VLOOKUP(B$2,C1:E213,3,FALSE),J117)</f>
        <v>-100.717211057090</v>
      </c>
      <c r="G117" s="77"/>
      <c r="H117" s="223">
        <f>RANK(I117,I3:I213)</f>
        <v>71</v>
      </c>
      <c r="I117" s="77">
        <f>VLOOKUP(A117,'Standard Deviations'!A1:C666,3,FALSE)</f>
        <v>-0.106702420463612</v>
      </c>
      <c r="J117" s="84">
        <f>I117-VLOOKUP(B$2,H1:J213,2,FALSE)</f>
        <v>-4.9361538467877</v>
      </c>
    </row>
    <row r="118" ht="21.25" customHeight="1">
      <c r="A118" t="s" s="10">
        <v>497</v>
      </c>
      <c r="B118" t="s" s="233">
        <f>VLOOKUP(A118,'The List'!B1:D665,3,FALSE)</f>
        <v>153</v>
      </c>
      <c r="C118" s="234">
        <f>IF('Settings'!$E$15="POINTS",RANK(E118,E3:E213),H118)</f>
        <v>97</v>
      </c>
      <c r="D118" t="s" s="86">
        <f>VLOOKUP(A118,'The List'!B1:F665,5,FALSE)</f>
        <v>901</v>
      </c>
      <c r="E118" s="77">
        <f>VLOOKUP(A118,'The List'!B1:I665,8,FALSE)</f>
        <v>233.940937406845</v>
      </c>
      <c r="F118" s="77">
        <f>IF('Settings'!$E$15="POINTS",E118-VLOOKUP(B$2,C1:E213,3,FALSE),J118)</f>
        <v>-97.599270513237</v>
      </c>
      <c r="G118" s="77"/>
      <c r="H118" s="223">
        <f>RANK(I118,I3:I213)</f>
        <v>102</v>
      </c>
      <c r="I118" s="77">
        <f>VLOOKUP(A118,'Standard Deviations'!A1:C666,3,FALSE)</f>
        <v>-1.36345212110824</v>
      </c>
      <c r="J118" s="84">
        <f>I118-VLOOKUP(B$2,H1:J213,2,FALSE)</f>
        <v>-6.19290354743233</v>
      </c>
    </row>
    <row r="119" ht="21.25" customHeight="1">
      <c r="A119" t="s" s="10">
        <v>631</v>
      </c>
      <c r="B119" t="s" s="233">
        <f>VLOOKUP(A119,'The List'!B1:D665,3,FALSE)</f>
        <v>153</v>
      </c>
      <c r="C119" s="234">
        <f>IF('Settings'!$E$15="POINTS",RANK(E119,E3:E213),H119)</f>
        <v>142</v>
      </c>
      <c r="D119" t="s" s="86">
        <f>VLOOKUP(A119,'The List'!B1:F665,5,FALSE)</f>
        <v>192</v>
      </c>
      <c r="E119" s="77">
        <f>VLOOKUP(A119,'The List'!B1:I665,8,FALSE)</f>
        <v>199.881063366092</v>
      </c>
      <c r="F119" s="77">
        <f>IF('Settings'!$E$15="POINTS",E119-VLOOKUP(B$2,C1:E213,3,FALSE),J119)</f>
        <v>-131.659144553990</v>
      </c>
      <c r="G119" s="77"/>
      <c r="H119" s="223">
        <f>RANK(I119,I3:I213)</f>
        <v>144</v>
      </c>
      <c r="I119" s="77">
        <f>VLOOKUP(A119,'Standard Deviations'!A1:C666,3,FALSE)</f>
        <v>-2.46803806874013</v>
      </c>
      <c r="J119" s="84">
        <f>I119-VLOOKUP(B$2,H1:J213,2,FALSE)</f>
        <v>-7.29748949506422</v>
      </c>
    </row>
    <row r="120" ht="21.25" customHeight="1">
      <c r="A120" t="s" s="10">
        <v>515</v>
      </c>
      <c r="B120" t="s" s="233">
        <f>VLOOKUP(A120,'The List'!B1:D665,3,FALSE)</f>
        <v>153</v>
      </c>
      <c r="C120" s="234">
        <f>IF('Settings'!$E$15="POINTS",RANK(E120,E3:E213),H120)</f>
        <v>103</v>
      </c>
      <c r="D120" t="s" s="86">
        <f>VLOOKUP(A120,'The List'!B1:F665,5,FALSE)</f>
        <v>914</v>
      </c>
      <c r="E120" s="77">
        <f>VLOOKUP(A120,'The List'!B1:I665,8,FALSE)</f>
        <v>229.179283938469</v>
      </c>
      <c r="F120" s="77">
        <f>IF('Settings'!$E$15="POINTS",E120-VLOOKUP(B$2,C1:E213,3,FALSE),J120)</f>
        <v>-102.360923981613</v>
      </c>
      <c r="G120" s="77"/>
      <c r="H120" s="223">
        <f>RANK(I120,I3:I213)</f>
        <v>178</v>
      </c>
      <c r="I120" s="77">
        <f>VLOOKUP(A120,'Standard Deviations'!A1:C666,3,FALSE)</f>
        <v>-3.44269259035483</v>
      </c>
      <c r="J120" s="84">
        <f>I120-VLOOKUP(B$2,H1:J213,2,FALSE)</f>
        <v>-8.27214401667892</v>
      </c>
    </row>
    <row r="121" ht="21.25" customHeight="1">
      <c r="A121" t="s" s="10">
        <v>559</v>
      </c>
      <c r="B121" t="s" s="233">
        <f>VLOOKUP(A121,'The List'!B1:D665,3,FALSE)</f>
        <v>153</v>
      </c>
      <c r="C121" s="234">
        <f>IF('Settings'!$E$15="POINTS",RANK(E121,E3:E213),H121)</f>
        <v>118</v>
      </c>
      <c r="D121" t="s" s="86">
        <f>VLOOKUP(A121,'The List'!B1:F665,5,FALSE)</f>
        <v>154</v>
      </c>
      <c r="E121" s="77">
        <f>VLOOKUP(A121,'The List'!B1:I665,8,FALSE)</f>
        <v>218.322694193426</v>
      </c>
      <c r="F121" s="77">
        <f>IF('Settings'!$E$15="POINTS",E121-VLOOKUP(B$2,C1:E213,3,FALSE),J121)</f>
        <v>-113.217513726656</v>
      </c>
      <c r="G121" s="77"/>
      <c r="H121" s="223">
        <f>RANK(I121,I3:I213)</f>
        <v>140</v>
      </c>
      <c r="I121" s="77">
        <f>VLOOKUP(A121,'Standard Deviations'!A1:C666,3,FALSE)</f>
        <v>-2.42091966546716</v>
      </c>
      <c r="J121" s="84">
        <f>I121-VLOOKUP(B$2,H1:J213,2,FALSE)</f>
        <v>-7.25037109179125</v>
      </c>
    </row>
    <row r="122" ht="21.25" customHeight="1">
      <c r="A122" t="s" s="10">
        <v>655</v>
      </c>
      <c r="B122" t="s" s="233">
        <f>VLOOKUP(A122,'The List'!B1:D665,3,FALSE)</f>
        <v>153</v>
      </c>
      <c r="C122" s="234">
        <f>IF('Settings'!$E$15="POINTS",RANK(E122,E3:E213),H122)</f>
        <v>151</v>
      </c>
      <c r="D122" t="s" s="86">
        <f>VLOOKUP(A122,'The List'!B1:F665,5,FALSE)</f>
        <v>908</v>
      </c>
      <c r="E122" s="77">
        <f>VLOOKUP(A122,'The List'!B1:I665,8,FALSE)</f>
        <v>191.515569652189</v>
      </c>
      <c r="F122" s="77">
        <f>IF('Settings'!$E$15="POINTS",E122-VLOOKUP(B$2,C1:E213,3,FALSE),J122)</f>
        <v>-140.024638267893</v>
      </c>
      <c r="G122" s="77"/>
      <c r="H122" s="223">
        <f>RANK(I122,I3:I213)</f>
        <v>117</v>
      </c>
      <c r="I122" s="77">
        <f>VLOOKUP(A122,'Standard Deviations'!A1:C666,3,FALSE)</f>
        <v>-1.82939385486666</v>
      </c>
      <c r="J122" s="84">
        <f>I122-VLOOKUP(B$2,H1:J213,2,FALSE)</f>
        <v>-6.65884528119075</v>
      </c>
    </row>
    <row r="123" ht="21.25" customHeight="1">
      <c r="A123" t="s" s="10">
        <v>588</v>
      </c>
      <c r="B123" t="s" s="233">
        <f>VLOOKUP(A123,'The List'!B1:D665,3,FALSE)</f>
        <v>153</v>
      </c>
      <c r="C123" s="234">
        <f>IF('Settings'!$E$15="POINTS",RANK(E123,E3:E213),H123)</f>
        <v>128</v>
      </c>
      <c r="D123" t="s" s="86">
        <f>VLOOKUP(A123,'The List'!B1:F665,5,FALSE)</f>
        <v>866</v>
      </c>
      <c r="E123" s="77">
        <f>VLOOKUP(A123,'The List'!B1:I665,8,FALSE)</f>
        <v>210.739106249195</v>
      </c>
      <c r="F123" s="77">
        <f>IF('Settings'!$E$15="POINTS",E123-VLOOKUP(B$2,C1:E213,3,FALSE),J123)</f>
        <v>-120.801101670887</v>
      </c>
      <c r="G123" s="77"/>
      <c r="H123" s="223">
        <f>RANK(I123,I3:I213)</f>
        <v>124</v>
      </c>
      <c r="I123" s="77">
        <f>VLOOKUP(A123,'Standard Deviations'!A1:C666,3,FALSE)</f>
        <v>-2.02215817204235</v>
      </c>
      <c r="J123" s="84">
        <f>I123-VLOOKUP(B$2,H1:J213,2,FALSE)</f>
        <v>-6.85160959836644</v>
      </c>
    </row>
    <row r="124" ht="21.25" customHeight="1">
      <c r="A124" t="s" s="10">
        <v>491</v>
      </c>
      <c r="B124" t="s" s="233">
        <f>VLOOKUP(A124,'The List'!B1:D665,3,FALSE)</f>
        <v>153</v>
      </c>
      <c r="C124" s="234">
        <f>IF('Settings'!$E$15="POINTS",RANK(E124,E3:E213),H124)</f>
        <v>94</v>
      </c>
      <c r="D124" t="s" s="86">
        <f>VLOOKUP(A124,'The List'!B1:F665,5,FALSE)</f>
        <v>267</v>
      </c>
      <c r="E124" s="77">
        <f>VLOOKUP(A124,'The List'!B1:I665,8,FALSE)</f>
        <v>235.576664290018</v>
      </c>
      <c r="F124" s="77">
        <f>IF('Settings'!$E$15="POINTS",E124-VLOOKUP(B$2,C1:E213,3,FALSE),J124)</f>
        <v>-95.963543630064</v>
      </c>
      <c r="G124" s="77"/>
      <c r="H124" s="223">
        <f>RANK(I124,I3:I213)</f>
        <v>88</v>
      </c>
      <c r="I124" s="77">
        <f>VLOOKUP(A124,'Standard Deviations'!A1:C666,3,FALSE)</f>
        <v>-0.91081087981646</v>
      </c>
      <c r="J124" s="84">
        <f>I124-VLOOKUP(B$2,H1:J213,2,FALSE)</f>
        <v>-5.74026230614055</v>
      </c>
    </row>
    <row r="125" ht="21.25" customHeight="1">
      <c r="A125" t="s" s="10">
        <v>394</v>
      </c>
      <c r="B125" t="s" s="233">
        <f>VLOOKUP(A125,'The List'!B1:D665,3,FALSE)</f>
        <v>153</v>
      </c>
      <c r="C125" s="234">
        <f>IF('Settings'!$E$15="POINTS",RANK(E125,E3:E213),H125)</f>
        <v>56</v>
      </c>
      <c r="D125" t="s" s="86">
        <f>VLOOKUP(A125,'The List'!B1:F665,5,FALSE)</f>
        <v>866</v>
      </c>
      <c r="E125" s="77">
        <f>VLOOKUP(A125,'The List'!B1:I665,8,FALSE)</f>
        <v>268.319776579016</v>
      </c>
      <c r="F125" s="77">
        <f>IF('Settings'!$E$15="POINTS",E125-VLOOKUP(B$2,C1:E213,3,FALSE),J125)</f>
        <v>-63.220431341066</v>
      </c>
      <c r="G125" s="77"/>
      <c r="H125" s="223">
        <f>RANK(I125,I3:I213)</f>
        <v>115</v>
      </c>
      <c r="I125" s="77">
        <f>VLOOKUP(A125,'Standard Deviations'!A1:C666,3,FALSE)</f>
        <v>-1.75275468718809</v>
      </c>
      <c r="J125" s="84">
        <f>I125-VLOOKUP(B$2,H1:J213,2,FALSE)</f>
        <v>-6.58220611351218</v>
      </c>
    </row>
    <row r="126" ht="21.25" customHeight="1">
      <c r="A126" t="s" s="10">
        <v>688</v>
      </c>
      <c r="B126" t="s" s="233">
        <f>VLOOKUP(A126,'The List'!B1:D665,3,FALSE)</f>
        <v>153</v>
      </c>
      <c r="C126" s="234">
        <f>IF('Settings'!$E$15="POINTS",RANK(E126,E3:E213),H126)</f>
        <v>165</v>
      </c>
      <c r="D126" t="s" s="86">
        <f>VLOOKUP(A126,'The List'!B1:F665,5,FALSE)</f>
        <v>909</v>
      </c>
      <c r="E126" s="77">
        <f>VLOOKUP(A126,'The List'!B1:I665,8,FALSE)</f>
        <v>181.425638369851</v>
      </c>
      <c r="F126" s="77">
        <f>IF('Settings'!$E$15="POINTS",E126-VLOOKUP(B$2,C1:E213,3,FALSE),J126)</f>
        <v>-150.114569550231</v>
      </c>
      <c r="G126" s="77"/>
      <c r="H126" s="223">
        <f>RANK(I126,I3:I213)</f>
        <v>183</v>
      </c>
      <c r="I126" s="77">
        <f>VLOOKUP(A126,'Standard Deviations'!A1:C666,3,FALSE)</f>
        <v>-3.53037930833553</v>
      </c>
      <c r="J126" s="84">
        <f>I126-VLOOKUP(B$2,H1:J213,2,FALSE)</f>
        <v>-8.359830734659621</v>
      </c>
    </row>
    <row r="127" ht="21.25" customHeight="1">
      <c r="A127" t="s" s="10">
        <v>647</v>
      </c>
      <c r="B127" t="s" s="233">
        <f>VLOOKUP(A127,'The List'!B1:D665,3,FALSE)</f>
        <v>153</v>
      </c>
      <c r="C127" s="234">
        <f>IF('Settings'!$E$15="POINTS",RANK(E127,E3:E213),H127)</f>
        <v>147</v>
      </c>
      <c r="D127" t="s" s="86">
        <f>VLOOKUP(A127,'The List'!B1:F665,5,FALSE)</f>
        <v>866</v>
      </c>
      <c r="E127" s="77">
        <f>VLOOKUP(A127,'The List'!B1:I665,8,FALSE)</f>
        <v>193.458207676356</v>
      </c>
      <c r="F127" s="77">
        <f>IF('Settings'!$E$15="POINTS",E127-VLOOKUP(B$2,C1:E213,3,FALSE),J127)</f>
        <v>-138.082000243726</v>
      </c>
      <c r="G127" s="77"/>
      <c r="H127" s="223">
        <f>RANK(I127,I3:I213)</f>
        <v>100</v>
      </c>
      <c r="I127" s="77">
        <f>VLOOKUP(A127,'Standard Deviations'!A1:C666,3,FALSE)</f>
        <v>-1.33104718634165</v>
      </c>
      <c r="J127" s="84">
        <f>I127-VLOOKUP(B$2,H1:J213,2,FALSE)</f>
        <v>-6.16049861266574</v>
      </c>
    </row>
    <row r="128" ht="21.25" customHeight="1">
      <c r="A128" t="s" s="10">
        <v>555</v>
      </c>
      <c r="B128" t="s" s="233">
        <f>VLOOKUP(A128,'The List'!B1:D665,3,FALSE)</f>
        <v>153</v>
      </c>
      <c r="C128" s="234">
        <f>IF('Settings'!$E$15="POINTS",RANK(E128,E3:E213),H128)</f>
        <v>116</v>
      </c>
      <c r="D128" t="s" s="86">
        <f>VLOOKUP(A128,'The List'!B1:F665,5,FALSE)</f>
        <v>901</v>
      </c>
      <c r="E128" s="77">
        <f>VLOOKUP(A128,'The List'!B1:I665,8,FALSE)</f>
        <v>218.873797111699</v>
      </c>
      <c r="F128" s="77">
        <f>IF('Settings'!$E$15="POINTS",E128-VLOOKUP(B$2,C1:E213,3,FALSE),J128)</f>
        <v>-112.666410808383</v>
      </c>
      <c r="G128" s="77"/>
      <c r="H128" s="223">
        <f>RANK(I128,I3:I213)</f>
        <v>93</v>
      </c>
      <c r="I128" s="77">
        <f>VLOOKUP(A128,'Standard Deviations'!A1:C666,3,FALSE)</f>
        <v>-1.04111366279373</v>
      </c>
      <c r="J128" s="84">
        <f>I128-VLOOKUP(B$2,H1:J213,2,FALSE)</f>
        <v>-5.87056508911782</v>
      </c>
    </row>
    <row r="129" ht="21.25" customHeight="1">
      <c r="A129" t="s" s="10">
        <v>512</v>
      </c>
      <c r="B129" t="s" s="233">
        <f>VLOOKUP(A129,'The List'!B1:D665,3,FALSE)</f>
        <v>153</v>
      </c>
      <c r="C129" s="234">
        <f>IF('Settings'!$E$15="POINTS",RANK(E129,E3:E213),H129)</f>
        <v>101</v>
      </c>
      <c r="D129" t="s" s="86">
        <f>VLOOKUP(A129,'The List'!B1:F665,5,FALSE)</f>
        <v>903</v>
      </c>
      <c r="E129" s="77">
        <f>VLOOKUP(A129,'The List'!B1:I665,8,FALSE)</f>
        <v>229.343319525693</v>
      </c>
      <c r="F129" s="77">
        <f>IF('Settings'!$E$15="POINTS",E129-VLOOKUP(B$2,C1:E213,3,FALSE),J129)</f>
        <v>-102.196888394389</v>
      </c>
      <c r="G129" s="77"/>
      <c r="H129" s="223">
        <f>RANK(I129,I3:I213)</f>
        <v>106</v>
      </c>
      <c r="I129" s="77">
        <f>VLOOKUP(A129,'Standard Deviations'!A1:C666,3,FALSE)</f>
        <v>-1.44347356348347</v>
      </c>
      <c r="J129" s="84">
        <f>I129-VLOOKUP(B$2,H1:J213,2,FALSE)</f>
        <v>-6.27292498980756</v>
      </c>
    </row>
    <row r="130" ht="21.25" customHeight="1">
      <c r="A130" t="s" s="10">
        <v>464</v>
      </c>
      <c r="B130" t="s" s="233">
        <f>VLOOKUP(A130,'The List'!B1:D665,3,FALSE)</f>
        <v>153</v>
      </c>
      <c r="C130" s="234">
        <f>IF('Settings'!$E$15="POINTS",RANK(E130,E3:E213),H130)</f>
        <v>80</v>
      </c>
      <c r="D130" t="s" s="86">
        <f>VLOOKUP(A130,'The List'!B1:F665,5,FALSE)</f>
        <v>275</v>
      </c>
      <c r="E130" s="77">
        <f>VLOOKUP(A130,'The List'!B1:I665,8,FALSE)</f>
        <v>242.341479467420</v>
      </c>
      <c r="F130" s="77">
        <f>IF('Settings'!$E$15="POINTS",E130-VLOOKUP(B$2,C1:E213,3,FALSE),J130)</f>
        <v>-89.198728452662</v>
      </c>
      <c r="G130" s="77"/>
      <c r="H130" s="223">
        <f>RANK(I130,I3:I213)</f>
        <v>119</v>
      </c>
      <c r="I130" s="77">
        <f>VLOOKUP(A130,'Standard Deviations'!A1:C666,3,FALSE)</f>
        <v>-1.8807391283999</v>
      </c>
      <c r="J130" s="84">
        <f>I130-VLOOKUP(B$2,H1:J213,2,FALSE)</f>
        <v>-6.71019055472399</v>
      </c>
    </row>
    <row r="131" ht="21.25" customHeight="1">
      <c r="A131" t="s" s="10">
        <v>734</v>
      </c>
      <c r="B131" t="s" s="233">
        <f>VLOOKUP(A131,'The List'!B1:D665,3,FALSE)</f>
        <v>153</v>
      </c>
      <c r="C131" s="234">
        <f>IF('Settings'!$E$15="POINTS",RANK(E131,E3:E213),H131)</f>
        <v>176</v>
      </c>
      <c r="D131" t="s" s="86">
        <f>VLOOKUP(A131,'The List'!B1:F665,5,FALSE)</f>
        <v>899</v>
      </c>
      <c r="E131" s="77">
        <f>VLOOKUP(A131,'The List'!B1:I665,8,FALSE)</f>
        <v>167.795831893656</v>
      </c>
      <c r="F131" s="77">
        <f>IF('Settings'!$E$15="POINTS",E131-VLOOKUP(B$2,C1:E213,3,FALSE),J131)</f>
        <v>-163.744376026426</v>
      </c>
      <c r="G131" s="77"/>
      <c r="H131" s="223">
        <f>RANK(I131,I3:I213)</f>
        <v>147</v>
      </c>
      <c r="I131" s="77">
        <f>VLOOKUP(A131,'Standard Deviations'!A1:C666,3,FALSE)</f>
        <v>-2.52670306830592</v>
      </c>
      <c r="J131" s="84">
        <f>I131-VLOOKUP(B$2,H1:J213,2,FALSE)</f>
        <v>-7.35615449463001</v>
      </c>
    </row>
    <row r="132" ht="21.25" customHeight="1">
      <c r="A132" t="s" s="10">
        <v>561</v>
      </c>
      <c r="B132" t="s" s="233">
        <f>VLOOKUP(A132,'The List'!B1:D665,3,FALSE)</f>
        <v>153</v>
      </c>
      <c r="C132" s="234">
        <f>IF('Settings'!$E$15="POINTS",RANK(E132,E3:E213),H132)</f>
        <v>120</v>
      </c>
      <c r="D132" t="s" s="86">
        <f>VLOOKUP(A132,'The List'!B1:F665,5,FALSE)</f>
        <v>910</v>
      </c>
      <c r="E132" s="77">
        <f>VLOOKUP(A132,'The List'!B1:I665,8,FALSE)</f>
        <v>218.062213764006</v>
      </c>
      <c r="F132" s="77">
        <f>IF('Settings'!$E$15="POINTS",E132-VLOOKUP(B$2,C1:E213,3,FALSE),J132)</f>
        <v>-113.477994156076</v>
      </c>
      <c r="G132" s="77"/>
      <c r="H132" s="223">
        <f>RANK(I132,I3:I213)</f>
        <v>161</v>
      </c>
      <c r="I132" s="77">
        <f>VLOOKUP(A132,'Standard Deviations'!A1:C666,3,FALSE)</f>
        <v>-2.86287919882829</v>
      </c>
      <c r="J132" s="84">
        <f>I132-VLOOKUP(B$2,H1:J213,2,FALSE)</f>
        <v>-7.69233062515238</v>
      </c>
    </row>
    <row r="133" ht="21.25" customHeight="1">
      <c r="A133" t="s" s="10">
        <v>636</v>
      </c>
      <c r="B133" t="s" s="233">
        <f>VLOOKUP(A133,'The List'!B1:D665,3,FALSE)</f>
        <v>153</v>
      </c>
      <c r="C133" s="234">
        <f>IF('Settings'!$E$15="POINTS",RANK(E133,E3:E213),H133)</f>
        <v>143</v>
      </c>
      <c r="D133" t="s" s="86">
        <f>VLOOKUP(A133,'The List'!B1:F665,5,FALSE)</f>
        <v>905</v>
      </c>
      <c r="E133" s="77">
        <f>VLOOKUP(A133,'The List'!B1:I665,8,FALSE)</f>
        <v>197.248104592597</v>
      </c>
      <c r="F133" s="77">
        <f>IF('Settings'!$E$15="POINTS",E133-VLOOKUP(B$2,C1:E213,3,FALSE),J133)</f>
        <v>-134.292103327485</v>
      </c>
      <c r="G133" s="77"/>
      <c r="H133" s="223">
        <f>RANK(I133,I3:I213)</f>
        <v>77</v>
      </c>
      <c r="I133" s="77">
        <f>VLOOKUP(A133,'Standard Deviations'!A1:C666,3,FALSE)</f>
        <v>-0.520870009531635</v>
      </c>
      <c r="J133" s="84">
        <f>I133-VLOOKUP(B$2,H1:J213,2,FALSE)</f>
        <v>-5.35032143585573</v>
      </c>
    </row>
    <row r="134" ht="21.25" customHeight="1">
      <c r="A134" t="s" s="10">
        <v>793</v>
      </c>
      <c r="B134" t="s" s="233">
        <f>VLOOKUP(A134,'The List'!B1:D665,3,FALSE)</f>
        <v>153</v>
      </c>
      <c r="C134" s="234">
        <f>IF('Settings'!$E$15="POINTS",RANK(E134,E3:E213),H134)</f>
        <v>191</v>
      </c>
      <c r="D134" t="s" s="86">
        <f>VLOOKUP(A134,'The List'!B1:F665,5,FALSE)</f>
        <v>207</v>
      </c>
      <c r="E134" s="77">
        <f>VLOOKUP(A134,'The List'!B1:I665,8,FALSE)</f>
        <v>149.952253265160</v>
      </c>
      <c r="F134" s="77">
        <f>IF('Settings'!$E$15="POINTS",E134-VLOOKUP(B$2,C1:E213,3,FALSE),J134)</f>
        <v>-181.587954654922</v>
      </c>
      <c r="G134" s="77"/>
      <c r="H134" s="223">
        <f>RANK(I134,I3:I213)</f>
        <v>153</v>
      </c>
      <c r="I134" s="77">
        <f>VLOOKUP(A134,'Standard Deviations'!A1:C666,3,FALSE)</f>
        <v>-2.66803532478164</v>
      </c>
      <c r="J134" s="84">
        <f>I134-VLOOKUP(B$2,H1:J213,2,FALSE)</f>
        <v>-7.49748675110573</v>
      </c>
    </row>
    <row r="135" ht="21.25" customHeight="1">
      <c r="A135" t="s" s="10">
        <v>473</v>
      </c>
      <c r="B135" t="s" s="233">
        <f>VLOOKUP(A135,'The List'!B1:D665,3,FALSE)</f>
        <v>153</v>
      </c>
      <c r="C135" s="234">
        <f>IF('Settings'!$E$15="POINTS",RANK(E135,E3:E213),H135)</f>
        <v>84</v>
      </c>
      <c r="D135" t="s" s="86">
        <f>VLOOKUP(A135,'The List'!B1:F665,5,FALSE)</f>
        <v>911</v>
      </c>
      <c r="E135" s="77">
        <f>VLOOKUP(A135,'The List'!B1:I665,8,FALSE)</f>
        <v>241.358683185098</v>
      </c>
      <c r="F135" s="77">
        <f>IF('Settings'!$E$15="POINTS",E135-VLOOKUP(B$2,C1:E213,3,FALSE),J135)</f>
        <v>-90.181524734984</v>
      </c>
      <c r="G135" s="77"/>
      <c r="H135" s="223">
        <f>RANK(I135,I3:I213)</f>
        <v>148</v>
      </c>
      <c r="I135" s="77">
        <f>VLOOKUP(A135,'Standard Deviations'!A1:C666,3,FALSE)</f>
        <v>-2.58900970466102</v>
      </c>
      <c r="J135" s="84">
        <f>I135-VLOOKUP(B$2,H1:J213,2,FALSE)</f>
        <v>-7.41846113098511</v>
      </c>
    </row>
    <row r="136" ht="21.25" customHeight="1">
      <c r="A136" t="s" s="10">
        <v>605</v>
      </c>
      <c r="B136" t="s" s="233">
        <f>VLOOKUP(A136,'The List'!B1:D665,3,FALSE)</f>
        <v>153</v>
      </c>
      <c r="C136" s="234">
        <f>IF('Settings'!$E$15="POINTS",RANK(E136,E3:E213),H136)</f>
        <v>133</v>
      </c>
      <c r="D136" t="s" s="86">
        <f>VLOOKUP(A136,'The List'!B1:F665,5,FALSE)</f>
        <v>207</v>
      </c>
      <c r="E136" s="77">
        <f>VLOOKUP(A136,'The List'!B1:I665,8,FALSE)</f>
        <v>206.188458346101</v>
      </c>
      <c r="F136" s="77">
        <f>IF('Settings'!$E$15="POINTS",E136-VLOOKUP(B$2,C1:E213,3,FALSE),J136)</f>
        <v>-125.351749573981</v>
      </c>
      <c r="G136" s="77"/>
      <c r="H136" s="223">
        <f>RANK(I136,I3:I213)</f>
        <v>122</v>
      </c>
      <c r="I136" s="77">
        <f>VLOOKUP(A136,'Standard Deviations'!A1:C666,3,FALSE)</f>
        <v>-1.92188156537267</v>
      </c>
      <c r="J136" s="84">
        <f>I136-VLOOKUP(B$2,H1:J213,2,FALSE)</f>
        <v>-6.75133299169676</v>
      </c>
    </row>
    <row r="137" ht="21.25" customHeight="1">
      <c r="A137" t="s" s="10">
        <v>639</v>
      </c>
      <c r="B137" t="s" s="233">
        <f>VLOOKUP(A137,'The List'!B1:D665,3,FALSE)</f>
        <v>153</v>
      </c>
      <c r="C137" s="234">
        <f>IF('Settings'!$E$15="POINTS",RANK(E137,E3:E213),H137)</f>
        <v>144</v>
      </c>
      <c r="D137" t="s" s="86">
        <f>VLOOKUP(A137,'The List'!B1:F665,5,FALSE)</f>
        <v>866</v>
      </c>
      <c r="E137" s="77">
        <f>VLOOKUP(A137,'The List'!B1:I665,8,FALSE)</f>
        <v>195.943867396520</v>
      </c>
      <c r="F137" s="77">
        <f>IF('Settings'!$E$15="POINTS",E137-VLOOKUP(B$2,C1:E213,3,FALSE),J137)</f>
        <v>-135.596340523562</v>
      </c>
      <c r="G137" s="77"/>
      <c r="H137" s="223">
        <f>RANK(I137,I3:I213)</f>
        <v>121</v>
      </c>
      <c r="I137" s="77">
        <f>VLOOKUP(A137,'Standard Deviations'!A1:C666,3,FALSE)</f>
        <v>-1.91643175925517</v>
      </c>
      <c r="J137" s="84">
        <f>I137-VLOOKUP(B$2,H1:J213,2,FALSE)</f>
        <v>-6.74588318557926</v>
      </c>
    </row>
    <row r="138" ht="21.25" customHeight="1">
      <c r="A138" t="s" s="10">
        <v>485</v>
      </c>
      <c r="B138" t="s" s="233">
        <f>VLOOKUP(A138,'The List'!B1:D665,3,FALSE)</f>
        <v>153</v>
      </c>
      <c r="C138" s="234">
        <f>IF('Settings'!$E$15="POINTS",RANK(E138,E3:E213),H138)</f>
        <v>91</v>
      </c>
      <c r="D138" t="s" s="86">
        <f>VLOOKUP(A138,'The List'!B1:F665,5,FALSE)</f>
        <v>899</v>
      </c>
      <c r="E138" s="77">
        <f>VLOOKUP(A138,'The List'!B1:I665,8,FALSE)</f>
        <v>236.855966707820</v>
      </c>
      <c r="F138" s="77">
        <f>IF('Settings'!$E$15="POINTS",E138-VLOOKUP(B$2,C1:E213,3,FALSE),J138)</f>
        <v>-94.68424121226199</v>
      </c>
      <c r="G138" s="77"/>
      <c r="H138" s="223">
        <f>RANK(I138,I3:I213)</f>
        <v>91</v>
      </c>
      <c r="I138" s="77">
        <f>VLOOKUP(A138,'Standard Deviations'!A1:C666,3,FALSE)</f>
        <v>-1.0147676664103</v>
      </c>
      <c r="J138" s="84">
        <f>I138-VLOOKUP(B$2,H1:J213,2,FALSE)</f>
        <v>-5.84421909273439</v>
      </c>
    </row>
    <row r="139" ht="21.25" customHeight="1">
      <c r="A139" t="s" s="10">
        <v>653</v>
      </c>
      <c r="B139" t="s" s="233">
        <f>VLOOKUP(A139,'The List'!B1:D665,3,FALSE)</f>
        <v>153</v>
      </c>
      <c r="C139" s="234">
        <f>IF('Settings'!$E$15="POINTS",RANK(E139,E3:E213),H139)</f>
        <v>150</v>
      </c>
      <c r="D139" t="s" s="86">
        <f>VLOOKUP(A139,'The List'!B1:F665,5,FALSE)</f>
        <v>904</v>
      </c>
      <c r="E139" s="77">
        <f>VLOOKUP(A139,'The List'!B1:I665,8,FALSE)</f>
        <v>191.835579060427</v>
      </c>
      <c r="F139" s="77">
        <f>IF('Settings'!$E$15="POINTS",E139-VLOOKUP(B$2,C1:E213,3,FALSE),J139)</f>
        <v>-139.704628859655</v>
      </c>
      <c r="G139" s="77"/>
      <c r="H139" s="223">
        <f>RANK(I139,I3:I213)</f>
        <v>159</v>
      </c>
      <c r="I139" s="77">
        <f>VLOOKUP(A139,'Standard Deviations'!A1:C666,3,FALSE)</f>
        <v>-2.84093168346605</v>
      </c>
      <c r="J139" s="84">
        <f>I139-VLOOKUP(B$2,H1:J213,2,FALSE)</f>
        <v>-7.67038310979014</v>
      </c>
    </row>
    <row r="140" ht="21.25" customHeight="1">
      <c r="A140" t="s" s="10">
        <v>695</v>
      </c>
      <c r="B140" t="s" s="233">
        <f>VLOOKUP(A140,'The List'!B1:D665,3,FALSE)</f>
        <v>153</v>
      </c>
      <c r="C140" s="234">
        <f>IF('Settings'!$E$15="POINTS",RANK(E140,E3:E213),H140)</f>
        <v>169</v>
      </c>
      <c r="D140" t="s" s="86">
        <f>VLOOKUP(A140,'The List'!B1:F665,5,FALSE)</f>
        <v>342</v>
      </c>
      <c r="E140" s="77">
        <f>VLOOKUP(A140,'The List'!B1:I665,8,FALSE)</f>
        <v>179.241337232160</v>
      </c>
      <c r="F140" s="77">
        <f>IF('Settings'!$E$15="POINTS",E140-VLOOKUP(B$2,C1:E213,3,FALSE),J140)</f>
        <v>-152.298870687922</v>
      </c>
      <c r="G140" s="77"/>
      <c r="H140" s="223">
        <f>RANK(I140,I3:I213)</f>
        <v>133</v>
      </c>
      <c r="I140" s="77">
        <f>VLOOKUP(A140,'Standard Deviations'!A1:C666,3,FALSE)</f>
        <v>-2.23495561670533</v>
      </c>
      <c r="J140" s="84">
        <f>I140-VLOOKUP(B$2,H1:J213,2,FALSE)</f>
        <v>-7.06440704302942</v>
      </c>
    </row>
    <row r="141" ht="21.25" customHeight="1">
      <c r="A141" t="s" s="10">
        <v>736</v>
      </c>
      <c r="B141" t="s" s="233">
        <f>VLOOKUP(A141,'The List'!B1:D665,3,FALSE)</f>
        <v>153</v>
      </c>
      <c r="C141" s="234">
        <f>IF('Settings'!$E$15="POINTS",RANK(E141,E3:E213),H141)</f>
        <v>177</v>
      </c>
      <c r="D141" t="s" s="86">
        <f>VLOOKUP(A141,'The List'!B1:F665,5,FALSE)</f>
        <v>905</v>
      </c>
      <c r="E141" s="77">
        <f>VLOOKUP(A141,'The List'!B1:I665,8,FALSE)</f>
        <v>167.302570420249</v>
      </c>
      <c r="F141" s="77">
        <f>IF('Settings'!$E$15="POINTS",E141-VLOOKUP(B$2,C1:E213,3,FALSE),J141)</f>
        <v>-164.237637499833</v>
      </c>
      <c r="G141" s="77"/>
      <c r="H141" s="223">
        <f>RANK(I141,I3:I213)</f>
        <v>194</v>
      </c>
      <c r="I141" s="77">
        <f>VLOOKUP(A141,'Standard Deviations'!A1:C666,3,FALSE)</f>
        <v>-3.97434249869778</v>
      </c>
      <c r="J141" s="84">
        <f>I141-VLOOKUP(B$2,H1:J213,2,FALSE)</f>
        <v>-8.80379392502187</v>
      </c>
    </row>
    <row r="142" ht="21.25" customHeight="1">
      <c r="A142" t="s" s="10">
        <v>611</v>
      </c>
      <c r="B142" t="s" s="233">
        <f>VLOOKUP(A142,'The List'!B1:D665,3,FALSE)</f>
        <v>153</v>
      </c>
      <c r="C142" s="234">
        <f>IF('Settings'!$E$15="POINTS",RANK(E142,E3:E213),H142)</f>
        <v>137</v>
      </c>
      <c r="D142" t="s" s="86">
        <f>VLOOKUP(A142,'The List'!B1:F665,5,FALSE)</f>
        <v>904</v>
      </c>
      <c r="E142" s="77">
        <f>VLOOKUP(A142,'The List'!B1:I665,8,FALSE)</f>
        <v>204.301024773237</v>
      </c>
      <c r="F142" s="77">
        <f>IF('Settings'!$E$15="POINTS",E142-VLOOKUP(B$2,C1:E213,3,FALSE),J142)</f>
        <v>-127.239183146845</v>
      </c>
      <c r="G142" s="77"/>
      <c r="H142" s="223">
        <f>RANK(I142,I3:I213)</f>
        <v>146</v>
      </c>
      <c r="I142" s="77">
        <f>VLOOKUP(A142,'Standard Deviations'!A1:C666,3,FALSE)</f>
        <v>-2.52045920972221</v>
      </c>
      <c r="J142" s="84">
        <f>I142-VLOOKUP(B$2,H1:J213,2,FALSE)</f>
        <v>-7.3499106360463</v>
      </c>
    </row>
    <row r="143" ht="21.25" customHeight="1">
      <c r="A143" t="s" s="10">
        <v>694</v>
      </c>
      <c r="B143" t="s" s="233">
        <f>VLOOKUP(A143,'The List'!B1:D665,3,FALSE)</f>
        <v>153</v>
      </c>
      <c r="C143" s="234">
        <f>IF('Settings'!$E$15="POINTS",RANK(E143,E3:E213),H143)</f>
        <v>168</v>
      </c>
      <c r="D143" t="s" s="86">
        <f>VLOOKUP(A143,'The List'!B1:F665,5,FALSE)</f>
        <v>871</v>
      </c>
      <c r="E143" s="77">
        <f>VLOOKUP(A143,'The List'!B1:I665,8,FALSE)</f>
        <v>179.520191930494</v>
      </c>
      <c r="F143" s="77">
        <f>IF('Settings'!$E$15="POINTS",E143-VLOOKUP(B$2,C1:E213,3,FALSE),J143)</f>
        <v>-152.020015989588</v>
      </c>
      <c r="G143" s="77"/>
      <c r="H143" s="223">
        <f>RANK(I143,I3:I213)</f>
        <v>132</v>
      </c>
      <c r="I143" s="77">
        <f>VLOOKUP(A143,'Standard Deviations'!A1:C666,3,FALSE)</f>
        <v>-2.22672412496655</v>
      </c>
      <c r="J143" s="84">
        <f>I143-VLOOKUP(B$2,H1:J213,2,FALSE)</f>
        <v>-7.05617555129064</v>
      </c>
    </row>
    <row r="144" ht="21.25" customHeight="1">
      <c r="A144" t="s" s="10">
        <v>488</v>
      </c>
      <c r="B144" t="s" s="233">
        <f>VLOOKUP(A144,'The List'!B1:D665,3,FALSE)</f>
        <v>153</v>
      </c>
      <c r="C144" s="234">
        <f>IF('Settings'!$E$15="POINTS",RANK(E144,E3:E213),H144)</f>
        <v>93</v>
      </c>
      <c r="D144" t="s" s="86">
        <f>VLOOKUP(A144,'The List'!B1:F665,5,FALSE)</f>
        <v>905</v>
      </c>
      <c r="E144" s="77">
        <f>VLOOKUP(A144,'The List'!B1:I665,8,FALSE)</f>
        <v>236.107023322796</v>
      </c>
      <c r="F144" s="77">
        <f>IF('Settings'!$E$15="POINTS",E144-VLOOKUP(B$2,C1:E213,3,FALSE),J144)</f>
        <v>-95.433184597286</v>
      </c>
      <c r="G144" s="77"/>
      <c r="H144" s="223">
        <f>RANK(I144,I3:I213)</f>
        <v>188</v>
      </c>
      <c r="I144" s="77">
        <f>VLOOKUP(A144,'Standard Deviations'!A1:C666,3,FALSE)</f>
        <v>-3.80463163738932</v>
      </c>
      <c r="J144" s="84">
        <f>I144-VLOOKUP(B$2,H1:J213,2,FALSE)</f>
        <v>-8.63408306371341</v>
      </c>
    </row>
    <row r="145" ht="21.25" customHeight="1">
      <c r="A145" t="s" s="10">
        <v>645</v>
      </c>
      <c r="B145" t="s" s="233">
        <f>VLOOKUP(A145,'The List'!B1:D665,3,FALSE)</f>
        <v>153</v>
      </c>
      <c r="C145" s="234">
        <f>IF('Settings'!$E$15="POINTS",RANK(E145,E3:E213),H145)</f>
        <v>146</v>
      </c>
      <c r="D145" t="s" s="86">
        <f>VLOOKUP(A145,'The List'!B1:F665,5,FALSE)</f>
        <v>912</v>
      </c>
      <c r="E145" s="77">
        <f>VLOOKUP(A145,'The List'!B1:I665,8,FALSE)</f>
        <v>194.155947336584</v>
      </c>
      <c r="F145" s="77">
        <f>IF('Settings'!$E$15="POINTS",E145-VLOOKUP(B$2,C1:E213,3,FALSE),J145)</f>
        <v>-137.384260583498</v>
      </c>
      <c r="G145" s="77"/>
      <c r="H145" s="223">
        <f>RANK(I145,I3:I213)</f>
        <v>191</v>
      </c>
      <c r="I145" s="77">
        <f>VLOOKUP(A145,'Standard Deviations'!A1:C666,3,FALSE)</f>
        <v>-3.86507771359023</v>
      </c>
      <c r="J145" s="84">
        <f>I145-VLOOKUP(B$2,H1:J213,2,FALSE)</f>
        <v>-8.694529139914319</v>
      </c>
    </row>
    <row r="146" ht="21.25" customHeight="1">
      <c r="A146" t="s" s="10">
        <v>582</v>
      </c>
      <c r="B146" t="s" s="233">
        <f>VLOOKUP(A146,'The List'!B1:D665,3,FALSE)</f>
        <v>153</v>
      </c>
      <c r="C146" s="234">
        <f>IF('Settings'!$E$15="POINTS",RANK(E146,E3:E213),H146)</f>
        <v>125</v>
      </c>
      <c r="D146" t="s" s="86">
        <f>VLOOKUP(A146,'The List'!B1:F665,5,FALSE)</f>
        <v>903</v>
      </c>
      <c r="E146" s="77">
        <f>VLOOKUP(A146,'The List'!B1:I665,8,FALSE)</f>
        <v>212.229865079855</v>
      </c>
      <c r="F146" s="77">
        <f>IF('Settings'!$E$15="POINTS",E146-VLOOKUP(B$2,C1:E213,3,FALSE),J146)</f>
        <v>-119.310342840227</v>
      </c>
      <c r="G146" s="77"/>
      <c r="H146" s="223">
        <f>RANK(I146,I3:I213)</f>
        <v>120</v>
      </c>
      <c r="I146" s="77">
        <f>VLOOKUP(A146,'Standard Deviations'!A1:C666,3,FALSE)</f>
        <v>-1.91234696096298</v>
      </c>
      <c r="J146" s="84">
        <f>I146-VLOOKUP(B$2,H1:J213,2,FALSE)</f>
        <v>-6.74179838728707</v>
      </c>
    </row>
    <row r="147" ht="21.25" customHeight="1">
      <c r="A147" t="s" s="10">
        <v>423</v>
      </c>
      <c r="B147" t="s" s="233">
        <f>VLOOKUP(A147,'The List'!B1:D665,3,FALSE)</f>
        <v>153</v>
      </c>
      <c r="C147" s="234">
        <f>IF('Settings'!$E$15="POINTS",RANK(E147,E3:E213),H147)</f>
        <v>71</v>
      </c>
      <c r="D147" t="s" s="86">
        <f>VLOOKUP(A147,'The List'!B1:F665,5,FALSE)</f>
        <v>192</v>
      </c>
      <c r="E147" s="77">
        <f>VLOOKUP(A147,'The List'!B1:I665,8,FALSE)</f>
        <v>254.997663708398</v>
      </c>
      <c r="F147" s="77">
        <f>IF('Settings'!$E$15="POINTS",E147-VLOOKUP(B$2,C1:E213,3,FALSE),J147)</f>
        <v>-76.542544211684</v>
      </c>
      <c r="G147" s="77"/>
      <c r="H147" s="223">
        <f>RANK(I147,I3:I213)</f>
        <v>164</v>
      </c>
      <c r="I147" s="77">
        <f>VLOOKUP(A147,'Standard Deviations'!A1:C666,3,FALSE)</f>
        <v>-2.94381432289082</v>
      </c>
      <c r="J147" s="84">
        <f>I147-VLOOKUP(B$2,H1:J213,2,FALSE)</f>
        <v>-7.77326574921491</v>
      </c>
    </row>
    <row r="148" ht="21.25" customHeight="1">
      <c r="A148" t="s" s="10">
        <v>796</v>
      </c>
      <c r="B148" t="s" s="233">
        <f>VLOOKUP(A148,'The List'!B1:D665,3,FALSE)</f>
        <v>153</v>
      </c>
      <c r="C148" s="234">
        <f>IF('Settings'!$E$15="POINTS",RANK(E148,E3:E213),H148)</f>
        <v>193</v>
      </c>
      <c r="D148" t="s" s="86">
        <f>VLOOKUP(A148,'The List'!B1:F665,5,FALSE)</f>
        <v>907</v>
      </c>
      <c r="E148" s="77">
        <f>VLOOKUP(A148,'The List'!B1:I665,8,FALSE)</f>
        <v>148.149661105021</v>
      </c>
      <c r="F148" s="77">
        <f>IF('Settings'!$E$15="POINTS",E148-VLOOKUP(B$2,C1:E213,3,FALSE),J148)</f>
        <v>-183.390546815061</v>
      </c>
      <c r="G148" s="77"/>
      <c r="H148" s="223">
        <f>RANK(I148,I3:I213)</f>
        <v>180</v>
      </c>
      <c r="I148" s="77">
        <f>VLOOKUP(A148,'Standard Deviations'!A1:C666,3,FALSE)</f>
        <v>-3.50858857245595</v>
      </c>
      <c r="J148" s="84">
        <f>I148-VLOOKUP(B$2,H1:J213,2,FALSE)</f>
        <v>-8.33803999878004</v>
      </c>
    </row>
    <row r="149" ht="21.25" customHeight="1">
      <c r="A149" t="s" s="10">
        <v>670</v>
      </c>
      <c r="B149" t="s" s="233">
        <f>VLOOKUP(A149,'The List'!B1:D665,3,FALSE)</f>
        <v>153</v>
      </c>
      <c r="C149" s="234">
        <f>IF('Settings'!$E$15="POINTS",RANK(E149,E3:E213),H149)</f>
        <v>157</v>
      </c>
      <c r="D149" t="s" s="86">
        <f>VLOOKUP(A149,'The List'!B1:F665,5,FALSE)</f>
        <v>907</v>
      </c>
      <c r="E149" s="77">
        <f>VLOOKUP(A149,'The List'!B1:I665,8,FALSE)</f>
        <v>186.412093850344</v>
      </c>
      <c r="F149" s="77">
        <f>IF('Settings'!$E$15="POINTS",E149-VLOOKUP(B$2,C1:E213,3,FALSE),J149)</f>
        <v>-145.128114069738</v>
      </c>
      <c r="G149" s="77"/>
      <c r="H149" s="223">
        <f>RANK(I149,I3:I213)</f>
        <v>174</v>
      </c>
      <c r="I149" s="77">
        <f>VLOOKUP(A149,'Standard Deviations'!A1:C666,3,FALSE)</f>
        <v>-3.28084569341141</v>
      </c>
      <c r="J149" s="84">
        <f>I149-VLOOKUP(B$2,H1:J213,2,FALSE)</f>
        <v>-8.110297119735501</v>
      </c>
    </row>
    <row r="150" ht="21.25" customHeight="1">
      <c r="A150" t="s" s="10">
        <v>650</v>
      </c>
      <c r="B150" t="s" s="233">
        <f>VLOOKUP(A150,'The List'!B1:D665,3,FALSE)</f>
        <v>153</v>
      </c>
      <c r="C150" s="234">
        <f>IF('Settings'!$E$15="POINTS",RANK(E150,E3:E213),H150)</f>
        <v>148</v>
      </c>
      <c r="D150" t="s" s="86">
        <f>VLOOKUP(A150,'The List'!B1:F665,5,FALSE)</f>
        <v>908</v>
      </c>
      <c r="E150" s="77">
        <f>VLOOKUP(A150,'The List'!B1:I665,8,FALSE)</f>
        <v>192.623895747043</v>
      </c>
      <c r="F150" s="77">
        <f>IF('Settings'!$E$15="POINTS",E150-VLOOKUP(B$2,C1:E213,3,FALSE),J150)</f>
        <v>-138.916312173039</v>
      </c>
      <c r="G150" s="77"/>
      <c r="H150" s="223">
        <f>RANK(I150,I3:I213)</f>
        <v>143</v>
      </c>
      <c r="I150" s="77">
        <f>VLOOKUP(A150,'Standard Deviations'!A1:C666,3,FALSE)</f>
        <v>-2.4484131459715</v>
      </c>
      <c r="J150" s="84">
        <f>I150-VLOOKUP(B$2,H1:J213,2,FALSE)</f>
        <v>-7.27786457229559</v>
      </c>
    </row>
    <row r="151" ht="21.25" customHeight="1">
      <c r="A151" t="s" s="10">
        <v>849</v>
      </c>
      <c r="B151" t="s" s="233">
        <f>VLOOKUP(A151,'The List'!B1:D665,3,FALSE)</f>
        <v>153</v>
      </c>
      <c r="C151" s="234">
        <f>IF('Settings'!$E$15="POINTS",RANK(E151,E3:E213),H151)</f>
        <v>210</v>
      </c>
      <c r="D151" t="s" s="86">
        <f>VLOOKUP(A151,'The List'!B1:F665,5,FALSE)</f>
        <v>907</v>
      </c>
      <c r="E151" s="77">
        <f>VLOOKUP(A151,'The List'!B1:I665,8,FALSE)</f>
        <v>116.771735223713</v>
      </c>
      <c r="F151" s="77">
        <f>IF('Settings'!$E$15="POINTS",E151-VLOOKUP(B$2,C1:E213,3,FALSE),J151)</f>
        <v>-214.768472696369</v>
      </c>
      <c r="G151" s="77"/>
      <c r="H151" s="223">
        <f>RANK(I151,I3:I213)</f>
        <v>204</v>
      </c>
      <c r="I151" s="77">
        <f>VLOOKUP(A151,'Standard Deviations'!A1:C666,3,FALSE)</f>
        <v>-4.52540365016658</v>
      </c>
      <c r="J151" s="84">
        <f>I151-VLOOKUP(B$2,H1:J213,2,FALSE)</f>
        <v>-9.35485507649067</v>
      </c>
    </row>
    <row r="152" ht="21.25" customHeight="1">
      <c r="A152" t="s" s="10">
        <v>616</v>
      </c>
      <c r="B152" t="s" s="233">
        <f>VLOOKUP(A152,'The List'!B1:D665,3,FALSE)</f>
        <v>153</v>
      </c>
      <c r="C152" s="234">
        <f>IF('Settings'!$E$15="POINTS",RANK(E152,E3:E213),H152)</f>
        <v>138</v>
      </c>
      <c r="D152" t="s" s="86">
        <f>VLOOKUP(A152,'The List'!B1:F665,5,FALSE)</f>
        <v>900</v>
      </c>
      <c r="E152" s="77">
        <f>VLOOKUP(A152,'The List'!B1:I665,8,FALSE)</f>
        <v>203.738052233243</v>
      </c>
      <c r="F152" s="77">
        <f>IF('Settings'!$E$15="POINTS",E152-VLOOKUP(B$2,C1:E213,3,FALSE),J152)</f>
        <v>-127.802155686839</v>
      </c>
      <c r="G152" s="77"/>
      <c r="H152" s="223">
        <f>RANK(I152,I3:I213)</f>
        <v>114</v>
      </c>
      <c r="I152" s="77">
        <f>VLOOKUP(A152,'Standard Deviations'!A1:C666,3,FALSE)</f>
        <v>-1.707496923909</v>
      </c>
      <c r="J152" s="84">
        <f>I152-VLOOKUP(B$2,H1:J213,2,FALSE)</f>
        <v>-6.53694835023309</v>
      </c>
    </row>
    <row r="153" ht="21.25" customHeight="1">
      <c r="A153" t="s" s="10">
        <v>676</v>
      </c>
      <c r="B153" t="s" s="233">
        <f>VLOOKUP(A153,'The List'!B1:D665,3,FALSE)</f>
        <v>153</v>
      </c>
      <c r="C153" s="234">
        <f>IF('Settings'!$E$15="POINTS",RANK(E153,E3:E213),H153)</f>
        <v>158</v>
      </c>
      <c r="D153" t="s" s="86">
        <f>VLOOKUP(A153,'The List'!B1:F665,5,FALSE)</f>
        <v>904</v>
      </c>
      <c r="E153" s="77">
        <f>VLOOKUP(A153,'The List'!B1:I665,8,FALSE)</f>
        <v>184.675337925402</v>
      </c>
      <c r="F153" s="77">
        <f>IF('Settings'!$E$15="POINTS",E153-VLOOKUP(B$2,C1:E213,3,FALSE),J153)</f>
        <v>-146.864869994680</v>
      </c>
      <c r="G153" s="77"/>
      <c r="H153" s="223">
        <f>RANK(I153,I3:I213)</f>
        <v>172</v>
      </c>
      <c r="I153" s="77">
        <f>VLOOKUP(A153,'Standard Deviations'!A1:C666,3,FALSE)</f>
        <v>-3.21520318401009</v>
      </c>
      <c r="J153" s="84">
        <f>I153-VLOOKUP(B$2,H1:J213,2,FALSE)</f>
        <v>-8.044654610334179</v>
      </c>
    </row>
    <row r="154" ht="21.25" customHeight="1">
      <c r="A154" t="s" s="10">
        <v>727</v>
      </c>
      <c r="B154" t="s" s="233">
        <f>VLOOKUP(A154,'The List'!B1:D665,3,FALSE)</f>
        <v>153</v>
      </c>
      <c r="C154" s="234">
        <f>IF('Settings'!$E$15="POINTS",RANK(E154,E3:E213),H154)</f>
        <v>173</v>
      </c>
      <c r="D154" t="s" s="86">
        <f>VLOOKUP(A154,'The List'!B1:F665,5,FALSE)</f>
        <v>908</v>
      </c>
      <c r="E154" s="77">
        <f>VLOOKUP(A154,'The List'!B1:I665,8,FALSE)</f>
        <v>168.9874891181</v>
      </c>
      <c r="F154" s="77">
        <f>IF('Settings'!$E$15="POINTS",E154-VLOOKUP(B$2,C1:E213,3,FALSE),J154)</f>
        <v>-162.552718801982</v>
      </c>
      <c r="G154" s="77"/>
      <c r="H154" s="223">
        <f>RANK(I154,I3:I213)</f>
        <v>135</v>
      </c>
      <c r="I154" s="77">
        <f>VLOOKUP(A154,'Standard Deviations'!A1:C666,3,FALSE)</f>
        <v>-2.2488722726906</v>
      </c>
      <c r="J154" s="84">
        <f>I154-VLOOKUP(B$2,H1:J213,2,FALSE)</f>
        <v>-7.07832369901469</v>
      </c>
    </row>
    <row r="155" ht="21.25" customHeight="1">
      <c r="A155" t="s" s="10">
        <v>594</v>
      </c>
      <c r="B155" t="s" s="233">
        <f>VLOOKUP(A155,'The List'!B1:D665,3,FALSE)</f>
        <v>153</v>
      </c>
      <c r="C155" s="234">
        <f>IF('Settings'!$E$15="POINTS",RANK(E155,E3:E213),H155)</f>
        <v>130</v>
      </c>
      <c r="D155" t="s" s="86">
        <f>VLOOKUP(A155,'The List'!B1:F665,5,FALSE)</f>
        <v>878</v>
      </c>
      <c r="E155" s="77">
        <f>VLOOKUP(A155,'The List'!B1:I665,8,FALSE)</f>
        <v>209.214770532038</v>
      </c>
      <c r="F155" s="77">
        <f>IF('Settings'!$E$15="POINTS",E155-VLOOKUP(B$2,C1:E213,3,FALSE),J155)</f>
        <v>-122.325437388044</v>
      </c>
      <c r="G155" s="77"/>
      <c r="H155" s="223">
        <f>RANK(I155,I3:I213)</f>
        <v>103</v>
      </c>
      <c r="I155" s="77">
        <f>VLOOKUP(A155,'Standard Deviations'!A1:C666,3,FALSE)</f>
        <v>-1.37775151840138</v>
      </c>
      <c r="J155" s="84">
        <f>I155-VLOOKUP(B$2,H1:J213,2,FALSE)</f>
        <v>-6.20720294472547</v>
      </c>
    </row>
    <row r="156" ht="21.25" customHeight="1">
      <c r="A156" t="s" s="10">
        <v>549</v>
      </c>
      <c r="B156" t="s" s="233">
        <f>VLOOKUP(A156,'The List'!B1:D665,3,FALSE)</f>
        <v>153</v>
      </c>
      <c r="C156" s="234">
        <f>IF('Settings'!$E$15="POINTS",RANK(E156,E3:E213),H156)</f>
        <v>113</v>
      </c>
      <c r="D156" t="s" s="86">
        <f>VLOOKUP(A156,'The List'!B1:F665,5,FALSE)</f>
        <v>149</v>
      </c>
      <c r="E156" s="77">
        <f>VLOOKUP(A156,'The List'!B1:I665,8,FALSE)</f>
        <v>219.198952006231</v>
      </c>
      <c r="F156" s="77">
        <f>IF('Settings'!$E$15="POINTS",E156-VLOOKUP(B$2,C1:E213,3,FALSE),J156)</f>
        <v>-112.341255913851</v>
      </c>
      <c r="G156" s="77"/>
      <c r="H156" s="223">
        <f>RANK(I156,I3:I213)</f>
        <v>137</v>
      </c>
      <c r="I156" s="77">
        <f>VLOOKUP(A156,'Standard Deviations'!A1:C666,3,FALSE)</f>
        <v>-2.29266437604027</v>
      </c>
      <c r="J156" s="84">
        <f>I156-VLOOKUP(B$2,H1:J213,2,FALSE)</f>
        <v>-7.12211580236436</v>
      </c>
    </row>
    <row r="157" ht="21.25" customHeight="1">
      <c r="A157" t="s" s="10">
        <v>781</v>
      </c>
      <c r="B157" t="s" s="233">
        <f>VLOOKUP(A157,'The List'!B1:D665,3,FALSE)</f>
        <v>153</v>
      </c>
      <c r="C157" s="234">
        <f>IF('Settings'!$E$15="POINTS",RANK(E157,E3:E213),H157)</f>
        <v>187</v>
      </c>
      <c r="D157" t="s" s="86">
        <f>VLOOKUP(A157,'The List'!B1:F665,5,FALSE)</f>
        <v>174</v>
      </c>
      <c r="E157" s="77">
        <f>VLOOKUP(A157,'The List'!B1:I665,8,FALSE)</f>
        <v>155.052732088342</v>
      </c>
      <c r="F157" s="77">
        <f>IF('Settings'!$E$15="POINTS",E157-VLOOKUP(B$2,C1:E213,3,FALSE),J157)</f>
        <v>-176.487475831740</v>
      </c>
      <c r="G157" s="77"/>
      <c r="H157" s="223">
        <f>RANK(I157,I3:I213)</f>
        <v>205</v>
      </c>
      <c r="I157" s="77">
        <f>VLOOKUP(A157,'Standard Deviations'!A1:C666,3,FALSE)</f>
        <v>-4.53171319655749</v>
      </c>
      <c r="J157" s="84">
        <f>I157-VLOOKUP(B$2,H1:J213,2,FALSE)</f>
        <v>-9.36116462288158</v>
      </c>
    </row>
    <row r="158" ht="21.25" customHeight="1">
      <c r="A158" t="s" s="10">
        <v>788</v>
      </c>
      <c r="B158" t="s" s="233">
        <f>VLOOKUP(A158,'The List'!B1:D665,3,FALSE)</f>
        <v>153</v>
      </c>
      <c r="C158" s="234">
        <f>IF('Settings'!$E$15="POINTS",RANK(E158,E3:E213),H158)</f>
        <v>189</v>
      </c>
      <c r="D158" t="s" s="86">
        <f>VLOOKUP(A158,'The List'!B1:F665,5,FALSE)</f>
        <v>914</v>
      </c>
      <c r="E158" s="77">
        <f>VLOOKUP(A158,'The List'!B1:I665,8,FALSE)</f>
        <v>153.223315641723</v>
      </c>
      <c r="F158" s="77">
        <f>IF('Settings'!$E$15="POINTS",E158-VLOOKUP(B$2,C1:E213,3,FALSE),J158)</f>
        <v>-178.316892278359</v>
      </c>
      <c r="G158" s="77"/>
      <c r="H158" s="223">
        <f>RANK(I158,I3:I213)</f>
        <v>207</v>
      </c>
      <c r="I158" s="77">
        <f>VLOOKUP(A158,'Standard Deviations'!A1:C666,3,FALSE)</f>
        <v>-4.82824423061225</v>
      </c>
      <c r="J158" s="84">
        <f>I158-VLOOKUP(B$2,H1:J213,2,FALSE)</f>
        <v>-9.65769565693634</v>
      </c>
    </row>
    <row r="159" ht="21.25" customHeight="1">
      <c r="A159" t="s" s="10">
        <v>533</v>
      </c>
      <c r="B159" t="s" s="233">
        <f>VLOOKUP(A159,'The List'!B1:D665,3,FALSE)</f>
        <v>153</v>
      </c>
      <c r="C159" s="234">
        <f>IF('Settings'!$E$15="POINTS",RANK(E159,E3:E213),H159)</f>
        <v>107</v>
      </c>
      <c r="D159" t="s" s="86">
        <f>VLOOKUP(A159,'The List'!B1:F665,5,FALSE)</f>
        <v>902</v>
      </c>
      <c r="E159" s="77">
        <f>VLOOKUP(A159,'The List'!B1:I665,8,FALSE)</f>
        <v>224.142030209334</v>
      </c>
      <c r="F159" s="77">
        <f>IF('Settings'!$E$15="POINTS",E159-VLOOKUP(B$2,C1:E213,3,FALSE),J159)</f>
        <v>-107.398177710748</v>
      </c>
      <c r="G159" s="77"/>
      <c r="H159" s="223">
        <f>RANK(I159,I3:I213)</f>
        <v>150</v>
      </c>
      <c r="I159" s="77">
        <f>VLOOKUP(A159,'Standard Deviations'!A1:C666,3,FALSE)</f>
        <v>-2.60726093727069</v>
      </c>
      <c r="J159" s="84">
        <f>I159-VLOOKUP(B$2,H1:J213,2,FALSE)</f>
        <v>-7.43671236359478</v>
      </c>
    </row>
    <row r="160" ht="21.25" customHeight="1">
      <c r="A160" t="s" s="10">
        <v>587</v>
      </c>
      <c r="B160" t="s" s="233">
        <f>VLOOKUP(A160,'The List'!B1:D665,3,FALSE)</f>
        <v>153</v>
      </c>
      <c r="C160" s="234">
        <f>IF('Settings'!$E$15="POINTS",RANK(E160,E3:E213),H160)</f>
        <v>127</v>
      </c>
      <c r="D160" t="s" s="86">
        <f>VLOOKUP(A160,'The List'!B1:F665,5,FALSE)</f>
        <v>908</v>
      </c>
      <c r="E160" s="77">
        <f>VLOOKUP(A160,'The List'!B1:I665,8,FALSE)</f>
        <v>210.836208832747</v>
      </c>
      <c r="F160" s="77">
        <f>IF('Settings'!$E$15="POINTS",E160-VLOOKUP(B$2,C1:E213,3,FALSE),J160)</f>
        <v>-120.703999087335</v>
      </c>
      <c r="G160" s="77"/>
      <c r="H160" s="223">
        <f>RANK(I160,I3:I213)</f>
        <v>79</v>
      </c>
      <c r="I160" s="77">
        <f>VLOOKUP(A160,'Standard Deviations'!A1:C666,3,FALSE)</f>
        <v>-0.592831823523952</v>
      </c>
      <c r="J160" s="84">
        <f>I160-VLOOKUP(B$2,H1:J213,2,FALSE)</f>
        <v>-5.42228324984804</v>
      </c>
    </row>
    <row r="161" ht="21.25" customHeight="1">
      <c r="A161" t="s" s="10">
        <v>690</v>
      </c>
      <c r="B161" t="s" s="233">
        <f>VLOOKUP(A161,'The List'!B1:D665,3,FALSE)</f>
        <v>153</v>
      </c>
      <c r="C161" s="234">
        <f>IF('Settings'!$E$15="POINTS",RANK(E161,E3:E213),H161)</f>
        <v>166</v>
      </c>
      <c r="D161" t="s" s="86">
        <f>VLOOKUP(A161,'The List'!B1:F665,5,FALSE)</f>
        <v>154</v>
      </c>
      <c r="E161" s="77">
        <f>VLOOKUP(A161,'The List'!B1:I665,8,FALSE)</f>
        <v>181.183776571693</v>
      </c>
      <c r="F161" s="77">
        <f>IF('Settings'!$E$15="POINTS",E161-VLOOKUP(B$2,C1:E213,3,FALSE),J161)</f>
        <v>-150.356431348389</v>
      </c>
      <c r="G161" s="77"/>
      <c r="H161" s="223">
        <f>RANK(I161,I3:I213)</f>
        <v>165</v>
      </c>
      <c r="I161" s="77">
        <f>VLOOKUP(A161,'Standard Deviations'!A1:C666,3,FALSE)</f>
        <v>-2.99897415718331</v>
      </c>
      <c r="J161" s="84">
        <f>I161-VLOOKUP(B$2,H1:J213,2,FALSE)</f>
        <v>-7.8284255835074</v>
      </c>
    </row>
    <row r="162" ht="21.25" customHeight="1">
      <c r="A162" t="s" s="10">
        <v>486</v>
      </c>
      <c r="B162" t="s" s="233">
        <f>VLOOKUP(A162,'The List'!B1:D665,3,FALSE)</f>
        <v>153</v>
      </c>
      <c r="C162" s="234">
        <f>IF('Settings'!$E$15="POINTS",RANK(E162,E3:E213),H162)</f>
        <v>92</v>
      </c>
      <c r="D162" t="s" s="86">
        <f>VLOOKUP(A162,'The List'!B1:F665,5,FALSE)</f>
        <v>149</v>
      </c>
      <c r="E162" s="77">
        <f>VLOOKUP(A162,'The List'!B1:I665,8,FALSE)</f>
        <v>236.696758740938</v>
      </c>
      <c r="F162" s="77">
        <f>IF('Settings'!$E$15="POINTS",E162-VLOOKUP(B$2,C1:E213,3,FALSE),J162)</f>
        <v>-94.843449179144</v>
      </c>
      <c r="G162" s="77"/>
      <c r="H162" s="223">
        <f>RANK(I162,I3:I213)</f>
        <v>107</v>
      </c>
      <c r="I162" s="77">
        <f>VLOOKUP(A162,'Standard Deviations'!A1:C666,3,FALSE)</f>
        <v>-1.47045472657655</v>
      </c>
      <c r="J162" s="84">
        <f>I162-VLOOKUP(B$2,H1:J213,2,FALSE)</f>
        <v>-6.29990615290064</v>
      </c>
    </row>
    <row r="163" ht="21.25" customHeight="1">
      <c r="A163" t="s" s="10">
        <v>630</v>
      </c>
      <c r="B163" t="s" s="233">
        <f>VLOOKUP(A163,'The List'!B1:D665,3,FALSE)</f>
        <v>153</v>
      </c>
      <c r="C163" s="234">
        <f>IF('Settings'!$E$15="POINTS",RANK(E163,E3:E213),H163)</f>
        <v>141</v>
      </c>
      <c r="D163" t="s" s="86">
        <f>VLOOKUP(A163,'The List'!B1:F665,5,FALSE)</f>
        <v>909</v>
      </c>
      <c r="E163" s="77">
        <f>VLOOKUP(A163,'The List'!B1:I665,8,FALSE)</f>
        <v>200.431587694956</v>
      </c>
      <c r="F163" s="77">
        <f>IF('Settings'!$E$15="POINTS",E163-VLOOKUP(B$2,C1:E213,3,FALSE),J163)</f>
        <v>-131.108620225126</v>
      </c>
      <c r="G163" s="77"/>
      <c r="H163" s="223">
        <f>RANK(I163,I3:I213)</f>
        <v>193</v>
      </c>
      <c r="I163" s="77">
        <f>VLOOKUP(A163,'Standard Deviations'!A1:C666,3,FALSE)</f>
        <v>-3.91742368489613</v>
      </c>
      <c r="J163" s="84">
        <f>I163-VLOOKUP(B$2,H1:J213,2,FALSE)</f>
        <v>-8.74687511122022</v>
      </c>
    </row>
    <row r="164" ht="21.25" customHeight="1">
      <c r="A164" t="s" s="10">
        <v>474</v>
      </c>
      <c r="B164" t="s" s="233">
        <f>VLOOKUP(A164,'The List'!B1:D665,3,FALSE)</f>
        <v>153</v>
      </c>
      <c r="C164" s="234">
        <f>IF('Settings'!$E$15="POINTS",RANK(E164,E3:E213),H164)</f>
        <v>85</v>
      </c>
      <c r="D164" t="s" s="86">
        <f>VLOOKUP(A164,'The List'!B1:F665,5,FALSE)</f>
        <v>154</v>
      </c>
      <c r="E164" s="77">
        <f>VLOOKUP(A164,'The List'!B1:I665,8,FALSE)</f>
        <v>241.020149706814</v>
      </c>
      <c r="F164" s="77">
        <f>IF('Settings'!$E$15="POINTS",E164-VLOOKUP(B$2,C1:E213,3,FALSE),J164)</f>
        <v>-90.520058213268</v>
      </c>
      <c r="G164" s="77"/>
      <c r="H164" s="223">
        <f>RANK(I164,I3:I213)</f>
        <v>149</v>
      </c>
      <c r="I164" s="77">
        <f>VLOOKUP(A164,'Standard Deviations'!A1:C666,3,FALSE)</f>
        <v>-2.59015475907079</v>
      </c>
      <c r="J164" s="84">
        <f>I164-VLOOKUP(B$2,H1:J213,2,FALSE)</f>
        <v>-7.41960618539488</v>
      </c>
    </row>
    <row r="165" ht="21.25" customHeight="1">
      <c r="A165" t="s" s="10">
        <v>801</v>
      </c>
      <c r="B165" t="s" s="233">
        <f>VLOOKUP(A165,'The List'!B1:D665,3,FALSE)</f>
        <v>153</v>
      </c>
      <c r="C165" s="234">
        <f>IF('Settings'!$E$15="POINTS",RANK(E165,E3:E213),H165)</f>
        <v>196</v>
      </c>
      <c r="D165" t="s" s="86">
        <f>VLOOKUP(A165,'The List'!B1:F665,5,FALSE)</f>
        <v>902</v>
      </c>
      <c r="E165" s="77">
        <f>VLOOKUP(A165,'The List'!B1:I665,8,FALSE)</f>
        <v>147.172945141999</v>
      </c>
      <c r="F165" s="77">
        <f>IF('Settings'!$E$15="POINTS",E165-VLOOKUP(B$2,C1:E213,3,FALSE),J165)</f>
        <v>-184.367262778083</v>
      </c>
      <c r="G165" s="77"/>
      <c r="H165" s="223">
        <f>RANK(I165,I3:I213)</f>
        <v>136</v>
      </c>
      <c r="I165" s="77">
        <f>VLOOKUP(A165,'Standard Deviations'!A1:C666,3,FALSE)</f>
        <v>-2.28149073420493</v>
      </c>
      <c r="J165" s="84">
        <f>I165-VLOOKUP(B$2,H1:J213,2,FALSE)</f>
        <v>-7.11094216052902</v>
      </c>
    </row>
    <row r="166" ht="21.25" customHeight="1">
      <c r="A166" t="s" s="10">
        <v>742</v>
      </c>
      <c r="B166" t="s" s="233">
        <f>VLOOKUP(A166,'The List'!B1:D665,3,FALSE)</f>
        <v>153</v>
      </c>
      <c r="C166" s="234">
        <f>IF('Settings'!$E$15="POINTS",RANK(E166,E3:E213),H166)</f>
        <v>178</v>
      </c>
      <c r="D166" t="s" s="86">
        <f>VLOOKUP(A166,'The List'!B1:F665,5,FALSE)</f>
        <v>192</v>
      </c>
      <c r="E166" s="77">
        <f>VLOOKUP(A166,'The List'!B1:I665,8,FALSE)</f>
        <v>166.100265916976</v>
      </c>
      <c r="F166" s="77">
        <f>IF('Settings'!$E$15="POINTS",E166-VLOOKUP(B$2,C1:E213,3,FALSE),J166)</f>
        <v>-165.439942003106</v>
      </c>
      <c r="G166" s="77"/>
      <c r="H166" s="223">
        <f>RANK(I166,I3:I213)</f>
        <v>151</v>
      </c>
      <c r="I166" s="77">
        <f>VLOOKUP(A166,'Standard Deviations'!A1:C666,3,FALSE)</f>
        <v>-2.6482707318019</v>
      </c>
      <c r="J166" s="84">
        <f>I166-VLOOKUP(B$2,H1:J213,2,FALSE)</f>
        <v>-7.47772215812599</v>
      </c>
    </row>
    <row r="167" ht="21.25" customHeight="1">
      <c r="A167" t="s" s="10">
        <v>557</v>
      </c>
      <c r="B167" t="s" s="233">
        <f>VLOOKUP(A167,'The List'!B1:D665,3,FALSE)</f>
        <v>153</v>
      </c>
      <c r="C167" s="234">
        <f>IF('Settings'!$E$15="POINTS",RANK(E167,E3:E213),H167)</f>
        <v>117</v>
      </c>
      <c r="D167" t="s" s="86">
        <f>VLOOKUP(A167,'The List'!B1:F665,5,FALSE)</f>
        <v>899</v>
      </c>
      <c r="E167" s="77">
        <f>VLOOKUP(A167,'The List'!B1:I665,8,FALSE)</f>
        <v>218.676222897085</v>
      </c>
      <c r="F167" s="77">
        <f>IF('Settings'!$E$15="POINTS",E167-VLOOKUP(B$2,C1:E213,3,FALSE),J167)</f>
        <v>-112.863985022997</v>
      </c>
      <c r="G167" s="77"/>
      <c r="H167" s="223">
        <f>RANK(I167,I3:I213)</f>
        <v>157</v>
      </c>
      <c r="I167" s="77">
        <f>VLOOKUP(A167,'Standard Deviations'!A1:C666,3,FALSE)</f>
        <v>-2.81380902938373</v>
      </c>
      <c r="J167" s="84">
        <f>I167-VLOOKUP(B$2,H1:J213,2,FALSE)</f>
        <v>-7.64326045570782</v>
      </c>
    </row>
    <row r="168" ht="21.25" customHeight="1">
      <c r="A168" t="s" s="10">
        <v>751</v>
      </c>
      <c r="B168" t="s" s="233">
        <f>VLOOKUP(A168,'The List'!B1:D665,3,FALSE)</f>
        <v>153</v>
      </c>
      <c r="C168" s="234">
        <f>IF('Settings'!$E$15="POINTS",RANK(E168,E3:E213),H168)</f>
        <v>182</v>
      </c>
      <c r="D168" t="s" s="86">
        <f>VLOOKUP(A168,'The List'!B1:F665,5,FALSE)</f>
        <v>914</v>
      </c>
      <c r="E168" s="77">
        <f>VLOOKUP(A168,'The List'!B1:I665,8,FALSE)</f>
        <v>163.574478437085</v>
      </c>
      <c r="F168" s="77">
        <f>IF('Settings'!$E$15="POINTS",E168-VLOOKUP(B$2,C1:E213,3,FALSE),J168)</f>
        <v>-167.965729482997</v>
      </c>
      <c r="G168" s="77"/>
      <c r="H168" s="223">
        <f>RANK(I168,I3:I213)</f>
        <v>185</v>
      </c>
      <c r="I168" s="77">
        <f>VLOOKUP(A168,'Standard Deviations'!A1:C666,3,FALSE)</f>
        <v>-3.69016113219921</v>
      </c>
      <c r="J168" s="84">
        <f>I168-VLOOKUP(B$2,H1:J213,2,FALSE)</f>
        <v>-8.519612558523299</v>
      </c>
    </row>
    <row r="169" ht="21.25" customHeight="1">
      <c r="A169" t="s" s="10">
        <v>779</v>
      </c>
      <c r="B169" t="s" s="233">
        <f>VLOOKUP(A169,'The List'!B1:D665,3,FALSE)</f>
        <v>153</v>
      </c>
      <c r="C169" s="234">
        <f>IF('Settings'!$E$15="POINTS",RANK(E169,E3:E213),H169)</f>
        <v>186</v>
      </c>
      <c r="D169" t="s" s="86">
        <f>VLOOKUP(A169,'The List'!B1:F665,5,FALSE)</f>
        <v>911</v>
      </c>
      <c r="E169" s="77">
        <f>VLOOKUP(A169,'The List'!B1:I665,8,FALSE)</f>
        <v>155.828630784039</v>
      </c>
      <c r="F169" s="77">
        <f>IF('Settings'!$E$15="POINTS",E169-VLOOKUP(B$2,C1:E213,3,FALSE),J169)</f>
        <v>-175.711577136043</v>
      </c>
      <c r="G169" s="77"/>
      <c r="H169" s="223">
        <f>RANK(I169,I3:I213)</f>
        <v>182</v>
      </c>
      <c r="I169" s="77">
        <f>VLOOKUP(A169,'Standard Deviations'!A1:C666,3,FALSE)</f>
        <v>-3.5223540908271</v>
      </c>
      <c r="J169" s="84">
        <f>I169-VLOOKUP(B$2,H1:J213,2,FALSE)</f>
        <v>-8.35180551715119</v>
      </c>
    </row>
    <row r="170" ht="21.25" customHeight="1">
      <c r="A170" t="s" s="10">
        <v>821</v>
      </c>
      <c r="B170" t="s" s="233">
        <f>VLOOKUP(A170,'The List'!B1:D665,3,FALSE)</f>
        <v>153</v>
      </c>
      <c r="C170" s="234">
        <f>IF('Settings'!$E$15="POINTS",RANK(E170,E3:E213),H170)</f>
        <v>200</v>
      </c>
      <c r="D170" t="s" s="86">
        <f>VLOOKUP(A170,'The List'!B1:F665,5,FALSE)</f>
        <v>132</v>
      </c>
      <c r="E170" s="77">
        <f>VLOOKUP(A170,'The List'!B1:I665,8,FALSE)</f>
        <v>139.491896547441</v>
      </c>
      <c r="F170" s="77">
        <f>IF('Settings'!$E$15="POINTS",E170-VLOOKUP(B$2,C1:E213,3,FALSE),J170)</f>
        <v>-192.048311372641</v>
      </c>
      <c r="G170" s="77"/>
      <c r="H170" s="223">
        <f>RANK(I170,I3:I213)</f>
        <v>155</v>
      </c>
      <c r="I170" s="77">
        <f>VLOOKUP(A170,'Standard Deviations'!A1:C666,3,FALSE)</f>
        <v>-2.74137249230207</v>
      </c>
      <c r="J170" s="84">
        <f>I170-VLOOKUP(B$2,H1:J213,2,FALSE)</f>
        <v>-7.57082391862616</v>
      </c>
    </row>
    <row r="171" ht="21.25" customHeight="1">
      <c r="A171" t="s" s="10">
        <v>683</v>
      </c>
      <c r="B171" t="s" s="233">
        <f>VLOOKUP(A171,'The List'!B1:D665,3,FALSE)</f>
        <v>153</v>
      </c>
      <c r="C171" s="234">
        <f>IF('Settings'!$E$15="POINTS",RANK(E171,E3:E213),H171)</f>
        <v>163</v>
      </c>
      <c r="D171" t="s" s="86">
        <f>VLOOKUP(A171,'The List'!B1:F665,5,FALSE)</f>
        <v>913</v>
      </c>
      <c r="E171" s="77">
        <f>VLOOKUP(A171,'The List'!B1:I665,8,FALSE)</f>
        <v>182.270403115011</v>
      </c>
      <c r="F171" s="77">
        <f>IF('Settings'!$E$15="POINTS",E171-VLOOKUP(B$2,C1:E213,3,FALSE),J171)</f>
        <v>-149.269804805071</v>
      </c>
      <c r="G171" s="77"/>
      <c r="H171" s="223">
        <f>RANK(I171,I3:I213)</f>
        <v>208</v>
      </c>
      <c r="I171" s="77">
        <f>VLOOKUP(A171,'Standard Deviations'!A1:C666,3,FALSE)</f>
        <v>-4.93390073060428</v>
      </c>
      <c r="J171" s="84">
        <f>I171-VLOOKUP(B$2,H1:J213,2,FALSE)</f>
        <v>-9.76335215692837</v>
      </c>
    </row>
    <row r="172" ht="21.25" customHeight="1">
      <c r="A172" t="s" s="10">
        <v>812</v>
      </c>
      <c r="B172" t="s" s="233">
        <f>VLOOKUP(A172,'The List'!B1:D665,3,FALSE)</f>
        <v>153</v>
      </c>
      <c r="C172" s="234">
        <f>IF('Settings'!$E$15="POINTS",RANK(E172,E3:E213),H172)</f>
        <v>198</v>
      </c>
      <c r="D172" t="s" s="86">
        <f>VLOOKUP(A172,'The List'!B1:F665,5,FALSE)</f>
        <v>903</v>
      </c>
      <c r="E172" s="77">
        <f>VLOOKUP(A172,'The List'!B1:I665,8,FALSE)</f>
        <v>143.856342788407</v>
      </c>
      <c r="F172" s="77">
        <f>IF('Settings'!$E$15="POINTS",E172-VLOOKUP(B$2,C1:E213,3,FALSE),J172)</f>
        <v>-187.683865131675</v>
      </c>
      <c r="G172" s="77"/>
      <c r="H172" s="223">
        <f>RANK(I172,I3:I213)</f>
        <v>179</v>
      </c>
      <c r="I172" s="77">
        <f>VLOOKUP(A172,'Standard Deviations'!A1:C666,3,FALSE)</f>
        <v>-3.44334273060933</v>
      </c>
      <c r="J172" s="84">
        <f>I172-VLOOKUP(B$2,H1:J213,2,FALSE)</f>
        <v>-8.27279415693342</v>
      </c>
    </row>
    <row r="173" ht="21.25" customHeight="1">
      <c r="A173" t="s" s="10">
        <v>749</v>
      </c>
      <c r="B173" t="s" s="233">
        <f>VLOOKUP(A173,'The List'!B1:D665,3,FALSE)</f>
        <v>153</v>
      </c>
      <c r="C173" s="234">
        <f>IF('Settings'!$E$15="POINTS",RANK(E173,E3:E213),H173)</f>
        <v>180</v>
      </c>
      <c r="D173" t="s" s="86">
        <f>VLOOKUP(A173,'The List'!B1:F665,5,FALSE)</f>
        <v>906</v>
      </c>
      <c r="E173" s="77">
        <f>VLOOKUP(A173,'The List'!B1:I665,8,FALSE)</f>
        <v>163.986941228375</v>
      </c>
      <c r="F173" s="77">
        <f>IF('Settings'!$E$15="POINTS",E173-VLOOKUP(B$2,C1:E213,3,FALSE),J173)</f>
        <v>-167.553266691707</v>
      </c>
      <c r="G173" s="77"/>
      <c r="H173" s="223">
        <f>RANK(I173,I3:I213)</f>
        <v>175</v>
      </c>
      <c r="I173" s="77">
        <f>VLOOKUP(A173,'Standard Deviations'!A1:C666,3,FALSE)</f>
        <v>-3.31172456632216</v>
      </c>
      <c r="J173" s="84">
        <f>I173-VLOOKUP(B$2,H1:J213,2,FALSE)</f>
        <v>-8.14117599264625</v>
      </c>
    </row>
    <row r="174" ht="21.25" customHeight="1">
      <c r="A174" t="s" s="10">
        <v>433</v>
      </c>
      <c r="B174" t="s" s="233">
        <f>VLOOKUP(A174,'The List'!B1:D665,3,FALSE)</f>
        <v>153</v>
      </c>
      <c r="C174" s="234">
        <f>IF('Settings'!$E$15="POINTS",RANK(E174,E3:E213),H174)</f>
        <v>73</v>
      </c>
      <c r="D174" t="s" s="86">
        <f>VLOOKUP(A174,'The List'!B1:F665,5,FALSE)</f>
        <v>900</v>
      </c>
      <c r="E174" s="77">
        <f>VLOOKUP(A174,'The List'!B1:I665,8,FALSE)</f>
        <v>252.759085697573</v>
      </c>
      <c r="F174" s="77">
        <f>IF('Settings'!$E$15="POINTS",E174-VLOOKUP(B$2,C1:E213,3,FALSE),J174)</f>
        <v>-78.781122222509</v>
      </c>
      <c r="G174" s="77"/>
      <c r="H174" s="223">
        <f>RANK(I174,I3:I213)</f>
        <v>141</v>
      </c>
      <c r="I174" s="77">
        <f>VLOOKUP(A174,'Standard Deviations'!A1:C666,3,FALSE)</f>
        <v>-2.4232655747735</v>
      </c>
      <c r="J174" s="84">
        <f>I174-VLOOKUP(B$2,H1:J213,2,FALSE)</f>
        <v>-7.25271700109759</v>
      </c>
    </row>
    <row r="175" ht="21.25" customHeight="1">
      <c r="A175" t="s" s="10">
        <v>459</v>
      </c>
      <c r="B175" t="s" s="233">
        <f>VLOOKUP(A175,'The List'!B1:D665,3,FALSE)</f>
        <v>153</v>
      </c>
      <c r="C175" s="234">
        <f>IF('Settings'!$E$15="POINTS",RANK(E175,E3:E213),H175)</f>
        <v>79</v>
      </c>
      <c r="D175" t="s" s="86">
        <f>VLOOKUP(A175,'The List'!B1:F665,5,FALSE)</f>
        <v>902</v>
      </c>
      <c r="E175" s="77">
        <f>VLOOKUP(A175,'The List'!B1:I665,8,FALSE)</f>
        <v>243.415562744266</v>
      </c>
      <c r="F175" s="77">
        <f>IF('Settings'!$E$15="POINTS",E175-VLOOKUP(B$2,C1:E213,3,FALSE),J175)</f>
        <v>-88.124645175816</v>
      </c>
      <c r="G175" s="77"/>
      <c r="H175" s="223">
        <f>RANK(I175,I3:I213)</f>
        <v>145</v>
      </c>
      <c r="I175" s="77">
        <f>VLOOKUP(A175,'Standard Deviations'!A1:C666,3,FALSE)</f>
        <v>-2.50769561999338</v>
      </c>
      <c r="J175" s="84">
        <f>I175-VLOOKUP(B$2,H1:J213,2,FALSE)</f>
        <v>-7.33714704631747</v>
      </c>
    </row>
    <row r="176" ht="21.25" customHeight="1">
      <c r="A176" t="s" s="10">
        <v>421</v>
      </c>
      <c r="B176" t="s" s="233">
        <f>VLOOKUP(A176,'The List'!B1:D665,3,FALSE)</f>
        <v>153</v>
      </c>
      <c r="C176" s="234">
        <f>IF('Settings'!$E$15="POINTS",RANK(E176,E3:E213),H176)</f>
        <v>69</v>
      </c>
      <c r="D176" t="s" s="86">
        <f>VLOOKUP(A176,'The List'!B1:F665,5,FALSE)</f>
        <v>132</v>
      </c>
      <c r="E176" s="77">
        <f>VLOOKUP(A176,'The List'!B1:I665,8,FALSE)</f>
        <v>256.131014095195</v>
      </c>
      <c r="F176" s="77">
        <f>IF('Settings'!$E$15="POINTS",E176-VLOOKUP(B$2,C1:E213,3,FALSE),J176)</f>
        <v>-75.409193824887</v>
      </c>
      <c r="G176" s="77"/>
      <c r="H176" s="223">
        <f>RANK(I176,I3:I213)</f>
        <v>110</v>
      </c>
      <c r="I176" s="77">
        <f>VLOOKUP(A176,'Standard Deviations'!A1:C666,3,FALSE)</f>
        <v>-1.5498875768925</v>
      </c>
      <c r="J176" s="84">
        <f>I176-VLOOKUP(B$2,H1:J213,2,FALSE)</f>
        <v>-6.37933900321659</v>
      </c>
    </row>
    <row r="177" ht="21.25" customHeight="1">
      <c r="A177" t="s" s="10">
        <v>748</v>
      </c>
      <c r="B177" t="s" s="233">
        <f>VLOOKUP(A177,'The List'!B1:D665,3,FALSE)</f>
        <v>153</v>
      </c>
      <c r="C177" s="234">
        <f>IF('Settings'!$E$15="POINTS",RANK(E177,E3:E213),H177)</f>
        <v>179</v>
      </c>
      <c r="D177" t="s" s="86">
        <f>VLOOKUP(A177,'The List'!B1:F665,5,FALSE)</f>
        <v>259</v>
      </c>
      <c r="E177" s="77">
        <f>VLOOKUP(A177,'The List'!B1:I665,8,FALSE)</f>
        <v>164.108586010838</v>
      </c>
      <c r="F177" s="77">
        <f>IF('Settings'!$E$15="POINTS",E177-VLOOKUP(B$2,C1:E213,3,FALSE),J177)</f>
        <v>-167.431621909244</v>
      </c>
      <c r="G177" s="77"/>
      <c r="H177" s="223">
        <f>RANK(I177,I3:I213)</f>
        <v>154</v>
      </c>
      <c r="I177" s="77">
        <f>VLOOKUP(A177,'Standard Deviations'!A1:C666,3,FALSE)</f>
        <v>-2.72309578009536</v>
      </c>
      <c r="J177" s="84">
        <f>I177-VLOOKUP(B$2,H1:J213,2,FALSE)</f>
        <v>-7.55254720641945</v>
      </c>
    </row>
    <row r="178" ht="21.25" customHeight="1">
      <c r="A178" t="s" s="10">
        <v>797</v>
      </c>
      <c r="B178" t="s" s="233">
        <f>VLOOKUP(A178,'The List'!B1:D665,3,FALSE)</f>
        <v>153</v>
      </c>
      <c r="C178" s="234">
        <f>IF('Settings'!$E$15="POINTS",RANK(E178,E3:E213),H178)</f>
        <v>194</v>
      </c>
      <c r="D178" t="s" s="86">
        <f>VLOOKUP(A178,'The List'!B1:F665,5,FALSE)</f>
        <v>906</v>
      </c>
      <c r="E178" s="77">
        <f>VLOOKUP(A178,'The List'!B1:I665,8,FALSE)</f>
        <v>148.012451846044</v>
      </c>
      <c r="F178" s="77">
        <f>IF('Settings'!$E$15="POINTS",E178-VLOOKUP(B$2,C1:E213,3,FALSE),J178)</f>
        <v>-183.527756074038</v>
      </c>
      <c r="G178" s="77"/>
      <c r="H178" s="223">
        <f>RANK(I178,I3:I213)</f>
        <v>184</v>
      </c>
      <c r="I178" s="77">
        <f>VLOOKUP(A178,'Standard Deviations'!A1:C666,3,FALSE)</f>
        <v>-3.55841598692067</v>
      </c>
      <c r="J178" s="84">
        <f>I178-VLOOKUP(B$2,H1:J213,2,FALSE)</f>
        <v>-8.387867413244759</v>
      </c>
    </row>
    <row r="179" ht="21.25" customHeight="1">
      <c r="A179" t="s" s="10">
        <v>785</v>
      </c>
      <c r="B179" t="s" s="233">
        <f>VLOOKUP(A179,'The List'!B1:D665,3,FALSE)</f>
        <v>153</v>
      </c>
      <c r="C179" s="234">
        <f>IF('Settings'!$E$15="POINTS",RANK(E179,E3:E213),H179)</f>
        <v>188</v>
      </c>
      <c r="D179" t="s" s="86">
        <f>VLOOKUP(A179,'The List'!B1:F665,5,FALSE)</f>
        <v>907</v>
      </c>
      <c r="E179" s="77">
        <f>VLOOKUP(A179,'The List'!B1:I665,8,FALSE)</f>
        <v>153.953932629296</v>
      </c>
      <c r="F179" s="77">
        <f>IF('Settings'!$E$15="POINTS",E179-VLOOKUP(B$2,C1:E213,3,FALSE),J179)</f>
        <v>-177.586275290786</v>
      </c>
      <c r="G179" s="77"/>
      <c r="H179" s="223">
        <f>RANK(I179,I3:I213)</f>
        <v>202</v>
      </c>
      <c r="I179" s="77">
        <f>VLOOKUP(A179,'Standard Deviations'!A1:C666,3,FALSE)</f>
        <v>-4.3425372564697</v>
      </c>
      <c r="J179" s="84">
        <f>I179-VLOOKUP(B$2,H1:J213,2,FALSE)</f>
        <v>-9.17198868279379</v>
      </c>
    </row>
    <row r="180" ht="21.25" customHeight="1">
      <c r="A180" t="s" s="10">
        <v>682</v>
      </c>
      <c r="B180" t="s" s="233">
        <f>VLOOKUP(A180,'The List'!B1:D665,3,FALSE)</f>
        <v>153</v>
      </c>
      <c r="C180" s="234">
        <f>IF('Settings'!$E$15="POINTS",RANK(E180,E3:E213),H180)</f>
        <v>162</v>
      </c>
      <c r="D180" t="s" s="86">
        <f>VLOOKUP(A180,'The List'!B1:F665,5,FALSE)</f>
        <v>129</v>
      </c>
      <c r="E180" s="77">
        <f>VLOOKUP(A180,'The List'!B1:I665,8,FALSE)</f>
        <v>182.380234758302</v>
      </c>
      <c r="F180" s="77">
        <f>IF('Settings'!$E$15="POINTS",E180-VLOOKUP(B$2,C1:E213,3,FALSE),J180)</f>
        <v>-149.159973161780</v>
      </c>
      <c r="G180" s="77"/>
      <c r="H180" s="223">
        <f>RANK(I180,I3:I213)</f>
        <v>96</v>
      </c>
      <c r="I180" s="77">
        <f>VLOOKUP(A180,'Standard Deviations'!A1:C666,3,FALSE)</f>
        <v>-1.17150383818399</v>
      </c>
      <c r="J180" s="84">
        <f>I180-VLOOKUP(B$2,H1:J213,2,FALSE)</f>
        <v>-6.00095526450808</v>
      </c>
    </row>
    <row r="181" ht="21.25" customHeight="1">
      <c r="A181" t="s" s="10">
        <v>349</v>
      </c>
      <c r="B181" t="s" s="233">
        <f>VLOOKUP(A181,'The List'!B1:D665,3,FALSE)</f>
        <v>153</v>
      </c>
      <c r="C181" s="234">
        <f>IF('Settings'!$E$15="POINTS",RANK(E181,E3:E213),H181)</f>
        <v>37</v>
      </c>
      <c r="D181" t="s" s="86">
        <f>VLOOKUP(A181,'The List'!B1:F665,5,FALSE)</f>
        <v>165</v>
      </c>
      <c r="E181" s="77">
        <f>VLOOKUP(A181,'The List'!B1:I665,8,FALSE)</f>
        <v>286.278961248082</v>
      </c>
      <c r="F181" s="77">
        <f>IF('Settings'!$E$15="POINTS",E181-VLOOKUP(B$2,C1:E213,3,FALSE),J181)</f>
        <v>-45.261246672</v>
      </c>
      <c r="G181" s="77"/>
      <c r="H181" s="223">
        <f>RANK(I181,I3:I213)</f>
        <v>158</v>
      </c>
      <c r="I181" s="77">
        <f>VLOOKUP(A181,'Standard Deviations'!A1:C666,3,FALSE)</f>
        <v>-2.83261251493202</v>
      </c>
      <c r="J181" s="84">
        <f>I181-VLOOKUP(B$2,H1:J213,2,FALSE)</f>
        <v>-7.66206394125611</v>
      </c>
    </row>
    <row r="182" ht="21.25" customHeight="1">
      <c r="A182" t="s" s="10">
        <v>840</v>
      </c>
      <c r="B182" t="s" s="233">
        <f>VLOOKUP(A182,'The List'!B1:D665,3,FALSE)</f>
        <v>153</v>
      </c>
      <c r="C182" s="234">
        <f>IF('Settings'!$E$15="POINTS",RANK(E182,E3:E213),H182)</f>
        <v>207</v>
      </c>
      <c r="D182" t="s" s="86">
        <f>VLOOKUP(A182,'The List'!B1:F665,5,FALSE)</f>
        <v>275</v>
      </c>
      <c r="E182" s="77">
        <f>VLOOKUP(A182,'The List'!B1:I665,8,FALSE)</f>
        <v>129.027228999679</v>
      </c>
      <c r="F182" s="77">
        <f>IF('Settings'!$E$15="POINTS",E182-VLOOKUP(B$2,C1:E213,3,FALSE),J182)</f>
        <v>-202.512978920403</v>
      </c>
      <c r="G182" s="77"/>
      <c r="H182" s="223">
        <f>RANK(I182,I3:I213)</f>
        <v>186</v>
      </c>
      <c r="I182" s="77">
        <f>VLOOKUP(A182,'Standard Deviations'!A1:C666,3,FALSE)</f>
        <v>-3.73446261546632</v>
      </c>
      <c r="J182" s="84">
        <f>I182-VLOOKUP(B$2,H1:J213,2,FALSE)</f>
        <v>-8.56391404179041</v>
      </c>
    </row>
    <row r="183" ht="21.25" customHeight="1">
      <c r="A183" t="s" s="10">
        <v>835</v>
      </c>
      <c r="B183" t="s" s="233">
        <f>VLOOKUP(A183,'The List'!B1:D665,3,FALSE)</f>
        <v>153</v>
      </c>
      <c r="C183" s="234">
        <f>IF('Settings'!$E$15="POINTS",RANK(E183,E3:E213),H183)</f>
        <v>205</v>
      </c>
      <c r="D183" t="s" s="86">
        <f>VLOOKUP(A183,'The List'!B1:F665,5,FALSE)</f>
        <v>910</v>
      </c>
      <c r="E183" s="77">
        <f>VLOOKUP(A183,'The List'!B1:I665,8,FALSE)</f>
        <v>131.721812399589</v>
      </c>
      <c r="F183" s="77">
        <f>IF('Settings'!$E$15="POINTS",E183-VLOOKUP(B$2,C1:E213,3,FALSE),J183)</f>
        <v>-199.818395520493</v>
      </c>
      <c r="G183" s="77"/>
      <c r="H183" s="223">
        <f>RANK(I183,I3:I213)</f>
        <v>201</v>
      </c>
      <c r="I183" s="77">
        <f>VLOOKUP(A183,'Standard Deviations'!A1:C666,3,FALSE)</f>
        <v>-4.26456359102681</v>
      </c>
      <c r="J183" s="84">
        <f>I183-VLOOKUP(B$2,H1:J213,2,FALSE)</f>
        <v>-9.0940150173509</v>
      </c>
    </row>
    <row r="184" ht="21.25" customHeight="1">
      <c r="A184" t="s" s="10">
        <v>750</v>
      </c>
      <c r="B184" t="s" s="233">
        <f>VLOOKUP(A184,'The List'!B1:D665,3,FALSE)</f>
        <v>153</v>
      </c>
      <c r="C184" s="234">
        <f>IF('Settings'!$E$15="POINTS",RANK(E184,E3:E213),H184)</f>
        <v>181</v>
      </c>
      <c r="D184" t="s" s="86">
        <f>VLOOKUP(A184,'The List'!B1:F665,5,FALSE)</f>
        <v>149</v>
      </c>
      <c r="E184" s="77">
        <f>VLOOKUP(A184,'The List'!B1:I665,8,FALSE)</f>
        <v>163.753372220772</v>
      </c>
      <c r="F184" s="77">
        <f>IF('Settings'!$E$15="POINTS",E184-VLOOKUP(B$2,C1:E213,3,FALSE),J184)</f>
        <v>-167.786835699310</v>
      </c>
      <c r="G184" s="77"/>
      <c r="H184" s="223">
        <f>RANK(I184,I3:I213)</f>
        <v>129</v>
      </c>
      <c r="I184" s="77">
        <f>VLOOKUP(A184,'Standard Deviations'!A1:C666,3,FALSE)</f>
        <v>-2.1657553408206</v>
      </c>
      <c r="J184" s="84">
        <f>I184-VLOOKUP(B$2,H1:J213,2,FALSE)</f>
        <v>-6.99520676714469</v>
      </c>
    </row>
    <row r="185" ht="21.25" customHeight="1">
      <c r="A185" t="s" s="10">
        <v>754</v>
      </c>
      <c r="B185" t="s" s="233">
        <f>VLOOKUP(A185,'The List'!B1:D665,3,FALSE)</f>
        <v>153</v>
      </c>
      <c r="C185" s="234">
        <f>IF('Settings'!$E$15="POINTS",RANK(E185,E3:E213),H185)</f>
        <v>183</v>
      </c>
      <c r="D185" t="s" s="86">
        <f>VLOOKUP(A185,'The List'!B1:F665,5,FALSE)</f>
        <v>913</v>
      </c>
      <c r="E185" s="77">
        <f>VLOOKUP(A185,'The List'!B1:I665,8,FALSE)</f>
        <v>162.233656967127</v>
      </c>
      <c r="F185" s="77">
        <f>IF('Settings'!$E$15="POINTS",E185-VLOOKUP(B$2,C1:E213,3,FALSE),J185)</f>
        <v>-169.306550952955</v>
      </c>
      <c r="G185" s="77"/>
      <c r="H185" s="223">
        <f>RANK(I185,I3:I213)</f>
        <v>209</v>
      </c>
      <c r="I185" s="77">
        <f>VLOOKUP(A185,'Standard Deviations'!A1:C666,3,FALSE)</f>
        <v>-5.12925490701485</v>
      </c>
      <c r="J185" s="84">
        <f>I185-VLOOKUP(B$2,H1:J213,2,FALSE)</f>
        <v>-9.95870633333894</v>
      </c>
    </row>
    <row r="186" ht="21.25" customHeight="1">
      <c r="A186" t="s" s="10">
        <v>730</v>
      </c>
      <c r="B186" t="s" s="233">
        <f>VLOOKUP(A186,'The List'!B1:D665,3,FALSE)</f>
        <v>153</v>
      </c>
      <c r="C186" s="234">
        <f>IF('Settings'!$E$15="POINTS",RANK(E186,E3:E213),H186)</f>
        <v>174</v>
      </c>
      <c r="D186" t="s" s="86">
        <f>VLOOKUP(A186,'The List'!B1:F665,5,FALSE)</f>
        <v>906</v>
      </c>
      <c r="E186" s="77">
        <f>VLOOKUP(A186,'The List'!B1:I665,8,FALSE)</f>
        <v>168.721540693349</v>
      </c>
      <c r="F186" s="77">
        <f>IF('Settings'!$E$15="POINTS",E186-VLOOKUP(B$2,C1:E213,3,FALSE),J186)</f>
        <v>-162.818667226733</v>
      </c>
      <c r="G186" s="77"/>
      <c r="H186" s="223">
        <f>RANK(I186,I3:I213)</f>
        <v>169</v>
      </c>
      <c r="I186" s="77">
        <f>VLOOKUP(A186,'Standard Deviations'!A1:C666,3,FALSE)</f>
        <v>-3.14429053546617</v>
      </c>
      <c r="J186" s="84">
        <f>I186-VLOOKUP(B$2,H1:J213,2,FALSE)</f>
        <v>-7.97374196179026</v>
      </c>
    </row>
    <row r="187" ht="21.25" customHeight="1">
      <c r="A187" t="s" s="10">
        <v>610</v>
      </c>
      <c r="B187" t="s" s="233">
        <f>VLOOKUP(A187,'The List'!B1:D665,3,FALSE)</f>
        <v>153</v>
      </c>
      <c r="C187" s="234">
        <f>IF('Settings'!$E$15="POINTS",RANK(E187,E3:E213),H187)</f>
        <v>136</v>
      </c>
      <c r="D187" t="s" s="86">
        <f>VLOOKUP(A187,'The List'!B1:F665,5,FALSE)</f>
        <v>174</v>
      </c>
      <c r="E187" s="77">
        <f>VLOOKUP(A187,'The List'!B1:I665,8,FALSE)</f>
        <v>204.586465304836</v>
      </c>
      <c r="F187" s="77">
        <f>IF('Settings'!$E$15="POINTS",E187-VLOOKUP(B$2,C1:E213,3,FALSE),J187)</f>
        <v>-126.953742615246</v>
      </c>
      <c r="G187" s="77"/>
      <c r="H187" s="223">
        <f>RANK(I187,I3:I213)</f>
        <v>138</v>
      </c>
      <c r="I187" s="77">
        <f>VLOOKUP(A187,'Standard Deviations'!A1:C666,3,FALSE)</f>
        <v>-2.29585593594026</v>
      </c>
      <c r="J187" s="84">
        <f>I187-VLOOKUP(B$2,H1:J213,2,FALSE)</f>
        <v>-7.12530736226435</v>
      </c>
    </row>
    <row r="188" ht="21.25" customHeight="1">
      <c r="A188" t="s" s="10">
        <v>679</v>
      </c>
      <c r="B188" t="s" s="233">
        <f>VLOOKUP(A188,'The List'!B1:D665,3,FALSE)</f>
        <v>153</v>
      </c>
      <c r="C188" s="234">
        <f>IF('Settings'!$E$15="POINTS",RANK(E188,E3:E213),H188)</f>
        <v>159</v>
      </c>
      <c r="D188" t="s" s="86">
        <f>VLOOKUP(A188,'The List'!B1:F665,5,FALSE)</f>
        <v>275</v>
      </c>
      <c r="E188" s="77">
        <f>VLOOKUP(A188,'The List'!B1:I665,8,FALSE)</f>
        <v>182.926765207971</v>
      </c>
      <c r="F188" s="77">
        <f>IF('Settings'!$E$15="POINTS",E188-VLOOKUP(B$2,C1:E213,3,FALSE),J188)</f>
        <v>-148.613442712111</v>
      </c>
      <c r="G188" s="77"/>
      <c r="H188" s="223">
        <f>RANK(I188,I3:I213)</f>
        <v>171</v>
      </c>
      <c r="I188" s="77">
        <f>VLOOKUP(A188,'Standard Deviations'!A1:C666,3,FALSE)</f>
        <v>-3.20498225644597</v>
      </c>
      <c r="J188" s="84">
        <f>I188-VLOOKUP(B$2,H1:J213,2,FALSE)</f>
        <v>-8.034433682770061</v>
      </c>
    </row>
    <row r="189" ht="21.25" customHeight="1">
      <c r="A189" t="s" s="10">
        <v>466</v>
      </c>
      <c r="B189" t="s" s="233">
        <f>VLOOKUP(A189,'The List'!B1:D665,3,FALSE)</f>
        <v>153</v>
      </c>
      <c r="C189" s="234">
        <f>IF('Settings'!$E$15="POINTS",RANK(E189,E3:E213),H189)</f>
        <v>82</v>
      </c>
      <c r="D189" t="s" s="86">
        <f>VLOOKUP(A189,'The List'!B1:F665,5,FALSE)</f>
        <v>165</v>
      </c>
      <c r="E189" s="77">
        <f>VLOOKUP(A189,'The List'!B1:I665,8,FALSE)</f>
        <v>242.162304401946</v>
      </c>
      <c r="F189" s="77">
        <f>IF('Settings'!$E$15="POINTS",E189-VLOOKUP(B$2,C1:E213,3,FALSE),J189)</f>
        <v>-89.37790351813599</v>
      </c>
      <c r="G189" s="77"/>
      <c r="H189" s="223">
        <f>RANK(I189,I3:I213)</f>
        <v>156</v>
      </c>
      <c r="I189" s="77">
        <f>VLOOKUP(A189,'Standard Deviations'!A1:C666,3,FALSE)</f>
        <v>-2.7573429833078</v>
      </c>
      <c r="J189" s="84">
        <f>I189-VLOOKUP(B$2,H1:J213,2,FALSE)</f>
        <v>-7.58679440963189</v>
      </c>
    </row>
    <row r="190" ht="21.25" customHeight="1">
      <c r="A190" t="s" s="10">
        <v>824</v>
      </c>
      <c r="B190" t="s" s="233">
        <f>VLOOKUP(A190,'The List'!B1:D665,3,FALSE)</f>
        <v>153</v>
      </c>
      <c r="C190" s="234">
        <f>IF('Settings'!$E$15="POINTS",RANK(E190,E3:E213),H190)</f>
        <v>201</v>
      </c>
      <c r="D190" t="s" s="86">
        <f>VLOOKUP(A190,'The List'!B1:F665,5,FALSE)</f>
        <v>165</v>
      </c>
      <c r="E190" s="77">
        <f>VLOOKUP(A190,'The List'!B1:I665,8,FALSE)</f>
        <v>137.802135820332</v>
      </c>
      <c r="F190" s="77">
        <f>IF('Settings'!$E$15="POINTS",E190-VLOOKUP(B$2,C1:E213,3,FALSE),J190)</f>
        <v>-193.738072099750</v>
      </c>
      <c r="G190" s="77"/>
      <c r="H190" s="223">
        <f>RANK(I190,I3:I213)</f>
        <v>170</v>
      </c>
      <c r="I190" s="77">
        <f>VLOOKUP(A190,'Standard Deviations'!A1:C666,3,FALSE)</f>
        <v>-3.15406170376326</v>
      </c>
      <c r="J190" s="84">
        <f>I190-VLOOKUP(B$2,H1:J213,2,FALSE)</f>
        <v>-7.98351313008735</v>
      </c>
    </row>
    <row r="191" ht="21.25" customHeight="1">
      <c r="A191" t="s" s="10">
        <v>848</v>
      </c>
      <c r="B191" t="s" s="233">
        <f>VLOOKUP(A191,'The List'!B1:D665,3,FALSE)</f>
        <v>153</v>
      </c>
      <c r="C191" s="234">
        <f>IF('Settings'!$E$15="POINTS",RANK(E191,E3:E213),H191)</f>
        <v>209</v>
      </c>
      <c r="D191" t="s" s="86">
        <f>VLOOKUP(A191,'The List'!B1:F665,5,FALSE)</f>
        <v>878</v>
      </c>
      <c r="E191" s="77">
        <f>VLOOKUP(A191,'The List'!B1:I665,8,FALSE)</f>
        <v>117.508001254034</v>
      </c>
      <c r="F191" s="77">
        <f>IF('Settings'!$E$15="POINTS",E191-VLOOKUP(B$2,C1:E213,3,FALSE),J191)</f>
        <v>-214.032206666048</v>
      </c>
      <c r="G191" s="77"/>
      <c r="H191" s="223">
        <f>RANK(I191,I3:I213)</f>
        <v>195</v>
      </c>
      <c r="I191" s="77">
        <f>VLOOKUP(A191,'Standard Deviations'!A1:C666,3,FALSE)</f>
        <v>-3.99863831199012</v>
      </c>
      <c r="J191" s="84">
        <f>I191-VLOOKUP(B$2,H1:J213,2,FALSE)</f>
        <v>-8.82808973831421</v>
      </c>
    </row>
    <row r="192" ht="21.25" customHeight="1">
      <c r="A192" t="s" s="10">
        <v>767</v>
      </c>
      <c r="B192" t="s" s="233">
        <f>VLOOKUP(A192,'The List'!B1:D665,3,FALSE)</f>
        <v>153</v>
      </c>
      <c r="C192" s="234">
        <f>IF('Settings'!$E$15="POINTS",RANK(E192,E3:E213),H192)</f>
        <v>184</v>
      </c>
      <c r="D192" t="s" s="86">
        <f>VLOOKUP(A192,'The List'!B1:F665,5,FALSE)</f>
        <v>899</v>
      </c>
      <c r="E192" s="77">
        <f>VLOOKUP(A192,'The List'!B1:I665,8,FALSE)</f>
        <v>158.964497380497</v>
      </c>
      <c r="F192" s="77">
        <f>IF('Settings'!$E$15="POINTS",E192-VLOOKUP(B$2,C1:E213,3,FALSE),J192)</f>
        <v>-172.575710539585</v>
      </c>
      <c r="G192" s="77"/>
      <c r="H192" s="223">
        <f>RANK(I192,I3:I213)</f>
        <v>177</v>
      </c>
      <c r="I192" s="77">
        <f>VLOOKUP(A192,'Standard Deviations'!A1:C666,3,FALSE)</f>
        <v>-3.40505495080756</v>
      </c>
      <c r="J192" s="84">
        <f>I192-VLOOKUP(B$2,H1:J213,2,FALSE)</f>
        <v>-8.23450637713165</v>
      </c>
    </row>
    <row r="193" ht="21.25" customHeight="1">
      <c r="A193" t="s" s="10">
        <v>668</v>
      </c>
      <c r="B193" t="s" s="233">
        <f>VLOOKUP(A193,'The List'!B1:D665,3,FALSE)</f>
        <v>153</v>
      </c>
      <c r="C193" s="234">
        <f>IF('Settings'!$E$15="POINTS",RANK(E193,E3:E213),H193)</f>
        <v>155</v>
      </c>
      <c r="D193" t="s" s="86">
        <f>VLOOKUP(A193,'The List'!B1:F665,5,FALSE)</f>
        <v>871</v>
      </c>
      <c r="E193" s="77">
        <f>VLOOKUP(A193,'The List'!B1:I665,8,FALSE)</f>
        <v>186.620954102539</v>
      </c>
      <c r="F193" s="77">
        <f>IF('Settings'!$E$15="POINTS",E193-VLOOKUP(B$2,C1:E213,3,FALSE),J193)</f>
        <v>-144.919253817543</v>
      </c>
      <c r="G193" s="77"/>
      <c r="H193" s="223">
        <f>RANK(I193,I3:I213)</f>
        <v>160</v>
      </c>
      <c r="I193" s="77">
        <f>VLOOKUP(A193,'Standard Deviations'!A1:C666,3,FALSE)</f>
        <v>-2.85145179207301</v>
      </c>
      <c r="J193" s="84">
        <f>I193-VLOOKUP(B$2,H1:J213,2,FALSE)</f>
        <v>-7.6809032183971</v>
      </c>
    </row>
    <row r="194" ht="21.25" customHeight="1">
      <c r="A194" t="s" s="10">
        <v>707</v>
      </c>
      <c r="B194" t="s" s="233">
        <f>VLOOKUP(A194,'The List'!B1:D665,3,FALSE)</f>
        <v>153</v>
      </c>
      <c r="C194" s="234">
        <f>IF('Settings'!$E$15="POINTS",RANK(E194,E3:E213),H194)</f>
        <v>171</v>
      </c>
      <c r="D194" t="s" s="86">
        <f>VLOOKUP(A194,'The List'!B1:F665,5,FALSE)</f>
        <v>267</v>
      </c>
      <c r="E194" s="77">
        <f>VLOOKUP(A194,'The List'!B1:I665,8,FALSE)</f>
        <v>175.535842103847</v>
      </c>
      <c r="F194" s="77">
        <f>IF('Settings'!$E$15="POINTS",E194-VLOOKUP(B$2,C1:E213,3,FALSE),J194)</f>
        <v>-156.004365816235</v>
      </c>
      <c r="G194" s="77"/>
      <c r="H194" s="223">
        <f>RANK(I194,I3:I213)</f>
        <v>181</v>
      </c>
      <c r="I194" s="77">
        <f>VLOOKUP(A194,'Standard Deviations'!A1:C666,3,FALSE)</f>
        <v>-3.51636195260503</v>
      </c>
      <c r="J194" s="84">
        <f>I194-VLOOKUP(B$2,H1:J213,2,FALSE)</f>
        <v>-8.345813378929121</v>
      </c>
    </row>
    <row r="195" ht="21.25" customHeight="1">
      <c r="A195" t="s" s="10">
        <v>833</v>
      </c>
      <c r="B195" t="s" s="233">
        <f>VLOOKUP(A195,'The List'!B1:D665,3,FALSE)</f>
        <v>153</v>
      </c>
      <c r="C195" s="234">
        <f>IF('Settings'!$E$15="POINTS",RANK(E195,E3:E213),H195)</f>
        <v>203</v>
      </c>
      <c r="D195" t="s" s="86">
        <f>VLOOKUP(A195,'The List'!B1:F665,5,FALSE)</f>
        <v>905</v>
      </c>
      <c r="E195" s="77">
        <f>VLOOKUP(A195,'The List'!B1:I665,8,FALSE)</f>
        <v>131.780721277404</v>
      </c>
      <c r="F195" s="77">
        <f>IF('Settings'!$E$15="POINTS",E195-VLOOKUP(B$2,C1:E213,3,FALSE),J195)</f>
        <v>-199.759486642678</v>
      </c>
      <c r="G195" s="77"/>
      <c r="H195" s="223">
        <f>RANK(I195,I3:I213)</f>
        <v>210</v>
      </c>
      <c r="I195" s="77">
        <f>VLOOKUP(A195,'Standard Deviations'!A1:C666,3,FALSE)</f>
        <v>-5.15841077890975</v>
      </c>
      <c r="J195" s="84">
        <f>I195-VLOOKUP(B$2,H1:J213,2,FALSE)</f>
        <v>-9.98786220523384</v>
      </c>
    </row>
    <row r="196" ht="21.25" customHeight="1">
      <c r="A196" t="s" s="10">
        <v>681</v>
      </c>
      <c r="B196" t="s" s="233">
        <f>VLOOKUP(A196,'The List'!B1:D665,3,FALSE)</f>
        <v>153</v>
      </c>
      <c r="C196" s="234">
        <f>IF('Settings'!$E$15="POINTS",RANK(E196,E3:E213),H196)</f>
        <v>161</v>
      </c>
      <c r="D196" t="s" s="86">
        <f>VLOOKUP(A196,'The List'!B1:F665,5,FALSE)</f>
        <v>174</v>
      </c>
      <c r="E196" s="77">
        <f>VLOOKUP(A196,'The List'!B1:I665,8,FALSE)</f>
        <v>182.451960423081</v>
      </c>
      <c r="F196" s="77">
        <f>IF('Settings'!$E$15="POINTS",E196-VLOOKUP(B$2,C1:E213,3,FALSE),J196)</f>
        <v>-149.088247497001</v>
      </c>
      <c r="G196" s="77"/>
      <c r="H196" s="223">
        <f>RANK(I196,I3:I213)</f>
        <v>187</v>
      </c>
      <c r="I196" s="77">
        <f>VLOOKUP(A196,'Standard Deviations'!A1:C666,3,FALSE)</f>
        <v>-3.77995623116025</v>
      </c>
      <c r="J196" s="84">
        <f>I196-VLOOKUP(B$2,H1:J213,2,FALSE)</f>
        <v>-8.60940765748434</v>
      </c>
    </row>
    <row r="197" ht="21.25" customHeight="1">
      <c r="A197" t="s" s="10">
        <v>686</v>
      </c>
      <c r="B197" t="s" s="233">
        <f>VLOOKUP(A197,'The List'!B1:D665,3,FALSE)</f>
        <v>153</v>
      </c>
      <c r="C197" s="234">
        <f>IF('Settings'!$E$15="POINTS",RANK(E197,E3:E213),H197)</f>
        <v>164</v>
      </c>
      <c r="D197" t="s" s="86">
        <f>VLOOKUP(A197,'The List'!B1:F665,5,FALSE)</f>
        <v>912</v>
      </c>
      <c r="E197" s="77">
        <f>VLOOKUP(A197,'The List'!B1:I665,8,FALSE)</f>
        <v>181.923429581638</v>
      </c>
      <c r="F197" s="77">
        <f>IF('Settings'!$E$15="POINTS",E197-VLOOKUP(B$2,C1:E213,3,FALSE),J197)</f>
        <v>-149.616778338444</v>
      </c>
      <c r="G197" s="77"/>
      <c r="H197" s="223">
        <f>RANK(I197,I3:I213)</f>
        <v>167</v>
      </c>
      <c r="I197" s="77">
        <f>VLOOKUP(A197,'Standard Deviations'!A1:C666,3,FALSE)</f>
        <v>-3.02173184943499</v>
      </c>
      <c r="J197" s="84">
        <f>I197-VLOOKUP(B$2,H1:J213,2,FALSE)</f>
        <v>-7.85118327575908</v>
      </c>
    </row>
    <row r="198" ht="21.25" customHeight="1">
      <c r="A198" t="s" s="10">
        <v>664</v>
      </c>
      <c r="B198" t="s" s="233">
        <f>VLOOKUP(A198,'The List'!B1:D665,3,FALSE)</f>
        <v>153</v>
      </c>
      <c r="C198" s="234">
        <f>IF('Settings'!$E$15="POINTS",RANK(E198,E3:E213),H198)</f>
        <v>154</v>
      </c>
      <c r="D198" t="s" s="86">
        <f>VLOOKUP(A198,'The List'!B1:F665,5,FALSE)</f>
        <v>901</v>
      </c>
      <c r="E198" s="77">
        <f>VLOOKUP(A198,'The List'!B1:I665,8,FALSE)</f>
        <v>188.824493776881</v>
      </c>
      <c r="F198" s="77">
        <f>IF('Settings'!$E$15="POINTS",E198-VLOOKUP(B$2,C1:E213,3,FALSE),J198)</f>
        <v>-142.715714143201</v>
      </c>
      <c r="G198" s="77"/>
      <c r="H198" s="223">
        <f>RANK(I198,I3:I213)</f>
        <v>162</v>
      </c>
      <c r="I198" s="77">
        <f>VLOOKUP(A198,'Standard Deviations'!A1:C666,3,FALSE)</f>
        <v>-2.89686499403483</v>
      </c>
      <c r="J198" s="84">
        <f>I198-VLOOKUP(B$2,H1:J213,2,FALSE)</f>
        <v>-7.72631642035892</v>
      </c>
    </row>
    <row r="199" ht="21.25" customHeight="1">
      <c r="A199" t="s" s="10">
        <v>661</v>
      </c>
      <c r="B199" t="s" s="233">
        <f>VLOOKUP(A199,'The List'!B1:D665,3,FALSE)</f>
        <v>153</v>
      </c>
      <c r="C199" s="234">
        <f>IF('Settings'!$E$15="POINTS",RANK(E199,E3:E213),H199)</f>
        <v>153</v>
      </c>
      <c r="D199" t="s" s="86">
        <f>VLOOKUP(A199,'The List'!B1:F665,5,FALSE)</f>
        <v>901</v>
      </c>
      <c r="E199" s="77">
        <f>VLOOKUP(A199,'The List'!B1:I665,8,FALSE)</f>
        <v>189.664204810632</v>
      </c>
      <c r="F199" s="77">
        <f>IF('Settings'!$E$15="POINTS",E199-VLOOKUP(B$2,C1:E213,3,FALSE),J199)</f>
        <v>-141.876003109450</v>
      </c>
      <c r="G199" s="77"/>
      <c r="H199" s="223">
        <f>RANK(I199,I3:I213)</f>
        <v>173</v>
      </c>
      <c r="I199" s="77">
        <f>VLOOKUP(A199,'Standard Deviations'!A1:C666,3,FALSE)</f>
        <v>-3.25101596456243</v>
      </c>
      <c r="J199" s="84">
        <f>I199-VLOOKUP(B$2,H1:J213,2,FALSE)</f>
        <v>-8.08046739088652</v>
      </c>
    </row>
    <row r="200" ht="21.25" customHeight="1">
      <c r="A200" t="s" s="10">
        <v>733</v>
      </c>
      <c r="B200" t="s" s="233">
        <f>VLOOKUP(A200,'The List'!B1:D665,3,FALSE)</f>
        <v>153</v>
      </c>
      <c r="C200" s="234">
        <f>IF('Settings'!$E$15="POINTS",RANK(E200,E3:E213),H200)</f>
        <v>175</v>
      </c>
      <c r="D200" t="s" s="86">
        <f>VLOOKUP(A200,'The List'!B1:F665,5,FALSE)</f>
        <v>156</v>
      </c>
      <c r="E200" s="77">
        <f>VLOOKUP(A200,'The List'!B1:I665,8,FALSE)</f>
        <v>167.834030796341</v>
      </c>
      <c r="F200" s="77">
        <f>IF('Settings'!$E$15="POINTS",E200-VLOOKUP(B$2,C1:E213,3,FALSE),J200)</f>
        <v>-163.706177123741</v>
      </c>
      <c r="G200" s="77"/>
      <c r="H200" s="223">
        <f>RANK(I200,I3:I213)</f>
        <v>176</v>
      </c>
      <c r="I200" s="77">
        <f>VLOOKUP(A200,'Standard Deviations'!A1:C666,3,FALSE)</f>
        <v>-3.34756608807342</v>
      </c>
      <c r="J200" s="84">
        <f>I200-VLOOKUP(B$2,H1:J213,2,FALSE)</f>
        <v>-8.177017514397511</v>
      </c>
    </row>
    <row r="201" ht="21.25" customHeight="1">
      <c r="A201" t="s" s="10">
        <v>830</v>
      </c>
      <c r="B201" t="s" s="233">
        <f>VLOOKUP(A201,'The List'!B1:D665,3,FALSE)</f>
        <v>153</v>
      </c>
      <c r="C201" s="234">
        <f>IF('Settings'!$E$15="POINTS",RANK(E201,E3:E213),H201)</f>
        <v>202</v>
      </c>
      <c r="D201" t="s" s="86">
        <f>VLOOKUP(A201,'The List'!B1:F665,5,FALSE)</f>
        <v>908</v>
      </c>
      <c r="E201" s="77">
        <f>VLOOKUP(A201,'The List'!B1:I665,8,FALSE)</f>
        <v>134.256476681842</v>
      </c>
      <c r="F201" s="77">
        <f>IF('Settings'!$E$15="POINTS",E201-VLOOKUP(B$2,C1:E213,3,FALSE),J201)</f>
        <v>-197.283731238240</v>
      </c>
      <c r="G201" s="77"/>
      <c r="H201" s="223">
        <f>RANK(I201,I3:I213)</f>
        <v>197</v>
      </c>
      <c r="I201" s="77">
        <f>VLOOKUP(A201,'Standard Deviations'!A1:C666,3,FALSE)</f>
        <v>-4.12746845375304</v>
      </c>
      <c r="J201" s="84">
        <f>I201-VLOOKUP(B$2,H1:J213,2,FALSE)</f>
        <v>-8.95691988007713</v>
      </c>
    </row>
    <row r="202" ht="21.25" customHeight="1">
      <c r="A202" t="s" s="10">
        <v>724</v>
      </c>
      <c r="B202" t="s" s="233">
        <f>VLOOKUP(A202,'The List'!B1:D665,3,FALSE)</f>
        <v>153</v>
      </c>
      <c r="C202" s="234">
        <f>IF('Settings'!$E$15="POINTS",RANK(E202,E3:E213),H202)</f>
        <v>172</v>
      </c>
      <c r="D202" t="s" s="86">
        <f>VLOOKUP(A202,'The List'!B1:F665,5,FALSE)</f>
        <v>907</v>
      </c>
      <c r="E202" s="77">
        <f>VLOOKUP(A202,'The List'!B1:I665,8,FALSE)</f>
        <v>169.655010585911</v>
      </c>
      <c r="F202" s="77">
        <f>IF('Settings'!$E$15="POINTS",E202-VLOOKUP(B$2,C1:E213,3,FALSE),J202)</f>
        <v>-161.885197334171</v>
      </c>
      <c r="G202" s="77"/>
      <c r="H202" s="223">
        <f>RANK(I202,I3:I213)</f>
        <v>116</v>
      </c>
      <c r="I202" s="77">
        <f>VLOOKUP(A202,'Standard Deviations'!A1:C666,3,FALSE)</f>
        <v>-1.75502384166082</v>
      </c>
      <c r="J202" s="84">
        <f>I202-VLOOKUP(B$2,H1:J213,2,FALSE)</f>
        <v>-6.58447526798491</v>
      </c>
    </row>
    <row r="203" ht="21.25" customHeight="1">
      <c r="A203" t="s" s="10">
        <v>795</v>
      </c>
      <c r="B203" t="s" s="233">
        <f>VLOOKUP(A203,'The List'!B1:D665,3,FALSE)</f>
        <v>153</v>
      </c>
      <c r="C203" s="234">
        <f>IF('Settings'!$E$15="POINTS",RANK(E203,E3:E213),H203)</f>
        <v>192</v>
      </c>
      <c r="D203" t="s" s="86">
        <f>VLOOKUP(A203,'The List'!B1:F665,5,FALSE)</f>
        <v>259</v>
      </c>
      <c r="E203" s="77">
        <f>VLOOKUP(A203,'The List'!B1:I665,8,FALSE)</f>
        <v>148.551636432333</v>
      </c>
      <c r="F203" s="77">
        <f>IF('Settings'!$E$15="POINTS",E203-VLOOKUP(B$2,C1:E213,3,FALSE),J203)</f>
        <v>-182.988571487749</v>
      </c>
      <c r="G203" s="77"/>
      <c r="H203" s="223">
        <f>RANK(I203,I3:I213)</f>
        <v>199</v>
      </c>
      <c r="I203" s="77">
        <f>VLOOKUP(A203,'Standard Deviations'!A1:C666,3,FALSE)</f>
        <v>-4.21263060677302</v>
      </c>
      <c r="J203" s="84">
        <f>I203-VLOOKUP(B$2,H1:J213,2,FALSE)</f>
        <v>-9.04208203309711</v>
      </c>
    </row>
    <row r="204" ht="21.25" customHeight="1">
      <c r="A204" t="s" s="10">
        <v>800</v>
      </c>
      <c r="B204" t="s" s="233">
        <f>VLOOKUP(A204,'The List'!B1:D665,3,FALSE)</f>
        <v>153</v>
      </c>
      <c r="C204" s="234">
        <f>IF('Settings'!$E$15="POINTS",RANK(E204,E3:E213),H204)</f>
        <v>195</v>
      </c>
      <c r="D204" t="s" s="86">
        <f>VLOOKUP(A204,'The List'!B1:F665,5,FALSE)</f>
        <v>913</v>
      </c>
      <c r="E204" s="77">
        <f>VLOOKUP(A204,'The List'!B1:I665,8,FALSE)</f>
        <v>147.371588006491</v>
      </c>
      <c r="F204" s="77">
        <f>IF('Settings'!$E$15="POINTS",E204-VLOOKUP(B$2,C1:E213,3,FALSE),J204)</f>
        <v>-184.168619913591</v>
      </c>
      <c r="G204" s="77"/>
      <c r="H204" s="223">
        <f>RANK(I204,I3:I213)</f>
        <v>211</v>
      </c>
      <c r="I204" s="77">
        <f>VLOOKUP(A204,'Standard Deviations'!A1:C666,3,FALSE)</f>
        <v>-5.74493538417407</v>
      </c>
      <c r="J204" s="84">
        <f>I204-VLOOKUP(B$2,H1:J213,2,FALSE)</f>
        <v>-10.5743868104982</v>
      </c>
    </row>
    <row r="205" ht="21.25" customHeight="1">
      <c r="A205" t="s" s="10">
        <v>816</v>
      </c>
      <c r="B205" t="s" s="233">
        <f>VLOOKUP(A205,'The List'!B1:D665,3,FALSE)</f>
        <v>153</v>
      </c>
      <c r="C205" s="234">
        <f>IF('Settings'!$E$15="POINTS",RANK(E205,E3:E213),H205)</f>
        <v>199</v>
      </c>
      <c r="D205" t="s" s="86">
        <f>VLOOKUP(A205,'The List'!B1:F665,5,FALSE)</f>
        <v>907</v>
      </c>
      <c r="E205" s="77">
        <f>VLOOKUP(A205,'The List'!B1:I665,8,FALSE)</f>
        <v>141.915839230333</v>
      </c>
      <c r="F205" s="77">
        <f>IF('Settings'!$E$15="POINTS",E205-VLOOKUP(B$2,C1:E213,3,FALSE),J205)</f>
        <v>-189.624368689749</v>
      </c>
      <c r="G205" s="77"/>
      <c r="H205" s="223">
        <f>RANK(I205,I3:I213)</f>
        <v>192</v>
      </c>
      <c r="I205" s="77">
        <f>VLOOKUP(A205,'Standard Deviations'!A1:C666,3,FALSE)</f>
        <v>-3.89049646212984</v>
      </c>
      <c r="J205" s="84">
        <f>I205-VLOOKUP(B$2,H1:J213,2,FALSE)</f>
        <v>-8.71994788845393</v>
      </c>
    </row>
    <row r="206" ht="21.25" customHeight="1">
      <c r="A206" t="s" s="10">
        <v>791</v>
      </c>
      <c r="B206" t="s" s="233">
        <f>VLOOKUP(A206,'The List'!B1:D665,3,FALSE)</f>
        <v>153</v>
      </c>
      <c r="C206" s="234">
        <f>IF('Settings'!$E$15="POINTS",RANK(E206,E3:E213),H206)</f>
        <v>190</v>
      </c>
      <c r="D206" t="s" s="86">
        <f>VLOOKUP(A206,'The List'!B1:F665,5,FALSE)</f>
        <v>900</v>
      </c>
      <c r="E206" s="77">
        <f>VLOOKUP(A206,'The List'!B1:I665,8,FALSE)</f>
        <v>151.413865302185</v>
      </c>
      <c r="F206" s="77">
        <f>IF('Settings'!$E$15="POINTS",E206-VLOOKUP(B$2,C1:E213,3,FALSE),J206)</f>
        <v>-180.126342617897</v>
      </c>
      <c r="G206" s="77"/>
      <c r="H206" s="223">
        <f>RANK(I206,I3:I213)</f>
        <v>203</v>
      </c>
      <c r="I206" s="77">
        <f>VLOOKUP(A206,'Standard Deviations'!A1:C666,3,FALSE)</f>
        <v>-4.38292034886796</v>
      </c>
      <c r="J206" s="84">
        <f>I206-VLOOKUP(B$2,H1:J213,2,FALSE)</f>
        <v>-9.21237177519205</v>
      </c>
    </row>
    <row r="207" ht="21.25" customHeight="1">
      <c r="A207" t="s" s="10">
        <v>706</v>
      </c>
      <c r="B207" t="s" s="233">
        <f>VLOOKUP(A207,'The List'!B1:D665,3,FALSE)</f>
        <v>153</v>
      </c>
      <c r="C207" s="234">
        <f>IF('Settings'!$E$15="POINTS",RANK(E207,E3:E213),H207)</f>
        <v>170</v>
      </c>
      <c r="D207" t="s" s="86">
        <f>VLOOKUP(A207,'The List'!B1:F665,5,FALSE)</f>
        <v>902</v>
      </c>
      <c r="E207" s="77">
        <f>VLOOKUP(A207,'The List'!B1:I665,8,FALSE)</f>
        <v>176.611205877435</v>
      </c>
      <c r="F207" s="77">
        <f>IF('Settings'!$E$15="POINTS",E207-VLOOKUP(B$2,C1:E213,3,FALSE),J207)</f>
        <v>-154.929002042647</v>
      </c>
      <c r="G207" s="77"/>
      <c r="H207" s="223">
        <f>RANK(I207,I3:I213)</f>
        <v>168</v>
      </c>
      <c r="I207" s="77">
        <f>VLOOKUP(A207,'Standard Deviations'!A1:C666,3,FALSE)</f>
        <v>-3.14380452772603</v>
      </c>
      <c r="J207" s="84">
        <f>I207-VLOOKUP(B$2,H1:J213,2,FALSE)</f>
        <v>-7.97325595405012</v>
      </c>
    </row>
    <row r="208" ht="21.25" customHeight="1">
      <c r="A208" t="s" s="10">
        <v>481</v>
      </c>
      <c r="B208" t="s" s="233">
        <f>VLOOKUP(A208,'The List'!B1:D665,3,FALSE)</f>
        <v>153</v>
      </c>
      <c r="C208" s="234">
        <f>IF('Settings'!$E$15="POINTS",RANK(E208,E3:E213),H208)</f>
        <v>89</v>
      </c>
      <c r="D208" t="s" s="86">
        <f>VLOOKUP(A208,'The List'!B1:F665,5,FALSE)</f>
        <v>132</v>
      </c>
      <c r="E208" s="77">
        <f>VLOOKUP(A208,'The List'!B1:I665,8,FALSE)</f>
        <v>238.830632850018</v>
      </c>
      <c r="F208" s="77">
        <f>IF('Settings'!$E$15="POINTS",E208-VLOOKUP(B$2,C1:E213,3,FALSE),J208)</f>
        <v>-92.70957507006401</v>
      </c>
      <c r="G208" s="77"/>
      <c r="H208" s="223">
        <f>RANK(I208,I3:I213)</f>
        <v>134</v>
      </c>
      <c r="I208" s="77">
        <f>VLOOKUP(A208,'Standard Deviations'!A1:C666,3,FALSE)</f>
        <v>-2.23761803802941</v>
      </c>
      <c r="J208" s="84">
        <f>I208-VLOOKUP(B$2,H1:J213,2,FALSE)</f>
        <v>-7.0670694643535</v>
      </c>
    </row>
    <row r="209" ht="21.25" customHeight="1">
      <c r="A209" t="s" s="10">
        <v>850</v>
      </c>
      <c r="B209" t="s" s="233">
        <f>VLOOKUP(A209,'The List'!B1:D665,3,FALSE)</f>
        <v>153</v>
      </c>
      <c r="C209" s="234">
        <f>IF('Settings'!$E$15="POINTS",RANK(E209,E3:E213),H209)</f>
        <v>211</v>
      </c>
      <c r="D209" t="s" s="86">
        <f>VLOOKUP(A209,'The List'!B1:F665,5,FALSE)</f>
        <v>900</v>
      </c>
      <c r="E209" s="77">
        <f>VLOOKUP(A209,'The List'!B1:I665,8,FALSE)</f>
        <v>115.986987639388</v>
      </c>
      <c r="F209" s="77">
        <f>IF('Settings'!$E$15="POINTS",E209-VLOOKUP(B$2,C1:E213,3,FALSE),J209)</f>
        <v>-215.553220280694</v>
      </c>
      <c r="G209" s="77"/>
      <c r="H209" s="223">
        <f>RANK(I209,I3:I213)</f>
        <v>198</v>
      </c>
      <c r="I209" s="77">
        <f>VLOOKUP(A209,'Standard Deviations'!A1:C666,3,FALSE)</f>
        <v>-4.21211508814111</v>
      </c>
      <c r="J209" s="84">
        <f>I209-VLOOKUP(B$2,H1:J213,2,FALSE)</f>
        <v>-9.041566514465201</v>
      </c>
    </row>
    <row r="210" ht="21.25" customHeight="1">
      <c r="A210" t="s" s="10">
        <v>844</v>
      </c>
      <c r="B210" t="s" s="233">
        <f>VLOOKUP(A210,'The List'!B1:D665,3,FALSE)</f>
        <v>153</v>
      </c>
      <c r="C210" s="234">
        <f>IF('Settings'!$E$15="POINTS",RANK(E210,E3:E213),H210)</f>
        <v>208</v>
      </c>
      <c r="D210" t="s" s="86">
        <f>VLOOKUP(A210,'The List'!B1:F665,5,FALSE)</f>
        <v>900</v>
      </c>
      <c r="E210" s="77">
        <f>VLOOKUP(A210,'The List'!B1:I665,8,FALSE)</f>
        <v>125.904921694293</v>
      </c>
      <c r="F210" s="77">
        <f>IF('Settings'!$E$15="POINTS",E210-VLOOKUP(B$2,C1:E213,3,FALSE),J210)</f>
        <v>-205.635286225789</v>
      </c>
      <c r="G210" s="77"/>
      <c r="H210" s="223">
        <f>RANK(I210,I3:I213)</f>
        <v>200</v>
      </c>
      <c r="I210" s="77">
        <f>VLOOKUP(A210,'Standard Deviations'!A1:C666,3,FALSE)</f>
        <v>-4.25705646954307</v>
      </c>
      <c r="J210" s="84">
        <f>I210-VLOOKUP(B$2,H1:J213,2,FALSE)</f>
        <v>-9.086507895867159</v>
      </c>
    </row>
    <row r="211" ht="21.25" customHeight="1">
      <c r="A211" t="s" s="10">
        <v>837</v>
      </c>
      <c r="B211" t="s" s="233">
        <f>VLOOKUP(A211,'The List'!B1:D665,3,FALSE)</f>
        <v>153</v>
      </c>
      <c r="C211" s="234">
        <f>IF('Settings'!$E$15="POINTS",RANK(E211,E3:E213),H211)</f>
        <v>206</v>
      </c>
      <c r="D211" t="s" s="86">
        <f>VLOOKUP(A211,'The List'!B1:F665,5,FALSE)</f>
        <v>207</v>
      </c>
      <c r="E211" s="77">
        <f>VLOOKUP(A211,'The List'!B1:I665,8,FALSE)</f>
        <v>129.835652275187</v>
      </c>
      <c r="F211" s="77">
        <f>IF('Settings'!$E$15="POINTS",E211-VLOOKUP(B$2,C1:E213,3,FALSE),J211)</f>
        <v>-201.704555644895</v>
      </c>
      <c r="G211" s="77"/>
      <c r="H211" s="223">
        <f>RANK(I211,I3:I213)</f>
        <v>196</v>
      </c>
      <c r="I211" s="77">
        <f>VLOOKUP(A211,'Standard Deviations'!A1:C666,3,FALSE)</f>
        <v>-4.02668527668446</v>
      </c>
      <c r="J211" s="84">
        <f>I211-VLOOKUP(B$2,H1:J213,2,FALSE)</f>
        <v>-8.85613670300855</v>
      </c>
    </row>
    <row r="212" ht="21.25" customHeight="1">
      <c r="A212" t="s" s="10">
        <v>778</v>
      </c>
      <c r="B212" t="s" s="233">
        <f>VLOOKUP(A212,'The List'!B1:D665,3,FALSE)</f>
        <v>153</v>
      </c>
      <c r="C212" s="234">
        <f>IF('Settings'!$E$15="POINTS",RANK(E212,E3:E213),H212)</f>
        <v>185</v>
      </c>
      <c r="D212" t="s" s="86">
        <f>VLOOKUP(A212,'The List'!B1:F665,5,FALSE)</f>
        <v>156</v>
      </c>
      <c r="E212" s="77">
        <f>VLOOKUP(A212,'The List'!B1:I665,8,FALSE)</f>
        <v>155.917407110340</v>
      </c>
      <c r="F212" s="77">
        <f>IF('Settings'!$E$15="POINTS",E212-VLOOKUP(B$2,C1:E213,3,FALSE),J212)</f>
        <v>-175.622800809742</v>
      </c>
      <c r="G212" s="77"/>
      <c r="H212" s="223">
        <f>RANK(I212,I3:I213)</f>
        <v>206</v>
      </c>
      <c r="I212" s="77">
        <f>VLOOKUP(A212,'Standard Deviations'!A1:C666,3,FALSE)</f>
        <v>-4.57513602828106</v>
      </c>
      <c r="J212" s="84">
        <f>I212-VLOOKUP(B$2,H1:J213,2,FALSE)</f>
        <v>-9.404587454605149</v>
      </c>
    </row>
    <row r="213" ht="21.25" customHeight="1">
      <c r="A213" t="s" s="10">
        <v>834</v>
      </c>
      <c r="B213" t="s" s="233">
        <f>VLOOKUP(A213,'The List'!B1:D665,3,FALSE)</f>
        <v>153</v>
      </c>
      <c r="C213" s="234">
        <f>IF('Settings'!$E$15="POINTS",RANK(E213,E3:E213),H213)</f>
        <v>204</v>
      </c>
      <c r="D213" t="s" s="86">
        <f>VLOOKUP(A213,'The List'!B1:F665,5,FALSE)</f>
        <v>914</v>
      </c>
      <c r="E213" s="77">
        <f>VLOOKUP(A213,'The List'!B1:I665,8,FALSE)</f>
        <v>131.747899658489</v>
      </c>
      <c r="F213" s="77">
        <f>IF('Settings'!$E$15="POINTS",E213-VLOOKUP(B$2,C1:E213,3,FALSE),J213)</f>
        <v>-199.792308261593</v>
      </c>
      <c r="G213" s="77"/>
      <c r="H213" s="223">
        <f>RANK(I213,I3:I213)</f>
        <v>189</v>
      </c>
      <c r="I213" s="77">
        <f>VLOOKUP(A213,'Standard Deviations'!A1:C666,3,FALSE)</f>
        <v>-3.83557282944596</v>
      </c>
      <c r="J213" s="84">
        <f>I213-VLOOKUP(B$2,H1:J213,2,FALSE)</f>
        <v>-8.665024255770049</v>
      </c>
    </row>
  </sheetData>
  <conditionalFormatting sqref="C3:C213 H3:H213">
    <cfRule type="containsText" dxfId="41" priority="1" stopIfTrue="1" text="/">
      <formula>NOT(ISERROR(FIND(UPPER("/"),UPPER(C3))))</formula>
      <formula>"/"</formula>
    </cfRule>
    <cfRule type="containsText" dxfId="42" priority="2" stopIfTrue="1" text="C">
      <formula>NOT(ISERROR(FIND(UPPER("C"),UPPER(C3))))</formula>
      <formula>"C"</formula>
    </cfRule>
    <cfRule type="containsText" dxfId="43" priority="3" stopIfTrue="1" text="D">
      <formula>NOT(ISERROR(FIND(UPPER("D"),UPPER(C3))))</formula>
      <formula>"D"</formula>
    </cfRule>
    <cfRule type="containsText" dxfId="44" priority="4" stopIfTrue="1" text="LW">
      <formula>NOT(ISERROR(FIND(UPPER("LW"),UPPER(C3))))</formula>
      <formula>"LW"</formula>
    </cfRule>
    <cfRule type="containsText" dxfId="45" priority="5" stopIfTrue="1" text="RW">
      <formula>NOT(ISERROR(FIND(UPPER("RW"),UPPER(C3))))</formula>
      <formula>"RW"</formula>
    </cfRule>
    <cfRule type="containsText" dxfId="46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65"/>
  <sheetViews>
    <sheetView workbookViewId="0" showGridLines="0" defaultGridColor="1"/>
  </sheetViews>
  <sheetFormatPr defaultColWidth="8" defaultRowHeight="16.25" customHeight="1" outlineLevelRow="0" outlineLevelCol="0"/>
  <cols>
    <col min="1" max="1" width="33" style="235" customWidth="1"/>
    <col min="2" max="2" width="7.17188" style="235" customWidth="1"/>
    <col min="3" max="3" width="6" style="235" customWidth="1"/>
    <col min="4" max="6" width="8.35156" style="235" customWidth="1"/>
    <col min="7" max="10" width="1.35156" style="235" customWidth="1"/>
    <col min="11" max="16384" width="8" style="235" customWidth="1"/>
  </cols>
  <sheetData>
    <row r="1" ht="28.25" customHeight="1">
      <c r="A1" t="s" s="209">
        <v>895</v>
      </c>
      <c r="B1" t="s" s="210">
        <v>103</v>
      </c>
      <c r="C1" s="211"/>
      <c r="D1" t="s" s="4">
        <v>12</v>
      </c>
      <c r="E1" t="s" s="212">
        <v>897</v>
      </c>
      <c r="F1" t="s" s="210">
        <v>97</v>
      </c>
      <c r="G1" s="213"/>
      <c r="H1" s="214"/>
      <c r="I1" t="s" s="212">
        <v>898</v>
      </c>
      <c r="J1" t="s" s="215">
        <v>97</v>
      </c>
    </row>
    <row r="2" ht="28.25" customHeight="1">
      <c r="A2" t="s" s="216">
        <v>61</v>
      </c>
      <c r="B2" s="217">
        <f>'Settings'!F6</f>
        <v>16</v>
      </c>
      <c r="C2" s="218"/>
      <c r="D2" s="219"/>
      <c r="E2" s="220"/>
      <c r="F2" s="220"/>
      <c r="G2" s="220"/>
      <c r="H2" s="225"/>
      <c r="I2" s="231"/>
      <c r="J2" s="226"/>
    </row>
    <row r="3" ht="21.25" customHeight="1">
      <c r="A3" t="s" s="10">
        <v>160</v>
      </c>
      <c r="B3" t="s" s="180">
        <f>VLOOKUP(A3,'The List'!B1:D665,3,FALSE)</f>
        <v>161</v>
      </c>
      <c r="C3" s="236">
        <f>RANK(E3,E3:E65)</f>
        <v>1</v>
      </c>
      <c r="D3" t="s" s="86">
        <f>VLOOKUP(A3,'The List'!B1:F665,5,FALSE)</f>
        <v>878</v>
      </c>
      <c r="E3" s="77">
        <f>VLOOKUP(A3,'The List'!B1:I665,8,FALSE)</f>
        <v>362.884398628142</v>
      </c>
      <c r="F3" s="77">
        <f>IF('Settings'!$E$15="POINTS",E3-VLOOKUP(B$2,C1:E65,3,FALSE),J3)</f>
        <v>95.293384063552</v>
      </c>
      <c r="G3" s="77"/>
      <c r="H3" s="227">
        <f>RANK(I3,I3:I65)</f>
        <v>2</v>
      </c>
      <c r="I3" s="174">
        <f>VLOOKUP(A3,'Standard Deviations'!A1:C666,3,FALSE)</f>
        <v>7.99203548487177</v>
      </c>
      <c r="J3" s="228">
        <f>I3-VLOOKUP(B$2,H1:J65,2,FALSE)</f>
        <v>4.8942422544461</v>
      </c>
    </row>
    <row r="4" ht="21.25" customHeight="1">
      <c r="A4" t="s" s="10">
        <v>167</v>
      </c>
      <c r="B4" t="s" s="180">
        <f>VLOOKUP(A4,'The List'!B1:D665,3,FALSE)</f>
        <v>161</v>
      </c>
      <c r="C4" s="236">
        <f>RANK(E4,E3:E65)</f>
        <v>3</v>
      </c>
      <c r="D4" t="s" s="86">
        <f>VLOOKUP(A4,'The List'!B1:F665,5,FALSE)</f>
        <v>906</v>
      </c>
      <c r="E4" s="77">
        <f>VLOOKUP(A4,'The List'!B1:I665,8,FALSE)</f>
        <v>357.579125488440</v>
      </c>
      <c r="F4" s="77">
        <f>IF('Settings'!$E$15="POINTS",E4-VLOOKUP(B$2,C1:E65,3,FALSE),J4)</f>
        <v>89.988110923850</v>
      </c>
      <c r="G4" s="77"/>
      <c r="H4" s="223">
        <f>RANK(I4,I3:I65)</f>
        <v>1</v>
      </c>
      <c r="I4" s="77">
        <f>VLOOKUP(A4,'Standard Deviations'!A1:C666,3,FALSE)</f>
        <v>8.663630351956311</v>
      </c>
      <c r="J4" s="84">
        <f>I4-VLOOKUP(B$2,H1:J65,2,FALSE)</f>
        <v>5.56583712153064</v>
      </c>
    </row>
    <row r="5" ht="21.25" customHeight="1">
      <c r="A5" t="s" s="10">
        <v>164</v>
      </c>
      <c r="B5" t="s" s="180">
        <f>VLOOKUP(A5,'The List'!B1:D665,3,FALSE)</f>
        <v>161</v>
      </c>
      <c r="C5" s="236">
        <f>RANK(E5,E3:E65)</f>
        <v>2</v>
      </c>
      <c r="D5" t="s" s="86">
        <f>VLOOKUP(A5,'The List'!B1:F665,5,FALSE)</f>
        <v>165</v>
      </c>
      <c r="E5" s="77">
        <f>VLOOKUP(A5,'The List'!B1:I665,8,FALSE)</f>
        <v>359.887086113392</v>
      </c>
      <c r="F5" s="77">
        <f>IF('Settings'!$E$15="POINTS",E5-VLOOKUP(B$2,C1:E65,3,FALSE),J5)</f>
        <v>92.296071548802</v>
      </c>
      <c r="G5" s="77"/>
      <c r="H5" s="223">
        <f>RANK(I5,I3:I65)</f>
        <v>5</v>
      </c>
      <c r="I5" s="77">
        <f>VLOOKUP(A5,'Standard Deviations'!A1:C666,3,FALSE)</f>
        <v>6.45407082273785</v>
      </c>
      <c r="J5" s="84">
        <f>I5-VLOOKUP(B$2,H1:J65,2,FALSE)</f>
        <v>3.35627759231218</v>
      </c>
    </row>
    <row r="6" ht="21.25" customHeight="1">
      <c r="A6" t="s" s="10">
        <v>175</v>
      </c>
      <c r="B6" t="s" s="180">
        <f>VLOOKUP(A6,'The List'!B1:D665,3,FALSE)</f>
        <v>161</v>
      </c>
      <c r="C6" s="236">
        <f>RANK(E6,E3:E65)</f>
        <v>4</v>
      </c>
      <c r="D6" t="s" s="86">
        <f>VLOOKUP(A6,'The List'!B1:F665,5,FALSE)</f>
        <v>902</v>
      </c>
      <c r="E6" s="77">
        <f>VLOOKUP(A6,'The List'!B1:I665,8,FALSE)</f>
        <v>342.511993564699</v>
      </c>
      <c r="F6" s="77">
        <f>IF('Settings'!$E$15="POINTS",E6-VLOOKUP(B$2,C1:E65,3,FALSE),J6)</f>
        <v>74.920979000109</v>
      </c>
      <c r="G6" s="77"/>
      <c r="H6" s="223">
        <f>RANK(I6,I3:I65)</f>
        <v>4</v>
      </c>
      <c r="I6" s="77">
        <f>VLOOKUP(A6,'Standard Deviations'!A1:C666,3,FALSE)</f>
        <v>6.50022133116328</v>
      </c>
      <c r="J6" s="84">
        <f>I6-VLOOKUP(B$2,H1:J65,2,FALSE)</f>
        <v>3.40242810073761</v>
      </c>
    </row>
    <row r="7" ht="21.25" customHeight="1">
      <c r="A7" t="s" s="10">
        <v>180</v>
      </c>
      <c r="B7" t="s" s="180">
        <f>VLOOKUP(A7,'The List'!B1:D665,3,FALSE)</f>
        <v>161</v>
      </c>
      <c r="C7" s="236">
        <f>RANK(E7,E3:E65)</f>
        <v>5</v>
      </c>
      <c r="D7" t="s" s="86">
        <f>VLOOKUP(A7,'The List'!B1:F665,5,FALSE)</f>
        <v>866</v>
      </c>
      <c r="E7" s="77">
        <f>VLOOKUP(A7,'The List'!B1:I665,8,FALSE)</f>
        <v>339.938920138369</v>
      </c>
      <c r="F7" s="77">
        <f>IF('Settings'!$E$15="POINTS",E7-VLOOKUP(B$2,C1:E65,3,FALSE),J7)</f>
        <v>72.347905573779</v>
      </c>
      <c r="G7" s="77"/>
      <c r="H7" s="223">
        <f>RANK(I7,I3:I65)</f>
        <v>11</v>
      </c>
      <c r="I7" s="77">
        <f>VLOOKUP(A7,'Standard Deviations'!A1:C666,3,FALSE)</f>
        <v>4.3290374029114</v>
      </c>
      <c r="J7" s="84">
        <f>I7-VLOOKUP(B$2,H1:J65,2,FALSE)</f>
        <v>1.23124417248573</v>
      </c>
    </row>
    <row r="8" ht="21.25" customHeight="1">
      <c r="A8" t="s" s="10">
        <v>187</v>
      </c>
      <c r="B8" t="s" s="180">
        <f>VLOOKUP(A8,'The List'!B1:D665,3,FALSE)</f>
        <v>161</v>
      </c>
      <c r="C8" s="236">
        <f>RANK(E8,E3:E65)</f>
        <v>6</v>
      </c>
      <c r="D8" t="s" s="86">
        <f>VLOOKUP(A8,'The List'!B1:F665,5,FALSE)</f>
        <v>129</v>
      </c>
      <c r="E8" s="77">
        <f>VLOOKUP(A8,'The List'!B1:I665,8,FALSE)</f>
        <v>326.782981202940</v>
      </c>
      <c r="F8" s="77">
        <f>IF('Settings'!$E$15="POINTS",E8-VLOOKUP(B$2,C1:E65,3,FALSE),J8)</f>
        <v>59.191966638350</v>
      </c>
      <c r="G8" s="77"/>
      <c r="H8" s="223">
        <f>RANK(I8,I3:I65)</f>
        <v>10</v>
      </c>
      <c r="I8" s="77">
        <f>VLOOKUP(A8,'Standard Deviations'!A1:C666,3,FALSE)</f>
        <v>4.35321430039172</v>
      </c>
      <c r="J8" s="84">
        <f>I8-VLOOKUP(B$2,H1:J65,2,FALSE)</f>
        <v>1.25542106996605</v>
      </c>
    </row>
    <row r="9" ht="21.25" customHeight="1">
      <c r="A9" t="s" s="10">
        <v>200</v>
      </c>
      <c r="B9" t="s" s="180">
        <f>VLOOKUP(A9,'The List'!B1:D665,3,FALSE)</f>
        <v>161</v>
      </c>
      <c r="C9" s="236">
        <f>RANK(E9,E3:E65)</f>
        <v>9</v>
      </c>
      <c r="D9" t="s" s="86">
        <f>VLOOKUP(A9,'The List'!B1:F665,5,FALSE)</f>
        <v>899</v>
      </c>
      <c r="E9" s="77">
        <f>VLOOKUP(A9,'The List'!B1:I665,8,FALSE)</f>
        <v>315.190438643106</v>
      </c>
      <c r="F9" s="77">
        <f>IF('Settings'!$E$15="POINTS",E9-VLOOKUP(B$2,C1:E65,3,FALSE),J9)</f>
        <v>47.599424078516</v>
      </c>
      <c r="G9" s="77"/>
      <c r="H9" s="223">
        <f>RANK(I9,I3:I65)</f>
        <v>7</v>
      </c>
      <c r="I9" s="77">
        <f>VLOOKUP(A9,'Standard Deviations'!A1:C666,3,FALSE)</f>
        <v>5.84786902265152</v>
      </c>
      <c r="J9" s="84">
        <f>I9-VLOOKUP(B$2,H1:J65,2,FALSE)</f>
        <v>2.75007579222585</v>
      </c>
    </row>
    <row r="10" ht="21.25" customHeight="1">
      <c r="A10" t="s" s="10">
        <v>199</v>
      </c>
      <c r="B10" t="s" s="180">
        <f>VLOOKUP(A10,'The List'!B1:D665,3,FALSE)</f>
        <v>161</v>
      </c>
      <c r="C10" s="236">
        <f>RANK(E10,E3:E65)</f>
        <v>8</v>
      </c>
      <c r="D10" t="s" s="86">
        <f>VLOOKUP(A10,'The List'!B1:F665,5,FALSE)</f>
        <v>900</v>
      </c>
      <c r="E10" s="77">
        <f>VLOOKUP(A10,'The List'!B1:I665,8,FALSE)</f>
        <v>316.440980640169</v>
      </c>
      <c r="F10" s="77">
        <f>IF('Settings'!$E$15="POINTS",E10-VLOOKUP(B$2,C1:E65,3,FALSE),J10)</f>
        <v>48.849966075579</v>
      </c>
      <c r="G10" s="77"/>
      <c r="H10" s="223">
        <f>RANK(I10,I3:I65)</f>
        <v>9</v>
      </c>
      <c r="I10" s="77">
        <f>VLOOKUP(A10,'Standard Deviations'!A1:C666,3,FALSE)</f>
        <v>4.45834260129722</v>
      </c>
      <c r="J10" s="84">
        <f>I10-VLOOKUP(B$2,H1:J65,2,FALSE)</f>
        <v>1.36054937087155</v>
      </c>
    </row>
    <row r="11" ht="21.25" customHeight="1">
      <c r="A11" t="s" s="10">
        <v>197</v>
      </c>
      <c r="B11" t="s" s="180">
        <f>VLOOKUP(A11,'The List'!B1:D665,3,FALSE)</f>
        <v>161</v>
      </c>
      <c r="C11" s="236">
        <f>RANK(E11,E3:E65)</f>
        <v>7</v>
      </c>
      <c r="D11" t="s" s="86">
        <f>VLOOKUP(A11,'The List'!B1:F665,5,FALSE)</f>
        <v>901</v>
      </c>
      <c r="E11" s="77">
        <f>VLOOKUP(A11,'The List'!B1:I665,8,FALSE)</f>
        <v>320.042675447092</v>
      </c>
      <c r="F11" s="77">
        <f>IF('Settings'!$E$15="POINTS",E11-VLOOKUP(B$2,C1:E65,3,FALSE),J11)</f>
        <v>52.451660882502</v>
      </c>
      <c r="G11" s="77"/>
      <c r="H11" s="223">
        <f>RANK(I11,I3:I65)</f>
        <v>6</v>
      </c>
      <c r="I11" s="77">
        <f>VLOOKUP(A11,'Standard Deviations'!A1:C666,3,FALSE)</f>
        <v>5.94325775775848</v>
      </c>
      <c r="J11" s="84">
        <f>I11-VLOOKUP(B$2,H1:J65,2,FALSE)</f>
        <v>2.84546452733281</v>
      </c>
    </row>
    <row r="12" ht="21.25" customHeight="1">
      <c r="A12" t="s" s="10">
        <v>206</v>
      </c>
      <c r="B12" t="s" s="180">
        <f>VLOOKUP(A12,'The List'!B1:D665,3,FALSE)</f>
        <v>161</v>
      </c>
      <c r="C12" s="236">
        <f>RANK(E12,E3:E65)</f>
        <v>11</v>
      </c>
      <c r="D12" t="s" s="86">
        <f>VLOOKUP(A12,'The List'!B1:F665,5,FALSE)</f>
        <v>207</v>
      </c>
      <c r="E12" s="77">
        <f>VLOOKUP(A12,'The List'!B1:I665,8,FALSE)</f>
        <v>312.283530007629</v>
      </c>
      <c r="F12" s="77">
        <f>IF('Settings'!$E$15="POINTS",E12-VLOOKUP(B$2,C1:E65,3,FALSE),J12)</f>
        <v>44.692515443039</v>
      </c>
      <c r="G12" s="77"/>
      <c r="H12" s="223">
        <f>RANK(I12,I3:I65)</f>
        <v>3</v>
      </c>
      <c r="I12" s="77">
        <f>VLOOKUP(A12,'Standard Deviations'!A1:C666,3,FALSE)</f>
        <v>6.5167520794243</v>
      </c>
      <c r="J12" s="84">
        <f>I12-VLOOKUP(B$2,H1:J65,2,FALSE)</f>
        <v>3.41895884899863</v>
      </c>
    </row>
    <row r="13" ht="21.25" customHeight="1">
      <c r="A13" t="s" s="10">
        <v>205</v>
      </c>
      <c r="B13" t="s" s="180">
        <f>VLOOKUP(A13,'The List'!B1:D665,3,FALSE)</f>
        <v>161</v>
      </c>
      <c r="C13" s="236">
        <f>RANK(E13,E3:E65)</f>
        <v>10</v>
      </c>
      <c r="D13" t="s" s="86">
        <f>VLOOKUP(A13,'The List'!B1:F665,5,FALSE)</f>
        <v>149</v>
      </c>
      <c r="E13" s="77">
        <f>VLOOKUP(A13,'The List'!B1:I665,8,FALSE)</f>
        <v>312.910740417643</v>
      </c>
      <c r="F13" s="77">
        <f>IF('Settings'!$E$15="POINTS",E13-VLOOKUP(B$2,C1:E65,3,FALSE),J13)</f>
        <v>45.319725853053</v>
      </c>
      <c r="G13" s="77"/>
      <c r="H13" s="223">
        <f>RANK(I13,I3:I65)</f>
        <v>8</v>
      </c>
      <c r="I13" s="77">
        <f>VLOOKUP(A13,'Standard Deviations'!A1:C666,3,FALSE)</f>
        <v>5.19336945528848</v>
      </c>
      <c r="J13" s="84">
        <f>I13-VLOOKUP(B$2,H1:J65,2,FALSE)</f>
        <v>2.09557622486281</v>
      </c>
    </row>
    <row r="14" ht="21.25" customHeight="1">
      <c r="A14" t="s" s="10">
        <v>211</v>
      </c>
      <c r="B14" t="s" s="180">
        <f>VLOOKUP(A14,'The List'!B1:D665,3,FALSE)</f>
        <v>161</v>
      </c>
      <c r="C14" s="236">
        <f>RANK(E14,E3:E65)</f>
        <v>12</v>
      </c>
      <c r="D14" t="s" s="86">
        <f>VLOOKUP(A14,'The List'!B1:F665,5,FALSE)</f>
        <v>871</v>
      </c>
      <c r="E14" s="77">
        <f>VLOOKUP(A14,'The List'!B1:I665,8,FALSE)</f>
        <v>303.618435722738</v>
      </c>
      <c r="F14" s="77">
        <f>IF('Settings'!$E$15="POINTS",E14-VLOOKUP(B$2,C1:E65,3,FALSE),J14)</f>
        <v>36.027421158148</v>
      </c>
      <c r="G14" s="77"/>
      <c r="H14" s="223">
        <f>RANK(I14,I3:I65)</f>
        <v>18</v>
      </c>
      <c r="I14" s="77">
        <f>VLOOKUP(A14,'Standard Deviations'!A1:C666,3,FALSE)</f>
        <v>2.58406821701141</v>
      </c>
      <c r="J14" s="84">
        <f>I14-VLOOKUP(B$2,H1:J65,2,FALSE)</f>
        <v>-0.51372501341426</v>
      </c>
    </row>
    <row r="15" ht="21.25" customHeight="1">
      <c r="A15" t="s" s="10">
        <v>217</v>
      </c>
      <c r="B15" t="s" s="180">
        <f>VLOOKUP(A15,'The List'!B1:D665,3,FALSE)</f>
        <v>161</v>
      </c>
      <c r="C15" s="236">
        <f>RANK(E15,E3:E65)</f>
        <v>13</v>
      </c>
      <c r="D15" t="s" s="86">
        <f>VLOOKUP(A15,'The List'!B1:F665,5,FALSE)</f>
        <v>907</v>
      </c>
      <c r="E15" s="77">
        <f>VLOOKUP(A15,'The List'!B1:I665,8,FALSE)</f>
        <v>296.683711885427</v>
      </c>
      <c r="F15" s="77">
        <f>IF('Settings'!$E$15="POINTS",E15-VLOOKUP(B$2,C1:E65,3,FALSE),J15)</f>
        <v>29.092697320837</v>
      </c>
      <c r="G15" s="77"/>
      <c r="H15" s="223">
        <f>RANK(I15,I3:I65)</f>
        <v>27</v>
      </c>
      <c r="I15" s="77">
        <f>VLOOKUP(A15,'Standard Deviations'!A1:C666,3,FALSE)</f>
        <v>0.35596349728074</v>
      </c>
      <c r="J15" s="84">
        <f>I15-VLOOKUP(B$2,H1:J65,2,FALSE)</f>
        <v>-2.74182973314493</v>
      </c>
    </row>
    <row r="16" ht="21.25" customHeight="1">
      <c r="A16" t="s" s="10">
        <v>245</v>
      </c>
      <c r="B16" t="s" s="180">
        <f>VLOOKUP(A16,'The List'!B1:D665,3,FALSE)</f>
        <v>161</v>
      </c>
      <c r="C16" s="236">
        <f>RANK(E16,E3:E65)</f>
        <v>14</v>
      </c>
      <c r="D16" t="s" s="86">
        <f>VLOOKUP(A16,'The List'!B1:F665,5,FALSE)</f>
        <v>904</v>
      </c>
      <c r="E16" s="77">
        <f>VLOOKUP(A16,'The List'!B1:I665,8,FALSE)</f>
        <v>279.917024989839</v>
      </c>
      <c r="F16" s="77">
        <f>IF('Settings'!$E$15="POINTS",E16-VLOOKUP(B$2,C1:E65,3,FALSE),J16)</f>
        <v>12.326010425249</v>
      </c>
      <c r="G16" s="77"/>
      <c r="H16" s="223">
        <f>RANK(I16,I3:I65)</f>
        <v>13</v>
      </c>
      <c r="I16" s="77">
        <f>VLOOKUP(A16,'Standard Deviations'!A1:C666,3,FALSE)</f>
        <v>4.09437853361395</v>
      </c>
      <c r="J16" s="84">
        <f>I16-VLOOKUP(B$2,H1:J65,2,FALSE)</f>
        <v>0.99658530318828</v>
      </c>
    </row>
    <row r="17" ht="21.25" customHeight="1">
      <c r="A17" t="s" s="10">
        <v>258</v>
      </c>
      <c r="B17" t="s" s="180">
        <f>VLOOKUP(A17,'The List'!B1:D665,3,FALSE)</f>
        <v>161</v>
      </c>
      <c r="C17" s="236">
        <f>RANK(E17,E3:E65)</f>
        <v>15</v>
      </c>
      <c r="D17" t="s" s="86">
        <f>VLOOKUP(A17,'The List'!B1:F665,5,FALSE)</f>
        <v>259</v>
      </c>
      <c r="E17" s="77">
        <f>VLOOKUP(A17,'The List'!B1:I665,8,FALSE)</f>
        <v>269.506656792762</v>
      </c>
      <c r="F17" s="77">
        <f>IF('Settings'!$E$15="POINTS",E17-VLOOKUP(B$2,C1:E65,3,FALSE),J17)</f>
        <v>1.915642228172</v>
      </c>
      <c r="G17" s="77"/>
      <c r="H17" s="223">
        <f>RANK(I17,I3:I65)</f>
        <v>23</v>
      </c>
      <c r="I17" s="77">
        <f>VLOOKUP(A17,'Standard Deviations'!A1:C666,3,FALSE)</f>
        <v>1.22209559434073</v>
      </c>
      <c r="J17" s="84">
        <f>I17-VLOOKUP(B$2,H1:J65,2,FALSE)</f>
        <v>-1.87569763608494</v>
      </c>
    </row>
    <row r="18" ht="21.25" customHeight="1">
      <c r="A18" t="s" s="10">
        <v>265</v>
      </c>
      <c r="B18" t="s" s="180">
        <f>VLOOKUP(A18,'The List'!B1:D665,3,FALSE)</f>
        <v>161</v>
      </c>
      <c r="C18" s="236">
        <f>RANK(E18,E3:E65)</f>
        <v>17</v>
      </c>
      <c r="D18" t="s" s="86">
        <f>VLOOKUP(A18,'The List'!B1:F665,5,FALSE)</f>
        <v>903</v>
      </c>
      <c r="E18" s="77">
        <f>VLOOKUP(A18,'The List'!B1:I665,8,FALSE)</f>
        <v>267.238240367265</v>
      </c>
      <c r="F18" s="77">
        <f>IF('Settings'!$E$15="POINTS",E18-VLOOKUP(B$2,C1:E65,3,FALSE),J18)</f>
        <v>-0.352774197325</v>
      </c>
      <c r="G18" s="77"/>
      <c r="H18" s="223">
        <f>RANK(I18,I3:I65)</f>
        <v>14</v>
      </c>
      <c r="I18" s="77">
        <f>VLOOKUP(A18,'Standard Deviations'!A1:C666,3,FALSE)</f>
        <v>3.26122340790232</v>
      </c>
      <c r="J18" s="84">
        <f>I18-VLOOKUP(B$2,H1:J65,2,FALSE)</f>
        <v>0.16343017747665</v>
      </c>
    </row>
    <row r="19" ht="21.25" customHeight="1">
      <c r="A19" t="s" s="10">
        <v>263</v>
      </c>
      <c r="B19" t="s" s="180">
        <f>VLOOKUP(A19,'The List'!B1:D665,3,FALSE)</f>
        <v>161</v>
      </c>
      <c r="C19" s="236">
        <f>RANK(E19,E3:E65)</f>
        <v>16</v>
      </c>
      <c r="D19" t="s" s="86">
        <f>VLOOKUP(A19,'The List'!B1:F665,5,FALSE)</f>
        <v>908</v>
      </c>
      <c r="E19" s="77">
        <f>VLOOKUP(A19,'The List'!B1:I665,8,FALSE)</f>
        <v>267.591014564590</v>
      </c>
      <c r="F19" s="77">
        <f>IF('Settings'!$E$15="POINTS",E19-VLOOKUP(B$2,C1:E65,3,FALSE),J19)</f>
        <v>0</v>
      </c>
      <c r="G19" s="77"/>
      <c r="H19" s="223">
        <f>RANK(I19,I3:I65)</f>
        <v>22</v>
      </c>
      <c r="I19" s="77">
        <f>VLOOKUP(A19,'Standard Deviations'!A1:C666,3,FALSE)</f>
        <v>1.58028564586911</v>
      </c>
      <c r="J19" s="84">
        <f>I19-VLOOKUP(B$2,H1:J65,2,FALSE)</f>
        <v>-1.51750758455656</v>
      </c>
    </row>
    <row r="20" ht="21.25" customHeight="1">
      <c r="A20" t="s" s="10">
        <v>284</v>
      </c>
      <c r="B20" t="s" s="180">
        <f>VLOOKUP(A20,'The List'!B1:D665,3,FALSE)</f>
        <v>161</v>
      </c>
      <c r="C20" s="236">
        <f>RANK(E20,E3:E65)</f>
        <v>21</v>
      </c>
      <c r="D20" t="s" s="86">
        <f>VLOOKUP(A20,'The List'!B1:F665,5,FALSE)</f>
        <v>132</v>
      </c>
      <c r="E20" s="77">
        <f>VLOOKUP(A20,'The List'!B1:I665,8,FALSE)</f>
        <v>258.394152314649</v>
      </c>
      <c r="F20" s="77">
        <f>IF('Settings'!$E$15="POINTS",E20-VLOOKUP(B$2,C1:E65,3,FALSE),J20)</f>
        <v>-9.196862249941001</v>
      </c>
      <c r="G20" s="77"/>
      <c r="H20" s="223">
        <f>RANK(I20,I3:I65)</f>
        <v>16</v>
      </c>
      <c r="I20" s="77">
        <f>VLOOKUP(A20,'Standard Deviations'!A1:C666,3,FALSE)</f>
        <v>3.09779323042567</v>
      </c>
      <c r="J20" s="84">
        <f>I20-VLOOKUP(B$2,H1:J65,2,FALSE)</f>
        <v>0</v>
      </c>
    </row>
    <row r="21" ht="21.25" customHeight="1">
      <c r="A21" t="s" s="10">
        <v>266</v>
      </c>
      <c r="B21" t="s" s="180">
        <f>VLOOKUP(A21,'The List'!B1:D665,3,FALSE)</f>
        <v>161</v>
      </c>
      <c r="C21" s="236">
        <f>RANK(E21,E3:E65)</f>
        <v>18</v>
      </c>
      <c r="D21" t="s" s="86">
        <f>VLOOKUP(A21,'The List'!B1:F665,5,FALSE)</f>
        <v>267</v>
      </c>
      <c r="E21" s="77">
        <f>VLOOKUP(A21,'The List'!B1:I665,8,FALSE)</f>
        <v>266.525924067690</v>
      </c>
      <c r="F21" s="77">
        <f>IF('Settings'!$E$15="POINTS",E21-VLOOKUP(B$2,C1:E65,3,FALSE),J21)</f>
        <v>-1.0650904969</v>
      </c>
      <c r="G21" s="77"/>
      <c r="H21" s="223">
        <f>RANK(I21,I3:I65)</f>
        <v>17</v>
      </c>
      <c r="I21" s="77">
        <f>VLOOKUP(A21,'Standard Deviations'!A1:C666,3,FALSE)</f>
        <v>2.61908552057971</v>
      </c>
      <c r="J21" s="84">
        <f>I21-VLOOKUP(B$2,H1:J65,2,FALSE)</f>
        <v>-0.47870770984596</v>
      </c>
    </row>
    <row r="22" ht="21.25" customHeight="1">
      <c r="A22" t="s" s="10">
        <v>274</v>
      </c>
      <c r="B22" t="s" s="180">
        <f>VLOOKUP(A22,'The List'!B1:D665,3,FALSE)</f>
        <v>161</v>
      </c>
      <c r="C22" s="236">
        <f>RANK(E22,E3:E65)</f>
        <v>19</v>
      </c>
      <c r="D22" t="s" s="86">
        <f>VLOOKUP(A22,'The List'!B1:F665,5,FALSE)</f>
        <v>275</v>
      </c>
      <c r="E22" s="77">
        <f>VLOOKUP(A22,'The List'!B1:I665,8,FALSE)</f>
        <v>263.342309244771</v>
      </c>
      <c r="F22" s="77">
        <f>IF('Settings'!$E$15="POINTS",E22-VLOOKUP(B$2,C1:E65,3,FALSE),J22)</f>
        <v>-4.248705319819</v>
      </c>
      <c r="G22" s="77"/>
      <c r="H22" s="223">
        <f>RANK(I22,I3:I65)</f>
        <v>12</v>
      </c>
      <c r="I22" s="77">
        <f>VLOOKUP(A22,'Standard Deviations'!A1:C666,3,FALSE)</f>
        <v>4.26114802858507</v>
      </c>
      <c r="J22" s="84">
        <f>I22-VLOOKUP(B$2,H1:J65,2,FALSE)</f>
        <v>1.1633547981594</v>
      </c>
    </row>
    <row r="23" ht="21.25" customHeight="1">
      <c r="A23" t="s" s="10">
        <v>276</v>
      </c>
      <c r="B23" t="s" s="180">
        <f>VLOOKUP(A23,'The List'!B1:D665,3,FALSE)</f>
        <v>161</v>
      </c>
      <c r="C23" s="236">
        <f>RANK(E23,E3:E65)</f>
        <v>20</v>
      </c>
      <c r="D23" t="s" s="86">
        <f>VLOOKUP(A23,'The List'!B1:F665,5,FALSE)</f>
        <v>909</v>
      </c>
      <c r="E23" s="77">
        <f>VLOOKUP(A23,'The List'!B1:I665,8,FALSE)</f>
        <v>263.155951422558</v>
      </c>
      <c r="F23" s="77">
        <f>IF('Settings'!$E$15="POINTS",E23-VLOOKUP(B$2,C1:E65,3,FALSE),J23)</f>
        <v>-4.435063142032</v>
      </c>
      <c r="G23" s="77"/>
      <c r="H23" s="223">
        <f>RANK(I23,I3:I65)</f>
        <v>40</v>
      </c>
      <c r="I23" s="77">
        <f>VLOOKUP(A23,'Standard Deviations'!A1:C666,3,FALSE)</f>
        <v>-1.78922076776141</v>
      </c>
      <c r="J23" s="84">
        <f>I23-VLOOKUP(B$2,H1:J65,2,FALSE)</f>
        <v>-4.88701399818708</v>
      </c>
    </row>
    <row r="24" ht="21.25" customHeight="1">
      <c r="A24" t="s" s="10">
        <v>311</v>
      </c>
      <c r="B24" t="s" s="180">
        <f>VLOOKUP(A24,'The List'!B1:D665,3,FALSE)</f>
        <v>161</v>
      </c>
      <c r="C24" s="236">
        <f>RANK(E24,E3:E65)</f>
        <v>22</v>
      </c>
      <c r="D24" t="s" s="86">
        <f>VLOOKUP(A24,'The List'!B1:F665,5,FALSE)</f>
        <v>192</v>
      </c>
      <c r="E24" s="77">
        <f>VLOOKUP(A24,'The List'!B1:I665,8,FALSE)</f>
        <v>244.387044594739</v>
      </c>
      <c r="F24" s="77">
        <f>IF('Settings'!$E$15="POINTS",E24-VLOOKUP(B$2,C1:E65,3,FALSE),J24)</f>
        <v>-23.203969969851</v>
      </c>
      <c r="G24" s="77"/>
      <c r="H24" s="223">
        <f>RANK(I24,I3:I65)</f>
        <v>24</v>
      </c>
      <c r="I24" s="77">
        <f>VLOOKUP(A24,'Standard Deviations'!A1:C666,3,FALSE)</f>
        <v>0.735503937622939</v>
      </c>
      <c r="J24" s="84">
        <f>I24-VLOOKUP(B$2,H1:J65,2,FALSE)</f>
        <v>-2.36228929280273</v>
      </c>
    </row>
    <row r="25" ht="21.25" customHeight="1">
      <c r="A25" t="s" s="10">
        <v>320</v>
      </c>
      <c r="B25" t="s" s="180">
        <f>VLOOKUP(A25,'The List'!B1:D665,3,FALSE)</f>
        <v>161</v>
      </c>
      <c r="C25" s="236">
        <f>RANK(E25,E3:E65)</f>
        <v>24</v>
      </c>
      <c r="D25" t="s" s="86">
        <f>VLOOKUP(A25,'The List'!B1:F665,5,FALSE)</f>
        <v>911</v>
      </c>
      <c r="E25" s="77">
        <f>VLOOKUP(A25,'The List'!B1:I665,8,FALSE)</f>
        <v>241.929025235754</v>
      </c>
      <c r="F25" s="77">
        <f>IF('Settings'!$E$15="POINTS",E25-VLOOKUP(B$2,C1:E65,3,FALSE),J25)</f>
        <v>-25.661989328836</v>
      </c>
      <c r="G25" s="77"/>
      <c r="H25" s="223">
        <f>RANK(I25,I3:I65)</f>
        <v>20</v>
      </c>
      <c r="I25" s="77">
        <f>VLOOKUP(A25,'Standard Deviations'!A1:C666,3,FALSE)</f>
        <v>2.42446335346392</v>
      </c>
      <c r="J25" s="84">
        <f>I25-VLOOKUP(B$2,H1:J65,2,FALSE)</f>
        <v>-0.67332987696175</v>
      </c>
    </row>
    <row r="26" ht="21.25" customHeight="1">
      <c r="A26" t="s" s="10">
        <v>321</v>
      </c>
      <c r="B26" t="s" s="180">
        <f>VLOOKUP(A26,'The List'!B1:D665,3,FALSE)</f>
        <v>161</v>
      </c>
      <c r="C26" s="236">
        <f>RANK(E26,E3:E65)</f>
        <v>25</v>
      </c>
      <c r="D26" t="s" s="86">
        <f>VLOOKUP(A26,'The List'!B1:F665,5,FALSE)</f>
        <v>154</v>
      </c>
      <c r="E26" s="77">
        <f>VLOOKUP(A26,'The List'!B1:I665,8,FALSE)</f>
        <v>241.238259337508</v>
      </c>
      <c r="F26" s="77">
        <f>IF('Settings'!$E$15="POINTS",E26-VLOOKUP(B$2,C1:E65,3,FALSE),J26)</f>
        <v>-26.352755227082</v>
      </c>
      <c r="G26" s="77"/>
      <c r="H26" s="223">
        <f>RANK(I26,I3:I65)</f>
        <v>33</v>
      </c>
      <c r="I26" s="77">
        <f>VLOOKUP(A26,'Standard Deviations'!A1:C666,3,FALSE)</f>
        <v>-0.932841636444697</v>
      </c>
      <c r="J26" s="84">
        <f>I26-VLOOKUP(B$2,H1:J65,2,FALSE)</f>
        <v>-4.03063486687037</v>
      </c>
    </row>
    <row r="27" ht="21.25" customHeight="1">
      <c r="A27" t="s" s="10">
        <v>341</v>
      </c>
      <c r="B27" t="s" s="180">
        <f>VLOOKUP(A27,'The List'!B1:D665,3,FALSE)</f>
        <v>161</v>
      </c>
      <c r="C27" s="236">
        <f>RANK(E27,E3:E65)</f>
        <v>29</v>
      </c>
      <c r="D27" t="s" s="86">
        <f>VLOOKUP(A27,'The List'!B1:F665,5,FALSE)</f>
        <v>342</v>
      </c>
      <c r="E27" s="77">
        <f>VLOOKUP(A27,'The List'!B1:I665,8,FALSE)</f>
        <v>229.867492100512</v>
      </c>
      <c r="F27" s="77">
        <f>IF('Settings'!$E$15="POINTS",E27-VLOOKUP(B$2,C1:E65,3,FALSE),J27)</f>
        <v>-37.723522464078</v>
      </c>
      <c r="G27" s="77"/>
      <c r="H27" s="223">
        <f>RANK(I27,I3:I65)</f>
        <v>15</v>
      </c>
      <c r="I27" s="77">
        <f>VLOOKUP(A27,'Standard Deviations'!A1:C666,3,FALSE)</f>
        <v>3.14655488574503</v>
      </c>
      <c r="J27" s="84">
        <f>I27-VLOOKUP(B$2,H1:J65,2,FALSE)</f>
        <v>0.04876165531936</v>
      </c>
    </row>
    <row r="28" ht="21.25" customHeight="1">
      <c r="A28" t="s" s="10">
        <v>332</v>
      </c>
      <c r="B28" t="s" s="180">
        <f>VLOOKUP(A28,'The List'!B1:D665,3,FALSE)</f>
        <v>161</v>
      </c>
      <c r="C28" s="236">
        <f>RANK(E28,E3:E65)</f>
        <v>27</v>
      </c>
      <c r="D28" t="s" s="86">
        <f>VLOOKUP(A28,'The List'!B1:F665,5,FALSE)</f>
        <v>913</v>
      </c>
      <c r="E28" s="77">
        <f>VLOOKUP(A28,'The List'!B1:I665,8,FALSE)</f>
        <v>232.680075415874</v>
      </c>
      <c r="F28" s="77">
        <f>IF('Settings'!$E$15="POINTS",E28-VLOOKUP(B$2,C1:E65,3,FALSE),J28)</f>
        <v>-34.910939148716</v>
      </c>
      <c r="G28" s="77"/>
      <c r="H28" s="223">
        <f>RANK(I28,I3:I65)</f>
        <v>51</v>
      </c>
      <c r="I28" s="77">
        <f>VLOOKUP(A28,'Standard Deviations'!A1:C666,3,FALSE)</f>
        <v>-3.28613153862981</v>
      </c>
      <c r="J28" s="84">
        <f>I28-VLOOKUP(B$2,H1:J65,2,FALSE)</f>
        <v>-6.38392476905548</v>
      </c>
    </row>
    <row r="29" ht="21.25" customHeight="1">
      <c r="A29" t="s" s="10">
        <v>316</v>
      </c>
      <c r="B29" t="s" s="180">
        <f>VLOOKUP(A29,'The List'!B1:D665,3,FALSE)</f>
        <v>161</v>
      </c>
      <c r="C29" s="236">
        <f>RANK(E29,E3:E65)</f>
        <v>23</v>
      </c>
      <c r="D29" t="s" s="86">
        <f>VLOOKUP(A29,'The List'!B1:F665,5,FALSE)</f>
        <v>914</v>
      </c>
      <c r="E29" s="77">
        <f>VLOOKUP(A29,'The List'!B1:I665,8,FALSE)</f>
        <v>242.673423925538</v>
      </c>
      <c r="F29" s="77">
        <f>IF('Settings'!$E$15="POINTS",E29-VLOOKUP(B$2,C1:E65,3,FALSE),J29)</f>
        <v>-24.917590639052</v>
      </c>
      <c r="G29" s="77"/>
      <c r="H29" s="223">
        <f>RANK(I29,I3:I65)</f>
        <v>57</v>
      </c>
      <c r="I29" s="77">
        <f>VLOOKUP(A29,'Standard Deviations'!A1:C666,3,FALSE)</f>
        <v>-4.3281619845164</v>
      </c>
      <c r="J29" s="84">
        <f>I29-VLOOKUP(B$2,H1:J65,2,FALSE)</f>
        <v>-7.42595521494207</v>
      </c>
    </row>
    <row r="30" ht="21.25" customHeight="1">
      <c r="A30" t="s" s="10">
        <v>336</v>
      </c>
      <c r="B30" t="s" s="180">
        <f>VLOOKUP(A30,'The List'!B1:D665,3,FALSE)</f>
        <v>161</v>
      </c>
      <c r="C30" s="236">
        <f>RANK(E30,E3:E65)</f>
        <v>28</v>
      </c>
      <c r="D30" t="s" s="86">
        <f>VLOOKUP(A30,'The List'!B1:F665,5,FALSE)</f>
        <v>156</v>
      </c>
      <c r="E30" s="77">
        <f>VLOOKUP(A30,'The List'!B1:I665,8,FALSE)</f>
        <v>231.559538926471</v>
      </c>
      <c r="F30" s="77">
        <f>IF('Settings'!$E$15="POINTS",E30-VLOOKUP(B$2,C1:E65,3,FALSE),J30)</f>
        <v>-36.031475638119</v>
      </c>
      <c r="G30" s="77"/>
      <c r="H30" s="223">
        <f>RANK(I30,I3:I65)</f>
        <v>30</v>
      </c>
      <c r="I30" s="77">
        <f>VLOOKUP(A30,'Standard Deviations'!A1:C666,3,FALSE)</f>
        <v>-0.721686517414117</v>
      </c>
      <c r="J30" s="84">
        <f>I30-VLOOKUP(B$2,H1:J65,2,FALSE)</f>
        <v>-3.81947974783979</v>
      </c>
    </row>
    <row r="31" ht="21.25" customHeight="1">
      <c r="A31" t="s" s="10">
        <v>345</v>
      </c>
      <c r="B31" t="s" s="180">
        <f>VLOOKUP(A31,'The List'!B1:D665,3,FALSE)</f>
        <v>161</v>
      </c>
      <c r="C31" s="236">
        <f>RANK(E31,E3:E65)</f>
        <v>30</v>
      </c>
      <c r="D31" t="s" s="86">
        <f>VLOOKUP(A31,'The List'!B1:F665,5,FALSE)</f>
        <v>342</v>
      </c>
      <c r="E31" s="77">
        <f>VLOOKUP(A31,'The List'!B1:I665,8,FALSE)</f>
        <v>227.327974432104</v>
      </c>
      <c r="F31" s="77">
        <f>IF('Settings'!$E$15="POINTS",E31-VLOOKUP(B$2,C1:E65,3,FALSE),J31)</f>
        <v>-40.263040132486</v>
      </c>
      <c r="G31" s="77"/>
      <c r="H31" s="223">
        <f>RANK(I31,I3:I65)</f>
        <v>19</v>
      </c>
      <c r="I31" s="77">
        <f>VLOOKUP(A31,'Standard Deviations'!A1:C666,3,FALSE)</f>
        <v>2.44537461494246</v>
      </c>
      <c r="J31" s="84">
        <f>I31-VLOOKUP(B$2,H1:J65,2,FALSE)</f>
        <v>-0.65241861548321</v>
      </c>
    </row>
    <row r="32" ht="21.25" customHeight="1">
      <c r="A32" t="s" s="10">
        <v>323</v>
      </c>
      <c r="B32" t="s" s="180">
        <f>VLOOKUP(A32,'The List'!B1:D665,3,FALSE)</f>
        <v>161</v>
      </c>
      <c r="C32" s="236">
        <f>RANK(E32,E3:E65)</f>
        <v>26</v>
      </c>
      <c r="D32" t="s" s="86">
        <f>VLOOKUP(A32,'The List'!B1:F665,5,FALSE)</f>
        <v>910</v>
      </c>
      <c r="E32" s="77">
        <f>VLOOKUP(A32,'The List'!B1:I665,8,FALSE)</f>
        <v>238.417904338208</v>
      </c>
      <c r="F32" s="77">
        <f>IF('Settings'!$E$15="POINTS",E32-VLOOKUP(B$2,C1:E65,3,FALSE),J32)</f>
        <v>-29.173110226382</v>
      </c>
      <c r="G32" s="77"/>
      <c r="H32" s="223">
        <f>RANK(I32,I3:I65)</f>
        <v>32</v>
      </c>
      <c r="I32" s="77">
        <f>VLOOKUP(A32,'Standard Deviations'!A1:C666,3,FALSE)</f>
        <v>-0.8597280897976179</v>
      </c>
      <c r="J32" s="84">
        <f>I32-VLOOKUP(B$2,H1:J65,2,FALSE)</f>
        <v>-3.95752132022329</v>
      </c>
    </row>
    <row r="33" ht="21.25" customHeight="1">
      <c r="A33" t="s" s="10">
        <v>371</v>
      </c>
      <c r="B33" t="s" s="180">
        <f>VLOOKUP(A33,'The List'!B1:D665,3,FALSE)</f>
        <v>161</v>
      </c>
      <c r="C33" s="236">
        <f>RANK(E33,E3:E65)</f>
        <v>32</v>
      </c>
      <c r="D33" t="s" s="86">
        <f>VLOOKUP(A33,'The List'!B1:F665,5,FALSE)</f>
        <v>174</v>
      </c>
      <c r="E33" s="77">
        <f>VLOOKUP(A33,'The List'!B1:I665,8,FALSE)</f>
        <v>219.202874736760</v>
      </c>
      <c r="F33" s="77">
        <f>IF('Settings'!$E$15="POINTS",E33-VLOOKUP(B$2,C1:E65,3,FALSE),J33)</f>
        <v>-48.388139827830</v>
      </c>
      <c r="G33" s="77"/>
      <c r="H33" s="223">
        <f>RANK(I33,I3:I65)</f>
        <v>36</v>
      </c>
      <c r="I33" s="77">
        <f>VLOOKUP(A33,'Standard Deviations'!A1:C666,3,FALSE)</f>
        <v>-1.55572505552352</v>
      </c>
      <c r="J33" s="84">
        <f>I33-VLOOKUP(B$2,H1:J65,2,FALSE)</f>
        <v>-4.65351828594919</v>
      </c>
    </row>
    <row r="34" ht="21.25" customHeight="1">
      <c r="A34" t="s" s="10">
        <v>396</v>
      </c>
      <c r="B34" t="s" s="180">
        <f>VLOOKUP(A34,'The List'!B1:D665,3,FALSE)</f>
        <v>161</v>
      </c>
      <c r="C34" s="236">
        <f>RANK(E34,E3:E65)</f>
        <v>33</v>
      </c>
      <c r="D34" t="s" s="86">
        <f>VLOOKUP(A34,'The List'!B1:F665,5,FALSE)</f>
        <v>132</v>
      </c>
      <c r="E34" s="77">
        <f>VLOOKUP(A34,'The List'!B1:I665,8,FALSE)</f>
        <v>207.001526463686</v>
      </c>
      <c r="F34" s="77">
        <f>IF('Settings'!$E$15="POINTS",E34-VLOOKUP(B$2,C1:E65,3,FALSE),J34)</f>
        <v>-60.589488100904</v>
      </c>
      <c r="G34" s="77"/>
      <c r="H34" s="223">
        <f>RANK(I34,I3:I65)</f>
        <v>21</v>
      </c>
      <c r="I34" s="77">
        <f>VLOOKUP(A34,'Standard Deviations'!A1:C666,3,FALSE)</f>
        <v>1.72774269358278</v>
      </c>
      <c r="J34" s="84">
        <f>I34-VLOOKUP(B$2,H1:J65,2,FALSE)</f>
        <v>-1.37005053684289</v>
      </c>
    </row>
    <row r="35" ht="21.25" customHeight="1">
      <c r="A35" t="s" s="10">
        <v>364</v>
      </c>
      <c r="B35" t="s" s="180">
        <f>VLOOKUP(A35,'The List'!B1:D665,3,FALSE)</f>
        <v>161</v>
      </c>
      <c r="C35" s="236">
        <f>RANK(E35,E3:E65)</f>
        <v>31</v>
      </c>
      <c r="D35" t="s" s="86">
        <f>VLOOKUP(A35,'The List'!B1:F665,5,FALSE)</f>
        <v>912</v>
      </c>
      <c r="E35" s="77">
        <f>VLOOKUP(A35,'The List'!B1:I665,8,FALSE)</f>
        <v>222.034974248511</v>
      </c>
      <c r="F35" s="77">
        <f>IF('Settings'!$E$15="POINTS",E35-VLOOKUP(B$2,C1:E65,3,FALSE),J35)</f>
        <v>-45.556040316079</v>
      </c>
      <c r="G35" s="77"/>
      <c r="H35" s="223">
        <f>RANK(I35,I3:I65)</f>
        <v>54</v>
      </c>
      <c r="I35" s="77">
        <f>VLOOKUP(A35,'Standard Deviations'!A1:C666,3,FALSE)</f>
        <v>-4.00049836833651</v>
      </c>
      <c r="J35" s="84">
        <f>I35-VLOOKUP(B$2,H1:J65,2,FALSE)</f>
        <v>-7.09829159876218</v>
      </c>
    </row>
    <row r="36" ht="21.25" customHeight="1">
      <c r="A36" t="s" s="10">
        <v>398</v>
      </c>
      <c r="B36" t="s" s="180">
        <f>VLOOKUP(A36,'The List'!B1:D665,3,FALSE)</f>
        <v>161</v>
      </c>
      <c r="C36" s="236">
        <f>RANK(E36,E3:E65)</f>
        <v>34</v>
      </c>
      <c r="D36" t="s" s="86">
        <f>VLOOKUP(A36,'The List'!B1:F665,5,FALSE)</f>
        <v>905</v>
      </c>
      <c r="E36" s="77">
        <f>VLOOKUP(A36,'The List'!B1:I665,8,FALSE)</f>
        <v>206.371169191251</v>
      </c>
      <c r="F36" s="77">
        <f>IF('Settings'!$E$15="POINTS",E36-VLOOKUP(B$2,C1:E65,3,FALSE),J36)</f>
        <v>-61.219845373339</v>
      </c>
      <c r="G36" s="77"/>
      <c r="H36" s="223">
        <f>RANK(I36,I3:I65)</f>
        <v>34</v>
      </c>
      <c r="I36" s="77">
        <f>VLOOKUP(A36,'Standard Deviations'!A1:C666,3,FALSE)</f>
        <v>-1.18994980170994</v>
      </c>
      <c r="J36" s="84">
        <f>I36-VLOOKUP(B$2,H1:J65,2,FALSE)</f>
        <v>-4.28774303213561</v>
      </c>
    </row>
    <row r="37" ht="21.25" customHeight="1">
      <c r="A37" t="s" s="10">
        <v>435</v>
      </c>
      <c r="B37" t="s" s="180">
        <f>VLOOKUP(A37,'The List'!B1:D665,3,FALSE)</f>
        <v>161</v>
      </c>
      <c r="C37" s="236">
        <f>RANK(E37,E3:E65)</f>
        <v>36</v>
      </c>
      <c r="D37" t="s" s="86">
        <f>VLOOKUP(A37,'The List'!B1:F665,5,FALSE)</f>
        <v>905</v>
      </c>
      <c r="E37" s="77">
        <f>VLOOKUP(A37,'The List'!B1:I665,8,FALSE)</f>
        <v>192.082347864828</v>
      </c>
      <c r="F37" s="77">
        <f>IF('Settings'!$E$15="POINTS",E37-VLOOKUP(B$2,C1:E65,3,FALSE),J37)</f>
        <v>-75.508666699762</v>
      </c>
      <c r="G37" s="77"/>
      <c r="H37" s="223">
        <f>RANK(I37,I3:I65)</f>
        <v>26</v>
      </c>
      <c r="I37" s="77">
        <f>VLOOKUP(A37,'Standard Deviations'!A1:C666,3,FALSE)</f>
        <v>0.489080450461831</v>
      </c>
      <c r="J37" s="84">
        <f>I37-VLOOKUP(B$2,H1:J65,2,FALSE)</f>
        <v>-2.60871277996384</v>
      </c>
    </row>
    <row r="38" ht="21.25" customHeight="1">
      <c r="A38" t="s" s="10">
        <v>413</v>
      </c>
      <c r="B38" t="s" s="180">
        <f>VLOOKUP(A38,'The List'!B1:D665,3,FALSE)</f>
        <v>161</v>
      </c>
      <c r="C38" s="236">
        <f>RANK(E38,E3:E65)</f>
        <v>35</v>
      </c>
      <c r="D38" t="s" s="86">
        <f>VLOOKUP(A38,'The List'!B1:F665,5,FALSE)</f>
        <v>174</v>
      </c>
      <c r="E38" s="77">
        <f>VLOOKUP(A38,'The List'!B1:I665,8,FALSE)</f>
        <v>198.919912906193</v>
      </c>
      <c r="F38" s="77">
        <f>IF('Settings'!$E$15="POINTS",E38-VLOOKUP(B$2,C1:E65,3,FALSE),J38)</f>
        <v>-68.67110165839701</v>
      </c>
      <c r="G38" s="77"/>
      <c r="H38" s="223">
        <f>RANK(I38,I3:I65)</f>
        <v>53</v>
      </c>
      <c r="I38" s="77">
        <f>VLOOKUP(A38,'Standard Deviations'!A1:C666,3,FALSE)</f>
        <v>-3.98375307241015</v>
      </c>
      <c r="J38" s="84">
        <f>I38-VLOOKUP(B$2,H1:J65,2,FALSE)</f>
        <v>-7.08154630283582</v>
      </c>
    </row>
    <row r="39" ht="21.25" customHeight="1">
      <c r="A39" t="s" s="10">
        <v>450</v>
      </c>
      <c r="B39" t="s" s="180">
        <f>VLOOKUP(A39,'The List'!B1:D665,3,FALSE)</f>
        <v>161</v>
      </c>
      <c r="C39" s="236">
        <f>RANK(E39,E3:E65)</f>
        <v>37</v>
      </c>
      <c r="D39" t="s" s="86">
        <f>VLOOKUP(A39,'The List'!B1:F665,5,FALSE)</f>
        <v>912</v>
      </c>
      <c r="E39" s="77">
        <f>VLOOKUP(A39,'The List'!B1:I665,8,FALSE)</f>
        <v>187.772202724291</v>
      </c>
      <c r="F39" s="77">
        <f>IF('Settings'!$E$15="POINTS",E39-VLOOKUP(B$2,C1:E65,3,FALSE),J39)</f>
        <v>-79.81881184029901</v>
      </c>
      <c r="G39" s="77"/>
      <c r="H39" s="223">
        <f>RANK(I39,I3:I65)</f>
        <v>45</v>
      </c>
      <c r="I39" s="77">
        <f>VLOOKUP(A39,'Standard Deviations'!A1:C666,3,FALSE)</f>
        <v>-3.04724953098512</v>
      </c>
      <c r="J39" s="84">
        <f>I39-VLOOKUP(B$2,H1:J65,2,FALSE)</f>
        <v>-6.14504276141079</v>
      </c>
    </row>
    <row r="40" ht="21.25" customHeight="1">
      <c r="A40" t="s" s="10">
        <v>456</v>
      </c>
      <c r="B40" t="s" s="180">
        <f>VLOOKUP(A40,'The List'!B1:D665,3,FALSE)</f>
        <v>161</v>
      </c>
      <c r="C40" s="236">
        <f>RANK(E40,E3:E65)</f>
        <v>38</v>
      </c>
      <c r="D40" t="s" s="86">
        <f>VLOOKUP(A40,'The List'!B1:F665,5,FALSE)</f>
        <v>192</v>
      </c>
      <c r="E40" s="77">
        <f>VLOOKUP(A40,'The List'!B1:I665,8,FALSE)</f>
        <v>184.406156669026</v>
      </c>
      <c r="F40" s="77">
        <f>IF('Settings'!$E$15="POINTS",E40-VLOOKUP(B$2,C1:E65,3,FALSE),J40)</f>
        <v>-83.18485789556399</v>
      </c>
      <c r="G40" s="77"/>
      <c r="H40" s="223">
        <f>RANK(I40,I3:I65)</f>
        <v>38</v>
      </c>
      <c r="I40" s="77">
        <f>VLOOKUP(A40,'Standard Deviations'!A1:C666,3,FALSE)</f>
        <v>-1.67208502666591</v>
      </c>
      <c r="J40" s="84">
        <f>I40-VLOOKUP(B$2,H1:J65,2,FALSE)</f>
        <v>-4.76987825709158</v>
      </c>
    </row>
    <row r="41" ht="21.25" customHeight="1">
      <c r="A41" t="s" s="10">
        <v>472</v>
      </c>
      <c r="B41" t="s" s="180">
        <f>VLOOKUP(A41,'The List'!B1:D665,3,FALSE)</f>
        <v>161</v>
      </c>
      <c r="C41" s="236">
        <f>RANK(E41,E3:E65)</f>
        <v>39</v>
      </c>
      <c r="D41" t="s" s="86">
        <f>VLOOKUP(A41,'The List'!B1:F665,5,FALSE)</f>
        <v>156</v>
      </c>
      <c r="E41" s="77">
        <f>VLOOKUP(A41,'The List'!B1:I665,8,FALSE)</f>
        <v>181.271849324890</v>
      </c>
      <c r="F41" s="77">
        <f>IF('Settings'!$E$15="POINTS",E41-VLOOKUP(B$2,C1:E65,3,FALSE),J41)</f>
        <v>-86.3191652397</v>
      </c>
      <c r="G41" s="77"/>
      <c r="H41" s="223">
        <f>RANK(I41,I3:I65)</f>
        <v>39</v>
      </c>
      <c r="I41" s="77">
        <f>VLOOKUP(A41,'Standard Deviations'!A1:C666,3,FALSE)</f>
        <v>-1.78480798183971</v>
      </c>
      <c r="J41" s="84">
        <f>I41-VLOOKUP(B$2,H1:J65,2,FALSE)</f>
        <v>-4.88260121226538</v>
      </c>
    </row>
    <row r="42" ht="21.25" customHeight="1">
      <c r="A42" t="s" s="10">
        <v>487</v>
      </c>
      <c r="B42" t="s" s="180">
        <f>VLOOKUP(A42,'The List'!B1:D665,3,FALSE)</f>
        <v>161</v>
      </c>
      <c r="C42" s="236">
        <f>RANK(E42,E3:E65)</f>
        <v>40</v>
      </c>
      <c r="D42" t="s" s="86">
        <f>VLOOKUP(A42,'The List'!B1:F665,5,FALSE)</f>
        <v>911</v>
      </c>
      <c r="E42" s="77">
        <f>VLOOKUP(A42,'The List'!B1:I665,8,FALSE)</f>
        <v>175.973219529655</v>
      </c>
      <c r="F42" s="77">
        <f>IF('Settings'!$E$15="POINTS",E42-VLOOKUP(B$2,C1:E65,3,FALSE),J42)</f>
        <v>-91.617795034935</v>
      </c>
      <c r="G42" s="77"/>
      <c r="H42" s="223">
        <f>RANK(I42,I3:I65)</f>
        <v>37</v>
      </c>
      <c r="I42" s="77">
        <f>VLOOKUP(A42,'Standard Deviations'!A1:C666,3,FALSE)</f>
        <v>-1.67014490434556</v>
      </c>
      <c r="J42" s="84">
        <f>I42-VLOOKUP(B$2,H1:J65,2,FALSE)</f>
        <v>-4.76793813477123</v>
      </c>
    </row>
    <row r="43" ht="21.25" customHeight="1">
      <c r="A43" t="s" s="10">
        <v>492</v>
      </c>
      <c r="B43" t="s" s="180">
        <f>VLOOKUP(A43,'The List'!B1:D665,3,FALSE)</f>
        <v>161</v>
      </c>
      <c r="C43" s="236">
        <f>RANK(E43,E3:E65)</f>
        <v>41</v>
      </c>
      <c r="D43" t="s" s="86">
        <f>VLOOKUP(A43,'The List'!B1:F665,5,FALSE)</f>
        <v>154</v>
      </c>
      <c r="E43" s="77">
        <f>VLOOKUP(A43,'The List'!B1:I665,8,FALSE)</f>
        <v>174.822672109007</v>
      </c>
      <c r="F43" s="77">
        <f>IF('Settings'!$E$15="POINTS",E43-VLOOKUP(B$2,C1:E65,3,FALSE),J43)</f>
        <v>-92.768342455583</v>
      </c>
      <c r="G43" s="77"/>
      <c r="H43" s="223">
        <f>RANK(I43,I3:I65)</f>
        <v>46</v>
      </c>
      <c r="I43" s="77">
        <f>VLOOKUP(A43,'Standard Deviations'!A1:C666,3,FALSE)</f>
        <v>-3.06017460300695</v>
      </c>
      <c r="J43" s="84">
        <f>I43-VLOOKUP(B$2,H1:J65,2,FALSE)</f>
        <v>-6.15796783343262</v>
      </c>
    </row>
    <row r="44" ht="21.25" customHeight="1">
      <c r="A44" t="s" s="10">
        <v>527</v>
      </c>
      <c r="B44" t="s" s="180">
        <f>VLOOKUP(A44,'The List'!B1:D665,3,FALSE)</f>
        <v>161</v>
      </c>
      <c r="C44" s="236">
        <f>RANK(E44,E3:E65)</f>
        <v>42</v>
      </c>
      <c r="D44" t="s" s="86">
        <f>VLOOKUP(A44,'The List'!B1:F665,5,FALSE)</f>
        <v>908</v>
      </c>
      <c r="E44" s="77">
        <f>VLOOKUP(A44,'The List'!B1:I665,8,FALSE)</f>
        <v>166.464111078932</v>
      </c>
      <c r="F44" s="77">
        <f>IF('Settings'!$E$15="POINTS",E44-VLOOKUP(B$2,C1:E65,3,FALSE),J44)</f>
        <v>-101.126903485658</v>
      </c>
      <c r="G44" s="77"/>
      <c r="H44" s="223">
        <f>RANK(I44,I3:I65)</f>
        <v>48</v>
      </c>
      <c r="I44" s="77">
        <f>VLOOKUP(A44,'Standard Deviations'!A1:C666,3,FALSE)</f>
        <v>-3.14268262248046</v>
      </c>
      <c r="J44" s="84">
        <f>I44-VLOOKUP(B$2,H1:J65,2,FALSE)</f>
        <v>-6.24047585290613</v>
      </c>
    </row>
    <row r="45" ht="21.25" customHeight="1">
      <c r="A45" t="s" s="10">
        <v>541</v>
      </c>
      <c r="B45" t="s" s="180">
        <f>VLOOKUP(A45,'The List'!B1:D665,3,FALSE)</f>
        <v>161</v>
      </c>
      <c r="C45" s="236">
        <f>RANK(E45,E3:E65)</f>
        <v>44</v>
      </c>
      <c r="D45" t="s" s="86">
        <f>VLOOKUP(A45,'The List'!B1:F665,5,FALSE)</f>
        <v>903</v>
      </c>
      <c r="E45" s="77">
        <f>VLOOKUP(A45,'The List'!B1:I665,8,FALSE)</f>
        <v>160.518174288036</v>
      </c>
      <c r="F45" s="77">
        <f>IF('Settings'!$E$15="POINTS",E45-VLOOKUP(B$2,C1:E65,3,FALSE),J45)</f>
        <v>-107.072840276554</v>
      </c>
      <c r="G45" s="77"/>
      <c r="H45" s="223">
        <f>RANK(I45,I3:I65)</f>
        <v>31</v>
      </c>
      <c r="I45" s="77">
        <f>VLOOKUP(A45,'Standard Deviations'!A1:C666,3,FALSE)</f>
        <v>-0.737141575746573</v>
      </c>
      <c r="J45" s="84">
        <f>I45-VLOOKUP(B$2,H1:J65,2,FALSE)</f>
        <v>-3.83493480617224</v>
      </c>
    </row>
    <row r="46" ht="21.25" customHeight="1">
      <c r="A46" t="s" s="10">
        <v>534</v>
      </c>
      <c r="B46" t="s" s="180">
        <f>VLOOKUP(A46,'The List'!B1:D665,3,FALSE)</f>
        <v>161</v>
      </c>
      <c r="C46" s="236">
        <f>RANK(E46,E3:E65)</f>
        <v>43</v>
      </c>
      <c r="D46" t="s" s="86">
        <f>VLOOKUP(A46,'The List'!B1:F665,5,FALSE)</f>
        <v>904</v>
      </c>
      <c r="E46" s="77">
        <f>VLOOKUP(A46,'The List'!B1:I665,8,FALSE)</f>
        <v>163.568745822067</v>
      </c>
      <c r="F46" s="77">
        <f>IF('Settings'!$E$15="POINTS",E46-VLOOKUP(B$2,C1:E65,3,FALSE),J46)</f>
        <v>-104.022268742523</v>
      </c>
      <c r="G46" s="77"/>
      <c r="H46" s="223">
        <f>RANK(I46,I3:I65)</f>
        <v>52</v>
      </c>
      <c r="I46" s="77">
        <f>VLOOKUP(A46,'Standard Deviations'!A1:C666,3,FALSE)</f>
        <v>-3.62611600747979</v>
      </c>
      <c r="J46" s="84">
        <f>I46-VLOOKUP(B$2,H1:J65,2,FALSE)</f>
        <v>-6.72390923790546</v>
      </c>
    </row>
    <row r="47" ht="21.25" customHeight="1">
      <c r="A47" t="s" s="10">
        <v>547</v>
      </c>
      <c r="B47" t="s" s="180">
        <f>VLOOKUP(A47,'The List'!B1:D665,3,FALSE)</f>
        <v>161</v>
      </c>
      <c r="C47" s="236">
        <f>RANK(E47,E3:E65)</f>
        <v>45</v>
      </c>
      <c r="D47" t="s" s="86">
        <f>VLOOKUP(A47,'The List'!B1:F665,5,FALSE)</f>
        <v>259</v>
      </c>
      <c r="E47" s="77">
        <f>VLOOKUP(A47,'The List'!B1:I665,8,FALSE)</f>
        <v>159.346519589360</v>
      </c>
      <c r="F47" s="77">
        <f>IF('Settings'!$E$15="POINTS",E47-VLOOKUP(B$2,C1:E65,3,FALSE),J47)</f>
        <v>-108.244494975230</v>
      </c>
      <c r="G47" s="77"/>
      <c r="H47" s="223">
        <f>RANK(I47,I3:I65)</f>
        <v>47</v>
      </c>
      <c r="I47" s="77">
        <f>VLOOKUP(A47,'Standard Deviations'!A1:C666,3,FALSE)</f>
        <v>-3.1304411405233</v>
      </c>
      <c r="J47" s="84">
        <f>I47-VLOOKUP(B$2,H1:J65,2,FALSE)</f>
        <v>-6.22823437094897</v>
      </c>
    </row>
    <row r="48" ht="21.25" customHeight="1">
      <c r="A48" t="s" s="10">
        <v>571</v>
      </c>
      <c r="B48" t="s" s="180">
        <f>VLOOKUP(A48,'The List'!B1:D665,3,FALSE)</f>
        <v>161</v>
      </c>
      <c r="C48" s="236">
        <f>RANK(E48,E3:E65)</f>
        <v>46</v>
      </c>
      <c r="D48" t="s" s="86">
        <f>VLOOKUP(A48,'The List'!B1:F665,5,FALSE)</f>
        <v>913</v>
      </c>
      <c r="E48" s="77">
        <f>VLOOKUP(A48,'The List'!B1:I665,8,FALSE)</f>
        <v>154.394270679611</v>
      </c>
      <c r="F48" s="77">
        <f>IF('Settings'!$E$15="POINTS",E48-VLOOKUP(B$2,C1:E65,3,FALSE),J48)</f>
        <v>-113.196743884979</v>
      </c>
      <c r="G48" s="77"/>
      <c r="H48" s="223">
        <f>RANK(I48,I3:I65)</f>
        <v>58</v>
      </c>
      <c r="I48" s="77">
        <f>VLOOKUP(A48,'Standard Deviations'!A1:C666,3,FALSE)</f>
        <v>-4.44197600115909</v>
      </c>
      <c r="J48" s="84">
        <f>I48-VLOOKUP(B$2,H1:J65,2,FALSE)</f>
        <v>-7.53976923158476</v>
      </c>
    </row>
    <row r="49" ht="21.25" customHeight="1">
      <c r="A49" t="s" s="10">
        <v>586</v>
      </c>
      <c r="B49" t="s" s="180">
        <f>VLOOKUP(A49,'The List'!B1:D665,3,FALSE)</f>
        <v>161</v>
      </c>
      <c r="C49" s="236">
        <f>RANK(E49,E3:E65)</f>
        <v>47</v>
      </c>
      <c r="D49" t="s" s="86">
        <f>VLOOKUP(A49,'The List'!B1:F665,5,FALSE)</f>
        <v>275</v>
      </c>
      <c r="E49" s="77">
        <f>VLOOKUP(A49,'The List'!B1:I665,8,FALSE)</f>
        <v>150.816828995031</v>
      </c>
      <c r="F49" s="77">
        <f>IF('Settings'!$E$15="POINTS",E49-VLOOKUP(B$2,C1:E65,3,FALSE),J49)</f>
        <v>-116.774185569559</v>
      </c>
      <c r="G49" s="77"/>
      <c r="H49" s="223">
        <f>RANK(I49,I3:I65)</f>
        <v>29</v>
      </c>
      <c r="I49" s="77">
        <f>VLOOKUP(A49,'Standard Deviations'!A1:C666,3,FALSE)</f>
        <v>-0.625796214152372</v>
      </c>
      <c r="J49" s="84">
        <f>I49-VLOOKUP(B$2,H1:J65,2,FALSE)</f>
        <v>-3.72358944457804</v>
      </c>
    </row>
    <row r="50" ht="21.25" customHeight="1">
      <c r="A50" t="s" s="10">
        <v>621</v>
      </c>
      <c r="B50" t="s" s="180">
        <f>VLOOKUP(A50,'The List'!B1:D665,3,FALSE)</f>
        <v>161</v>
      </c>
      <c r="C50" s="236">
        <f>RANK(E50,E3:E65)</f>
        <v>50</v>
      </c>
      <c r="D50" t="s" s="86">
        <f>VLOOKUP(A50,'The List'!B1:F665,5,FALSE)</f>
        <v>207</v>
      </c>
      <c r="E50" s="77">
        <f>VLOOKUP(A50,'The List'!B1:I665,8,FALSE)</f>
        <v>142.086187091786</v>
      </c>
      <c r="F50" s="77">
        <f>IF('Settings'!$E$15="POINTS",E50-VLOOKUP(B$2,C1:E65,3,FALSE),J50)</f>
        <v>-125.504827472804</v>
      </c>
      <c r="G50" s="77"/>
      <c r="H50" s="223">
        <f>RANK(I50,I3:I65)</f>
        <v>25</v>
      </c>
      <c r="I50" s="77">
        <f>VLOOKUP(A50,'Standard Deviations'!A1:C666,3,FALSE)</f>
        <v>0.505337543900471</v>
      </c>
      <c r="J50" s="84">
        <f>I50-VLOOKUP(B$2,H1:J65,2,FALSE)</f>
        <v>-2.5924556865252</v>
      </c>
    </row>
    <row r="51" ht="21.25" customHeight="1">
      <c r="A51" t="s" s="10">
        <v>612</v>
      </c>
      <c r="B51" t="s" s="180">
        <f>VLOOKUP(A51,'The List'!B1:D665,3,FALSE)</f>
        <v>161</v>
      </c>
      <c r="C51" s="236">
        <f>RANK(E51,E3:E65)</f>
        <v>49</v>
      </c>
      <c r="D51" t="s" s="86">
        <f>VLOOKUP(A51,'The List'!B1:F665,5,FALSE)</f>
        <v>871</v>
      </c>
      <c r="E51" s="77">
        <f>VLOOKUP(A51,'The List'!B1:I665,8,FALSE)</f>
        <v>143.904202485837</v>
      </c>
      <c r="F51" s="77">
        <f>IF('Settings'!$E$15="POINTS",E51-VLOOKUP(B$2,C1:E65,3,FALSE),J51)</f>
        <v>-123.686812078753</v>
      </c>
      <c r="G51" s="77"/>
      <c r="H51" s="223">
        <f>RANK(I51,I3:I65)</f>
        <v>35</v>
      </c>
      <c r="I51" s="77">
        <f>VLOOKUP(A51,'Standard Deviations'!A1:C666,3,FALSE)</f>
        <v>-1.49303436805349</v>
      </c>
      <c r="J51" s="84">
        <f>I51-VLOOKUP(B$2,H1:J65,2,FALSE)</f>
        <v>-4.59082759847916</v>
      </c>
    </row>
    <row r="52" ht="21.25" customHeight="1">
      <c r="A52" t="s" s="10">
        <v>601</v>
      </c>
      <c r="B52" t="s" s="180">
        <f>VLOOKUP(A52,'The List'!B1:D665,3,FALSE)</f>
        <v>161</v>
      </c>
      <c r="C52" s="236">
        <f>RANK(E52,E3:E65)</f>
        <v>48</v>
      </c>
      <c r="D52" t="s" s="86">
        <f>VLOOKUP(A52,'The List'!B1:F665,5,FALSE)</f>
        <v>909</v>
      </c>
      <c r="E52" s="77">
        <f>VLOOKUP(A52,'The List'!B1:I665,8,FALSE)</f>
        <v>146.404911673193</v>
      </c>
      <c r="F52" s="77">
        <f>IF('Settings'!$E$15="POINTS",E52-VLOOKUP(B$2,C1:E65,3,FALSE),J52)</f>
        <v>-121.186102891397</v>
      </c>
      <c r="G52" s="77"/>
      <c r="H52" s="223">
        <f>RANK(I52,I3:I65)</f>
        <v>55</v>
      </c>
      <c r="I52" s="77">
        <f>VLOOKUP(A52,'Standard Deviations'!A1:C666,3,FALSE)</f>
        <v>-4.1878140731878</v>
      </c>
      <c r="J52" s="84">
        <f>I52-VLOOKUP(B$2,H1:J65,2,FALSE)</f>
        <v>-7.28560730361347</v>
      </c>
    </row>
    <row r="53" ht="21.25" customHeight="1">
      <c r="A53" t="s" s="10">
        <v>629</v>
      </c>
      <c r="B53" t="s" s="180">
        <f>VLOOKUP(A53,'The List'!B1:D665,3,FALSE)</f>
        <v>161</v>
      </c>
      <c r="C53" s="236">
        <f>RANK(E53,E3:E65)</f>
        <v>52</v>
      </c>
      <c r="D53" t="s" s="86">
        <f>VLOOKUP(A53,'The List'!B1:F665,5,FALSE)</f>
        <v>907</v>
      </c>
      <c r="E53" s="77">
        <f>VLOOKUP(A53,'The List'!B1:I665,8,FALSE)</f>
        <v>140.165228893636</v>
      </c>
      <c r="F53" s="77">
        <f>IF('Settings'!$E$15="POINTS",E53-VLOOKUP(B$2,C1:E65,3,FALSE),J53)</f>
        <v>-127.425785670954</v>
      </c>
      <c r="G53" s="77"/>
      <c r="H53" s="223">
        <f>RANK(I53,I3:I65)</f>
        <v>44</v>
      </c>
      <c r="I53" s="77">
        <f>VLOOKUP(A53,'Standard Deviations'!A1:C666,3,FALSE)</f>
        <v>-3.00446946055047</v>
      </c>
      <c r="J53" s="84">
        <f>I53-VLOOKUP(B$2,H1:J65,2,FALSE)</f>
        <v>-6.10226269097614</v>
      </c>
    </row>
    <row r="54" ht="21.25" customHeight="1">
      <c r="A54" t="s" s="10">
        <v>646</v>
      </c>
      <c r="B54" t="s" s="180">
        <f>VLOOKUP(A54,'The List'!B1:D665,3,FALSE)</f>
        <v>161</v>
      </c>
      <c r="C54" s="236">
        <f>RANK(E54,E3:E65)</f>
        <v>54</v>
      </c>
      <c r="D54" t="s" s="86">
        <f>VLOOKUP(A54,'The List'!B1:F665,5,FALSE)</f>
        <v>267</v>
      </c>
      <c r="E54" s="77">
        <f>VLOOKUP(A54,'The List'!B1:I665,8,FALSE)</f>
        <v>133.580377856789</v>
      </c>
      <c r="F54" s="77">
        <f>IF('Settings'!$E$15="POINTS",E54-VLOOKUP(B$2,C1:E65,3,FALSE),J54)</f>
        <v>-134.010636707801</v>
      </c>
      <c r="G54" s="77"/>
      <c r="H54" s="223">
        <f>RANK(I54,I3:I65)</f>
        <v>28</v>
      </c>
      <c r="I54" s="77">
        <f>VLOOKUP(A54,'Standard Deviations'!A1:C666,3,FALSE)</f>
        <v>-0.304245161611584</v>
      </c>
      <c r="J54" s="84">
        <f>I54-VLOOKUP(B$2,H1:J65,2,FALSE)</f>
        <v>-3.40203839203725</v>
      </c>
    </row>
    <row r="55" ht="21.25" customHeight="1">
      <c r="A55" t="s" s="10">
        <v>640</v>
      </c>
      <c r="B55" t="s" s="180">
        <f>VLOOKUP(A55,'The List'!B1:D665,3,FALSE)</f>
        <v>161</v>
      </c>
      <c r="C55" s="236">
        <f>RANK(E55,E3:E65)</f>
        <v>53</v>
      </c>
      <c r="D55" t="s" s="86">
        <f>VLOOKUP(A55,'The List'!B1:F665,5,FALSE)</f>
        <v>914</v>
      </c>
      <c r="E55" s="77">
        <f>VLOOKUP(A55,'The List'!B1:I665,8,FALSE)</f>
        <v>135.209361586823</v>
      </c>
      <c r="F55" s="77">
        <f>IF('Settings'!$E$15="POINTS",E55-VLOOKUP(B$2,C1:E65,3,FALSE),J55)</f>
        <v>-132.381652977767</v>
      </c>
      <c r="G55" s="77"/>
      <c r="H55" s="223">
        <f>RANK(I55,I3:I65)</f>
        <v>59</v>
      </c>
      <c r="I55" s="77">
        <f>VLOOKUP(A55,'Standard Deviations'!A1:C666,3,FALSE)</f>
        <v>-4.47272099782416</v>
      </c>
      <c r="J55" s="84">
        <f>I55-VLOOKUP(B$2,H1:J65,2,FALSE)</f>
        <v>-7.57051422824983</v>
      </c>
    </row>
    <row r="56" ht="21.25" customHeight="1">
      <c r="A56" t="s" s="10">
        <v>658</v>
      </c>
      <c r="B56" t="s" s="180">
        <f>VLOOKUP(A56,'The List'!B1:D665,3,FALSE)</f>
        <v>161</v>
      </c>
      <c r="C56" s="236">
        <f>RANK(E56,E3:E65)</f>
        <v>56</v>
      </c>
      <c r="D56" t="s" s="86">
        <f>VLOOKUP(A56,'The List'!B1:F665,5,FALSE)</f>
        <v>129</v>
      </c>
      <c r="E56" s="77">
        <f>VLOOKUP(A56,'The List'!B1:I665,8,FALSE)</f>
        <v>130.836400531068</v>
      </c>
      <c r="F56" s="77">
        <f>IF('Settings'!$E$15="POINTS",E56-VLOOKUP(B$2,C1:E65,3,FALSE),J56)</f>
        <v>-136.754614033522</v>
      </c>
      <c r="G56" s="77"/>
      <c r="H56" s="223">
        <f>RANK(I56,I3:I65)</f>
        <v>41</v>
      </c>
      <c r="I56" s="77">
        <f>VLOOKUP(A56,'Standard Deviations'!A1:C666,3,FALSE)</f>
        <v>-2.51287273413409</v>
      </c>
      <c r="J56" s="84">
        <f>I56-VLOOKUP(B$2,H1:J65,2,FALSE)</f>
        <v>-5.61066596455976</v>
      </c>
    </row>
    <row r="57" ht="21.25" customHeight="1">
      <c r="A57" t="s" s="10">
        <v>648</v>
      </c>
      <c r="B57" t="s" s="180">
        <f>VLOOKUP(A57,'The List'!B1:D665,3,FALSE)</f>
        <v>161</v>
      </c>
      <c r="C57" s="236">
        <f>RANK(E57,E3:E65)</f>
        <v>55</v>
      </c>
      <c r="D57" t="s" s="86">
        <f>VLOOKUP(A57,'The List'!B1:F665,5,FALSE)</f>
        <v>899</v>
      </c>
      <c r="E57" s="77">
        <f>VLOOKUP(A57,'The List'!B1:I665,8,FALSE)</f>
        <v>133.079047938559</v>
      </c>
      <c r="F57" s="77">
        <f>IF('Settings'!$E$15="POINTS",E57-VLOOKUP(B$2,C1:E65,3,FALSE),J57)</f>
        <v>-134.511966626031</v>
      </c>
      <c r="G57" s="77"/>
      <c r="H57" s="223">
        <f>RANK(I57,I3:I65)</f>
        <v>50</v>
      </c>
      <c r="I57" s="77">
        <f>VLOOKUP(A57,'Standard Deviations'!A1:C666,3,FALSE)</f>
        <v>-3.27003227148398</v>
      </c>
      <c r="J57" s="84">
        <f>I57-VLOOKUP(B$2,H1:J65,2,FALSE)</f>
        <v>-6.36782550190965</v>
      </c>
    </row>
    <row r="58" ht="21.25" customHeight="1">
      <c r="A58" t="s" s="10">
        <v>623</v>
      </c>
      <c r="B58" t="s" s="180">
        <f>VLOOKUP(A58,'The List'!B1:D665,3,FALSE)</f>
        <v>161</v>
      </c>
      <c r="C58" s="236">
        <f>RANK(E58,E3:E65)</f>
        <v>51</v>
      </c>
      <c r="D58" t="s" s="86">
        <f>VLOOKUP(A58,'The List'!B1:F665,5,FALSE)</f>
        <v>910</v>
      </c>
      <c r="E58" s="77">
        <f>VLOOKUP(A58,'The List'!B1:I665,8,FALSE)</f>
        <v>141.553159659785</v>
      </c>
      <c r="F58" s="77">
        <f>IF('Settings'!$E$15="POINTS",E58-VLOOKUP(B$2,C1:E65,3,FALSE),J58)</f>
        <v>-126.037854904805</v>
      </c>
      <c r="G58" s="77"/>
      <c r="H58" s="223">
        <f>RANK(I58,I3:I65)</f>
        <v>61</v>
      </c>
      <c r="I58" s="77">
        <f>VLOOKUP(A58,'Standard Deviations'!A1:C666,3,FALSE)</f>
        <v>-4.69934094306016</v>
      </c>
      <c r="J58" s="84">
        <f>I58-VLOOKUP(B$2,H1:J65,2,FALSE)</f>
        <v>-7.79713417348583</v>
      </c>
    </row>
    <row r="59" ht="21.25" customHeight="1">
      <c r="A59" t="s" s="10">
        <v>667</v>
      </c>
      <c r="B59" t="s" s="180">
        <f>VLOOKUP(A59,'The List'!B1:D665,3,FALSE)</f>
        <v>161</v>
      </c>
      <c r="C59" s="236">
        <f>RANK(E59,E3:E65)</f>
        <v>57</v>
      </c>
      <c r="D59" t="s" s="86">
        <f>VLOOKUP(A59,'The List'!B1:F665,5,FALSE)</f>
        <v>900</v>
      </c>
      <c r="E59" s="77">
        <f>VLOOKUP(A59,'The List'!B1:I665,8,FALSE)</f>
        <v>127.703220268417</v>
      </c>
      <c r="F59" s="77">
        <f>IF('Settings'!$E$15="POINTS",E59-VLOOKUP(B$2,C1:E65,3,FALSE),J59)</f>
        <v>-139.887794296173</v>
      </c>
      <c r="G59" s="77"/>
      <c r="H59" s="223">
        <f>RANK(I59,I3:I65)</f>
        <v>43</v>
      </c>
      <c r="I59" s="77">
        <f>VLOOKUP(A59,'Standard Deviations'!A1:C666,3,FALSE)</f>
        <v>-2.63106969410259</v>
      </c>
      <c r="J59" s="84">
        <f>I59-VLOOKUP(B$2,H1:J65,2,FALSE)</f>
        <v>-5.72886292452826</v>
      </c>
    </row>
    <row r="60" ht="21.25" customHeight="1">
      <c r="A60" t="s" s="10">
        <v>709</v>
      </c>
      <c r="B60" t="s" s="180">
        <f>VLOOKUP(A60,'The List'!B1:D665,3,FALSE)</f>
        <v>161</v>
      </c>
      <c r="C60" s="236">
        <f>RANK(E60,E3:E65)</f>
        <v>58</v>
      </c>
      <c r="D60" t="s" s="86">
        <f>VLOOKUP(A60,'The List'!B1:F665,5,FALSE)</f>
        <v>149</v>
      </c>
      <c r="E60" s="77">
        <f>VLOOKUP(A60,'The List'!B1:I665,8,FALSE)</f>
        <v>114.298146357759</v>
      </c>
      <c r="F60" s="77">
        <f>IF('Settings'!$E$15="POINTS",E60-VLOOKUP(B$2,C1:E65,3,FALSE),J60)</f>
        <v>-153.292868206831</v>
      </c>
      <c r="G60" s="77"/>
      <c r="H60" s="223">
        <f>RANK(I60,I3:I65)</f>
        <v>42</v>
      </c>
      <c r="I60" s="77">
        <f>VLOOKUP(A60,'Standard Deviations'!A1:C666,3,FALSE)</f>
        <v>-2.54405205385678</v>
      </c>
      <c r="J60" s="84">
        <f>I60-VLOOKUP(B$2,H1:J65,2,FALSE)</f>
        <v>-5.64184528428245</v>
      </c>
    </row>
    <row r="61" ht="21.25" customHeight="1">
      <c r="A61" t="s" s="10">
        <v>712</v>
      </c>
      <c r="B61" t="s" s="180">
        <f>VLOOKUP(A61,'The List'!B1:D665,3,FALSE)</f>
        <v>161</v>
      </c>
      <c r="C61" s="236">
        <f>RANK(E61,E3:E65)</f>
        <v>59</v>
      </c>
      <c r="D61" t="s" s="86">
        <f>VLOOKUP(A61,'The List'!B1:F665,5,FALSE)</f>
        <v>901</v>
      </c>
      <c r="E61" s="77">
        <f>VLOOKUP(A61,'The List'!B1:I665,8,FALSE)</f>
        <v>113.114168037561</v>
      </c>
      <c r="F61" s="77">
        <f>IF('Settings'!$E$15="POINTS",E61-VLOOKUP(B$2,C1:E65,3,FALSE),J61)</f>
        <v>-154.476846527029</v>
      </c>
      <c r="G61" s="77"/>
      <c r="H61" s="223">
        <f>RANK(I61,I3:I65)</f>
        <v>49</v>
      </c>
      <c r="I61" s="77">
        <f>VLOOKUP(A61,'Standard Deviations'!A1:C666,3,FALSE)</f>
        <v>-3.22448446838536</v>
      </c>
      <c r="J61" s="84">
        <f>I61-VLOOKUP(B$2,H1:J65,2,FALSE)</f>
        <v>-6.32227769881103</v>
      </c>
    </row>
    <row r="62" ht="21.25" customHeight="1">
      <c r="A62" t="s" s="10">
        <v>753</v>
      </c>
      <c r="B62" t="s" s="180">
        <f>VLOOKUP(A62,'The List'!B1:D665,3,FALSE)</f>
        <v>161</v>
      </c>
      <c r="C62" s="236">
        <f>RANK(E62,E3:E65)</f>
        <v>60</v>
      </c>
      <c r="D62" t="s" s="86">
        <f>VLOOKUP(A62,'The List'!B1:F665,5,FALSE)</f>
        <v>165</v>
      </c>
      <c r="E62" s="77">
        <f>VLOOKUP(A62,'The List'!B1:I665,8,FALSE)</f>
        <v>102.562711009676</v>
      </c>
      <c r="F62" s="77">
        <f>IF('Settings'!$E$15="POINTS",E62-VLOOKUP(B$2,C1:E65,3,FALSE),J62)</f>
        <v>-165.028303554914</v>
      </c>
      <c r="G62" s="77"/>
      <c r="H62" s="223">
        <f>RANK(I62,I3:I65)</f>
        <v>60</v>
      </c>
      <c r="I62" s="77">
        <f>VLOOKUP(A62,'Standard Deviations'!A1:C666,3,FALSE)</f>
        <v>-4.47488174973814</v>
      </c>
      <c r="J62" s="84">
        <f>I62-VLOOKUP(B$2,H1:J65,2,FALSE)</f>
        <v>-7.57267498016381</v>
      </c>
    </row>
    <row r="63" ht="21.25" customHeight="1">
      <c r="A63" t="s" s="10">
        <v>755</v>
      </c>
      <c r="B63" t="s" s="180">
        <f>VLOOKUP(A63,'The List'!B1:D665,3,FALSE)</f>
        <v>161</v>
      </c>
      <c r="C63" s="236">
        <f>RANK(E63,E3:E65)</f>
        <v>61</v>
      </c>
      <c r="D63" t="s" s="86">
        <f>VLOOKUP(A63,'The List'!B1:F665,5,FALSE)</f>
        <v>878</v>
      </c>
      <c r="E63" s="77">
        <f>VLOOKUP(A63,'The List'!B1:I665,8,FALSE)</f>
        <v>101.739446648084</v>
      </c>
      <c r="F63" s="77">
        <f>IF('Settings'!$E$15="POINTS",E63-VLOOKUP(B$2,C1:E65,3,FALSE),J63)</f>
        <v>-165.851567916506</v>
      </c>
      <c r="G63" s="77"/>
      <c r="H63" s="223">
        <f>RANK(I63,I3:I65)</f>
        <v>56</v>
      </c>
      <c r="I63" s="77">
        <f>VLOOKUP(A63,'Standard Deviations'!A1:C666,3,FALSE)</f>
        <v>-4.31514392697818</v>
      </c>
      <c r="J63" s="84">
        <f>I63-VLOOKUP(B$2,H1:J65,2,FALSE)</f>
        <v>-7.41293715740385</v>
      </c>
    </row>
    <row r="64" ht="21.25" customHeight="1">
      <c r="A64" t="s" s="10">
        <v>759</v>
      </c>
      <c r="B64" t="s" s="180">
        <f>VLOOKUP(A64,'The List'!B1:D665,3,FALSE)</f>
        <v>161</v>
      </c>
      <c r="C64" s="236">
        <f>RANK(E64,E3:E65)</f>
        <v>62</v>
      </c>
      <c r="D64" t="s" s="86">
        <f>VLOOKUP(A64,'The List'!B1:F665,5,FALSE)</f>
        <v>866</v>
      </c>
      <c r="E64" s="77">
        <f>VLOOKUP(A64,'The List'!B1:I665,8,FALSE)</f>
        <v>100.683984517013</v>
      </c>
      <c r="F64" s="77">
        <f>IF('Settings'!$E$15="POINTS",E64-VLOOKUP(B$2,C1:E65,3,FALSE),J64)</f>
        <v>-166.907030047577</v>
      </c>
      <c r="G64" s="77"/>
      <c r="H64" s="223">
        <f>RANK(I64,I3:I65)</f>
        <v>63</v>
      </c>
      <c r="I64" s="77">
        <f>VLOOKUP(A64,'Standard Deviations'!A1:C666,3,FALSE)</f>
        <v>-5.29339824977014</v>
      </c>
      <c r="J64" s="84">
        <f>I64-VLOOKUP(B$2,H1:J65,2,FALSE)</f>
        <v>-8.391191480195809</v>
      </c>
    </row>
    <row r="65" ht="21.25" customHeight="1">
      <c r="A65" t="s" s="10">
        <v>768</v>
      </c>
      <c r="B65" t="s" s="180">
        <f>VLOOKUP(A65,'The List'!B1:D665,3,FALSE)</f>
        <v>161</v>
      </c>
      <c r="C65" s="236">
        <f>RANK(E65,E3:E65)</f>
        <v>63</v>
      </c>
      <c r="D65" t="s" s="86">
        <f>VLOOKUP(A65,'The List'!B1:F665,5,FALSE)</f>
        <v>906</v>
      </c>
      <c r="E65" s="77">
        <f>VLOOKUP(A65,'The List'!B1:I665,8,FALSE)</f>
        <v>98.2475496770478</v>
      </c>
      <c r="F65" s="77">
        <f>IF('Settings'!$E$15="POINTS",E65-VLOOKUP(B$2,C1:E65,3,FALSE),J65)</f>
        <v>-169.343464887542</v>
      </c>
      <c r="G65" s="77"/>
      <c r="H65" s="223">
        <f>RANK(I65,I3:I65)</f>
        <v>62</v>
      </c>
      <c r="I65" s="77">
        <f>VLOOKUP(A65,'Standard Deviations'!A1:C666,3,FALSE)</f>
        <v>-4.78802717211452</v>
      </c>
      <c r="J65" s="84">
        <f>I65-VLOOKUP(B$2,H1:J65,2,FALSE)</f>
        <v>-7.88582040254019</v>
      </c>
    </row>
  </sheetData>
  <conditionalFormatting sqref="C3:C65 H3:H65">
    <cfRule type="containsText" dxfId="47" priority="1" stopIfTrue="1" text="/">
      <formula>NOT(ISERROR(FIND(UPPER("/"),UPPER(C3))))</formula>
      <formula>"/"</formula>
    </cfRule>
    <cfRule type="containsText" dxfId="48" priority="2" stopIfTrue="1" text="C">
      <formula>NOT(ISERROR(FIND(UPPER("C"),UPPER(C3))))</formula>
      <formula>"C"</formula>
    </cfRule>
    <cfRule type="containsText" dxfId="49" priority="3" stopIfTrue="1" text="D">
      <formula>NOT(ISERROR(FIND(UPPER("D"),UPPER(C3))))</formula>
      <formula>"D"</formula>
    </cfRule>
    <cfRule type="containsText" dxfId="50" priority="4" stopIfTrue="1" text="LW">
      <formula>NOT(ISERROR(FIND(UPPER("LW"),UPPER(C3))))</formula>
      <formula>"LW"</formula>
    </cfRule>
    <cfRule type="containsText" dxfId="51" priority="5" stopIfTrue="1" text="RW">
      <formula>NOT(ISERROR(FIND(UPPER("RW"),UPPER(C3))))</formula>
      <formula>"RW"</formula>
    </cfRule>
    <cfRule type="containsText" dxfId="52" priority="6" stopIfTrue="1" text="G">
      <formula>NOT(ISERROR(FIND(UPPER("G"),UPPER(C3))))</formula>
      <formula>"G"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